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24226"/>
  <mc:AlternateContent xmlns:mc="http://schemas.openxmlformats.org/markup-compatibility/2006">
    <mc:Choice Requires="x15">
      <x15ac:absPath xmlns:x15ac="http://schemas.microsoft.com/office/spreadsheetml/2010/11/ac" url="C:\ResilioSync\ResilioSync\Niels_Werk\PhD\Articles\1. Review, iron homeostasis and paghogenesis of Mtb\IJMS\Revised version\Supplementary files\"/>
    </mc:Choice>
  </mc:AlternateContent>
  <bookViews>
    <workbookView xWindow="0" yWindow="0" windowWidth="19200" windowHeight="6940" tabRatio="906" firstSheet="2" activeTab="2" xr2:uid="{00000000-000D-0000-FFFF-FFFF00000000}"/>
  </bookViews>
  <sheets>
    <sheet name="Regulatory overview" sheetId="1" r:id="rId1"/>
    <sheet name="MBovisUpreg24h.macr" sheetId="3" r:id="rId2"/>
    <sheet name="MBovisBelowCutOf" sheetId="4" r:id="rId3"/>
    <sheet name="CRP_regulon" sheetId="6" r:id="rId4"/>
    <sheet name="PhoP func. cat" sheetId="2" r:id="rId5"/>
    <sheet name="AnnotationTuberculist2017" sheetId="5" r:id="rId6"/>
  </sheets>
  <definedNames>
    <definedName name="fold_change_list" localSheetId="2">MBovisBelowCutOf!$A$1:$J$3217</definedName>
  </definedNames>
  <calcPr calcId="171027"/>
</workbook>
</file>

<file path=xl/calcChain.xml><?xml version="1.0" encoding="utf-8"?>
<calcChain xmlns="http://schemas.openxmlformats.org/spreadsheetml/2006/main">
  <c r="B5" i="1" l="1"/>
  <c r="T4" i="3" l="1"/>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3" i="3"/>
  <c r="B4" i="1"/>
  <c r="B3" i="6"/>
  <c r="B4" i="6"/>
  <c r="B5" i="6"/>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K1792" i="5"/>
  <c r="K1793" i="5"/>
  <c r="K1794" i="5"/>
  <c r="K1795" i="5"/>
  <c r="K1796" i="5"/>
  <c r="K1797" i="5"/>
  <c r="K1798" i="5"/>
  <c r="K1799" i="5"/>
  <c r="K1800" i="5"/>
  <c r="K1801" i="5"/>
  <c r="K1802" i="5"/>
  <c r="K1803" i="5"/>
  <c r="K1804" i="5"/>
  <c r="K1805" i="5"/>
  <c r="K1806" i="5"/>
  <c r="K1807" i="5"/>
  <c r="K1808" i="5"/>
  <c r="K1809" i="5"/>
  <c r="K1810" i="5"/>
  <c r="K1811" i="5"/>
  <c r="K1812" i="5"/>
  <c r="K1813" i="5"/>
  <c r="K1814" i="5"/>
  <c r="K1815" i="5"/>
  <c r="K1816" i="5"/>
  <c r="K1817" i="5"/>
  <c r="K1818" i="5"/>
  <c r="K1819" i="5"/>
  <c r="K1820" i="5"/>
  <c r="K1821" i="5"/>
  <c r="K1822" i="5"/>
  <c r="K1823" i="5"/>
  <c r="K1824" i="5"/>
  <c r="K1825" i="5"/>
  <c r="K1826" i="5"/>
  <c r="K1827" i="5"/>
  <c r="K1828" i="5"/>
  <c r="K1829" i="5"/>
  <c r="K1830" i="5"/>
  <c r="K1831" i="5"/>
  <c r="K1832" i="5"/>
  <c r="K1833" i="5"/>
  <c r="K1834" i="5"/>
  <c r="K1835" i="5"/>
  <c r="K1836" i="5"/>
  <c r="K1837" i="5"/>
  <c r="K1838" i="5"/>
  <c r="K1839" i="5"/>
  <c r="K1840" i="5"/>
  <c r="K1841" i="5"/>
  <c r="K1842" i="5"/>
  <c r="K1843" i="5"/>
  <c r="K1844" i="5"/>
  <c r="K1845" i="5"/>
  <c r="K1846" i="5"/>
  <c r="K1847" i="5"/>
  <c r="K1848" i="5"/>
  <c r="K1849" i="5"/>
  <c r="K1850" i="5"/>
  <c r="K1851" i="5"/>
  <c r="K1852" i="5"/>
  <c r="K1853" i="5"/>
  <c r="K1854" i="5"/>
  <c r="K1855" i="5"/>
  <c r="K1856" i="5"/>
  <c r="K1857" i="5"/>
  <c r="K1858" i="5"/>
  <c r="K1859" i="5"/>
  <c r="K1860" i="5"/>
  <c r="K1861" i="5"/>
  <c r="K1862" i="5"/>
  <c r="K1863" i="5"/>
  <c r="K1864" i="5"/>
  <c r="K1865" i="5"/>
  <c r="K1866" i="5"/>
  <c r="K1867" i="5"/>
  <c r="K1868" i="5"/>
  <c r="K1869" i="5"/>
  <c r="K1870" i="5"/>
  <c r="K1871" i="5"/>
  <c r="K1872" i="5"/>
  <c r="K1873" i="5"/>
  <c r="K1874" i="5"/>
  <c r="K1875" i="5"/>
  <c r="K1876" i="5"/>
  <c r="K1877" i="5"/>
  <c r="K1878" i="5"/>
  <c r="K1879" i="5"/>
  <c r="K1880" i="5"/>
  <c r="K1881" i="5"/>
  <c r="K1882" i="5"/>
  <c r="K1883" i="5"/>
  <c r="K1884" i="5"/>
  <c r="K1885" i="5"/>
  <c r="K1886" i="5"/>
  <c r="K1887" i="5"/>
  <c r="K1888" i="5"/>
  <c r="K1889" i="5"/>
  <c r="K1890" i="5"/>
  <c r="K1891" i="5"/>
  <c r="K1892" i="5"/>
  <c r="K1893" i="5"/>
  <c r="K1894" i="5"/>
  <c r="K1895" i="5"/>
  <c r="K1896" i="5"/>
  <c r="K1897" i="5"/>
  <c r="K1898" i="5"/>
  <c r="K1899" i="5"/>
  <c r="K1900" i="5"/>
  <c r="K1901" i="5"/>
  <c r="K1902" i="5"/>
  <c r="K1903" i="5"/>
  <c r="K1904" i="5"/>
  <c r="K1905" i="5"/>
  <c r="K1906" i="5"/>
  <c r="K1907" i="5"/>
  <c r="K1908" i="5"/>
  <c r="K1909" i="5"/>
  <c r="K1910" i="5"/>
  <c r="K1911" i="5"/>
  <c r="K1912" i="5"/>
  <c r="K1913" i="5"/>
  <c r="K1914" i="5"/>
  <c r="K1915" i="5"/>
  <c r="K1916" i="5"/>
  <c r="K1917" i="5"/>
  <c r="K1918" i="5"/>
  <c r="K1919" i="5"/>
  <c r="K1920" i="5"/>
  <c r="K1921" i="5"/>
  <c r="K1922" i="5"/>
  <c r="K1923" i="5"/>
  <c r="K1924" i="5"/>
  <c r="K1925" i="5"/>
  <c r="K1926" i="5"/>
  <c r="K1927" i="5"/>
  <c r="K1928" i="5"/>
  <c r="K1929" i="5"/>
  <c r="K1930" i="5"/>
  <c r="K1931" i="5"/>
  <c r="K1932" i="5"/>
  <c r="K1933" i="5"/>
  <c r="K1934" i="5"/>
  <c r="K1935" i="5"/>
  <c r="K1936" i="5"/>
  <c r="K1937" i="5"/>
  <c r="K1938" i="5"/>
  <c r="K1939" i="5"/>
  <c r="K1940" i="5"/>
  <c r="K1941" i="5"/>
  <c r="K1942" i="5"/>
  <c r="K1943" i="5"/>
  <c r="K1944" i="5"/>
  <c r="K1945" i="5"/>
  <c r="K1946" i="5"/>
  <c r="K1947" i="5"/>
  <c r="K1948" i="5"/>
  <c r="K1949" i="5"/>
  <c r="K1950" i="5"/>
  <c r="K1951" i="5"/>
  <c r="K1952" i="5"/>
  <c r="K1953" i="5"/>
  <c r="K1954" i="5"/>
  <c r="K1955" i="5"/>
  <c r="K1956" i="5"/>
  <c r="K1957" i="5"/>
  <c r="K1958" i="5"/>
  <c r="K1959" i="5"/>
  <c r="K1960" i="5"/>
  <c r="K1961" i="5"/>
  <c r="K1962" i="5"/>
  <c r="K1963" i="5"/>
  <c r="K1964" i="5"/>
  <c r="K1965" i="5"/>
  <c r="K1966" i="5"/>
  <c r="K1967" i="5"/>
  <c r="K1968" i="5"/>
  <c r="K1969" i="5"/>
  <c r="K1970" i="5"/>
  <c r="K1971" i="5"/>
  <c r="K1972" i="5"/>
  <c r="K1973" i="5"/>
  <c r="K1974" i="5"/>
  <c r="K1975" i="5"/>
  <c r="K1976" i="5"/>
  <c r="K1977" i="5"/>
  <c r="K1978" i="5"/>
  <c r="K1979" i="5"/>
  <c r="K1980" i="5"/>
  <c r="K1981" i="5"/>
  <c r="K1982" i="5"/>
  <c r="K1983" i="5"/>
  <c r="K1984" i="5"/>
  <c r="K1985" i="5"/>
  <c r="K1986" i="5"/>
  <c r="K1987" i="5"/>
  <c r="K1988" i="5"/>
  <c r="K1989" i="5"/>
  <c r="K1990" i="5"/>
  <c r="K1991" i="5"/>
  <c r="K1992" i="5"/>
  <c r="K1993" i="5"/>
  <c r="K1994" i="5"/>
  <c r="K1995" i="5"/>
  <c r="K1996" i="5"/>
  <c r="K1997" i="5"/>
  <c r="K1998" i="5"/>
  <c r="K1999" i="5"/>
  <c r="K2000" i="5"/>
  <c r="K2001" i="5"/>
  <c r="K2002" i="5"/>
  <c r="K2003" i="5"/>
  <c r="K2004" i="5"/>
  <c r="K2005" i="5"/>
  <c r="K2006" i="5"/>
  <c r="K2007" i="5"/>
  <c r="K2008" i="5"/>
  <c r="K2009" i="5"/>
  <c r="K2010" i="5"/>
  <c r="K2011" i="5"/>
  <c r="K2012" i="5"/>
  <c r="K2013" i="5"/>
  <c r="K2014" i="5"/>
  <c r="K2015" i="5"/>
  <c r="K2016" i="5"/>
  <c r="K2017" i="5"/>
  <c r="K2018" i="5"/>
  <c r="K2019" i="5"/>
  <c r="K2020" i="5"/>
  <c r="K2021" i="5"/>
  <c r="K2022" i="5"/>
  <c r="K2023" i="5"/>
  <c r="K2024" i="5"/>
  <c r="K2025" i="5"/>
  <c r="K2026" i="5"/>
  <c r="K2027" i="5"/>
  <c r="K2028" i="5"/>
  <c r="K2029" i="5"/>
  <c r="K2030" i="5"/>
  <c r="K2031" i="5"/>
  <c r="K2032" i="5"/>
  <c r="K2033" i="5"/>
  <c r="K2034" i="5"/>
  <c r="K2035" i="5"/>
  <c r="K2036" i="5"/>
  <c r="K2037" i="5"/>
  <c r="K2038" i="5"/>
  <c r="K2039" i="5"/>
  <c r="K2040" i="5"/>
  <c r="K2041" i="5"/>
  <c r="K2042" i="5"/>
  <c r="K2043" i="5"/>
  <c r="K2044" i="5"/>
  <c r="K2045" i="5"/>
  <c r="K2046" i="5"/>
  <c r="K2047" i="5"/>
  <c r="K2048" i="5"/>
  <c r="K2049" i="5"/>
  <c r="K2050" i="5"/>
  <c r="K2051" i="5"/>
  <c r="K2052" i="5"/>
  <c r="K2053" i="5"/>
  <c r="K2054" i="5"/>
  <c r="K2055" i="5"/>
  <c r="K2056" i="5"/>
  <c r="K2057" i="5"/>
  <c r="K2058" i="5"/>
  <c r="K2059" i="5"/>
  <c r="K2060" i="5"/>
  <c r="K2061" i="5"/>
  <c r="K2062" i="5"/>
  <c r="K2063" i="5"/>
  <c r="K2064" i="5"/>
  <c r="K2065" i="5"/>
  <c r="K2066" i="5"/>
  <c r="K2067" i="5"/>
  <c r="K2068" i="5"/>
  <c r="K2069" i="5"/>
  <c r="K2070" i="5"/>
  <c r="K2071" i="5"/>
  <c r="K2072" i="5"/>
  <c r="K2073" i="5"/>
  <c r="K2074" i="5"/>
  <c r="K2075" i="5"/>
  <c r="K2076" i="5"/>
  <c r="K2077" i="5"/>
  <c r="K2078" i="5"/>
  <c r="K2079" i="5"/>
  <c r="K2080" i="5"/>
  <c r="K2081" i="5"/>
  <c r="K2082" i="5"/>
  <c r="K2083" i="5"/>
  <c r="K2084" i="5"/>
  <c r="K2085" i="5"/>
  <c r="K2086" i="5"/>
  <c r="K2087" i="5"/>
  <c r="K2088" i="5"/>
  <c r="K2089" i="5"/>
  <c r="K2090" i="5"/>
  <c r="K2091" i="5"/>
  <c r="K2092" i="5"/>
  <c r="K2093" i="5"/>
  <c r="K2094" i="5"/>
  <c r="K2095" i="5"/>
  <c r="K2096" i="5"/>
  <c r="K2097" i="5"/>
  <c r="K2098" i="5"/>
  <c r="K2099" i="5"/>
  <c r="K2100" i="5"/>
  <c r="K2101" i="5"/>
  <c r="K2102" i="5"/>
  <c r="K2103" i="5"/>
  <c r="K2104" i="5"/>
  <c r="K2105" i="5"/>
  <c r="K2106" i="5"/>
  <c r="K2107" i="5"/>
  <c r="K2108" i="5"/>
  <c r="K2109" i="5"/>
  <c r="K2110" i="5"/>
  <c r="K2111" i="5"/>
  <c r="K2112" i="5"/>
  <c r="K2113" i="5"/>
  <c r="K2114" i="5"/>
  <c r="K2115" i="5"/>
  <c r="K2116" i="5"/>
  <c r="K2117" i="5"/>
  <c r="K2118" i="5"/>
  <c r="K2119" i="5"/>
  <c r="K2120" i="5"/>
  <c r="K2121" i="5"/>
  <c r="K2122" i="5"/>
  <c r="K2123" i="5"/>
  <c r="K2124" i="5"/>
  <c r="K2125" i="5"/>
  <c r="K2126" i="5"/>
  <c r="K2127" i="5"/>
  <c r="K2128" i="5"/>
  <c r="K2129" i="5"/>
  <c r="K2130" i="5"/>
  <c r="K2131" i="5"/>
  <c r="K2132" i="5"/>
  <c r="K2133" i="5"/>
  <c r="K2134" i="5"/>
  <c r="K2135" i="5"/>
  <c r="K2136" i="5"/>
  <c r="K2137" i="5"/>
  <c r="K2138" i="5"/>
  <c r="K2139" i="5"/>
  <c r="K2140" i="5"/>
  <c r="K2141" i="5"/>
  <c r="K2142" i="5"/>
  <c r="K2143" i="5"/>
  <c r="K2144" i="5"/>
  <c r="K2145" i="5"/>
  <c r="K2146" i="5"/>
  <c r="K2147" i="5"/>
  <c r="K2148" i="5"/>
  <c r="K2149" i="5"/>
  <c r="K2150" i="5"/>
  <c r="K2151" i="5"/>
  <c r="K2152" i="5"/>
  <c r="K2153" i="5"/>
  <c r="K2154" i="5"/>
  <c r="K2155" i="5"/>
  <c r="K2156" i="5"/>
  <c r="K2157" i="5"/>
  <c r="K2158" i="5"/>
  <c r="K2159" i="5"/>
  <c r="K2160" i="5"/>
  <c r="K2161" i="5"/>
  <c r="K2162" i="5"/>
  <c r="K2163" i="5"/>
  <c r="K2164" i="5"/>
  <c r="K2165" i="5"/>
  <c r="K2166" i="5"/>
  <c r="K2167" i="5"/>
  <c r="K2168" i="5"/>
  <c r="K2169" i="5"/>
  <c r="K2170" i="5"/>
  <c r="K2171" i="5"/>
  <c r="K2172" i="5"/>
  <c r="K2173" i="5"/>
  <c r="K2174" i="5"/>
  <c r="K2175" i="5"/>
  <c r="K2176" i="5"/>
  <c r="K2177" i="5"/>
  <c r="K2178" i="5"/>
  <c r="K2179" i="5"/>
  <c r="K2180" i="5"/>
  <c r="K2181" i="5"/>
  <c r="K2182" i="5"/>
  <c r="K2183" i="5"/>
  <c r="K2184" i="5"/>
  <c r="K2185" i="5"/>
  <c r="K2186" i="5"/>
  <c r="K2187" i="5"/>
  <c r="K2188" i="5"/>
  <c r="K2189" i="5"/>
  <c r="K2190" i="5"/>
  <c r="K2191" i="5"/>
  <c r="K2192" i="5"/>
  <c r="K2193" i="5"/>
  <c r="K2194" i="5"/>
  <c r="K2195" i="5"/>
  <c r="K2196" i="5"/>
  <c r="K2197" i="5"/>
  <c r="K2198" i="5"/>
  <c r="K2199" i="5"/>
  <c r="K2200" i="5"/>
  <c r="K2201" i="5"/>
  <c r="K2202" i="5"/>
  <c r="K2203" i="5"/>
  <c r="K2204" i="5"/>
  <c r="K2205" i="5"/>
  <c r="K2206" i="5"/>
  <c r="K2207" i="5"/>
  <c r="K2208" i="5"/>
  <c r="K2209" i="5"/>
  <c r="K2210" i="5"/>
  <c r="K2211" i="5"/>
  <c r="K2212" i="5"/>
  <c r="K2213" i="5"/>
  <c r="K2214" i="5"/>
  <c r="K2215" i="5"/>
  <c r="K2216" i="5"/>
  <c r="K2217" i="5"/>
  <c r="K2218" i="5"/>
  <c r="K2219" i="5"/>
  <c r="K2220" i="5"/>
  <c r="K2221" i="5"/>
  <c r="K2222" i="5"/>
  <c r="K2223" i="5"/>
  <c r="K2224" i="5"/>
  <c r="K2225" i="5"/>
  <c r="K2226" i="5"/>
  <c r="K2227" i="5"/>
  <c r="K2228" i="5"/>
  <c r="K2229" i="5"/>
  <c r="K2230" i="5"/>
  <c r="K2231" i="5"/>
  <c r="K2232" i="5"/>
  <c r="K2233" i="5"/>
  <c r="K2234" i="5"/>
  <c r="K2235" i="5"/>
  <c r="K2236" i="5"/>
  <c r="K2237" i="5"/>
  <c r="K2238" i="5"/>
  <c r="K2239" i="5"/>
  <c r="K2240" i="5"/>
  <c r="K2241" i="5"/>
  <c r="K2242" i="5"/>
  <c r="K2243" i="5"/>
  <c r="K2244" i="5"/>
  <c r="K2245" i="5"/>
  <c r="K2246" i="5"/>
  <c r="K2247" i="5"/>
  <c r="K2248" i="5"/>
  <c r="K2249" i="5"/>
  <c r="K2250" i="5"/>
  <c r="K2251" i="5"/>
  <c r="K2252" i="5"/>
  <c r="K2253" i="5"/>
  <c r="K2254" i="5"/>
  <c r="K2255" i="5"/>
  <c r="K2256" i="5"/>
  <c r="K2257" i="5"/>
  <c r="K2258" i="5"/>
  <c r="K2259" i="5"/>
  <c r="K2260" i="5"/>
  <c r="K2261" i="5"/>
  <c r="K2262" i="5"/>
  <c r="K2263" i="5"/>
  <c r="K2264" i="5"/>
  <c r="K2265" i="5"/>
  <c r="K2266" i="5"/>
  <c r="K2267" i="5"/>
  <c r="K2268" i="5"/>
  <c r="K2269" i="5"/>
  <c r="K2270" i="5"/>
  <c r="K2271" i="5"/>
  <c r="K2272" i="5"/>
  <c r="K2273" i="5"/>
  <c r="K2274" i="5"/>
  <c r="K2275" i="5"/>
  <c r="K2276" i="5"/>
  <c r="K2277" i="5"/>
  <c r="K2278" i="5"/>
  <c r="K2279" i="5"/>
  <c r="K2280" i="5"/>
  <c r="K2281" i="5"/>
  <c r="K2282" i="5"/>
  <c r="K2283" i="5"/>
  <c r="K2284" i="5"/>
  <c r="K2285" i="5"/>
  <c r="K2286" i="5"/>
  <c r="K2287" i="5"/>
  <c r="K2288" i="5"/>
  <c r="K2289" i="5"/>
  <c r="K2290" i="5"/>
  <c r="K2291" i="5"/>
  <c r="K2292" i="5"/>
  <c r="K2293" i="5"/>
  <c r="K2294" i="5"/>
  <c r="K2295" i="5"/>
  <c r="K2296" i="5"/>
  <c r="K2297" i="5"/>
  <c r="K2298" i="5"/>
  <c r="K2299" i="5"/>
  <c r="K2300" i="5"/>
  <c r="K2301" i="5"/>
  <c r="K2302" i="5"/>
  <c r="K2303" i="5"/>
  <c r="K2304" i="5"/>
  <c r="K2305" i="5"/>
  <c r="K2306" i="5"/>
  <c r="K2307" i="5"/>
  <c r="K2308" i="5"/>
  <c r="K2309" i="5"/>
  <c r="K2310" i="5"/>
  <c r="K2311" i="5"/>
  <c r="K2312" i="5"/>
  <c r="K2313" i="5"/>
  <c r="K2314" i="5"/>
  <c r="K2315" i="5"/>
  <c r="K2316" i="5"/>
  <c r="K2317" i="5"/>
  <c r="K2318" i="5"/>
  <c r="K2319" i="5"/>
  <c r="K2320" i="5"/>
  <c r="K2321" i="5"/>
  <c r="K2322" i="5"/>
  <c r="K2323" i="5"/>
  <c r="K2324" i="5"/>
  <c r="K2325" i="5"/>
  <c r="K2326" i="5"/>
  <c r="K2327" i="5"/>
  <c r="K2328" i="5"/>
  <c r="K2329" i="5"/>
  <c r="K2330" i="5"/>
  <c r="K2331" i="5"/>
  <c r="K2332" i="5"/>
  <c r="K2333" i="5"/>
  <c r="K2334" i="5"/>
  <c r="K2335" i="5"/>
  <c r="K2336" i="5"/>
  <c r="K2337" i="5"/>
  <c r="K2338" i="5"/>
  <c r="K2339" i="5"/>
  <c r="K2340" i="5"/>
  <c r="K2341" i="5"/>
  <c r="K2342" i="5"/>
  <c r="K2343" i="5"/>
  <c r="K2344" i="5"/>
  <c r="K2345" i="5"/>
  <c r="K2346" i="5"/>
  <c r="K2347" i="5"/>
  <c r="K2348" i="5"/>
  <c r="K2349" i="5"/>
  <c r="K2350" i="5"/>
  <c r="K2351" i="5"/>
  <c r="K2352" i="5"/>
  <c r="K2353" i="5"/>
  <c r="K2354" i="5"/>
  <c r="K2355" i="5"/>
  <c r="K2356" i="5"/>
  <c r="K2357" i="5"/>
  <c r="K2358" i="5"/>
  <c r="K2359" i="5"/>
  <c r="K2360" i="5"/>
  <c r="K2361" i="5"/>
  <c r="K2362" i="5"/>
  <c r="K2363" i="5"/>
  <c r="K2364" i="5"/>
  <c r="K2365" i="5"/>
  <c r="K2366" i="5"/>
  <c r="K2367" i="5"/>
  <c r="K2368" i="5"/>
  <c r="K2369" i="5"/>
  <c r="K2370" i="5"/>
  <c r="K2371" i="5"/>
  <c r="K2372" i="5"/>
  <c r="K2373" i="5"/>
  <c r="K2374" i="5"/>
  <c r="K2375" i="5"/>
  <c r="K2376" i="5"/>
  <c r="K2377" i="5"/>
  <c r="K2378" i="5"/>
  <c r="K2379" i="5"/>
  <c r="K2380" i="5"/>
  <c r="K2381" i="5"/>
  <c r="K2382" i="5"/>
  <c r="K2383" i="5"/>
  <c r="K2384" i="5"/>
  <c r="K2385" i="5"/>
  <c r="K2386" i="5"/>
  <c r="K2387" i="5"/>
  <c r="K2388" i="5"/>
  <c r="K2389" i="5"/>
  <c r="K2390" i="5"/>
  <c r="K2391" i="5"/>
  <c r="K2392" i="5"/>
  <c r="K2393" i="5"/>
  <c r="K2394" i="5"/>
  <c r="K2395" i="5"/>
  <c r="K2396" i="5"/>
  <c r="K2397" i="5"/>
  <c r="K2398" i="5"/>
  <c r="K2399" i="5"/>
  <c r="K2400" i="5"/>
  <c r="K2401" i="5"/>
  <c r="K2402" i="5"/>
  <c r="K2403" i="5"/>
  <c r="K2404" i="5"/>
  <c r="K2405" i="5"/>
  <c r="K2406" i="5"/>
  <c r="K2407" i="5"/>
  <c r="K2408" i="5"/>
  <c r="K2409" i="5"/>
  <c r="K2410" i="5"/>
  <c r="K2411" i="5"/>
  <c r="K2412" i="5"/>
  <c r="K2413" i="5"/>
  <c r="K2414" i="5"/>
  <c r="K2415" i="5"/>
  <c r="K2416" i="5"/>
  <c r="K2417" i="5"/>
  <c r="K2418" i="5"/>
  <c r="K2419" i="5"/>
  <c r="K2420" i="5"/>
  <c r="K2421" i="5"/>
  <c r="K2422" i="5"/>
  <c r="K2423" i="5"/>
  <c r="K2424" i="5"/>
  <c r="K2425" i="5"/>
  <c r="K2426" i="5"/>
  <c r="K2427" i="5"/>
  <c r="K2428" i="5"/>
  <c r="K2429" i="5"/>
  <c r="K2430" i="5"/>
  <c r="K2431" i="5"/>
  <c r="K2432" i="5"/>
  <c r="K2433" i="5"/>
  <c r="K2434" i="5"/>
  <c r="K2435" i="5"/>
  <c r="K2436" i="5"/>
  <c r="K2437" i="5"/>
  <c r="K2438" i="5"/>
  <c r="K2439" i="5"/>
  <c r="K2440" i="5"/>
  <c r="K2441" i="5"/>
  <c r="K2442" i="5"/>
  <c r="K2443" i="5"/>
  <c r="K2444" i="5"/>
  <c r="K2445" i="5"/>
  <c r="K2446" i="5"/>
  <c r="K2447" i="5"/>
  <c r="K2448" i="5"/>
  <c r="K2449" i="5"/>
  <c r="K2450" i="5"/>
  <c r="K2451" i="5"/>
  <c r="K2452" i="5"/>
  <c r="K2453" i="5"/>
  <c r="K2454" i="5"/>
  <c r="K2455" i="5"/>
  <c r="K2456" i="5"/>
  <c r="K2457" i="5"/>
  <c r="K2458" i="5"/>
  <c r="K2459" i="5"/>
  <c r="K2460" i="5"/>
  <c r="K2461" i="5"/>
  <c r="K2462" i="5"/>
  <c r="K2463" i="5"/>
  <c r="K2464" i="5"/>
  <c r="K2465" i="5"/>
  <c r="K2466" i="5"/>
  <c r="K2467" i="5"/>
  <c r="K2468" i="5"/>
  <c r="K2469" i="5"/>
  <c r="K2470" i="5"/>
  <c r="K2471" i="5"/>
  <c r="K2472" i="5"/>
  <c r="K2473" i="5"/>
  <c r="K2474" i="5"/>
  <c r="K2475" i="5"/>
  <c r="K2476" i="5"/>
  <c r="K2477" i="5"/>
  <c r="K2478" i="5"/>
  <c r="K2479" i="5"/>
  <c r="K2480" i="5"/>
  <c r="K2481" i="5"/>
  <c r="K2482" i="5"/>
  <c r="K2483" i="5"/>
  <c r="K2484" i="5"/>
  <c r="K2485" i="5"/>
  <c r="K2486" i="5"/>
  <c r="K2487" i="5"/>
  <c r="K2488" i="5"/>
  <c r="K2489" i="5"/>
  <c r="K2490" i="5"/>
  <c r="K2491" i="5"/>
  <c r="K2492" i="5"/>
  <c r="K2493" i="5"/>
  <c r="K2494" i="5"/>
  <c r="K2495" i="5"/>
  <c r="K2496" i="5"/>
  <c r="K2497" i="5"/>
  <c r="K2498" i="5"/>
  <c r="K2499" i="5"/>
  <c r="K2500" i="5"/>
  <c r="K2501" i="5"/>
  <c r="K2502" i="5"/>
  <c r="K2503" i="5"/>
  <c r="K2504" i="5"/>
  <c r="K2505" i="5"/>
  <c r="K2506" i="5"/>
  <c r="K2507" i="5"/>
  <c r="K2508" i="5"/>
  <c r="K2509" i="5"/>
  <c r="K2510" i="5"/>
  <c r="K2511" i="5"/>
  <c r="K2512" i="5"/>
  <c r="K2513" i="5"/>
  <c r="K2514" i="5"/>
  <c r="K2515" i="5"/>
  <c r="K2516" i="5"/>
  <c r="K2517" i="5"/>
  <c r="K2518" i="5"/>
  <c r="K2519" i="5"/>
  <c r="K2520" i="5"/>
  <c r="K2521" i="5"/>
  <c r="K2522" i="5"/>
  <c r="K2523" i="5"/>
  <c r="K2524" i="5"/>
  <c r="K2525" i="5"/>
  <c r="K2526" i="5"/>
  <c r="K2527" i="5"/>
  <c r="K2528" i="5"/>
  <c r="K2529" i="5"/>
  <c r="K2530" i="5"/>
  <c r="K2531" i="5"/>
  <c r="K2532" i="5"/>
  <c r="K2533" i="5"/>
  <c r="K2534" i="5"/>
  <c r="K2535" i="5"/>
  <c r="K2536" i="5"/>
  <c r="K2537" i="5"/>
  <c r="K2538" i="5"/>
  <c r="K2539" i="5"/>
  <c r="K2540" i="5"/>
  <c r="K2541" i="5"/>
  <c r="K2542" i="5"/>
  <c r="K2543" i="5"/>
  <c r="K2544" i="5"/>
  <c r="K2545" i="5"/>
  <c r="K2546" i="5"/>
  <c r="K2547" i="5"/>
  <c r="K2548" i="5"/>
  <c r="K2549" i="5"/>
  <c r="K2550" i="5"/>
  <c r="K2551" i="5"/>
  <c r="K2552" i="5"/>
  <c r="K2553" i="5"/>
  <c r="K2554" i="5"/>
  <c r="K2555" i="5"/>
  <c r="K2556" i="5"/>
  <c r="K2557" i="5"/>
  <c r="K2558" i="5"/>
  <c r="K2559" i="5"/>
  <c r="K2560" i="5"/>
  <c r="K2561" i="5"/>
  <c r="K2562" i="5"/>
  <c r="K2563" i="5"/>
  <c r="K2564" i="5"/>
  <c r="K2565" i="5"/>
  <c r="K2566" i="5"/>
  <c r="K2567" i="5"/>
  <c r="K2568" i="5"/>
  <c r="K2569" i="5"/>
  <c r="K2570" i="5"/>
  <c r="K2571" i="5"/>
  <c r="K2572" i="5"/>
  <c r="K2573" i="5"/>
  <c r="K2574" i="5"/>
  <c r="K2575" i="5"/>
  <c r="K2576" i="5"/>
  <c r="K2577" i="5"/>
  <c r="K2578" i="5"/>
  <c r="K2579" i="5"/>
  <c r="K2580" i="5"/>
  <c r="K2581" i="5"/>
  <c r="K2582" i="5"/>
  <c r="K2583" i="5"/>
  <c r="K2584" i="5"/>
  <c r="K2585" i="5"/>
  <c r="K2586" i="5"/>
  <c r="K2587" i="5"/>
  <c r="K2588" i="5"/>
  <c r="K2589" i="5"/>
  <c r="K2590" i="5"/>
  <c r="K2591" i="5"/>
  <c r="K2592" i="5"/>
  <c r="K2593" i="5"/>
  <c r="K2594" i="5"/>
  <c r="K2595" i="5"/>
  <c r="K2596" i="5"/>
  <c r="K2597" i="5"/>
  <c r="K2598" i="5"/>
  <c r="K2599" i="5"/>
  <c r="K2600" i="5"/>
  <c r="K2601" i="5"/>
  <c r="K2602" i="5"/>
  <c r="K2603" i="5"/>
  <c r="K2604" i="5"/>
  <c r="K2605" i="5"/>
  <c r="K2606" i="5"/>
  <c r="K2607" i="5"/>
  <c r="K2608" i="5"/>
  <c r="K2609" i="5"/>
  <c r="K2610" i="5"/>
  <c r="K2611" i="5"/>
  <c r="K2612" i="5"/>
  <c r="K2613" i="5"/>
  <c r="K2614" i="5"/>
  <c r="K2615" i="5"/>
  <c r="K2616" i="5"/>
  <c r="K2617" i="5"/>
  <c r="K2618" i="5"/>
  <c r="K2619" i="5"/>
  <c r="K2620" i="5"/>
  <c r="K2621" i="5"/>
  <c r="K2622" i="5"/>
  <c r="K2623" i="5"/>
  <c r="K2624" i="5"/>
  <c r="K2625" i="5"/>
  <c r="K2626" i="5"/>
  <c r="K2627" i="5"/>
  <c r="K2628" i="5"/>
  <c r="K2629" i="5"/>
  <c r="K2630" i="5"/>
  <c r="K2631" i="5"/>
  <c r="K2632" i="5"/>
  <c r="K2633" i="5"/>
  <c r="K2634" i="5"/>
  <c r="K2635" i="5"/>
  <c r="K2636" i="5"/>
  <c r="K2637" i="5"/>
  <c r="K2638" i="5"/>
  <c r="K2639" i="5"/>
  <c r="K2640" i="5"/>
  <c r="K2641" i="5"/>
  <c r="K2642" i="5"/>
  <c r="K2643" i="5"/>
  <c r="K2644" i="5"/>
  <c r="K2645" i="5"/>
  <c r="K2646" i="5"/>
  <c r="K2647" i="5"/>
  <c r="K2648" i="5"/>
  <c r="K2649" i="5"/>
  <c r="K2650" i="5"/>
  <c r="K2651" i="5"/>
  <c r="K2652" i="5"/>
  <c r="K2653" i="5"/>
  <c r="K2654" i="5"/>
  <c r="K2655" i="5"/>
  <c r="K2656" i="5"/>
  <c r="K2657" i="5"/>
  <c r="K2658" i="5"/>
  <c r="K2659" i="5"/>
  <c r="K2660" i="5"/>
  <c r="K2661" i="5"/>
  <c r="K2662" i="5"/>
  <c r="K2663" i="5"/>
  <c r="K2664" i="5"/>
  <c r="K2665" i="5"/>
  <c r="K2666" i="5"/>
  <c r="K2667" i="5"/>
  <c r="K2668" i="5"/>
  <c r="K2669" i="5"/>
  <c r="K2670" i="5"/>
  <c r="K2671" i="5"/>
  <c r="K2672" i="5"/>
  <c r="K2673" i="5"/>
  <c r="K2674" i="5"/>
  <c r="K2675" i="5"/>
  <c r="K2676" i="5"/>
  <c r="K2677" i="5"/>
  <c r="K2678" i="5"/>
  <c r="K2679" i="5"/>
  <c r="K2680" i="5"/>
  <c r="K2681" i="5"/>
  <c r="K2682" i="5"/>
  <c r="K2683" i="5"/>
  <c r="K2684" i="5"/>
  <c r="K2685" i="5"/>
  <c r="K2686" i="5"/>
  <c r="K2687" i="5"/>
  <c r="K2688" i="5"/>
  <c r="K2689" i="5"/>
  <c r="K2690" i="5"/>
  <c r="K2691" i="5"/>
  <c r="K2692" i="5"/>
  <c r="K2693" i="5"/>
  <c r="K2694" i="5"/>
  <c r="K2695" i="5"/>
  <c r="K2696" i="5"/>
  <c r="K2697" i="5"/>
  <c r="K2698" i="5"/>
  <c r="K2699" i="5"/>
  <c r="K2700" i="5"/>
  <c r="K2701" i="5"/>
  <c r="K2702" i="5"/>
  <c r="K2703" i="5"/>
  <c r="K2704" i="5"/>
  <c r="K2705" i="5"/>
  <c r="K2706" i="5"/>
  <c r="K2707" i="5"/>
  <c r="K2708" i="5"/>
  <c r="K2709" i="5"/>
  <c r="K2710" i="5"/>
  <c r="K2711" i="5"/>
  <c r="K2712" i="5"/>
  <c r="K2713" i="5"/>
  <c r="K2714" i="5"/>
  <c r="K2715" i="5"/>
  <c r="K2716" i="5"/>
  <c r="K2717" i="5"/>
  <c r="K2718" i="5"/>
  <c r="K2719" i="5"/>
  <c r="K2720" i="5"/>
  <c r="K2721" i="5"/>
  <c r="K2722" i="5"/>
  <c r="K2723" i="5"/>
  <c r="K2724" i="5"/>
  <c r="K2725" i="5"/>
  <c r="K2726" i="5"/>
  <c r="K2727" i="5"/>
  <c r="K2728" i="5"/>
  <c r="K2729" i="5"/>
  <c r="K2730" i="5"/>
  <c r="K2731" i="5"/>
  <c r="K2732" i="5"/>
  <c r="K2733" i="5"/>
  <c r="K2734" i="5"/>
  <c r="K2735" i="5"/>
  <c r="K2736" i="5"/>
  <c r="K2737" i="5"/>
  <c r="K2738" i="5"/>
  <c r="K2739" i="5"/>
  <c r="K2740" i="5"/>
  <c r="K2741" i="5"/>
  <c r="K2742" i="5"/>
  <c r="K2743" i="5"/>
  <c r="K2744" i="5"/>
  <c r="K2745" i="5"/>
  <c r="K2746" i="5"/>
  <c r="K2747" i="5"/>
  <c r="K2748" i="5"/>
  <c r="K2749" i="5"/>
  <c r="K2750" i="5"/>
  <c r="K2751" i="5"/>
  <c r="K2752" i="5"/>
  <c r="K2753" i="5"/>
  <c r="K2754" i="5"/>
  <c r="K2755" i="5"/>
  <c r="K2756" i="5"/>
  <c r="K2757" i="5"/>
  <c r="K2758" i="5"/>
  <c r="K2759" i="5"/>
  <c r="K2760" i="5"/>
  <c r="K2761" i="5"/>
  <c r="K2762" i="5"/>
  <c r="K2763" i="5"/>
  <c r="K2764" i="5"/>
  <c r="K2765" i="5"/>
  <c r="K2766" i="5"/>
  <c r="K2767" i="5"/>
  <c r="K2768" i="5"/>
  <c r="K2769" i="5"/>
  <c r="K2770" i="5"/>
  <c r="K2771" i="5"/>
  <c r="K2772" i="5"/>
  <c r="K2773" i="5"/>
  <c r="K2774" i="5"/>
  <c r="K2775" i="5"/>
  <c r="K2776" i="5"/>
  <c r="K2777" i="5"/>
  <c r="K2778" i="5"/>
  <c r="K2779" i="5"/>
  <c r="K2780" i="5"/>
  <c r="K2781" i="5"/>
  <c r="K2782" i="5"/>
  <c r="K2783" i="5"/>
  <c r="K2784" i="5"/>
  <c r="K2785" i="5"/>
  <c r="K2786" i="5"/>
  <c r="K2787" i="5"/>
  <c r="K2788" i="5"/>
  <c r="K2789" i="5"/>
  <c r="K2790" i="5"/>
  <c r="K2791" i="5"/>
  <c r="K2792" i="5"/>
  <c r="K2793" i="5"/>
  <c r="K2794" i="5"/>
  <c r="K2795" i="5"/>
  <c r="K2796" i="5"/>
  <c r="K2797" i="5"/>
  <c r="K2798" i="5"/>
  <c r="K2799" i="5"/>
  <c r="K2800" i="5"/>
  <c r="K2801" i="5"/>
  <c r="K2802" i="5"/>
  <c r="K2803" i="5"/>
  <c r="K2804" i="5"/>
  <c r="K2805" i="5"/>
  <c r="K2806" i="5"/>
  <c r="K2807" i="5"/>
  <c r="K2808" i="5"/>
  <c r="K2809" i="5"/>
  <c r="K2810" i="5"/>
  <c r="K2811" i="5"/>
  <c r="K2812" i="5"/>
  <c r="K2813" i="5"/>
  <c r="K2814" i="5"/>
  <c r="K2815" i="5"/>
  <c r="K2816" i="5"/>
  <c r="K2817" i="5"/>
  <c r="K2818" i="5"/>
  <c r="K2819" i="5"/>
  <c r="K2820" i="5"/>
  <c r="K2821" i="5"/>
  <c r="K2822" i="5"/>
  <c r="K2823" i="5"/>
  <c r="K2824" i="5"/>
  <c r="K2825" i="5"/>
  <c r="K2826" i="5"/>
  <c r="K2827" i="5"/>
  <c r="K2828" i="5"/>
  <c r="K2829" i="5"/>
  <c r="K2830" i="5"/>
  <c r="K2831" i="5"/>
  <c r="K2832" i="5"/>
  <c r="K2833" i="5"/>
  <c r="K2834" i="5"/>
  <c r="K2835" i="5"/>
  <c r="K2836" i="5"/>
  <c r="K2837" i="5"/>
  <c r="K2838" i="5"/>
  <c r="K2839" i="5"/>
  <c r="K2840" i="5"/>
  <c r="K2841" i="5"/>
  <c r="K2842" i="5"/>
  <c r="K2843" i="5"/>
  <c r="K2844" i="5"/>
  <c r="K2845" i="5"/>
  <c r="K2846" i="5"/>
  <c r="K2847" i="5"/>
  <c r="K2848" i="5"/>
  <c r="K2849" i="5"/>
  <c r="K2850" i="5"/>
  <c r="K2851" i="5"/>
  <c r="K2852" i="5"/>
  <c r="K2853" i="5"/>
  <c r="K2854" i="5"/>
  <c r="K2855" i="5"/>
  <c r="K2856" i="5"/>
  <c r="K2857" i="5"/>
  <c r="K2858" i="5"/>
  <c r="K2859" i="5"/>
  <c r="K2860" i="5"/>
  <c r="K2861" i="5"/>
  <c r="K2862" i="5"/>
  <c r="K2863" i="5"/>
  <c r="K2864" i="5"/>
  <c r="K2865" i="5"/>
  <c r="K2866" i="5"/>
  <c r="K2867" i="5"/>
  <c r="K2868" i="5"/>
  <c r="K2869" i="5"/>
  <c r="K2870" i="5"/>
  <c r="K2871" i="5"/>
  <c r="K2872" i="5"/>
  <c r="K2873" i="5"/>
  <c r="K2874" i="5"/>
  <c r="K2875" i="5"/>
  <c r="K2876" i="5"/>
  <c r="K2877" i="5"/>
  <c r="K2878" i="5"/>
  <c r="K2879" i="5"/>
  <c r="K2880" i="5"/>
  <c r="K2881" i="5"/>
  <c r="K2882" i="5"/>
  <c r="K2883" i="5"/>
  <c r="K2884" i="5"/>
  <c r="K2885" i="5"/>
  <c r="K2886" i="5"/>
  <c r="K2887" i="5"/>
  <c r="K2888" i="5"/>
  <c r="K2889" i="5"/>
  <c r="K2890" i="5"/>
  <c r="K2891" i="5"/>
  <c r="K2892" i="5"/>
  <c r="K2893" i="5"/>
  <c r="K2894" i="5"/>
  <c r="K2895" i="5"/>
  <c r="K2896" i="5"/>
  <c r="K2897" i="5"/>
  <c r="K2898" i="5"/>
  <c r="K2899" i="5"/>
  <c r="K2900" i="5"/>
  <c r="K2901" i="5"/>
  <c r="K2902" i="5"/>
  <c r="K2903" i="5"/>
  <c r="K2904" i="5"/>
  <c r="K2905" i="5"/>
  <c r="K2906" i="5"/>
  <c r="K2907" i="5"/>
  <c r="K2908" i="5"/>
  <c r="K2909" i="5"/>
  <c r="K2910" i="5"/>
  <c r="K2911" i="5"/>
  <c r="K2912" i="5"/>
  <c r="K2913" i="5"/>
  <c r="K2914" i="5"/>
  <c r="K2915" i="5"/>
  <c r="K2916" i="5"/>
  <c r="K2917" i="5"/>
  <c r="K2918" i="5"/>
  <c r="K2919" i="5"/>
  <c r="K2920" i="5"/>
  <c r="K2921" i="5"/>
  <c r="K2922" i="5"/>
  <c r="K2923" i="5"/>
  <c r="K2924" i="5"/>
  <c r="K2925" i="5"/>
  <c r="K2926" i="5"/>
  <c r="K2927" i="5"/>
  <c r="K2928" i="5"/>
  <c r="K2929" i="5"/>
  <c r="K2930" i="5"/>
  <c r="K2931" i="5"/>
  <c r="K2932" i="5"/>
  <c r="K2933" i="5"/>
  <c r="K2934" i="5"/>
  <c r="K2935" i="5"/>
  <c r="K2936" i="5"/>
  <c r="K2937" i="5"/>
  <c r="K2938" i="5"/>
  <c r="K2939" i="5"/>
  <c r="K2940" i="5"/>
  <c r="K2941" i="5"/>
  <c r="K2942" i="5"/>
  <c r="K2943" i="5"/>
  <c r="K2944" i="5"/>
  <c r="K2945" i="5"/>
  <c r="K2946" i="5"/>
  <c r="K2947" i="5"/>
  <c r="K2948" i="5"/>
  <c r="K2949" i="5"/>
  <c r="K2950" i="5"/>
  <c r="K2951" i="5"/>
  <c r="K2952" i="5"/>
  <c r="K2953" i="5"/>
  <c r="K2954" i="5"/>
  <c r="K2955" i="5"/>
  <c r="K2956" i="5"/>
  <c r="K2957" i="5"/>
  <c r="K2958" i="5"/>
  <c r="K2959" i="5"/>
  <c r="K2960" i="5"/>
  <c r="K2961" i="5"/>
  <c r="K2962" i="5"/>
  <c r="K2963" i="5"/>
  <c r="K2964" i="5"/>
  <c r="K2965" i="5"/>
  <c r="K2966" i="5"/>
  <c r="K2967" i="5"/>
  <c r="K2968" i="5"/>
  <c r="K2969" i="5"/>
  <c r="K2970" i="5"/>
  <c r="K2971" i="5"/>
  <c r="K2972" i="5"/>
  <c r="K2973" i="5"/>
  <c r="K2974" i="5"/>
  <c r="K2975" i="5"/>
  <c r="K2976" i="5"/>
  <c r="K2977" i="5"/>
  <c r="K2978" i="5"/>
  <c r="K2979" i="5"/>
  <c r="K2980" i="5"/>
  <c r="K2981" i="5"/>
  <c r="K2982" i="5"/>
  <c r="K2983" i="5"/>
  <c r="K2984" i="5"/>
  <c r="K2985" i="5"/>
  <c r="K2986" i="5"/>
  <c r="K2987" i="5"/>
  <c r="K2988" i="5"/>
  <c r="K2989" i="5"/>
  <c r="K2990" i="5"/>
  <c r="K2991" i="5"/>
  <c r="K2992" i="5"/>
  <c r="K2993" i="5"/>
  <c r="K2994" i="5"/>
  <c r="K2995" i="5"/>
  <c r="K2996" i="5"/>
  <c r="K2997" i="5"/>
  <c r="K2998" i="5"/>
  <c r="K2999" i="5"/>
  <c r="K3000" i="5"/>
  <c r="K3001" i="5"/>
  <c r="K3002" i="5"/>
  <c r="K3003" i="5"/>
  <c r="K3004" i="5"/>
  <c r="K3005" i="5"/>
  <c r="K3006" i="5"/>
  <c r="K3007" i="5"/>
  <c r="K3008" i="5"/>
  <c r="K3009" i="5"/>
  <c r="K3010" i="5"/>
  <c r="K3011" i="5"/>
  <c r="K3012" i="5"/>
  <c r="K3013" i="5"/>
  <c r="K3014" i="5"/>
  <c r="K3015" i="5"/>
  <c r="K3016" i="5"/>
  <c r="K3017" i="5"/>
  <c r="K3018" i="5"/>
  <c r="K3019" i="5"/>
  <c r="K3020" i="5"/>
  <c r="K3021" i="5"/>
  <c r="K3022" i="5"/>
  <c r="K3023" i="5"/>
  <c r="K3024" i="5"/>
  <c r="K3025" i="5"/>
  <c r="K3026" i="5"/>
  <c r="K3027" i="5"/>
  <c r="K3028" i="5"/>
  <c r="K3029" i="5"/>
  <c r="K3030" i="5"/>
  <c r="K3031" i="5"/>
  <c r="K3032" i="5"/>
  <c r="K3033" i="5"/>
  <c r="K3034" i="5"/>
  <c r="K3035" i="5"/>
  <c r="K3036" i="5"/>
  <c r="K3037" i="5"/>
  <c r="K3038" i="5"/>
  <c r="K3039" i="5"/>
  <c r="K3040" i="5"/>
  <c r="K3041" i="5"/>
  <c r="K3042" i="5"/>
  <c r="K3043" i="5"/>
  <c r="K3044" i="5"/>
  <c r="K3045" i="5"/>
  <c r="K3046" i="5"/>
  <c r="K3047" i="5"/>
  <c r="K3048" i="5"/>
  <c r="K3049" i="5"/>
  <c r="K3050" i="5"/>
  <c r="K3051" i="5"/>
  <c r="K3052" i="5"/>
  <c r="K3053" i="5"/>
  <c r="K3054" i="5"/>
  <c r="K3055" i="5"/>
  <c r="K3056" i="5"/>
  <c r="K3057" i="5"/>
  <c r="K3058" i="5"/>
  <c r="K3059" i="5"/>
  <c r="K3060" i="5"/>
  <c r="K3061" i="5"/>
  <c r="K3062" i="5"/>
  <c r="K3063" i="5"/>
  <c r="K3064" i="5"/>
  <c r="K3065" i="5"/>
  <c r="K3066" i="5"/>
  <c r="K3067" i="5"/>
  <c r="K3068" i="5"/>
  <c r="K3069" i="5"/>
  <c r="K3070" i="5"/>
  <c r="K3071" i="5"/>
  <c r="K3072" i="5"/>
  <c r="K3073" i="5"/>
  <c r="K3074" i="5"/>
  <c r="K3075" i="5"/>
  <c r="K3076" i="5"/>
  <c r="K3077" i="5"/>
  <c r="K3078" i="5"/>
  <c r="K3079" i="5"/>
  <c r="K3080" i="5"/>
  <c r="K3081" i="5"/>
  <c r="K3082" i="5"/>
  <c r="K3083" i="5"/>
  <c r="K3084" i="5"/>
  <c r="K3085" i="5"/>
  <c r="K3086" i="5"/>
  <c r="K3087" i="5"/>
  <c r="K3088" i="5"/>
  <c r="K3089" i="5"/>
  <c r="K3090" i="5"/>
  <c r="K3091" i="5"/>
  <c r="K3092" i="5"/>
  <c r="K3093" i="5"/>
  <c r="K3094" i="5"/>
  <c r="K3095" i="5"/>
  <c r="K3096" i="5"/>
  <c r="K3097" i="5"/>
  <c r="K3098" i="5"/>
  <c r="K3099" i="5"/>
  <c r="K3100" i="5"/>
  <c r="K3101" i="5"/>
  <c r="K3102" i="5"/>
  <c r="K3103" i="5"/>
  <c r="K3104" i="5"/>
  <c r="K3105" i="5"/>
  <c r="K3106" i="5"/>
  <c r="K3107" i="5"/>
  <c r="K3108" i="5"/>
  <c r="K3109" i="5"/>
  <c r="K3110" i="5"/>
  <c r="K3111" i="5"/>
  <c r="K3112" i="5"/>
  <c r="K3113" i="5"/>
  <c r="K3114" i="5"/>
  <c r="K3115" i="5"/>
  <c r="K3116" i="5"/>
  <c r="K3117" i="5"/>
  <c r="K3118" i="5"/>
  <c r="K3119" i="5"/>
  <c r="K3120" i="5"/>
  <c r="K3121" i="5"/>
  <c r="K3122" i="5"/>
  <c r="K3123" i="5"/>
  <c r="K3124" i="5"/>
  <c r="K3125" i="5"/>
  <c r="K3126" i="5"/>
  <c r="K3127" i="5"/>
  <c r="K3128" i="5"/>
  <c r="K3129" i="5"/>
  <c r="K3130" i="5"/>
  <c r="K3131" i="5"/>
  <c r="K3132" i="5"/>
  <c r="K3133" i="5"/>
  <c r="K3134" i="5"/>
  <c r="K3135" i="5"/>
  <c r="K3136" i="5"/>
  <c r="K3137" i="5"/>
  <c r="K3138" i="5"/>
  <c r="K3139" i="5"/>
  <c r="K3140" i="5"/>
  <c r="K3141" i="5"/>
  <c r="K3142" i="5"/>
  <c r="K3143" i="5"/>
  <c r="K3144" i="5"/>
  <c r="K3145" i="5"/>
  <c r="K3146" i="5"/>
  <c r="K3147" i="5"/>
  <c r="K3148" i="5"/>
  <c r="K3149" i="5"/>
  <c r="K3150" i="5"/>
  <c r="K3151" i="5"/>
  <c r="K3152" i="5"/>
  <c r="K3153" i="5"/>
  <c r="K3154" i="5"/>
  <c r="K3155" i="5"/>
  <c r="K3156" i="5"/>
  <c r="K3157" i="5"/>
  <c r="K3158" i="5"/>
  <c r="K3159" i="5"/>
  <c r="K3160" i="5"/>
  <c r="K3161" i="5"/>
  <c r="K3162" i="5"/>
  <c r="K3163" i="5"/>
  <c r="K3164" i="5"/>
  <c r="K3165" i="5"/>
  <c r="K3166" i="5"/>
  <c r="K3167" i="5"/>
  <c r="K3168" i="5"/>
  <c r="K3169" i="5"/>
  <c r="K3170" i="5"/>
  <c r="K3171" i="5"/>
  <c r="K3172" i="5"/>
  <c r="K3173" i="5"/>
  <c r="K3174" i="5"/>
  <c r="K3175" i="5"/>
  <c r="K3176" i="5"/>
  <c r="K3177" i="5"/>
  <c r="K3178" i="5"/>
  <c r="K3179" i="5"/>
  <c r="K3180" i="5"/>
  <c r="K3181" i="5"/>
  <c r="K3182" i="5"/>
  <c r="K3183" i="5"/>
  <c r="K3184" i="5"/>
  <c r="K3185" i="5"/>
  <c r="K3186" i="5"/>
  <c r="K3187" i="5"/>
  <c r="K3188" i="5"/>
  <c r="K3189" i="5"/>
  <c r="K3190" i="5"/>
  <c r="K3191" i="5"/>
  <c r="K3192" i="5"/>
  <c r="K3193" i="5"/>
  <c r="K3194" i="5"/>
  <c r="K3195" i="5"/>
  <c r="K3196" i="5"/>
  <c r="K3197" i="5"/>
  <c r="K3198" i="5"/>
  <c r="K3199" i="5"/>
  <c r="K3200" i="5"/>
  <c r="K3201" i="5"/>
  <c r="K3202" i="5"/>
  <c r="K3203" i="5"/>
  <c r="K3204" i="5"/>
  <c r="K3205" i="5"/>
  <c r="K3206" i="5"/>
  <c r="K3207" i="5"/>
  <c r="K3208" i="5"/>
  <c r="K3209" i="5"/>
  <c r="K3210" i="5"/>
  <c r="K3211" i="5"/>
  <c r="K3212" i="5"/>
  <c r="K3213" i="5"/>
  <c r="K3214" i="5"/>
  <c r="K3215" i="5"/>
  <c r="K3216" i="5"/>
  <c r="K3217" i="5"/>
  <c r="K3218" i="5"/>
  <c r="K3219" i="5"/>
  <c r="K3220" i="5"/>
  <c r="K3221" i="5"/>
  <c r="K3222" i="5"/>
  <c r="K3223" i="5"/>
  <c r="K3224" i="5"/>
  <c r="K3225" i="5"/>
  <c r="K3226" i="5"/>
  <c r="K3227" i="5"/>
  <c r="K3228" i="5"/>
  <c r="K3229" i="5"/>
  <c r="K3230" i="5"/>
  <c r="K3231" i="5"/>
  <c r="K3232" i="5"/>
  <c r="K3233" i="5"/>
  <c r="K3234" i="5"/>
  <c r="K3235" i="5"/>
  <c r="K3236" i="5"/>
  <c r="K3237" i="5"/>
  <c r="K3238" i="5"/>
  <c r="K3239" i="5"/>
  <c r="K3240" i="5"/>
  <c r="K3241" i="5"/>
  <c r="K3242" i="5"/>
  <c r="K3243" i="5"/>
  <c r="K3244" i="5"/>
  <c r="K3245" i="5"/>
  <c r="K3246" i="5"/>
  <c r="K3247" i="5"/>
  <c r="K3248" i="5"/>
  <c r="K3249" i="5"/>
  <c r="K3250" i="5"/>
  <c r="K3251" i="5"/>
  <c r="K3252" i="5"/>
  <c r="K3253" i="5"/>
  <c r="K3254" i="5"/>
  <c r="K3255" i="5"/>
  <c r="K3256" i="5"/>
  <c r="K3257" i="5"/>
  <c r="K3258" i="5"/>
  <c r="K3259" i="5"/>
  <c r="K3260" i="5"/>
  <c r="K3261" i="5"/>
  <c r="K3262" i="5"/>
  <c r="K3263" i="5"/>
  <c r="K3264" i="5"/>
  <c r="K3265" i="5"/>
  <c r="K3266" i="5"/>
  <c r="K3267" i="5"/>
  <c r="K3268" i="5"/>
  <c r="K3269" i="5"/>
  <c r="K3270" i="5"/>
  <c r="K3271" i="5"/>
  <c r="K3272" i="5"/>
  <c r="K3273" i="5"/>
  <c r="K3274" i="5"/>
  <c r="K3275" i="5"/>
  <c r="K3276" i="5"/>
  <c r="K3277" i="5"/>
  <c r="K3278" i="5"/>
  <c r="K3279" i="5"/>
  <c r="K3280" i="5"/>
  <c r="K3281" i="5"/>
  <c r="K3282" i="5"/>
  <c r="K3283" i="5"/>
  <c r="K3284" i="5"/>
  <c r="K3285" i="5"/>
  <c r="K3286" i="5"/>
  <c r="K3287" i="5"/>
  <c r="K3288" i="5"/>
  <c r="K3289" i="5"/>
  <c r="K3290" i="5"/>
  <c r="K3291" i="5"/>
  <c r="K3292" i="5"/>
  <c r="K3293" i="5"/>
  <c r="K3294" i="5"/>
  <c r="K3295" i="5"/>
  <c r="K3296" i="5"/>
  <c r="K3297" i="5"/>
  <c r="K3298" i="5"/>
  <c r="K3299" i="5"/>
  <c r="K3300" i="5"/>
  <c r="K3301" i="5"/>
  <c r="K3302" i="5"/>
  <c r="K3303" i="5"/>
  <c r="K3304" i="5"/>
  <c r="K3305" i="5"/>
  <c r="K3306" i="5"/>
  <c r="K3307" i="5"/>
  <c r="K3308" i="5"/>
  <c r="K3309" i="5"/>
  <c r="K3310" i="5"/>
  <c r="K3311" i="5"/>
  <c r="K3312" i="5"/>
  <c r="K3313" i="5"/>
  <c r="K3314" i="5"/>
  <c r="K3315" i="5"/>
  <c r="K3316" i="5"/>
  <c r="K3317" i="5"/>
  <c r="K3318" i="5"/>
  <c r="K3319" i="5"/>
  <c r="K3320" i="5"/>
  <c r="K3321" i="5"/>
  <c r="K3322" i="5"/>
  <c r="K3323" i="5"/>
  <c r="K3324" i="5"/>
  <c r="K3325" i="5"/>
  <c r="K3326" i="5"/>
  <c r="K3327" i="5"/>
  <c r="K3328" i="5"/>
  <c r="K3329" i="5"/>
  <c r="K3330" i="5"/>
  <c r="K3331" i="5"/>
  <c r="K3332" i="5"/>
  <c r="K3333" i="5"/>
  <c r="K3334" i="5"/>
  <c r="K3335" i="5"/>
  <c r="K3336" i="5"/>
  <c r="K3337" i="5"/>
  <c r="K3338" i="5"/>
  <c r="K3339" i="5"/>
  <c r="K3340" i="5"/>
  <c r="K3341" i="5"/>
  <c r="K3342" i="5"/>
  <c r="K3343" i="5"/>
  <c r="K3344" i="5"/>
  <c r="K3345" i="5"/>
  <c r="K3346" i="5"/>
  <c r="K3347" i="5"/>
  <c r="K3348" i="5"/>
  <c r="K3349" i="5"/>
  <c r="K3350" i="5"/>
  <c r="K3351" i="5"/>
  <c r="K3352" i="5"/>
  <c r="K3353" i="5"/>
  <c r="K3354" i="5"/>
  <c r="K3355" i="5"/>
  <c r="K3356" i="5"/>
  <c r="K3357" i="5"/>
  <c r="K3358" i="5"/>
  <c r="K3359" i="5"/>
  <c r="K3360" i="5"/>
  <c r="K3361" i="5"/>
  <c r="K3362" i="5"/>
  <c r="K3363" i="5"/>
  <c r="K3364" i="5"/>
  <c r="K3365" i="5"/>
  <c r="K3366" i="5"/>
  <c r="K3367" i="5"/>
  <c r="K3368" i="5"/>
  <c r="K3369" i="5"/>
  <c r="K3370" i="5"/>
  <c r="K3371" i="5"/>
  <c r="K3372" i="5"/>
  <c r="K3373" i="5"/>
  <c r="K3374" i="5"/>
  <c r="K3375" i="5"/>
  <c r="K3376" i="5"/>
  <c r="K3377" i="5"/>
  <c r="K3378" i="5"/>
  <c r="K3379" i="5"/>
  <c r="K3380" i="5"/>
  <c r="K3381" i="5"/>
  <c r="K3382" i="5"/>
  <c r="K3383" i="5"/>
  <c r="K3384" i="5"/>
  <c r="K3385" i="5"/>
  <c r="K3386" i="5"/>
  <c r="K3387" i="5"/>
  <c r="K3388" i="5"/>
  <c r="K3389" i="5"/>
  <c r="K3390" i="5"/>
  <c r="K3391" i="5"/>
  <c r="K3392" i="5"/>
  <c r="K3393" i="5"/>
  <c r="K3394" i="5"/>
  <c r="K3395" i="5"/>
  <c r="K3396" i="5"/>
  <c r="K3397" i="5"/>
  <c r="K3398" i="5"/>
  <c r="K3399" i="5"/>
  <c r="K3400" i="5"/>
  <c r="K3401" i="5"/>
  <c r="K3402" i="5"/>
  <c r="K3403" i="5"/>
  <c r="K3404" i="5"/>
  <c r="K3405" i="5"/>
  <c r="K3406" i="5"/>
  <c r="K3407" i="5"/>
  <c r="K3408" i="5"/>
  <c r="K3409" i="5"/>
  <c r="K3410" i="5"/>
  <c r="K3411" i="5"/>
  <c r="K3412" i="5"/>
  <c r="K3413" i="5"/>
  <c r="K3414" i="5"/>
  <c r="K3415" i="5"/>
  <c r="K3416" i="5"/>
  <c r="K3417" i="5"/>
  <c r="K3418" i="5"/>
  <c r="K3419" i="5"/>
  <c r="K3420" i="5"/>
  <c r="K3421" i="5"/>
  <c r="K3422" i="5"/>
  <c r="K3423" i="5"/>
  <c r="K3424" i="5"/>
  <c r="K3425" i="5"/>
  <c r="K3426" i="5"/>
  <c r="K3427" i="5"/>
  <c r="K3428" i="5"/>
  <c r="K3429" i="5"/>
  <c r="K3430" i="5"/>
  <c r="K3431" i="5"/>
  <c r="K3432" i="5"/>
  <c r="K3433" i="5"/>
  <c r="K3434" i="5"/>
  <c r="K3435" i="5"/>
  <c r="K3436" i="5"/>
  <c r="K3437" i="5"/>
  <c r="K3438" i="5"/>
  <c r="K3439" i="5"/>
  <c r="K3440" i="5"/>
  <c r="K3441" i="5"/>
  <c r="K3442" i="5"/>
  <c r="K3443" i="5"/>
  <c r="K3444" i="5"/>
  <c r="K3445" i="5"/>
  <c r="K3446" i="5"/>
  <c r="K3447" i="5"/>
  <c r="K3448" i="5"/>
  <c r="K3449" i="5"/>
  <c r="K3450" i="5"/>
  <c r="K3451" i="5"/>
  <c r="K3452" i="5"/>
  <c r="K3453" i="5"/>
  <c r="K3454" i="5"/>
  <c r="K3455" i="5"/>
  <c r="K3456" i="5"/>
  <c r="K3457" i="5"/>
  <c r="K3458" i="5"/>
  <c r="K3459" i="5"/>
  <c r="K3460" i="5"/>
  <c r="K3461" i="5"/>
  <c r="K3462" i="5"/>
  <c r="K3463" i="5"/>
  <c r="K3464" i="5"/>
  <c r="K3465" i="5"/>
  <c r="K3466" i="5"/>
  <c r="K3467" i="5"/>
  <c r="K3468" i="5"/>
  <c r="K3469" i="5"/>
  <c r="K3470" i="5"/>
  <c r="K3471" i="5"/>
  <c r="K3472" i="5"/>
  <c r="K3473" i="5"/>
  <c r="K3474" i="5"/>
  <c r="K3475" i="5"/>
  <c r="K3476" i="5"/>
  <c r="K3477" i="5"/>
  <c r="K3478" i="5"/>
  <c r="K3479" i="5"/>
  <c r="K3480" i="5"/>
  <c r="K3481" i="5"/>
  <c r="K3482" i="5"/>
  <c r="K3483" i="5"/>
  <c r="K3484" i="5"/>
  <c r="K3485" i="5"/>
  <c r="K3486" i="5"/>
  <c r="K3487" i="5"/>
  <c r="K3488" i="5"/>
  <c r="K3489" i="5"/>
  <c r="K3490" i="5"/>
  <c r="K3491" i="5"/>
  <c r="K3492" i="5"/>
  <c r="K3493" i="5"/>
  <c r="K3494" i="5"/>
  <c r="K3495" i="5"/>
  <c r="K3496" i="5"/>
  <c r="K3497" i="5"/>
  <c r="K3498" i="5"/>
  <c r="K3499" i="5"/>
  <c r="K3500" i="5"/>
  <c r="K3501" i="5"/>
  <c r="K3502" i="5"/>
  <c r="K3503" i="5"/>
  <c r="K3504" i="5"/>
  <c r="K3505" i="5"/>
  <c r="K3506" i="5"/>
  <c r="K3507" i="5"/>
  <c r="K3508" i="5"/>
  <c r="K3509" i="5"/>
  <c r="K3510" i="5"/>
  <c r="K3511" i="5"/>
  <c r="K3512" i="5"/>
  <c r="K3513" i="5"/>
  <c r="K3514" i="5"/>
  <c r="K3515" i="5"/>
  <c r="K3516" i="5"/>
  <c r="K3517" i="5"/>
  <c r="K3518" i="5"/>
  <c r="K3519" i="5"/>
  <c r="K3520" i="5"/>
  <c r="K3521" i="5"/>
  <c r="K3522" i="5"/>
  <c r="K3523" i="5"/>
  <c r="K3524" i="5"/>
  <c r="K3525" i="5"/>
  <c r="K3526" i="5"/>
  <c r="K3527" i="5"/>
  <c r="K3528" i="5"/>
  <c r="K3529" i="5"/>
  <c r="K3530" i="5"/>
  <c r="K3531" i="5"/>
  <c r="K3532" i="5"/>
  <c r="K3533" i="5"/>
  <c r="K3534" i="5"/>
  <c r="K3535" i="5"/>
  <c r="K3536" i="5"/>
  <c r="K3537" i="5"/>
  <c r="K3538" i="5"/>
  <c r="K3539" i="5"/>
  <c r="K3540" i="5"/>
  <c r="K3541" i="5"/>
  <c r="K3542" i="5"/>
  <c r="K3543" i="5"/>
  <c r="K3544" i="5"/>
  <c r="K3545" i="5"/>
  <c r="K3546" i="5"/>
  <c r="K3547" i="5"/>
  <c r="K3548" i="5"/>
  <c r="K3549" i="5"/>
  <c r="K3550" i="5"/>
  <c r="K3551" i="5"/>
  <c r="K3552" i="5"/>
  <c r="K3553" i="5"/>
  <c r="K3554" i="5"/>
  <c r="K3555" i="5"/>
  <c r="K3556" i="5"/>
  <c r="K3557" i="5"/>
  <c r="K3558" i="5"/>
  <c r="K3559" i="5"/>
  <c r="K3560" i="5"/>
  <c r="K3561" i="5"/>
  <c r="K3562" i="5"/>
  <c r="K3563" i="5"/>
  <c r="K3564" i="5"/>
  <c r="K3565" i="5"/>
  <c r="K3566" i="5"/>
  <c r="K3567" i="5"/>
  <c r="K3568" i="5"/>
  <c r="K3569" i="5"/>
  <c r="K3570" i="5"/>
  <c r="K3571" i="5"/>
  <c r="K3572" i="5"/>
  <c r="K3573" i="5"/>
  <c r="K3574" i="5"/>
  <c r="K3575" i="5"/>
  <c r="K3576" i="5"/>
  <c r="K3577" i="5"/>
  <c r="K3578" i="5"/>
  <c r="K3579" i="5"/>
  <c r="K3580" i="5"/>
  <c r="K3581" i="5"/>
  <c r="K3582" i="5"/>
  <c r="K3583" i="5"/>
  <c r="K3584" i="5"/>
  <c r="K3585" i="5"/>
  <c r="K3586" i="5"/>
  <c r="K3587" i="5"/>
  <c r="K3588" i="5"/>
  <c r="K3589" i="5"/>
  <c r="K3590" i="5"/>
  <c r="K3591" i="5"/>
  <c r="K3592" i="5"/>
  <c r="K3593" i="5"/>
  <c r="K3594" i="5"/>
  <c r="K3595" i="5"/>
  <c r="K3596" i="5"/>
  <c r="K3597" i="5"/>
  <c r="K3598" i="5"/>
  <c r="K3599" i="5"/>
  <c r="K3600" i="5"/>
  <c r="K3601" i="5"/>
  <c r="K3602" i="5"/>
  <c r="K3603" i="5"/>
  <c r="K3604" i="5"/>
  <c r="K3605" i="5"/>
  <c r="K3606" i="5"/>
  <c r="K3607" i="5"/>
  <c r="K3608" i="5"/>
  <c r="K3609" i="5"/>
  <c r="K3610" i="5"/>
  <c r="K3611" i="5"/>
  <c r="K3612" i="5"/>
  <c r="K3613" i="5"/>
  <c r="K3614" i="5"/>
  <c r="K3615" i="5"/>
  <c r="K3616" i="5"/>
  <c r="K3617" i="5"/>
  <c r="K3618" i="5"/>
  <c r="K3619" i="5"/>
  <c r="K3620" i="5"/>
  <c r="K3621" i="5"/>
  <c r="K3622" i="5"/>
  <c r="K3623" i="5"/>
  <c r="K3624" i="5"/>
  <c r="K3625" i="5"/>
  <c r="K3626" i="5"/>
  <c r="K3627" i="5"/>
  <c r="K3628" i="5"/>
  <c r="K3629" i="5"/>
  <c r="K3630" i="5"/>
  <c r="K3631" i="5"/>
  <c r="K3632" i="5"/>
  <c r="K3633" i="5"/>
  <c r="K3634" i="5"/>
  <c r="K3635" i="5"/>
  <c r="K3636" i="5"/>
  <c r="K3637" i="5"/>
  <c r="K3638" i="5"/>
  <c r="K3639" i="5"/>
  <c r="K3640" i="5"/>
  <c r="K3641" i="5"/>
  <c r="K3642" i="5"/>
  <c r="K3643" i="5"/>
  <c r="K3644" i="5"/>
  <c r="K3645" i="5"/>
  <c r="K3646" i="5"/>
  <c r="K3647" i="5"/>
  <c r="K3648" i="5"/>
  <c r="K3649" i="5"/>
  <c r="K3650" i="5"/>
  <c r="K3651" i="5"/>
  <c r="K3652" i="5"/>
  <c r="K3653" i="5"/>
  <c r="K3654" i="5"/>
  <c r="K3655" i="5"/>
  <c r="K3656" i="5"/>
  <c r="K3657" i="5"/>
  <c r="K3658" i="5"/>
  <c r="K3659" i="5"/>
  <c r="K3660" i="5"/>
  <c r="K3661" i="5"/>
  <c r="K3662" i="5"/>
  <c r="K3663" i="5"/>
  <c r="K3664" i="5"/>
  <c r="K3665" i="5"/>
  <c r="K3666" i="5"/>
  <c r="K3667" i="5"/>
  <c r="K3668" i="5"/>
  <c r="K3669" i="5"/>
  <c r="K3670" i="5"/>
  <c r="K3671" i="5"/>
  <c r="K3672" i="5"/>
  <c r="K3673" i="5"/>
  <c r="K3674" i="5"/>
  <c r="K3675" i="5"/>
  <c r="K3676" i="5"/>
  <c r="K3677" i="5"/>
  <c r="K3678" i="5"/>
  <c r="K3679" i="5"/>
  <c r="K3680" i="5"/>
  <c r="K3681" i="5"/>
  <c r="K3682" i="5"/>
  <c r="K3683" i="5"/>
  <c r="K3684" i="5"/>
  <c r="K3685" i="5"/>
  <c r="K3686" i="5"/>
  <c r="K3687" i="5"/>
  <c r="K3688" i="5"/>
  <c r="K3689" i="5"/>
  <c r="K3690" i="5"/>
  <c r="K3691" i="5"/>
  <c r="K3692" i="5"/>
  <c r="K3693" i="5"/>
  <c r="K3694" i="5"/>
  <c r="K3695" i="5"/>
  <c r="K3696" i="5"/>
  <c r="K3697" i="5"/>
  <c r="K3698" i="5"/>
  <c r="K3699" i="5"/>
  <c r="K3700" i="5"/>
  <c r="K3701" i="5"/>
  <c r="K3702" i="5"/>
  <c r="K3703" i="5"/>
  <c r="K3704" i="5"/>
  <c r="K3705" i="5"/>
  <c r="K3706" i="5"/>
  <c r="K3707" i="5"/>
  <c r="K3708" i="5"/>
  <c r="K3709" i="5"/>
  <c r="K3710" i="5"/>
  <c r="K3711" i="5"/>
  <c r="K3712" i="5"/>
  <c r="K3713" i="5"/>
  <c r="K3714" i="5"/>
  <c r="K3715" i="5"/>
  <c r="K3716" i="5"/>
  <c r="K3717" i="5"/>
  <c r="K3718" i="5"/>
  <c r="K3719" i="5"/>
  <c r="K3720" i="5"/>
  <c r="K3721" i="5"/>
  <c r="K3722" i="5"/>
  <c r="K3723" i="5"/>
  <c r="K3724" i="5"/>
  <c r="K3725" i="5"/>
  <c r="K3726" i="5"/>
  <c r="K3727" i="5"/>
  <c r="K3728" i="5"/>
  <c r="K3729" i="5"/>
  <c r="K3730" i="5"/>
  <c r="K3731" i="5"/>
  <c r="K3732" i="5"/>
  <c r="K3733" i="5"/>
  <c r="K3734" i="5"/>
  <c r="K3735" i="5"/>
  <c r="K3736" i="5"/>
  <c r="K3737" i="5"/>
  <c r="K3738" i="5"/>
  <c r="K3739" i="5"/>
  <c r="K3740" i="5"/>
  <c r="K3741" i="5"/>
  <c r="K3742" i="5"/>
  <c r="K3743" i="5"/>
  <c r="K3744" i="5"/>
  <c r="K3745" i="5"/>
  <c r="K3746" i="5"/>
  <c r="K3747" i="5"/>
  <c r="K3748" i="5"/>
  <c r="K3749" i="5"/>
  <c r="K3750" i="5"/>
  <c r="K3751" i="5"/>
  <c r="K3752" i="5"/>
  <c r="K3753" i="5"/>
  <c r="K3754" i="5"/>
  <c r="K3755" i="5"/>
  <c r="K3756" i="5"/>
  <c r="K3757" i="5"/>
  <c r="K3758" i="5"/>
  <c r="K3759" i="5"/>
  <c r="K3760" i="5"/>
  <c r="K3761" i="5"/>
  <c r="K3762" i="5"/>
  <c r="K3763" i="5"/>
  <c r="K3764" i="5"/>
  <c r="K3765" i="5"/>
  <c r="K3766" i="5"/>
  <c r="K3767" i="5"/>
  <c r="K3768" i="5"/>
  <c r="K3769" i="5"/>
  <c r="K3770" i="5"/>
  <c r="K3771" i="5"/>
  <c r="K3772" i="5"/>
  <c r="K3773" i="5"/>
  <c r="K3774" i="5"/>
  <c r="K3775" i="5"/>
  <c r="K3776" i="5"/>
  <c r="K3777" i="5"/>
  <c r="K3778" i="5"/>
  <c r="K3779" i="5"/>
  <c r="K3780" i="5"/>
  <c r="K3781" i="5"/>
  <c r="K3782" i="5"/>
  <c r="K3783" i="5"/>
  <c r="K3784" i="5"/>
  <c r="K3785" i="5"/>
  <c r="K3786" i="5"/>
  <c r="K3787" i="5"/>
  <c r="K3788" i="5"/>
  <c r="K3789" i="5"/>
  <c r="K3790" i="5"/>
  <c r="K3791" i="5"/>
  <c r="K3792" i="5"/>
  <c r="K3793" i="5"/>
  <c r="K3794" i="5"/>
  <c r="K3795" i="5"/>
  <c r="K3796" i="5"/>
  <c r="K3797" i="5"/>
  <c r="K3798" i="5"/>
  <c r="K3799" i="5"/>
  <c r="K3800" i="5"/>
  <c r="K3801" i="5"/>
  <c r="K3802" i="5"/>
  <c r="K3803" i="5"/>
  <c r="K3804" i="5"/>
  <c r="K3805" i="5"/>
  <c r="K3806" i="5"/>
  <c r="K3807" i="5"/>
  <c r="K3808" i="5"/>
  <c r="K3809" i="5"/>
  <c r="K3810" i="5"/>
  <c r="K3811" i="5"/>
  <c r="K3812" i="5"/>
  <c r="K3813" i="5"/>
  <c r="K3814" i="5"/>
  <c r="K3815" i="5"/>
  <c r="K3816" i="5"/>
  <c r="K3817" i="5"/>
  <c r="K3818" i="5"/>
  <c r="K3819" i="5"/>
  <c r="K3820" i="5"/>
  <c r="K3821" i="5"/>
  <c r="K3822" i="5"/>
  <c r="K3823" i="5"/>
  <c r="K3824" i="5"/>
  <c r="K3825" i="5"/>
  <c r="K3826" i="5"/>
  <c r="K3827" i="5"/>
  <c r="K3828" i="5"/>
  <c r="K3829" i="5"/>
  <c r="K3830" i="5"/>
  <c r="K3831" i="5"/>
  <c r="K3832" i="5"/>
  <c r="K3833" i="5"/>
  <c r="K3834" i="5"/>
  <c r="K3835" i="5"/>
  <c r="K3836" i="5"/>
  <c r="K3837" i="5"/>
  <c r="K3838" i="5"/>
  <c r="K3839" i="5"/>
  <c r="K3840" i="5"/>
  <c r="K3841" i="5"/>
  <c r="K3842" i="5"/>
  <c r="K3843" i="5"/>
  <c r="K3844" i="5"/>
  <c r="K3845" i="5"/>
  <c r="K3846" i="5"/>
  <c r="K3847" i="5"/>
  <c r="K3848" i="5"/>
  <c r="K3849" i="5"/>
  <c r="K3850" i="5"/>
  <c r="K3851" i="5"/>
  <c r="K3852" i="5"/>
  <c r="K3853" i="5"/>
  <c r="K3854" i="5"/>
  <c r="K3855" i="5"/>
  <c r="K3856" i="5"/>
  <c r="K3857" i="5"/>
  <c r="K3858" i="5"/>
  <c r="K3859" i="5"/>
  <c r="K3860" i="5"/>
  <c r="K3861" i="5"/>
  <c r="K3862" i="5"/>
  <c r="K3863" i="5"/>
  <c r="K3864" i="5"/>
  <c r="K3865" i="5"/>
  <c r="K3866" i="5"/>
  <c r="K3867" i="5"/>
  <c r="K3868" i="5"/>
  <c r="K3869" i="5"/>
  <c r="K3870" i="5"/>
  <c r="K3871" i="5"/>
  <c r="K3872" i="5"/>
  <c r="K3873" i="5"/>
  <c r="K3874" i="5"/>
  <c r="K3875" i="5"/>
  <c r="K3876" i="5"/>
  <c r="K3877" i="5"/>
  <c r="K3878" i="5"/>
  <c r="K3879" i="5"/>
  <c r="K3880" i="5"/>
  <c r="K3881" i="5"/>
  <c r="K3882" i="5"/>
  <c r="K3883" i="5"/>
  <c r="K3884" i="5"/>
  <c r="K3885" i="5"/>
  <c r="K3886" i="5"/>
  <c r="K3887" i="5"/>
  <c r="K3888" i="5"/>
  <c r="K3889" i="5"/>
  <c r="K3890" i="5"/>
  <c r="K3891" i="5"/>
  <c r="K3892" i="5"/>
  <c r="K3893" i="5"/>
  <c r="K3894" i="5"/>
  <c r="K3895" i="5"/>
  <c r="K3896" i="5"/>
  <c r="K3897" i="5"/>
  <c r="K3898" i="5"/>
  <c r="K3899" i="5"/>
  <c r="K3900" i="5"/>
  <c r="K3901" i="5"/>
  <c r="K3902" i="5"/>
  <c r="K3903" i="5"/>
  <c r="K3904" i="5"/>
  <c r="K3905" i="5"/>
  <c r="K3906" i="5"/>
  <c r="K3907" i="5"/>
  <c r="K3908" i="5"/>
  <c r="K3909" i="5"/>
  <c r="K3910" i="5"/>
  <c r="K3911" i="5"/>
  <c r="K3912" i="5"/>
  <c r="K3913" i="5"/>
  <c r="K3914" i="5"/>
  <c r="K3915" i="5"/>
  <c r="K3916" i="5"/>
  <c r="K3917" i="5"/>
  <c r="K3918" i="5"/>
  <c r="K3919" i="5"/>
  <c r="K3920" i="5"/>
  <c r="K3921" i="5"/>
  <c r="K3922" i="5"/>
  <c r="K3923" i="5"/>
  <c r="K3924" i="5"/>
  <c r="K3925" i="5"/>
  <c r="K3926" i="5"/>
  <c r="K3927" i="5"/>
  <c r="K3928" i="5"/>
  <c r="K3929" i="5"/>
  <c r="K3930" i="5"/>
  <c r="K3931" i="5"/>
  <c r="K3932" i="5"/>
  <c r="K3933" i="5"/>
  <c r="K3934" i="5"/>
  <c r="K3935" i="5"/>
  <c r="K3936" i="5"/>
  <c r="K3937" i="5"/>
  <c r="K3938" i="5"/>
  <c r="K3939" i="5"/>
  <c r="K3940" i="5"/>
  <c r="K3941" i="5"/>
  <c r="K3942" i="5"/>
  <c r="K3943" i="5"/>
  <c r="K3944" i="5"/>
  <c r="K3945" i="5"/>
  <c r="K3946" i="5"/>
  <c r="K3947" i="5"/>
  <c r="K3948" i="5"/>
  <c r="K3949" i="5"/>
  <c r="K3950" i="5"/>
  <c r="K3951" i="5"/>
  <c r="K3952" i="5"/>
  <c r="K3953" i="5"/>
  <c r="K3954" i="5"/>
  <c r="K3955" i="5"/>
  <c r="K3956" i="5"/>
  <c r="K3957" i="5"/>
  <c r="K3958" i="5"/>
  <c r="K3959" i="5"/>
  <c r="K3960" i="5"/>
  <c r="K3961" i="5"/>
  <c r="K3962" i="5"/>
  <c r="K3963" i="5"/>
  <c r="K3964" i="5"/>
  <c r="K3965" i="5"/>
  <c r="K3966" i="5"/>
  <c r="K3967" i="5"/>
  <c r="K3968" i="5"/>
  <c r="K3969" i="5"/>
  <c r="K3970" i="5"/>
  <c r="K3971" i="5"/>
  <c r="K3972" i="5"/>
  <c r="K3973" i="5"/>
  <c r="K3974" i="5"/>
  <c r="K3975" i="5"/>
  <c r="K3976" i="5"/>
  <c r="K3977" i="5"/>
  <c r="K3978" i="5"/>
  <c r="K3979" i="5"/>
  <c r="K3980" i="5"/>
  <c r="K3981" i="5"/>
  <c r="K3982" i="5"/>
  <c r="K3983" i="5"/>
  <c r="K3984" i="5"/>
  <c r="K3985" i="5"/>
  <c r="K3986" i="5"/>
  <c r="K3987" i="5"/>
  <c r="K3988" i="5"/>
  <c r="K3989" i="5"/>
  <c r="K3990" i="5"/>
  <c r="K3991" i="5"/>
  <c r="K3992" i="5"/>
  <c r="K3993" i="5"/>
  <c r="K3994" i="5"/>
  <c r="K3995" i="5"/>
  <c r="K3996" i="5"/>
  <c r="K3997" i="5"/>
  <c r="K3998" i="5"/>
  <c r="K3999" i="5"/>
  <c r="K4000" i="5"/>
  <c r="K4001" i="5"/>
  <c r="K4002" i="5"/>
  <c r="K4003" i="5"/>
  <c r="K4004" i="5"/>
  <c r="K4005" i="5"/>
  <c r="K4006" i="5"/>
  <c r="K4007" i="5"/>
  <c r="K4008" i="5"/>
  <c r="K4009" i="5"/>
  <c r="K4010" i="5"/>
  <c r="K4011" i="5"/>
  <c r="K4012" i="5"/>
  <c r="K4013" i="5"/>
  <c r="K4014" i="5"/>
  <c r="K4015" i="5"/>
  <c r="K4016" i="5"/>
  <c r="K4017" i="5"/>
  <c r="K4018" i="5"/>
  <c r="K4019" i="5"/>
  <c r="K4020" i="5"/>
  <c r="K4021" i="5"/>
  <c r="K4022" i="5"/>
  <c r="K4023" i="5"/>
  <c r="K4024" i="5"/>
  <c r="K4025" i="5"/>
  <c r="K4026" i="5"/>
  <c r="K4027" i="5"/>
  <c r="K4028" i="5"/>
  <c r="K4029" i="5"/>
  <c r="K4030" i="5"/>
  <c r="K4031" i="5"/>
  <c r="K4032" i="5"/>
  <c r="K4033" i="5"/>
  <c r="K4034" i="5"/>
  <c r="F53" i="1" l="1"/>
  <c r="F54" i="1"/>
  <c r="F55" i="1"/>
  <c r="F56" i="1"/>
  <c r="N4" i="1" l="1"/>
  <c r="N5" i="1"/>
  <c r="N6" i="1"/>
  <c r="N7" i="1"/>
  <c r="N8" i="1"/>
  <c r="N9" i="1"/>
  <c r="N12" i="1"/>
  <c r="N13" i="1"/>
  <c r="N14" i="1"/>
  <c r="N15" i="1"/>
  <c r="N20" i="1"/>
  <c r="N21" i="1"/>
  <c r="N22" i="1"/>
  <c r="N23" i="1"/>
  <c r="N24" i="1"/>
  <c r="N25" i="1"/>
  <c r="N26" i="1"/>
  <c r="N27" i="1"/>
  <c r="N29" i="1"/>
  <c r="N30" i="1"/>
  <c r="N31" i="1"/>
  <c r="N32" i="1"/>
  <c r="N33" i="1"/>
  <c r="N34" i="1"/>
  <c r="N35" i="1"/>
  <c r="N36" i="1"/>
  <c r="N40" i="1"/>
  <c r="N41" i="1"/>
  <c r="N42" i="1"/>
  <c r="N49" i="1"/>
  <c r="N50" i="1"/>
  <c r="N51" i="1"/>
  <c r="N54" i="1"/>
  <c r="N55" i="1"/>
  <c r="N56" i="1"/>
  <c r="N57" i="1"/>
  <c r="N58" i="1"/>
  <c r="N59" i="1"/>
  <c r="N60" i="1"/>
  <c r="N61" i="1"/>
  <c r="N62" i="1"/>
  <c r="N63" i="1"/>
  <c r="N64" i="1"/>
  <c r="N65" i="1"/>
  <c r="N66" i="1"/>
  <c r="N67" i="1"/>
  <c r="N68" i="1"/>
  <c r="N69" i="1"/>
  <c r="N70" i="1"/>
  <c r="N71" i="1"/>
  <c r="N72" i="1"/>
  <c r="N73" i="1"/>
  <c r="N74"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3"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4" i="1"/>
  <c r="S5" i="1"/>
  <c r="S6" i="1"/>
  <c r="S7" i="1"/>
  <c r="S8" i="1"/>
  <c r="S9" i="1"/>
  <c r="S10" i="1"/>
  <c r="S11" i="1"/>
  <c r="S12" i="1"/>
  <c r="S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9" i="1"/>
  <c r="J80" i="1"/>
  <c r="J81" i="1"/>
  <c r="J82" i="1"/>
  <c r="J4" i="1"/>
  <c r="H5" i="1"/>
  <c r="H6" i="1"/>
  <c r="H7" i="1"/>
  <c r="H8" i="1"/>
  <c r="H9" i="1"/>
  <c r="H10" i="1"/>
  <c r="H11" i="1"/>
  <c r="H12" i="1"/>
  <c r="H13" i="1"/>
  <c r="H15" i="1"/>
  <c r="H16" i="1"/>
  <c r="H17" i="1"/>
  <c r="H18" i="1"/>
  <c r="H19" i="1"/>
  <c r="H20" i="1"/>
  <c r="H21" i="1"/>
  <c r="H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41" i="1"/>
  <c r="D42" i="1"/>
  <c r="D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50" i="1"/>
  <c r="B51" i="1"/>
  <c r="B52" i="1"/>
  <c r="B53" i="1"/>
  <c r="B56" i="1"/>
  <c r="B57" i="1"/>
  <c r="B58" i="1"/>
  <c r="B59" i="1"/>
  <c r="B60" i="1"/>
  <c r="B61" i="1"/>
  <c r="B62" i="1"/>
  <c r="P83" i="4" l="1"/>
  <c r="P77" i="4"/>
  <c r="H82" i="3"/>
  <c r="H81" i="3"/>
  <c r="J80" i="3"/>
  <c r="H80" i="3"/>
  <c r="H79" i="3"/>
  <c r="J78" i="3"/>
  <c r="J77" i="3"/>
  <c r="H77" i="3"/>
  <c r="J76" i="3"/>
  <c r="H76" i="3"/>
  <c r="J75" i="3"/>
  <c r="H75" i="3"/>
  <c r="J74" i="3"/>
  <c r="H74" i="3"/>
  <c r="J73" i="3"/>
  <c r="H73" i="3"/>
  <c r="J72" i="3"/>
  <c r="H72" i="3"/>
  <c r="J71" i="3"/>
  <c r="H71" i="3"/>
  <c r="J70" i="3"/>
  <c r="H70" i="3"/>
  <c r="J69" i="3"/>
  <c r="H69" i="3"/>
  <c r="J68" i="3"/>
  <c r="H68" i="3"/>
  <c r="J67" i="3"/>
  <c r="H67" i="3"/>
  <c r="J66" i="3"/>
  <c r="H66" i="3"/>
  <c r="J65" i="3"/>
  <c r="H65" i="3"/>
  <c r="J64" i="3"/>
  <c r="H64" i="3"/>
  <c r="J63" i="3"/>
  <c r="H63" i="3"/>
  <c r="J62" i="3"/>
  <c r="H62" i="3"/>
  <c r="J61" i="3"/>
  <c r="H61" i="3"/>
  <c r="B61" i="3"/>
  <c r="J60" i="3"/>
  <c r="H60" i="3"/>
  <c r="B60" i="3"/>
  <c r="J59" i="3"/>
  <c r="H59" i="3"/>
  <c r="B59" i="3"/>
  <c r="J58" i="3"/>
  <c r="H58" i="3"/>
  <c r="B58" i="3"/>
  <c r="N57" i="3"/>
  <c r="J57" i="3"/>
  <c r="H57" i="3"/>
  <c r="B57" i="3"/>
  <c r="N56" i="3"/>
  <c r="J56" i="3"/>
  <c r="H56" i="3"/>
  <c r="B56" i="3"/>
  <c r="N55" i="3"/>
  <c r="J55" i="3"/>
  <c r="H55" i="3"/>
  <c r="B55" i="3"/>
  <c r="N54" i="3"/>
  <c r="J54" i="3"/>
  <c r="H54" i="3"/>
  <c r="B54" i="3"/>
  <c r="N53" i="3"/>
  <c r="J53" i="3"/>
  <c r="H53" i="3"/>
  <c r="B53" i="3"/>
  <c r="N52" i="3"/>
  <c r="J52" i="3"/>
  <c r="H52" i="3"/>
  <c r="B52" i="3"/>
  <c r="N51" i="3"/>
  <c r="J51" i="3"/>
  <c r="H51" i="3"/>
  <c r="B51" i="3"/>
  <c r="N50" i="3"/>
  <c r="J50" i="3"/>
  <c r="H50" i="3"/>
  <c r="B50" i="3"/>
  <c r="N49" i="3"/>
  <c r="J49" i="3"/>
  <c r="H49" i="3"/>
  <c r="B49" i="3"/>
  <c r="N48" i="3"/>
  <c r="L48" i="3"/>
  <c r="J48" i="3"/>
  <c r="H48" i="3"/>
  <c r="N47" i="3"/>
  <c r="L47" i="3"/>
  <c r="J47" i="3"/>
  <c r="H47" i="3"/>
  <c r="B47" i="3"/>
  <c r="N46" i="3"/>
  <c r="L46" i="3"/>
  <c r="J46" i="3"/>
  <c r="H46" i="3"/>
  <c r="B46" i="3"/>
  <c r="N45" i="3"/>
  <c r="L45" i="3"/>
  <c r="J45" i="3"/>
  <c r="H45" i="3"/>
  <c r="B45" i="3"/>
  <c r="N44" i="3"/>
  <c r="J44" i="3"/>
  <c r="H44" i="3"/>
  <c r="B44" i="3"/>
  <c r="N43" i="3"/>
  <c r="J43" i="3"/>
  <c r="H43" i="3"/>
  <c r="B43" i="3"/>
  <c r="N42" i="3"/>
  <c r="J42" i="3"/>
  <c r="H42" i="3"/>
  <c r="D42" i="3"/>
  <c r="B42" i="3"/>
  <c r="N41" i="3"/>
  <c r="L41" i="3"/>
  <c r="J41" i="3"/>
  <c r="H41" i="3"/>
  <c r="D41" i="3"/>
  <c r="B41" i="3"/>
  <c r="N40" i="3"/>
  <c r="L40" i="3"/>
  <c r="J40" i="3"/>
  <c r="H40" i="3"/>
  <c r="B40" i="3"/>
  <c r="N39" i="3"/>
  <c r="L39" i="3"/>
  <c r="J39" i="3"/>
  <c r="H39" i="3"/>
  <c r="B39" i="3"/>
  <c r="N38" i="3"/>
  <c r="J38" i="3"/>
  <c r="H38" i="3"/>
  <c r="B38" i="3"/>
  <c r="N37" i="3"/>
  <c r="J37" i="3"/>
  <c r="H37" i="3"/>
  <c r="B37" i="3"/>
  <c r="N36" i="3"/>
  <c r="L36" i="3"/>
  <c r="J36" i="3"/>
  <c r="H36" i="3"/>
  <c r="D36" i="3"/>
  <c r="B36" i="3"/>
  <c r="N35" i="3"/>
  <c r="L35" i="3"/>
  <c r="J35" i="3"/>
  <c r="H35" i="3"/>
  <c r="D35" i="3"/>
  <c r="B35" i="3"/>
  <c r="N34" i="3"/>
  <c r="L34" i="3"/>
  <c r="J34" i="3"/>
  <c r="H34" i="3"/>
  <c r="D34" i="3"/>
  <c r="B34" i="3"/>
  <c r="N33" i="3"/>
  <c r="L33" i="3"/>
  <c r="J33" i="3"/>
  <c r="H33" i="3"/>
  <c r="D33" i="3"/>
  <c r="B33" i="3"/>
  <c r="N32" i="3"/>
  <c r="L32" i="3"/>
  <c r="J32" i="3"/>
  <c r="H32" i="3"/>
  <c r="D32" i="3"/>
  <c r="B32" i="3"/>
  <c r="N31" i="3"/>
  <c r="L31" i="3"/>
  <c r="J31" i="3"/>
  <c r="H31" i="3"/>
  <c r="D31" i="3"/>
  <c r="B31" i="3"/>
  <c r="N30" i="3"/>
  <c r="L30" i="3"/>
  <c r="J30" i="3"/>
  <c r="H30" i="3"/>
  <c r="D30" i="3"/>
  <c r="B30" i="3"/>
  <c r="N29" i="3"/>
  <c r="L29" i="3"/>
  <c r="J29" i="3"/>
  <c r="H29" i="3"/>
  <c r="D29" i="3"/>
  <c r="B29" i="3"/>
  <c r="N28" i="3"/>
  <c r="J28" i="3"/>
  <c r="H28" i="3"/>
  <c r="D28" i="3"/>
  <c r="B28" i="3"/>
  <c r="N27" i="3"/>
  <c r="L27" i="3"/>
  <c r="J27" i="3"/>
  <c r="H27" i="3"/>
  <c r="D27" i="3"/>
  <c r="B27" i="3"/>
  <c r="N26" i="3"/>
  <c r="L26" i="3"/>
  <c r="J26" i="3"/>
  <c r="H26" i="3"/>
  <c r="D26" i="3"/>
  <c r="B26" i="3"/>
  <c r="N25" i="3"/>
  <c r="L25" i="3"/>
  <c r="J25" i="3"/>
  <c r="H25" i="3"/>
  <c r="D25" i="3"/>
  <c r="B25" i="3"/>
  <c r="N24" i="3"/>
  <c r="L24" i="3"/>
  <c r="J24" i="3"/>
  <c r="H24" i="3"/>
  <c r="D24" i="3"/>
  <c r="B24" i="3"/>
  <c r="N23" i="3"/>
  <c r="L23" i="3"/>
  <c r="J23" i="3"/>
  <c r="H23" i="3"/>
  <c r="D23" i="3"/>
  <c r="B23" i="3"/>
  <c r="N22" i="3"/>
  <c r="L22" i="3"/>
  <c r="J22" i="3"/>
  <c r="H22" i="3"/>
  <c r="D22" i="3"/>
  <c r="B22" i="3"/>
  <c r="N21" i="3"/>
  <c r="L21" i="3"/>
  <c r="J21" i="3"/>
  <c r="H21" i="3"/>
  <c r="F21" i="3"/>
  <c r="D21" i="3"/>
  <c r="B21" i="3"/>
  <c r="N20" i="3"/>
  <c r="L20" i="3"/>
  <c r="J20" i="3"/>
  <c r="H20" i="3"/>
  <c r="F20" i="3"/>
  <c r="D20" i="3"/>
  <c r="B20" i="3"/>
  <c r="N19" i="3"/>
  <c r="J19" i="3"/>
  <c r="H19" i="3"/>
  <c r="F19" i="3"/>
  <c r="D19" i="3"/>
  <c r="B19" i="3"/>
  <c r="N18" i="3"/>
  <c r="J18" i="3"/>
  <c r="H18" i="3"/>
  <c r="F18" i="3"/>
  <c r="D18" i="3"/>
  <c r="B18" i="3"/>
  <c r="N17" i="3"/>
  <c r="J17" i="3"/>
  <c r="H17" i="3"/>
  <c r="F17" i="3"/>
  <c r="D17" i="3"/>
  <c r="B17" i="3"/>
  <c r="N16" i="3"/>
  <c r="J16" i="3"/>
  <c r="H16" i="3"/>
  <c r="F16" i="3"/>
  <c r="D16" i="3"/>
  <c r="B16" i="3"/>
  <c r="N15" i="3"/>
  <c r="L15" i="3"/>
  <c r="J15" i="3"/>
  <c r="H15" i="3"/>
  <c r="F15" i="3"/>
  <c r="D15" i="3"/>
  <c r="B15" i="3"/>
  <c r="N14" i="3"/>
  <c r="L14" i="3"/>
  <c r="J14" i="3"/>
  <c r="H14" i="3"/>
  <c r="D14" i="3"/>
  <c r="B14" i="3"/>
  <c r="N13" i="3"/>
  <c r="L13" i="3"/>
  <c r="J13" i="3"/>
  <c r="H13" i="3"/>
  <c r="F13" i="3"/>
  <c r="D13" i="3"/>
  <c r="B13" i="3"/>
  <c r="N12" i="3"/>
  <c r="L12" i="3"/>
  <c r="J12" i="3"/>
  <c r="H12" i="3"/>
  <c r="F12" i="3"/>
  <c r="D12" i="3"/>
  <c r="B12" i="3"/>
  <c r="N11" i="3"/>
  <c r="J11" i="3"/>
  <c r="H11" i="3"/>
  <c r="F11" i="3"/>
  <c r="D11" i="3"/>
  <c r="B11" i="3"/>
  <c r="N10" i="3"/>
  <c r="J10" i="3"/>
  <c r="H10" i="3"/>
  <c r="F10" i="3"/>
  <c r="D10" i="3"/>
  <c r="B10" i="3"/>
  <c r="N9" i="3"/>
  <c r="L9" i="3"/>
  <c r="J9" i="3"/>
  <c r="H9" i="3"/>
  <c r="F9" i="3"/>
  <c r="D9" i="3"/>
  <c r="B9" i="3"/>
  <c r="N8" i="3"/>
  <c r="L8" i="3"/>
  <c r="J8" i="3"/>
  <c r="H8" i="3"/>
  <c r="F8" i="3"/>
  <c r="D8" i="3"/>
  <c r="B8" i="3"/>
  <c r="N7" i="3"/>
  <c r="L7" i="3"/>
  <c r="J7" i="3"/>
  <c r="H7" i="3"/>
  <c r="F7" i="3"/>
  <c r="D7" i="3"/>
  <c r="B7" i="3"/>
  <c r="N6" i="3"/>
  <c r="L6" i="3"/>
  <c r="J6" i="3"/>
  <c r="H6" i="3"/>
  <c r="F6" i="3"/>
  <c r="D6" i="3"/>
  <c r="B6" i="3"/>
  <c r="N5" i="3"/>
  <c r="L5" i="3"/>
  <c r="J5" i="3"/>
  <c r="H5" i="3"/>
  <c r="F5" i="3"/>
  <c r="D5" i="3"/>
  <c r="B5" i="3"/>
  <c r="N4" i="3"/>
  <c r="L4" i="3"/>
  <c r="J4" i="3"/>
  <c r="H4" i="3"/>
  <c r="F4" i="3"/>
  <c r="D4" i="3"/>
  <c r="B4" i="3"/>
  <c r="N3" i="3"/>
  <c r="L3" i="3"/>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B69" i="6"/>
  <c r="K68" i="6"/>
  <c r="B68" i="6"/>
  <c r="K67" i="6"/>
  <c r="B67" i="6"/>
  <c r="K66" i="6"/>
  <c r="B66" i="6"/>
  <c r="K65" i="6"/>
  <c r="B65" i="6"/>
  <c r="K64" i="6"/>
  <c r="B64" i="6"/>
  <c r="K63" i="6"/>
  <c r="B63" i="6"/>
  <c r="K62" i="6"/>
  <c r="B62" i="6"/>
  <c r="K61" i="6"/>
  <c r="B61" i="6"/>
  <c r="K60" i="6"/>
  <c r="B60" i="6"/>
  <c r="K59" i="6"/>
  <c r="B59" i="6"/>
  <c r="K58" i="6"/>
  <c r="B58" i="6"/>
  <c r="K57" i="6"/>
  <c r="B57" i="6"/>
  <c r="K56" i="6"/>
  <c r="B56" i="6"/>
  <c r="K55" i="6"/>
  <c r="B55" i="6"/>
  <c r="K54" i="6"/>
  <c r="B54" i="6"/>
  <c r="K53" i="6"/>
  <c r="D53" i="6"/>
  <c r="B53" i="6"/>
  <c r="K52" i="6"/>
  <c r="D52" i="6"/>
  <c r="B52" i="6"/>
  <c r="K51" i="6"/>
  <c r="D51" i="6"/>
  <c r="B51" i="6"/>
  <c r="K50" i="6"/>
  <c r="D50" i="6"/>
  <c r="B50" i="6"/>
  <c r="K49" i="6"/>
  <c r="D49" i="6"/>
  <c r="B49" i="6"/>
  <c r="K48" i="6"/>
  <c r="D48" i="6"/>
  <c r="B48" i="6"/>
  <c r="K47" i="6"/>
  <c r="D47" i="6"/>
  <c r="B47" i="6"/>
  <c r="K46" i="6"/>
  <c r="D46" i="6"/>
  <c r="B46" i="6"/>
  <c r="K45" i="6"/>
  <c r="D45" i="6"/>
  <c r="B45" i="6"/>
  <c r="K44" i="6"/>
  <c r="D44" i="6"/>
  <c r="B44" i="6"/>
  <c r="K43" i="6"/>
  <c r="D43" i="6"/>
  <c r="B43" i="6"/>
  <c r="K42" i="6"/>
  <c r="D42" i="6"/>
  <c r="B42" i="6"/>
  <c r="K41" i="6"/>
  <c r="D41" i="6"/>
  <c r="B41" i="6"/>
  <c r="K40" i="6"/>
  <c r="D40" i="6"/>
  <c r="B40" i="6"/>
  <c r="K39" i="6"/>
  <c r="D39" i="6"/>
  <c r="B39" i="6"/>
  <c r="K38" i="6"/>
  <c r="D38" i="6"/>
  <c r="B38" i="6"/>
  <c r="K37" i="6"/>
  <c r="D37" i="6"/>
  <c r="B37" i="6"/>
  <c r="K36" i="6"/>
  <c r="D36" i="6"/>
  <c r="B36" i="6"/>
  <c r="K35" i="6"/>
  <c r="D35" i="6"/>
  <c r="B35" i="6"/>
  <c r="K34" i="6"/>
  <c r="D34" i="6"/>
  <c r="B34" i="6"/>
  <c r="K33" i="6"/>
  <c r="D33" i="6"/>
  <c r="B33" i="6"/>
  <c r="K32" i="6"/>
  <c r="D32" i="6"/>
  <c r="B32" i="6"/>
  <c r="K31" i="6"/>
  <c r="D31" i="6"/>
  <c r="B31" i="6"/>
  <c r="K30" i="6"/>
  <c r="H29" i="6"/>
  <c r="D30" i="6"/>
  <c r="B30" i="6"/>
  <c r="K29" i="6"/>
  <c r="D29" i="6"/>
  <c r="B29" i="6"/>
  <c r="K28" i="6"/>
  <c r="D28" i="6"/>
  <c r="B28" i="6"/>
  <c r="K27" i="6"/>
  <c r="H26" i="6"/>
  <c r="D27" i="6"/>
  <c r="B27" i="6"/>
  <c r="K26" i="6"/>
  <c r="H25" i="6"/>
  <c r="D26" i="6"/>
  <c r="B26" i="6"/>
  <c r="K25" i="6"/>
  <c r="H24" i="6"/>
  <c r="D25" i="6"/>
  <c r="B25" i="6"/>
  <c r="K24" i="6"/>
  <c r="H23" i="6"/>
  <c r="D24" i="6"/>
  <c r="B24" i="6"/>
  <c r="K23" i="6"/>
  <c r="D23" i="6"/>
  <c r="B23" i="6"/>
  <c r="K22" i="6"/>
  <c r="D22" i="6"/>
  <c r="B22" i="6"/>
  <c r="K21" i="6"/>
  <c r="D21" i="6"/>
  <c r="B21" i="6"/>
  <c r="K20" i="6"/>
  <c r="H19" i="6"/>
  <c r="F20" i="6"/>
  <c r="D20" i="6"/>
  <c r="B20" i="6"/>
  <c r="K19" i="6"/>
  <c r="H18" i="6"/>
  <c r="F19" i="6"/>
  <c r="D19" i="6"/>
  <c r="B19" i="6"/>
  <c r="K18" i="6"/>
  <c r="H17" i="6"/>
  <c r="F18" i="6"/>
  <c r="D18" i="6"/>
  <c r="B18" i="6"/>
  <c r="K17" i="6"/>
  <c r="H16" i="6"/>
  <c r="F17" i="6"/>
  <c r="D17" i="6"/>
  <c r="B17" i="6"/>
  <c r="K16" i="6"/>
  <c r="H15" i="6"/>
  <c r="F16" i="6"/>
  <c r="D16" i="6"/>
  <c r="B16" i="6"/>
  <c r="K15" i="6"/>
  <c r="H14" i="6"/>
  <c r="F15" i="6"/>
  <c r="D15" i="6"/>
  <c r="B15" i="6"/>
  <c r="K14" i="6"/>
  <c r="H13" i="6"/>
  <c r="F14" i="6"/>
  <c r="D14" i="6"/>
  <c r="B14" i="6"/>
  <c r="K13" i="6"/>
  <c r="H12" i="6"/>
  <c r="F13" i="6"/>
  <c r="D13" i="6"/>
  <c r="B13" i="6"/>
  <c r="K12" i="6"/>
  <c r="F12" i="6"/>
  <c r="D12" i="6"/>
  <c r="B12" i="6"/>
  <c r="K11" i="6"/>
  <c r="H10" i="6"/>
  <c r="F11" i="6"/>
  <c r="D11" i="6"/>
  <c r="B11" i="6"/>
  <c r="K10" i="6"/>
  <c r="H9" i="6"/>
  <c r="F10" i="6"/>
  <c r="D10" i="6"/>
  <c r="B10" i="6"/>
  <c r="K9" i="6"/>
  <c r="H8" i="6"/>
  <c r="F9" i="6"/>
  <c r="D9" i="6"/>
  <c r="B9" i="6"/>
  <c r="K8" i="6"/>
  <c r="H7" i="6"/>
  <c r="F8" i="6"/>
  <c r="D8" i="6"/>
  <c r="B8" i="6"/>
  <c r="K7" i="6"/>
  <c r="H6" i="6"/>
  <c r="F7" i="6"/>
  <c r="D7" i="6"/>
  <c r="B7" i="6"/>
  <c r="K6" i="6"/>
  <c r="H5" i="6"/>
  <c r="F6" i="6"/>
  <c r="D6" i="6"/>
  <c r="B6" i="6"/>
  <c r="K5" i="6"/>
  <c r="H4" i="6"/>
  <c r="F5" i="6"/>
  <c r="D5" i="6"/>
  <c r="K4" i="6"/>
  <c r="H3" i="6"/>
  <c r="F4" i="6"/>
  <c r="D4" i="6"/>
  <c r="K3" i="6"/>
  <c r="L3" i="6" s="1"/>
  <c r="F3" i="6"/>
  <c r="D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ld_change_list.csv" type="6" refreshedVersion="0" background="1" saveData="1">
    <textPr fileType="mac" sourceFile="Macintosh HD:Users:rienkrienksma:Desktop:PhD_files_Rienk:RNAseqInfection:analyzed_data:infectionVSspike_in:fold_change_list.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<sst xmlns="http://schemas.openxmlformats.org/spreadsheetml/2006/main" count="53686" uniqueCount="20214">
  <si>
    <t>IdeR</t>
  </si>
  <si>
    <t>EspR</t>
  </si>
  <si>
    <t>PhoP/R</t>
  </si>
  <si>
    <t>DoS/R</t>
  </si>
  <si>
    <t>WhiB3 upregulated</t>
  </si>
  <si>
    <t>Ider repressed</t>
  </si>
  <si>
    <t>FurB repressed</t>
  </si>
  <si>
    <t>EspR binding sites</t>
  </si>
  <si>
    <t>gene name</t>
  </si>
  <si>
    <t>Rv number</t>
  </si>
  <si>
    <t>DoS/R regulated+/-?</t>
  </si>
  <si>
    <t>Rv1180</t>
  </si>
  <si>
    <t>pks3</t>
  </si>
  <si>
    <t>Rv0282</t>
  </si>
  <si>
    <t>eccA3</t>
  </si>
  <si>
    <t>Rv2358</t>
  </si>
  <si>
    <t>smtB</t>
  </si>
  <si>
    <t>Rv2930</t>
  </si>
  <si>
    <t>fadD26</t>
  </si>
  <si>
    <t>bglS</t>
  </si>
  <si>
    <t>Rv0186</t>
  </si>
  <si>
    <t>Rv0231</t>
  </si>
  <si>
    <t>fadE4</t>
  </si>
  <si>
    <t>Rv0283</t>
  </si>
  <si>
    <t>eccB3</t>
  </si>
  <si>
    <t>Rv2359</t>
  </si>
  <si>
    <t>furB</t>
  </si>
  <si>
    <t>Rv1490</t>
  </si>
  <si>
    <t>-</t>
  </si>
  <si>
    <t>Rv0250c</t>
  </si>
  <si>
    <t>Rv1177</t>
  </si>
  <si>
    <t>fdxC</t>
  </si>
  <si>
    <t>Rv2931</t>
  </si>
  <si>
    <t>ppsA</t>
  </si>
  <si>
    <t>Rv0284</t>
  </si>
  <si>
    <t>eccC3</t>
  </si>
  <si>
    <t>Rv2059</t>
  </si>
  <si>
    <t>Rv2929</t>
  </si>
  <si>
    <t>hsp</t>
  </si>
  <si>
    <t>Rv0251c</t>
  </si>
  <si>
    <t>Rv1734c</t>
  </si>
  <si>
    <t>Rv2940c</t>
  </si>
  <si>
    <t>mas</t>
  </si>
  <si>
    <t>Rv0285</t>
  </si>
  <si>
    <t>PE5</t>
  </si>
  <si>
    <t>Rv2060</t>
  </si>
  <si>
    <t>Rv1067c</t>
  </si>
  <si>
    <t>groEL2</t>
  </si>
  <si>
    <t>Rv0440</t>
  </si>
  <si>
    <t>Rv1998c</t>
  </si>
  <si>
    <t>Rv2941</t>
  </si>
  <si>
    <t>fadD28</t>
  </si>
  <si>
    <t>Rv0286</t>
  </si>
  <si>
    <t>PPE4</t>
  </si>
  <si>
    <t>Rv2061c</t>
  </si>
  <si>
    <t>Rv3616c</t>
  </si>
  <si>
    <t>espA</t>
  </si>
  <si>
    <t>mmpS5</t>
  </si>
  <si>
    <t>Rv0677c</t>
  </si>
  <si>
    <t>Rv3126c</t>
  </si>
  <si>
    <t>Rv3804c</t>
  </si>
  <si>
    <t>fbpA</t>
  </si>
  <si>
    <t>Rv0287</t>
  </si>
  <si>
    <t>esxG</t>
  </si>
  <si>
    <t>Rv2055c</t>
  </si>
  <si>
    <t>rpsR2</t>
  </si>
  <si>
    <t>Rv1753c</t>
  </si>
  <si>
    <t>PPE24</t>
  </si>
  <si>
    <t>phoP</t>
  </si>
  <si>
    <t>Rv0757</t>
  </si>
  <si>
    <t>Rv3128c</t>
  </si>
  <si>
    <t>NA</t>
  </si>
  <si>
    <t>Rv3825c</t>
  </si>
  <si>
    <t>pks2</t>
  </si>
  <si>
    <t>Rv0288</t>
  </si>
  <si>
    <t>esxH</t>
  </si>
  <si>
    <t>Rv2056c</t>
  </si>
  <si>
    <t>rpsN2</t>
  </si>
  <si>
    <t>Rv0986</t>
  </si>
  <si>
    <t>phoR</t>
  </si>
  <si>
    <t>Rv0758</t>
  </si>
  <si>
    <t>Rv3129</t>
  </si>
  <si>
    <t>Rv0289</t>
  </si>
  <si>
    <t>espG3</t>
  </si>
  <si>
    <t>Rv2057c</t>
  </si>
  <si>
    <t>rpmG1</t>
  </si>
  <si>
    <t>Rv1068c</t>
  </si>
  <si>
    <t>phoY2</t>
  </si>
  <si>
    <t>Rv0821c</t>
  </si>
  <si>
    <t>Rv3841</t>
  </si>
  <si>
    <t>bfrB</t>
  </si>
  <si>
    <t>Rv0290</t>
  </si>
  <si>
    <t>eccD3</t>
  </si>
  <si>
    <t>Rv2058c</t>
  </si>
  <si>
    <t>rpmB2</t>
  </si>
  <si>
    <t>Rv3487c</t>
  </si>
  <si>
    <t>lipF</t>
  </si>
  <si>
    <t>lpqS</t>
  </si>
  <si>
    <t>Rv0847</t>
  </si>
  <si>
    <t>Rv0064</t>
  </si>
  <si>
    <t>Rv0291</t>
  </si>
  <si>
    <t>mycP3</t>
  </si>
  <si>
    <t>Rv0105c</t>
  </si>
  <si>
    <t>rpmB1</t>
  </si>
  <si>
    <t>Rv0469</t>
  </si>
  <si>
    <t>umaA</t>
  </si>
  <si>
    <t>Rv0967</t>
  </si>
  <si>
    <t>Rv0079</t>
  </si>
  <si>
    <t>Rv0106</t>
  </si>
  <si>
    <t>Rv0968</t>
  </si>
  <si>
    <t>Rv0080</t>
  </si>
  <si>
    <t>Rv0450c</t>
  </si>
  <si>
    <t>mmpL4</t>
  </si>
  <si>
    <t>Rv0232</t>
  </si>
  <si>
    <t>Rv3612c</t>
  </si>
  <si>
    <t>Rv0081</t>
  </si>
  <si>
    <t>Rv0451c</t>
  </si>
  <si>
    <t>mmpL5</t>
  </si>
  <si>
    <t>Rv0281</t>
  </si>
  <si>
    <t>Rv3613c</t>
  </si>
  <si>
    <t>Rv1184c</t>
  </si>
  <si>
    <t>Rv0082</t>
  </si>
  <si>
    <t>Rv0482</t>
  </si>
  <si>
    <t>murB</t>
  </si>
  <si>
    <t>Rv1195</t>
  </si>
  <si>
    <t>PE13</t>
  </si>
  <si>
    <t>Rv3614c</t>
  </si>
  <si>
    <t>espD</t>
  </si>
  <si>
    <t>fadD21</t>
  </si>
  <si>
    <t>Rv1185c</t>
  </si>
  <si>
    <t>Rv0158</t>
  </si>
  <si>
    <t>Rv0587</t>
  </si>
  <si>
    <t>yrbE2A</t>
  </si>
  <si>
    <t>Rv1857</t>
  </si>
  <si>
    <t>modA</t>
  </si>
  <si>
    <t>Rv3615c</t>
  </si>
  <si>
    <t>espC</t>
  </si>
  <si>
    <t>Rv1217c</t>
  </si>
  <si>
    <t>Rv0252</t>
  </si>
  <si>
    <t>nirB</t>
  </si>
  <si>
    <t>Rv1345</t>
  </si>
  <si>
    <t>mbtM</t>
  </si>
  <si>
    <t>Rv1870c</t>
  </si>
  <si>
    <t>Rv1218c</t>
  </si>
  <si>
    <t>Rv0267</t>
  </si>
  <si>
    <t>narU</t>
  </si>
  <si>
    <t>Rv1346</t>
  </si>
  <si>
    <t>mbtN</t>
  </si>
  <si>
    <t>Rv2990c</t>
  </si>
  <si>
    <t>Rv1981c</t>
  </si>
  <si>
    <t>nrdF1</t>
  </si>
  <si>
    <t>Rv1219c</t>
  </si>
  <si>
    <t>Rv0318c</t>
  </si>
  <si>
    <t>Rv1347c</t>
  </si>
  <si>
    <t>mbtK</t>
  </si>
  <si>
    <t>Rv3017c</t>
  </si>
  <si>
    <t>esxQ</t>
  </si>
  <si>
    <t>Rv1982c</t>
  </si>
  <si>
    <t>vapC36</t>
  </si>
  <si>
    <t>Rv1639c</t>
  </si>
  <si>
    <t>Rv0349</t>
  </si>
  <si>
    <t>Rv1348</t>
  </si>
  <si>
    <t>irtA</t>
  </si>
  <si>
    <t>Rv3019c</t>
  </si>
  <si>
    <t>esxR</t>
  </si>
  <si>
    <t>Rv1687c</t>
  </si>
  <si>
    <t>Rv0553</t>
  </si>
  <si>
    <t>menC</t>
  </si>
  <si>
    <t>Rv1349</t>
  </si>
  <si>
    <t>irtB</t>
  </si>
  <si>
    <t>Rv3020c</t>
  </si>
  <si>
    <t>esxS</t>
  </si>
  <si>
    <t>Rv1812c</t>
  </si>
  <si>
    <t>Rv0568</t>
  </si>
  <si>
    <t>cyp135B1</t>
  </si>
  <si>
    <t>Rv1876</t>
  </si>
  <si>
    <t>bfrA</t>
  </si>
  <si>
    <t>Rv3022c</t>
  </si>
  <si>
    <t>PPE48</t>
  </si>
  <si>
    <t>Rv1986</t>
  </si>
  <si>
    <t>Rv0569</t>
  </si>
  <si>
    <t>Rv2122c</t>
  </si>
  <si>
    <t>Rv3229c</t>
  </si>
  <si>
    <t>desA3</t>
  </si>
  <si>
    <t>Rv1996</t>
  </si>
  <si>
    <t>Rv0570</t>
  </si>
  <si>
    <t>nrdZ</t>
  </si>
  <si>
    <t>Rv2123</t>
  </si>
  <si>
    <t>PPE37</t>
  </si>
  <si>
    <t>Rv2137c</t>
  </si>
  <si>
    <t>Rv0571c</t>
  </si>
  <si>
    <t>Rv2384</t>
  </si>
  <si>
    <t>mbtA</t>
  </si>
  <si>
    <t>narK1</t>
  </si>
  <si>
    <t>Rv2329c</t>
  </si>
  <si>
    <t>Rv0572c</t>
  </si>
  <si>
    <t>Rv2383c</t>
  </si>
  <si>
    <t>mbtB</t>
  </si>
  <si>
    <t>Rv2376c</t>
  </si>
  <si>
    <t>Rv0573c</t>
  </si>
  <si>
    <t>Rv2382c</t>
  </si>
  <si>
    <t>mbtC</t>
  </si>
  <si>
    <t>Rv2389c</t>
  </si>
  <si>
    <t>Rv0574c</t>
  </si>
  <si>
    <t>Rv2381c</t>
  </si>
  <si>
    <t>mbtD</t>
  </si>
  <si>
    <t>Rv2390c</t>
  </si>
  <si>
    <t>Rv0634c</t>
  </si>
  <si>
    <t>Rv2380c</t>
  </si>
  <si>
    <t>mbtE</t>
  </si>
  <si>
    <t>nirA</t>
  </si>
  <si>
    <t>Rv2391</t>
  </si>
  <si>
    <t>Rv0907</t>
  </si>
  <si>
    <t>Rv2379</t>
  </si>
  <si>
    <t>mbtF</t>
  </si>
  <si>
    <t>cysH</t>
  </si>
  <si>
    <t>Rv2392</t>
  </si>
  <si>
    <t>Rv1065</t>
  </si>
  <si>
    <t>Rv2378c</t>
  </si>
  <si>
    <t>mbtG</t>
  </si>
  <si>
    <t>Rv2393</t>
  </si>
  <si>
    <t>Rv1367c</t>
  </si>
  <si>
    <t>Rv2377c</t>
  </si>
  <si>
    <t>mbtH</t>
  </si>
  <si>
    <t>PE_PGRS</t>
  </si>
  <si>
    <t>Rv2396</t>
  </si>
  <si>
    <t>Rv1405c</t>
  </si>
  <si>
    <t>Rv2386c</t>
  </si>
  <si>
    <t>mbtI</t>
  </si>
  <si>
    <t>fas</t>
  </si>
  <si>
    <t>Rv2524c</t>
  </si>
  <si>
    <t>Rv1733c</t>
  </si>
  <si>
    <t>Rv2385</t>
  </si>
  <si>
    <t>mbtJ</t>
  </si>
  <si>
    <t>fadD9</t>
  </si>
  <si>
    <t>Rv2590</t>
  </si>
  <si>
    <t>Rv1736c</t>
  </si>
  <si>
    <t>narX</t>
  </si>
  <si>
    <t>Rv3402c</t>
  </si>
  <si>
    <t>Rv2621c</t>
  </si>
  <si>
    <t>Rv1737c</t>
  </si>
  <si>
    <t>narK2</t>
  </si>
  <si>
    <t>Rv2628</t>
  </si>
  <si>
    <t>Rv1738</t>
  </si>
  <si>
    <t>Rv3838c</t>
  </si>
  <si>
    <t>pheA</t>
  </si>
  <si>
    <t>FurA</t>
  </si>
  <si>
    <t>Rv2630</t>
  </si>
  <si>
    <t>Rv0116c</t>
  </si>
  <si>
    <t>ldtA</t>
  </si>
  <si>
    <t>FurArepressed</t>
  </si>
  <si>
    <t>Rv2641</t>
  </si>
  <si>
    <t>Rv1813c</t>
  </si>
  <si>
    <t>Rv0766c</t>
  </si>
  <si>
    <t>cyp123</t>
  </si>
  <si>
    <t>Rv1908c</t>
  </si>
  <si>
    <t>katG</t>
  </si>
  <si>
    <t>Rv2642</t>
  </si>
  <si>
    <t>Rv1818c</t>
  </si>
  <si>
    <t>PE_PGRS33</t>
  </si>
  <si>
    <t>Rv1343c</t>
  </si>
  <si>
    <t>lprD</t>
  </si>
  <si>
    <t>Rv1909c</t>
  </si>
  <si>
    <t>furA</t>
  </si>
  <si>
    <t>35kd_ag</t>
  </si>
  <si>
    <t>Rv2744c</t>
  </si>
  <si>
    <t>Rv1977</t>
  </si>
  <si>
    <t>Rv1519</t>
  </si>
  <si>
    <t>ald</t>
  </si>
  <si>
    <t>Rv2780</t>
  </si>
  <si>
    <t>Rv1992c</t>
  </si>
  <si>
    <t>ctpG</t>
  </si>
  <si>
    <t>Rv3127</t>
  </si>
  <si>
    <t>Rv3403c</t>
  </si>
  <si>
    <t>Rv1997</t>
  </si>
  <si>
    <t>ctpF</t>
  </si>
  <si>
    <t>Rv3839</t>
  </si>
  <si>
    <t>dosS</t>
  </si>
  <si>
    <t>Rv3132c</t>
  </si>
  <si>
    <t>Rv2004c</t>
  </si>
  <si>
    <t>Rv3840</t>
  </si>
  <si>
    <t>dosR</t>
  </si>
  <si>
    <t>Rv3133c</t>
  </si>
  <si>
    <t>Rv2005c</t>
  </si>
  <si>
    <t>PPE</t>
  </si>
  <si>
    <t>Rv3135</t>
  </si>
  <si>
    <t>Rv2006</t>
  </si>
  <si>
    <t>otsB1</t>
  </si>
  <si>
    <t>Rv3402</t>
  </si>
  <si>
    <t>Rv3136</t>
  </si>
  <si>
    <t>Rv2007c</t>
  </si>
  <si>
    <t>fdxA</t>
  </si>
  <si>
    <t>Rv3137</t>
  </si>
  <si>
    <t>Rv2008c</t>
  </si>
  <si>
    <t>Rv0009</t>
  </si>
  <si>
    <t>ppiA</t>
  </si>
  <si>
    <t>fadB4</t>
  </si>
  <si>
    <t>Rv3141</t>
  </si>
  <si>
    <t>Rv2028</t>
  </si>
  <si>
    <t>Rv0388c</t>
  </si>
  <si>
    <t>Rv3143</t>
  </si>
  <si>
    <t>Rv2029c</t>
  </si>
  <si>
    <t>pfkB</t>
  </si>
  <si>
    <t>SufRregulated</t>
  </si>
  <si>
    <t>nuoB</t>
  </si>
  <si>
    <t>Rv3146</t>
  </si>
  <si>
    <t>Rv2030c</t>
  </si>
  <si>
    <t>SUFoperon</t>
  </si>
  <si>
    <t>nuoC</t>
  </si>
  <si>
    <t>Rv3147</t>
  </si>
  <si>
    <t>Rv2031c</t>
  </si>
  <si>
    <t>hspX</t>
  </si>
  <si>
    <t>Rv1460</t>
  </si>
  <si>
    <t>nuoD</t>
  </si>
  <si>
    <t>Rv3148</t>
  </si>
  <si>
    <t>Rv2032</t>
  </si>
  <si>
    <t>acg</t>
  </si>
  <si>
    <t>Rv1461</t>
  </si>
  <si>
    <t>nuoK</t>
  </si>
  <si>
    <t>Rv3155</t>
  </si>
  <si>
    <t>Rv2130c</t>
  </si>
  <si>
    <t>cysS</t>
  </si>
  <si>
    <t>Rv1462</t>
  </si>
  <si>
    <t>Rv3161c</t>
  </si>
  <si>
    <t>Rv2131c</t>
  </si>
  <si>
    <t>cysQ</t>
  </si>
  <si>
    <t>Rv1463</t>
  </si>
  <si>
    <t>Rv3197</t>
  </si>
  <si>
    <t>Rv2367c</t>
  </si>
  <si>
    <t>Rv1464</t>
  </si>
  <si>
    <t>Rv3269</t>
  </si>
  <si>
    <t>Rv1465</t>
  </si>
  <si>
    <t>ctpC</t>
  </si>
  <si>
    <t>Rv3270</t>
  </si>
  <si>
    <t>Rv2623</t>
  </si>
  <si>
    <t>TB31.7</t>
  </si>
  <si>
    <t>Rv1466</t>
  </si>
  <si>
    <t>PE</t>
  </si>
  <si>
    <t>Rv3477</t>
  </si>
  <si>
    <t>Rv2624c</t>
  </si>
  <si>
    <t>Rv2625c</t>
  </si>
  <si>
    <t>Rv3822</t>
  </si>
  <si>
    <t>Rv2626c</t>
  </si>
  <si>
    <t>Rv2627c</t>
  </si>
  <si>
    <t>Rv3849</t>
  </si>
  <si>
    <t>whiB6</t>
  </si>
  <si>
    <t>Rv3862c</t>
  </si>
  <si>
    <t>Rv2629</t>
  </si>
  <si>
    <t>Rv3864</t>
  </si>
  <si>
    <t>Rv3865</t>
  </si>
  <si>
    <t>Rv2631</t>
  </si>
  <si>
    <t>Rv3866</t>
  </si>
  <si>
    <t>Rv2708c</t>
  </si>
  <si>
    <t>Rv3867</t>
  </si>
  <si>
    <t>Rv2751</t>
  </si>
  <si>
    <t>Rv3873</t>
  </si>
  <si>
    <t>Rv2920c</t>
  </si>
  <si>
    <t>amt</t>
  </si>
  <si>
    <t>Rv3876</t>
  </si>
  <si>
    <t>Rv3046c</t>
  </si>
  <si>
    <t>Rv3877</t>
  </si>
  <si>
    <t>Rv3065</t>
  </si>
  <si>
    <t>mmr</t>
  </si>
  <si>
    <t>Rv3878</t>
  </si>
  <si>
    <t>Rv3879c</t>
  </si>
  <si>
    <t>Rv3130c</t>
  </si>
  <si>
    <t>tgs1</t>
  </si>
  <si>
    <t>Rv3880c</t>
  </si>
  <si>
    <t>Rv3131</t>
  </si>
  <si>
    <t>espB</t>
  </si>
  <si>
    <t>Rv3881c</t>
  </si>
  <si>
    <t>devS</t>
  </si>
  <si>
    <t>devR</t>
  </si>
  <si>
    <t>icl</t>
  </si>
  <si>
    <t>Rv0467</t>
  </si>
  <si>
    <t>Rv3134c</t>
  </si>
  <si>
    <t>fadB2</t>
  </si>
  <si>
    <t>Rv0468</t>
  </si>
  <si>
    <t>Rv3568c</t>
  </si>
  <si>
    <t>bphC</t>
  </si>
  <si>
    <t>umaA1</t>
  </si>
  <si>
    <t>Rv1040c</t>
  </si>
  <si>
    <t>Initial hypoxic</t>
  </si>
  <si>
    <t>response</t>
  </si>
  <si>
    <t>devS/dosS</t>
  </si>
  <si>
    <t>devR/dosR</t>
  </si>
  <si>
    <t>Enduringhypoxic</t>
  </si>
  <si>
    <t>csoR</t>
  </si>
  <si>
    <t>rpfD</t>
  </si>
  <si>
    <t>espE</t>
  </si>
  <si>
    <t>RD1region</t>
  </si>
  <si>
    <t>espF</t>
  </si>
  <si>
    <t>espG1</t>
  </si>
  <si>
    <t>espH</t>
  </si>
  <si>
    <t>PPE68</t>
  </si>
  <si>
    <t>espI</t>
  </si>
  <si>
    <t>eccD1</t>
  </si>
  <si>
    <t>espJ</t>
  </si>
  <si>
    <t>espK</t>
  </si>
  <si>
    <t>espL</t>
  </si>
  <si>
    <t>Respiration</t>
  </si>
  <si>
    <t>Rv3246</t>
  </si>
  <si>
    <t>Lipidmetabolism</t>
  </si>
  <si>
    <t>Rv2590c</t>
  </si>
  <si>
    <t>Stressproteins</t>
  </si>
  <si>
    <t>WhiB7 upregulated</t>
  </si>
  <si>
    <t>Crp</t>
  </si>
  <si>
    <t>mdh</t>
  </si>
  <si>
    <t>Rv1265</t>
  </si>
  <si>
    <t>PE_PGRS6a</t>
  </si>
  <si>
    <t>Cmr regulated</t>
  </si>
  <si>
    <t>crp repressed genes</t>
  </si>
  <si>
    <t>Rv0099</t>
  </si>
  <si>
    <t>fadD10</t>
  </si>
  <si>
    <t>Rv0188</t>
  </si>
  <si>
    <t>Rv1623c</t>
  </si>
  <si>
    <t>cydA</t>
  </si>
  <si>
    <t>Rv2485c</t>
  </si>
  <si>
    <t>lipQ</t>
  </si>
  <si>
    <t>crp upregulated</t>
  </si>
  <si>
    <t>Rv0483</t>
  </si>
  <si>
    <t>lprQ</t>
  </si>
  <si>
    <t>Rv0867c</t>
  </si>
  <si>
    <t>rpfA</t>
  </si>
  <si>
    <t>Rv1387</t>
  </si>
  <si>
    <t>Rv1592c</t>
  </si>
  <si>
    <t>Rv2428</t>
  </si>
  <si>
    <t>ahpC</t>
  </si>
  <si>
    <t>PPE51</t>
  </si>
  <si>
    <t>Rv3219</t>
  </si>
  <si>
    <t>whiB1</t>
  </si>
  <si>
    <t>PhoP Downregulated</t>
  </si>
  <si>
    <t>Rv1130</t>
  </si>
  <si>
    <t>Rv1131</t>
  </si>
  <si>
    <t>Rv0453</t>
  </si>
  <si>
    <t>Rv1831</t>
  </si>
  <si>
    <t>Rv1652</t>
  </si>
  <si>
    <t>Rv3197A</t>
  </si>
  <si>
    <t>Rv1807</t>
  </si>
  <si>
    <t>Rv3554</t>
  </si>
  <si>
    <t>Rv0193c</t>
  </si>
  <si>
    <t>Rv2917</t>
  </si>
  <si>
    <t>Rv3611</t>
  </si>
  <si>
    <t>Rv3053c</t>
  </si>
  <si>
    <t>Rv0726c</t>
  </si>
  <si>
    <t>Rv3252c</t>
  </si>
  <si>
    <t>Rv2745c</t>
  </si>
  <si>
    <t>Rv1654</t>
  </si>
  <si>
    <t>Rv0350</t>
  </si>
  <si>
    <t>Rv2379c</t>
  </si>
  <si>
    <t>Rv2791c</t>
  </si>
  <si>
    <t>Rv0860</t>
  </si>
  <si>
    <t>Rv0244c</t>
  </si>
  <si>
    <t>Rv2585c</t>
  </si>
  <si>
    <t>Rv2946c</t>
  </si>
  <si>
    <t>Rv2935</t>
  </si>
  <si>
    <t>Rv1297</t>
  </si>
  <si>
    <t>Rv3290c</t>
  </si>
  <si>
    <t>Rv1307</t>
  </si>
  <si>
    <t>Rv2196</t>
  </si>
  <si>
    <t>Rv3583c</t>
  </si>
  <si>
    <t>Rv3151</t>
  </si>
  <si>
    <t>Rv1398c</t>
  </si>
  <si>
    <t>Rv1309</t>
  </si>
  <si>
    <t>Rv1611</t>
  </si>
  <si>
    <t>Rv3060c</t>
  </si>
  <si>
    <t>Rv3173c</t>
  </si>
  <si>
    <t>Rv2366c</t>
  </si>
  <si>
    <t>Rv2781c</t>
  </si>
  <si>
    <t>Rv3774</t>
  </si>
  <si>
    <t>Rv1502</t>
  </si>
  <si>
    <t>Rv1604</t>
  </si>
  <si>
    <t>Differentieel expressed 24 hour infection macrophage</t>
  </si>
  <si>
    <t>logFC</t>
  </si>
  <si>
    <t>MTB.id</t>
  </si>
  <si>
    <t>Rv0927c</t>
  </si>
  <si>
    <t>Rv1222</t>
  </si>
  <si>
    <t>Rv1755c</t>
  </si>
  <si>
    <t>Rv1822</t>
  </si>
  <si>
    <t>Rv1921c</t>
  </si>
  <si>
    <t>Rv2353c</t>
  </si>
  <si>
    <t>Rv0319</t>
  </si>
  <si>
    <t>Rv0609</t>
  </si>
  <si>
    <t>Rv0678</t>
  </si>
  <si>
    <t>Rv0912</t>
  </si>
  <si>
    <t>Rv0941c</t>
  </si>
  <si>
    <t>Rv1352</t>
  </si>
  <si>
    <t>Rv2046</t>
  </si>
  <si>
    <t>Rv2120c</t>
  </si>
  <si>
    <t>Rv2395</t>
  </si>
  <si>
    <t>Rv2663</t>
  </si>
  <si>
    <t>Rv2923c</t>
  </si>
  <si>
    <t>Rv2924c</t>
  </si>
  <si>
    <t>Rv3040c</t>
  </si>
  <si>
    <t>Rv3191c</t>
  </si>
  <si>
    <t>Rv3315c</t>
  </si>
  <si>
    <t>Rv3395A</t>
  </si>
  <si>
    <t>Rv3437</t>
  </si>
  <si>
    <t>Rv0799c</t>
  </si>
  <si>
    <t>Rv2121c</t>
  </si>
  <si>
    <t>Rv3597c</t>
  </si>
  <si>
    <t>Rv0406c</t>
  </si>
  <si>
    <t>Rv0449c</t>
  </si>
  <si>
    <t>Rv0697</t>
  </si>
  <si>
    <t>Rv0760c</t>
  </si>
  <si>
    <t>Rv0962c</t>
  </si>
  <si>
    <t>Rv0997</t>
  </si>
  <si>
    <t>Rv1044</t>
  </si>
  <si>
    <t>Rv1053c</t>
  </si>
  <si>
    <t>Rv1075c</t>
  </si>
  <si>
    <t>Rv1189</t>
  </si>
  <si>
    <t>Rv1622c</t>
  </si>
  <si>
    <t>Rv2208</t>
  </si>
  <si>
    <t>Rv2671</t>
  </si>
  <si>
    <t>Rv3089</t>
  </si>
  <si>
    <t>Rv3164c</t>
  </si>
  <si>
    <t>Rv3288c</t>
  </si>
  <si>
    <t>Rv3469c</t>
  </si>
  <si>
    <t>Rv3470c</t>
  </si>
  <si>
    <t>Rv3493c</t>
  </si>
  <si>
    <t>Rv0200</t>
  </si>
  <si>
    <t>Rv0902c</t>
  </si>
  <si>
    <t>Rv3775</t>
  </si>
  <si>
    <t>Rv3208A</t>
  </si>
  <si>
    <t>Rv0149</t>
  </si>
  <si>
    <t>Rv1082</t>
  </si>
  <si>
    <t>Rv1278</t>
  </si>
  <si>
    <t>Rv0030</t>
  </si>
  <si>
    <t>Rv0560c</t>
  </si>
  <si>
    <t>Rv0880</t>
  </si>
  <si>
    <t>Rv1125</t>
  </si>
  <si>
    <t>Rv1211</t>
  </si>
  <si>
    <t>Rv1366</t>
  </si>
  <si>
    <t>Rv1413</t>
  </si>
  <si>
    <t>Rv1616</t>
  </si>
  <si>
    <t>Rv1833c</t>
  </si>
  <si>
    <t>Rv1947</t>
  </si>
  <si>
    <t>Rv2054</t>
  </si>
  <si>
    <t>Rv2260</t>
  </si>
  <si>
    <t>Rv2475c</t>
  </si>
  <si>
    <t>Rv3145</t>
  </si>
  <si>
    <t>Rv3450c</t>
  </si>
  <si>
    <t>Rv3734c</t>
  </si>
  <si>
    <t>Rv3757c</t>
  </si>
  <si>
    <t>Rv3900c</t>
  </si>
  <si>
    <t>Rv2328</t>
  </si>
  <si>
    <t>Rv2414c</t>
  </si>
  <si>
    <t>Rv2895c</t>
  </si>
  <si>
    <t>Rv2945c</t>
  </si>
  <si>
    <t>Rv0958</t>
  </si>
  <si>
    <t>Rv0996</t>
  </si>
  <si>
    <t>Rv0036c</t>
  </si>
  <si>
    <t>Rv1608c</t>
  </si>
  <si>
    <t>Rv3712</t>
  </si>
  <si>
    <t>Rv0042c</t>
  </si>
  <si>
    <t>Rv0218</t>
  </si>
  <si>
    <t>Rv0546c</t>
  </si>
  <si>
    <t>Rv0849</t>
  </si>
  <si>
    <t>Rv1722</t>
  </si>
  <si>
    <t>Rv2018</t>
  </si>
  <si>
    <t>Rv2486</t>
  </si>
  <si>
    <t>Rv3888c</t>
  </si>
  <si>
    <t>Rv1174c</t>
  </si>
  <si>
    <t>Rv2459</t>
  </si>
  <si>
    <t>Rv0394c</t>
  </si>
  <si>
    <t>Rv1911c</t>
  </si>
  <si>
    <t>Rv2363</t>
  </si>
  <si>
    <t>Rv3494c</t>
  </si>
  <si>
    <t>Rv0870c</t>
  </si>
  <si>
    <t>Rv1262c</t>
  </si>
  <si>
    <t>Rv1558</t>
  </si>
  <si>
    <t>Rv1694</t>
  </si>
  <si>
    <t>Rv2077c</t>
  </si>
  <si>
    <t>Rv3027c</t>
  </si>
  <si>
    <t>Rv3502c</t>
  </si>
  <si>
    <t>Rv3644c</t>
  </si>
  <si>
    <t>Rv3742c</t>
  </si>
  <si>
    <t>Rv0550c</t>
  </si>
  <si>
    <t>Rv2289</t>
  </si>
  <si>
    <t>Rv2584c</t>
  </si>
  <si>
    <t>Rv2988c</t>
  </si>
  <si>
    <t>Rv2502c</t>
  </si>
  <si>
    <t>Rv1004c</t>
  </si>
  <si>
    <t>Rv2298</t>
  </si>
  <si>
    <t>Rv0039c</t>
  </si>
  <si>
    <t>Rv0430</t>
  </si>
  <si>
    <t>Rv0478</t>
  </si>
  <si>
    <t>Rv0937c</t>
  </si>
  <si>
    <t>Rv1712</t>
  </si>
  <si>
    <t>Rv1931c</t>
  </si>
  <si>
    <t>Rv2294</t>
  </si>
  <si>
    <t>Rv2557</t>
  </si>
  <si>
    <t>Rv2732c</t>
  </si>
  <si>
    <t>Rv2763c</t>
  </si>
  <si>
    <t>Rv2876</t>
  </si>
  <si>
    <t>Rv3338</t>
  </si>
  <si>
    <t>Rv1277</t>
  </si>
  <si>
    <t>Rv1816</t>
  </si>
  <si>
    <t>Rv1845c</t>
  </si>
  <si>
    <t>Rv1847</t>
  </si>
  <si>
    <t>Rv3204</t>
  </si>
  <si>
    <t>Rv2937</t>
  </si>
  <si>
    <t>Rv3025c</t>
  </si>
  <si>
    <t>Rv3711c</t>
  </si>
  <si>
    <t>Rv0460</t>
  </si>
  <si>
    <t>Rv0730</t>
  </si>
  <si>
    <t>Rv1468c</t>
  </si>
  <si>
    <t>Rv1637c</t>
  </si>
  <si>
    <t>Rv1668c</t>
  </si>
  <si>
    <t>Rv1891</t>
  </si>
  <si>
    <t>Rv2000</t>
  </si>
  <si>
    <t>Rv3608c</t>
  </si>
  <si>
    <t>Rv2938</t>
  </si>
  <si>
    <t>Rv2536</t>
  </si>
  <si>
    <t>Rv3239c</t>
  </si>
  <si>
    <t>Rv3496c</t>
  </si>
  <si>
    <t>Rv1274</t>
  </si>
  <si>
    <t>Rv0182c</t>
  </si>
  <si>
    <t>Rv2610c</t>
  </si>
  <si>
    <t>Rv1061</t>
  </si>
  <si>
    <t>Rv1152</t>
  </si>
  <si>
    <t>Rv2498c</t>
  </si>
  <si>
    <t>Rv3221c</t>
  </si>
  <si>
    <t>Rv3371</t>
  </si>
  <si>
    <t>Rv1743</t>
  </si>
  <si>
    <t>Rv2204c</t>
  </si>
  <si>
    <t>Rv2860c</t>
  </si>
  <si>
    <t>Rv0643c</t>
  </si>
  <si>
    <t>Rv2226</t>
  </si>
  <si>
    <t>Rv1063c</t>
  </si>
  <si>
    <t>Rv1566c</t>
  </si>
  <si>
    <t>Rv2009</t>
  </si>
  <si>
    <t>Rv2425c</t>
  </si>
  <si>
    <t>Rv3633</t>
  </si>
  <si>
    <t>Rv0202c</t>
  </si>
  <si>
    <t>Rv2543</t>
  </si>
  <si>
    <t>Rv2343c</t>
  </si>
  <si>
    <t>Rv3699</t>
  </si>
  <si>
    <t>Rv3759c</t>
  </si>
  <si>
    <t>Rv3847</t>
  </si>
  <si>
    <t>Rv0419</t>
  </si>
  <si>
    <t>Rv1479</t>
  </si>
  <si>
    <t>Rv0782</t>
  </si>
  <si>
    <t>Rv0509</t>
  </si>
  <si>
    <t>Rv1333</t>
  </si>
  <si>
    <t>Rv2790c</t>
  </si>
  <si>
    <t>Rv3587c</t>
  </si>
  <si>
    <t>Rv1162</t>
  </si>
  <si>
    <t>Rv2313c</t>
  </si>
  <si>
    <t>Rv2456c</t>
  </si>
  <si>
    <t>Rv2792c</t>
  </si>
  <si>
    <t>Rv3703c</t>
  </si>
  <si>
    <t>Rv2495c</t>
  </si>
  <si>
    <t>Rv0663</t>
  </si>
  <si>
    <t>Rv0638</t>
  </si>
  <si>
    <t>Rv1043c</t>
  </si>
  <si>
    <t>Rv0057</t>
  </si>
  <si>
    <t>Rv0348</t>
  </si>
  <si>
    <t>Rv1285</t>
  </si>
  <si>
    <t>Rv1435c</t>
  </si>
  <si>
    <t>Rv1748</t>
  </si>
  <si>
    <t>Rv2882c</t>
  </si>
  <si>
    <t>Rv3630</t>
  </si>
  <si>
    <t>Rv0928</t>
  </si>
  <si>
    <t>Rv3868</t>
  </si>
  <si>
    <t>Rv1069c</t>
  </si>
  <si>
    <t>Rv2888c</t>
  </si>
  <si>
    <t>Rv0957</t>
  </si>
  <si>
    <t>Rv1488</t>
  </si>
  <si>
    <t>Rv0890c</t>
  </si>
  <si>
    <t>Rv3285</t>
  </si>
  <si>
    <t>Rv2681</t>
  </si>
  <si>
    <t>Rv2773c</t>
  </si>
  <si>
    <t>Rv3693</t>
  </si>
  <si>
    <t>Rv3732</t>
  </si>
  <si>
    <t>Rv2110c</t>
  </si>
  <si>
    <t>Rv0473</t>
  </si>
  <si>
    <t>Rv2184c</t>
  </si>
  <si>
    <t>Rv2215</t>
  </si>
  <si>
    <t>Rv1650</t>
  </si>
  <si>
    <t>Rv3863</t>
  </si>
  <si>
    <t>Rv0869c</t>
  </si>
  <si>
    <t>Rv3593</t>
  </si>
  <si>
    <t>Rv0555</t>
  </si>
  <si>
    <t>Rv0500</t>
  </si>
  <si>
    <t>Rv2219</t>
  </si>
  <si>
    <t>Rv0040c</t>
  </si>
  <si>
    <t>Rv2067c</t>
  </si>
  <si>
    <t>Rv3907c</t>
  </si>
  <si>
    <t>Rv0732</t>
  </si>
  <si>
    <t>Rv1527c</t>
  </si>
  <si>
    <t>Rv1108c</t>
  </si>
  <si>
    <t>Rv2985</t>
  </si>
  <si>
    <t>Rv0213c</t>
  </si>
  <si>
    <t>Rv1436</t>
  </si>
  <si>
    <t>Rv3298c</t>
  </si>
  <si>
    <t>Rv0078Bc</t>
  </si>
  <si>
    <t>Rv0156</t>
  </si>
  <si>
    <t>Rv0195</t>
  </si>
  <si>
    <t>Rv0817c</t>
  </si>
  <si>
    <t>Rv1335</t>
  </si>
  <si>
    <t>Rv1744c</t>
  </si>
  <si>
    <t>Rv2323c</t>
  </si>
  <si>
    <t>Rv2450c</t>
  </si>
  <si>
    <t>Rv2515c</t>
  </si>
  <si>
    <t>Rv3489</t>
  </si>
  <si>
    <t>Rv3623</t>
  </si>
  <si>
    <t>Rv0748</t>
  </si>
  <si>
    <t>Rv0518</t>
  </si>
  <si>
    <t>Rv0525</t>
  </si>
  <si>
    <t>Rv1025</t>
  </si>
  <si>
    <t>Rv1505c</t>
  </si>
  <si>
    <t>Rv1758</t>
  </si>
  <si>
    <t>Rv1904</t>
  </si>
  <si>
    <t>Rv2177c</t>
  </si>
  <si>
    <t>Rv2271</t>
  </si>
  <si>
    <t>Rv2318</t>
  </si>
  <si>
    <t>Rv2408</t>
  </si>
  <si>
    <t>Rv2420c</t>
  </si>
  <si>
    <t>Rv2432c</t>
  </si>
  <si>
    <t>Rv0108c</t>
  </si>
  <si>
    <t>Rv1118c</t>
  </si>
  <si>
    <t>Rv1159A</t>
  </si>
  <si>
    <t>Rv1351</t>
  </si>
  <si>
    <t>Rv2406c</t>
  </si>
  <si>
    <t>Rv2566</t>
  </si>
  <si>
    <t>Rv2601A</t>
  </si>
  <si>
    <t>Rv2987c</t>
  </si>
  <si>
    <t>Rv3086</t>
  </si>
  <si>
    <t>Rv3098c</t>
  </si>
  <si>
    <t>Rv3342</t>
  </si>
  <si>
    <t>Rv3360</t>
  </si>
  <si>
    <t>Rv3468c</t>
  </si>
  <si>
    <t>Rv3555c</t>
  </si>
  <si>
    <t>Rv3589</t>
  </si>
  <si>
    <t>Rv3749c</t>
  </si>
  <si>
    <t>Rv0500A</t>
  </si>
  <si>
    <t>Rv0919</t>
  </si>
  <si>
    <t>Rv1494</t>
  </si>
  <si>
    <t>Rv1943c</t>
  </si>
  <si>
    <t>Rv2574</t>
  </si>
  <si>
    <t>Rv2772c</t>
  </si>
  <si>
    <t>Rv2776c</t>
  </si>
  <si>
    <t>Rv3287c</t>
  </si>
  <si>
    <t>Rv3718c</t>
  </si>
  <si>
    <t>Rv0011c</t>
  </si>
  <si>
    <t>Rv1236</t>
  </si>
  <si>
    <t>Rv1695</t>
  </si>
  <si>
    <t>Rv2017</t>
  </si>
  <si>
    <t>Rv2095c</t>
  </si>
  <si>
    <t>Rv3547</t>
  </si>
  <si>
    <t>Rv3551</t>
  </si>
  <si>
    <t>Rv0159c</t>
  </si>
  <si>
    <t>Rv1235</t>
  </si>
  <si>
    <t>Rv2309c</t>
  </si>
  <si>
    <t>Rv2727c</t>
  </si>
  <si>
    <t>Rv3753c</t>
  </si>
  <si>
    <t>Rv0296c</t>
  </si>
  <si>
    <t>Rv0871</t>
  </si>
  <si>
    <t>Rv1234</t>
  </si>
  <si>
    <t>Rv1393c</t>
  </si>
  <si>
    <t>Rv2686c</t>
  </si>
  <si>
    <t>Rv3529c</t>
  </si>
  <si>
    <t>Rv0301</t>
  </si>
  <si>
    <t>Rv1032c</t>
  </si>
  <si>
    <t>Rv1373</t>
  </si>
  <si>
    <t>Rv1394c</t>
  </si>
  <si>
    <t>Rv2066</t>
  </si>
  <si>
    <t>Rv2081c</t>
  </si>
  <si>
    <t>Rv2528c</t>
  </si>
  <si>
    <t>Rv3016</t>
  </si>
  <si>
    <t>Rv3539</t>
  </si>
  <si>
    <t>Rv0131c</t>
  </si>
  <si>
    <t>Rv0529</t>
  </si>
  <si>
    <t>Rv0972c</t>
  </si>
  <si>
    <t>Rv1362c</t>
  </si>
  <si>
    <t>Rv1424c</t>
  </si>
  <si>
    <t>Rv1478</t>
  </si>
  <si>
    <t>Rv1791</t>
  </si>
  <si>
    <t>Rv2362c</t>
  </si>
  <si>
    <t>Rv2464c</t>
  </si>
  <si>
    <t>Rv3159c</t>
  </si>
  <si>
    <t>Rv3254</t>
  </si>
  <si>
    <t>Rv0162c</t>
  </si>
  <si>
    <t>Rv1319c</t>
  </si>
  <si>
    <t>Rv1431</t>
  </si>
  <si>
    <t>Rv1443c</t>
  </si>
  <si>
    <t>Rv1762c</t>
  </si>
  <si>
    <t>Rv1885c</t>
  </si>
  <si>
    <t>Rv2045c</t>
  </si>
  <si>
    <t>Rv2793c</t>
  </si>
  <si>
    <t>Rv3625c</t>
  </si>
  <si>
    <t>Rv3846</t>
  </si>
  <si>
    <t>Rv2558</t>
  </si>
  <si>
    <t>Rv2957</t>
  </si>
  <si>
    <t>Rv0312</t>
  </si>
  <si>
    <t>Rv0516c</t>
  </si>
  <si>
    <t>Rv2388c</t>
  </si>
  <si>
    <t>Rv2434c</t>
  </si>
  <si>
    <t>Rv2692</t>
  </si>
  <si>
    <t>Rv3837c</t>
  </si>
  <si>
    <t>Rv0970</t>
  </si>
  <si>
    <t>Rv1005c</t>
  </si>
  <si>
    <t>Rv1187</t>
  </si>
  <si>
    <t>Rv1376</t>
  </si>
  <si>
    <t>Rv1664</t>
  </si>
  <si>
    <t>Rv1866</t>
  </si>
  <si>
    <t>Rv2580c</t>
  </si>
  <si>
    <t>Rv2978c</t>
  </si>
  <si>
    <t>Rv0049</t>
  </si>
  <si>
    <t>Rv0226c</t>
  </si>
  <si>
    <t>Rv1167c</t>
  </si>
  <si>
    <t>Rv2148c</t>
  </si>
  <si>
    <t>Rv3501c</t>
  </si>
  <si>
    <t>Rv3770c</t>
  </si>
  <si>
    <t>Rv0765c</t>
  </si>
  <si>
    <t>Rv0946c</t>
  </si>
  <si>
    <t>Rv1406</t>
  </si>
  <si>
    <t>Rv3385c</t>
  </si>
  <si>
    <t>Rv0074</t>
  </si>
  <si>
    <t>Rv0093c</t>
  </si>
  <si>
    <t>Rv0146</t>
  </si>
  <si>
    <t>Rv0224c</t>
  </si>
  <si>
    <t>Rv0894</t>
  </si>
  <si>
    <t>Rv0936</t>
  </si>
  <si>
    <t>Rv1024</t>
  </si>
  <si>
    <t>Rv3036c</t>
  </si>
  <si>
    <t>Rv3080c</t>
  </si>
  <si>
    <t>Rv0181c</t>
  </si>
  <si>
    <t>Rv0328</t>
  </si>
  <si>
    <t>Rv0380c</t>
  </si>
  <si>
    <t>Rv0424c</t>
  </si>
  <si>
    <t>Rv1681</t>
  </si>
  <si>
    <t>Rv1775</t>
  </si>
  <si>
    <t>Rv2040c</t>
  </si>
  <si>
    <t>Rv2205c</t>
  </si>
  <si>
    <t>Rv2532c</t>
  </si>
  <si>
    <t>Rv2588c</t>
  </si>
  <si>
    <t>Rv2964</t>
  </si>
  <si>
    <t>IGR(-Rv3843Ec+Rv3845)</t>
  </si>
  <si>
    <t>Rv0578c</t>
  </si>
  <si>
    <t>Rv0581</t>
  </si>
  <si>
    <t>Rv0696</t>
  </si>
  <si>
    <t>Rv1453</t>
  </si>
  <si>
    <t>Rv1489</t>
  </si>
  <si>
    <t>Rv1541c</t>
  </si>
  <si>
    <t>Rv1732c</t>
  </si>
  <si>
    <t>Rv2022c</t>
  </si>
  <si>
    <t>Rv3328c</t>
  </si>
  <si>
    <t>Rv3341</t>
  </si>
  <si>
    <t>Rv0331</t>
  </si>
  <si>
    <t>Rv0623</t>
  </si>
  <si>
    <t>Rv1230c</t>
  </si>
  <si>
    <t>Rv1316c</t>
  </si>
  <si>
    <t>Rv1590</t>
  </si>
  <si>
    <t>Rv1692</t>
  </si>
  <si>
    <t>Rv2118c</t>
  </si>
  <si>
    <t>Rv2272</t>
  </si>
  <si>
    <t>Rv2569c</t>
  </si>
  <si>
    <t>Rv3259</t>
  </si>
  <si>
    <t>Rv3275c</t>
  </si>
  <si>
    <t>Rv3420c</t>
  </si>
  <si>
    <t>Rv3440c</t>
  </si>
  <si>
    <t>Rv3658c</t>
  </si>
  <si>
    <t>Rv0582</t>
  </si>
  <si>
    <t>Rv0610c</t>
  </si>
  <si>
    <t>Rv0797</t>
  </si>
  <si>
    <t>Rv0895</t>
  </si>
  <si>
    <t>Rv2331</t>
  </si>
  <si>
    <t>Rv2640c</t>
  </si>
  <si>
    <t>Rv3108</t>
  </si>
  <si>
    <t>Rv3518c</t>
  </si>
  <si>
    <t>Rv3797</t>
  </si>
  <si>
    <t>Rv3829c</t>
  </si>
  <si>
    <t>Rv0501</t>
  </si>
  <si>
    <t>Rv1828</t>
  </si>
  <si>
    <t>Rv1901</t>
  </si>
  <si>
    <t>Rv0066c</t>
  </si>
  <si>
    <t>Rv0103c</t>
  </si>
  <si>
    <t>Rv3842c</t>
  </si>
  <si>
    <t>Rv1181</t>
  </si>
  <si>
    <t>Rv2218</t>
  </si>
  <si>
    <t>Rv2284</t>
  </si>
  <si>
    <t>Rv3441c</t>
  </si>
  <si>
    <t>Rv3818</t>
  </si>
  <si>
    <t>Rv1221</t>
  </si>
  <si>
    <t>Rv0502</t>
  </si>
  <si>
    <t>Rv0038</t>
  </si>
  <si>
    <t>Rv2217</t>
  </si>
  <si>
    <t>Rv0143c</t>
  </si>
  <si>
    <t>Rv0465c</t>
  </si>
  <si>
    <t>Rv2841c</t>
  </si>
  <si>
    <t>Rv2972c</t>
  </si>
  <si>
    <t>Rv3740c</t>
  </si>
  <si>
    <t>Rv0611c</t>
  </si>
  <si>
    <t>Rv2915c</t>
  </si>
  <si>
    <t>Rv3399</t>
  </si>
  <si>
    <t>Rv3772</t>
  </si>
  <si>
    <t>Rv0021c</t>
  </si>
  <si>
    <t>Rv0323c</t>
  </si>
  <si>
    <t>Rv0709</t>
  </si>
  <si>
    <t>Rv2505c</t>
  </si>
  <si>
    <t>Rv2564</t>
  </si>
  <si>
    <t>Rv3378c</t>
  </si>
  <si>
    <t>Rv0498</t>
  </si>
  <si>
    <t>Rv0681</t>
  </si>
  <si>
    <t>Rv0853c</t>
  </si>
  <si>
    <t>Rv1317c</t>
  </si>
  <si>
    <t>Rv1663</t>
  </si>
  <si>
    <t>Rv2693c</t>
  </si>
  <si>
    <t>Rv2875</t>
  </si>
  <si>
    <t>Rv3260c</t>
  </si>
  <si>
    <t>Rv3322c</t>
  </si>
  <si>
    <t>Rv3548c</t>
  </si>
  <si>
    <t>Rv1389</t>
  </si>
  <si>
    <t>Rv3802c</t>
  </si>
  <si>
    <t>Rv2973c</t>
  </si>
  <si>
    <t>Rv3295</t>
  </si>
  <si>
    <t>Rv2109c</t>
  </si>
  <si>
    <t>Rv3884c</t>
  </si>
  <si>
    <t>Rv1318c</t>
  </si>
  <si>
    <t>Rv3255c</t>
  </si>
  <si>
    <t>Rv2970c</t>
  </si>
  <si>
    <t>Rv1626</t>
  </si>
  <si>
    <t>Rv2997</t>
  </si>
  <si>
    <t>Rv0205</t>
  </si>
  <si>
    <t>Rv0522</t>
  </si>
  <si>
    <t>Rv0552</t>
  </si>
  <si>
    <t>Rv0672</t>
  </si>
  <si>
    <t>Rv2139</t>
  </si>
  <si>
    <t>Rv2197c</t>
  </si>
  <si>
    <t>Rv2257c</t>
  </si>
  <si>
    <t>Rv3096</t>
  </si>
  <si>
    <t>Rv2672</t>
  </si>
  <si>
    <t>Rv1100</t>
  </si>
  <si>
    <t>Rv1597</t>
  </si>
  <si>
    <t>Rv1825</t>
  </si>
  <si>
    <t>Rv2714</t>
  </si>
  <si>
    <t>Rv3221A</t>
  </si>
  <si>
    <t>Rv1829</t>
  </si>
  <si>
    <t>Rv3253c</t>
  </si>
  <si>
    <t>Rv1902c</t>
  </si>
  <si>
    <t>Rv2093c</t>
  </si>
  <si>
    <t>Rv2436</t>
  </si>
  <si>
    <t>Rv2974c</t>
  </si>
  <si>
    <t>Rv0488</t>
  </si>
  <si>
    <t>Rv0790c</t>
  </si>
  <si>
    <t>Rv0801</t>
  </si>
  <si>
    <t>Rv0810c</t>
  </si>
  <si>
    <t>Rv0948c</t>
  </si>
  <si>
    <t>Rv0965c</t>
  </si>
  <si>
    <t>Rv1168c</t>
  </si>
  <si>
    <t>Rv1725c</t>
  </si>
  <si>
    <t>Rv1864c</t>
  </si>
  <si>
    <t>Rv1907c</t>
  </si>
  <si>
    <t>Rv1944c</t>
  </si>
  <si>
    <t>Rv2262c</t>
  </si>
  <si>
    <t>Rv2297</t>
  </si>
  <si>
    <t>Rv2301</t>
  </si>
  <si>
    <t>Rv2530c</t>
  </si>
  <si>
    <t>Rv2701c</t>
  </si>
  <si>
    <t>Rv3448</t>
  </si>
  <si>
    <t>Rv3638</t>
  </si>
  <si>
    <t>Rv3731</t>
  </si>
  <si>
    <t>Rv3899c</t>
  </si>
  <si>
    <t>Rv0008c</t>
  </si>
  <si>
    <t>Rv0326</t>
  </si>
  <si>
    <t>Rv0368c</t>
  </si>
  <si>
    <t>Rv0458</t>
  </si>
  <si>
    <t>Rv0605</t>
  </si>
  <si>
    <t>Rv0740</t>
  </si>
  <si>
    <t>Rv0875c</t>
  </si>
  <si>
    <t>Rv1103c</t>
  </si>
  <si>
    <t>Rv1742</t>
  </si>
  <si>
    <t>Rv2070c</t>
  </si>
  <si>
    <t>Rv2249c</t>
  </si>
  <si>
    <t>Rv2705c</t>
  </si>
  <si>
    <t>Rv2796c</t>
  </si>
  <si>
    <t>Rv3177</t>
  </si>
  <si>
    <t>Rv3408</t>
  </si>
  <si>
    <t>Rv3452</t>
  </si>
  <si>
    <t>Rv3561</t>
  </si>
  <si>
    <t>Rv3051c</t>
  </si>
  <si>
    <t>Rv0211</t>
  </si>
  <si>
    <t>Rv2430c</t>
  </si>
  <si>
    <t>Rv0337c</t>
  </si>
  <si>
    <t>Rv1324</t>
  </si>
  <si>
    <t>Rv3646c</t>
  </si>
  <si>
    <t>Rv1640c</t>
  </si>
  <si>
    <t>Rv3193c</t>
  </si>
  <si>
    <t>Rv2868c</t>
  </si>
  <si>
    <t>Rv3645</t>
  </si>
  <si>
    <t>Rv1886c</t>
  </si>
  <si>
    <t>Rv0247c</t>
  </si>
  <si>
    <t>Rv2576c</t>
  </si>
  <si>
    <t>Rv2949c</t>
  </si>
  <si>
    <t>Rv0002</t>
  </si>
  <si>
    <t>Rv1491c</t>
  </si>
  <si>
    <t>Rv1522c</t>
  </si>
  <si>
    <t>Rv0716</t>
  </si>
  <si>
    <t>Rv0809</t>
  </si>
  <si>
    <t>Rv1486c</t>
  </si>
  <si>
    <t>Rv3028c</t>
  </si>
  <si>
    <t>Rv1843c</t>
  </si>
  <si>
    <t>Rv2460c</t>
  </si>
  <si>
    <t>Rv3049c</t>
  </si>
  <si>
    <t>Rv0830</t>
  </si>
  <si>
    <t>Rv3436c</t>
  </si>
  <si>
    <t>Rv0559c</t>
  </si>
  <si>
    <t>Rv1078</t>
  </si>
  <si>
    <t>Rv1666c</t>
  </si>
  <si>
    <t>Rv3006</t>
  </si>
  <si>
    <t>Rv3230c</t>
  </si>
  <si>
    <t>Rv1459c</t>
  </si>
  <si>
    <t>Rv3721c</t>
  </si>
  <si>
    <t>Rv0524</t>
  </si>
  <si>
    <t>Rv3365c</t>
  </si>
  <si>
    <t>Rv2024c</t>
  </si>
  <si>
    <t>Rv2125</t>
  </si>
  <si>
    <t>Rv2904c</t>
  </si>
  <si>
    <t>Rv0470c</t>
  </si>
  <si>
    <t>Rv2094c</t>
  </si>
  <si>
    <t>Rv3520c</t>
  </si>
  <si>
    <t>Rv0683</t>
  </si>
  <si>
    <t>Rv2954c</t>
  </si>
  <si>
    <t>IGR(-Rv1148c-Rv1151c)</t>
  </si>
  <si>
    <t>Rv0435c</t>
  </si>
  <si>
    <t>Rv0475</t>
  </si>
  <si>
    <t>Rv1320c</t>
  </si>
  <si>
    <t>Rv2785c</t>
  </si>
  <si>
    <t>Rv3455c</t>
  </si>
  <si>
    <t>Rv2100</t>
  </si>
  <si>
    <t>Rv0822c</t>
  </si>
  <si>
    <t>Rv2096c</t>
  </si>
  <si>
    <t>Rv2373c</t>
  </si>
  <si>
    <t>Rv0177</t>
  </si>
  <si>
    <t>Rv2053c</t>
  </si>
  <si>
    <t>Rv2603c</t>
  </si>
  <si>
    <t>Rv2847c</t>
  </si>
  <si>
    <t>Rv1340</t>
  </si>
  <si>
    <t>Rv0633c</t>
  </si>
  <si>
    <t>Rv0925c</t>
  </si>
  <si>
    <t>Rv1023</t>
  </si>
  <si>
    <t>Rv1253</t>
  </si>
  <si>
    <t>Rv2404c</t>
  </si>
  <si>
    <t>Rv2374c</t>
  </si>
  <si>
    <t>Rv1213</t>
  </si>
  <si>
    <t>Rv2483c</t>
  </si>
  <si>
    <t>Rv0013</t>
  </si>
  <si>
    <t>Rv3585</t>
  </si>
  <si>
    <t>Rv0183</t>
  </si>
  <si>
    <t>Rv0513</t>
  </si>
  <si>
    <t>Rv0813c</t>
  </si>
  <si>
    <t>Rv2874</t>
  </si>
  <si>
    <t>Rv3202c</t>
  </si>
  <si>
    <t>Rv0651</t>
  </si>
  <si>
    <t>Rv0691c</t>
  </si>
  <si>
    <t>Rv2494</t>
  </si>
  <si>
    <t>Rv2575</t>
  </si>
  <si>
    <t>Rv2712c</t>
  </si>
  <si>
    <t>Rv0227c</t>
  </si>
  <si>
    <t>Rv1046c</t>
  </si>
  <si>
    <t>Rv2838c</t>
  </si>
  <si>
    <t>Rv0926c</t>
  </si>
  <si>
    <t>Rv2778c</t>
  </si>
  <si>
    <t>Rv3140</t>
  </si>
  <si>
    <t>Rv0484c</t>
  </si>
  <si>
    <t>Rv1379</t>
  </si>
  <si>
    <t>Rv3153</t>
  </si>
  <si>
    <t>Rv3217c</t>
  </si>
  <si>
    <t>Rv3919c</t>
  </si>
  <si>
    <t>Rv0155</t>
  </si>
  <si>
    <t>IGR(+Rv3618-Rv3620c)</t>
  </si>
  <si>
    <t>Rv1321</t>
  </si>
  <si>
    <t>Rv1760</t>
  </si>
  <si>
    <t>Rv2620c</t>
  </si>
  <si>
    <t>Rv3281</t>
  </si>
  <si>
    <t>Rv0774c</t>
  </si>
  <si>
    <t>Rv1826</t>
  </si>
  <si>
    <t>Rv3209</t>
  </si>
  <si>
    <t>Rv0204c</t>
  </si>
  <si>
    <t>Rv0405</t>
  </si>
  <si>
    <t>Rv0499</t>
  </si>
  <si>
    <t>Rv0788</t>
  </si>
  <si>
    <t>Rv2152c</t>
  </si>
  <si>
    <t>Rv2295</t>
  </si>
  <si>
    <t>Rv0641</t>
  </si>
  <si>
    <t>Rv0492c</t>
  </si>
  <si>
    <t>Rv1589</t>
  </si>
  <si>
    <t>Rv2209</t>
  </si>
  <si>
    <t>Rv1646</t>
  </si>
  <si>
    <t>Rv2399c</t>
  </si>
  <si>
    <t>Rv3812</t>
  </si>
  <si>
    <t>Rv0235c</t>
  </si>
  <si>
    <t>Rv0241c</t>
  </si>
  <si>
    <t>Rv2042c</t>
  </si>
  <si>
    <t>Rv2418c</t>
  </si>
  <si>
    <t>Rv0720</t>
  </si>
  <si>
    <t>Rv1823</t>
  </si>
  <si>
    <t>Rv3011c</t>
  </si>
  <si>
    <t>Rv1159</t>
  </si>
  <si>
    <t>Rv2684</t>
  </si>
  <si>
    <t>Rv0671</t>
  </si>
  <si>
    <t>Rv2559c</t>
  </si>
  <si>
    <t>Rv2562</t>
  </si>
  <si>
    <t>Rv3032</t>
  </si>
  <si>
    <t>Rv2326c</t>
  </si>
  <si>
    <t>Rv1660</t>
  </si>
  <si>
    <t>Rv3777</t>
  </si>
  <si>
    <t>Rv0139</t>
  </si>
  <si>
    <t>Rv3887c</t>
  </si>
  <si>
    <t>Rv3222c</t>
  </si>
  <si>
    <t>Rv3722c</t>
  </si>
  <si>
    <t>Rv3456c</t>
  </si>
  <si>
    <t>Rv0019c</t>
  </si>
  <si>
    <t>Rv0184</t>
  </si>
  <si>
    <t>Rv1563c</t>
  </si>
  <si>
    <t>Rv3626c</t>
  </si>
  <si>
    <t>Rv0466</t>
  </si>
  <si>
    <t>Rv2277c</t>
  </si>
  <si>
    <t>Rv1877</t>
  </si>
  <si>
    <t>Rv0589</t>
  </si>
  <si>
    <t>Rv1273c</t>
  </si>
  <si>
    <t>Rv3190c</t>
  </si>
  <si>
    <t>Rv3490</t>
  </si>
  <si>
    <t>Rv1339</t>
  </si>
  <si>
    <t>Rv2467</t>
  </si>
  <si>
    <t>Rv0004</t>
  </si>
  <si>
    <t>Rv0541c</t>
  </si>
  <si>
    <t>Rv0608</t>
  </si>
  <si>
    <t>Rv0628c</t>
  </si>
  <si>
    <t>Rv0670</t>
  </si>
  <si>
    <t>Rv1122</t>
  </si>
  <si>
    <t>Rv1750c</t>
  </si>
  <si>
    <t>Rv1853</t>
  </si>
  <si>
    <t>Rv1873</t>
  </si>
  <si>
    <t>Rv2579</t>
  </si>
  <si>
    <t>Rv3786c</t>
  </si>
  <si>
    <t>Rv0564c</t>
  </si>
  <si>
    <t>Rv1359</t>
  </si>
  <si>
    <t>Rv1912c</t>
  </si>
  <si>
    <t>Rv2088</t>
  </si>
  <si>
    <t>Rv2816c</t>
  </si>
  <si>
    <t>Rv3061c</t>
  </si>
  <si>
    <t>Rv3483c</t>
  </si>
  <si>
    <t>Rv3206c</t>
  </si>
  <si>
    <t>Rv2497c</t>
  </si>
  <si>
    <t>Rv2922c</t>
  </si>
  <si>
    <t>Rv3843c</t>
  </si>
  <si>
    <t>Rv0848</t>
  </si>
  <si>
    <t>Rv0311</t>
  </si>
  <si>
    <t>Rv1084</t>
  </si>
  <si>
    <t>Rv1288</t>
  </si>
  <si>
    <t>Rv3330</t>
  </si>
  <si>
    <t>Rv3485c</t>
  </si>
  <si>
    <t>Rv3663c</t>
  </si>
  <si>
    <t>Rv0934</t>
  </si>
  <si>
    <t>Rv1591</t>
  </si>
  <si>
    <t>Rv3908</t>
  </si>
  <si>
    <t>Rv3048c</t>
  </si>
  <si>
    <t>Rv0701</t>
  </si>
  <si>
    <t>Rv0246</t>
  </si>
  <si>
    <t>Rv3923c</t>
  </si>
  <si>
    <t>Rv0487</t>
  </si>
  <si>
    <t>Rv0583c</t>
  </si>
  <si>
    <t>Rv0686</t>
  </si>
  <si>
    <t>Rv0898c</t>
  </si>
  <si>
    <t>Rv1270c</t>
  </si>
  <si>
    <t>Rv2175c</t>
  </si>
  <si>
    <t>Rv3282</t>
  </si>
  <si>
    <t>Rv1220c</t>
  </si>
  <si>
    <t>Rv1377c</t>
  </si>
  <si>
    <t>Rv2153c</t>
  </si>
  <si>
    <t>Rv1782</t>
  </si>
  <si>
    <t>Rv3920c</t>
  </si>
  <si>
    <t>Rv0392c</t>
  </si>
  <si>
    <t>Rv1625c</t>
  </si>
  <si>
    <t>Rv3247c</t>
  </si>
  <si>
    <t>Rv3819</t>
  </si>
  <si>
    <t>Rv3824c</t>
  </si>
  <si>
    <t>Rv0063</t>
  </si>
  <si>
    <t>Rv0703</t>
  </si>
  <si>
    <t>Rv1498c</t>
  </si>
  <si>
    <t>Rv3602c</t>
  </si>
  <si>
    <t>Rv3266c</t>
  </si>
  <si>
    <t>Rv3138</t>
  </si>
  <si>
    <t>Rv0047c</t>
  </si>
  <si>
    <t>Rv0698</t>
  </si>
  <si>
    <t>Rv1224</t>
  </si>
  <si>
    <t>Rv1330c</t>
  </si>
  <si>
    <t>Rv1648</t>
  </si>
  <si>
    <t>Rv1858</t>
  </si>
  <si>
    <t>Rv2521</t>
  </si>
  <si>
    <t>Rv3243c</t>
  </si>
  <si>
    <t>Rv3397c</t>
  </si>
  <si>
    <t>Rv3492c</t>
  </si>
  <si>
    <t>Rv3522</t>
  </si>
  <si>
    <t>Rv3542c</t>
  </si>
  <si>
    <t>Rv3573c</t>
  </si>
  <si>
    <t>Rv0622</t>
  </si>
  <si>
    <t>Rv0754</t>
  </si>
  <si>
    <t>Rv3068c</t>
  </si>
  <si>
    <t>Rv3686c</t>
  </si>
  <si>
    <t>Rv1306</t>
  </si>
  <si>
    <t>Rv1016c</t>
  </si>
  <si>
    <t>Rv0639</t>
  </si>
  <si>
    <t>Rv0322</t>
  </si>
  <si>
    <t>Rv1659</t>
  </si>
  <si>
    <t>Rv0117</t>
  </si>
  <si>
    <t>Rv0621</t>
  </si>
  <si>
    <t>Rv1026</t>
  </si>
  <si>
    <t>Rv1927</t>
  </si>
  <si>
    <t>Rv2300c</t>
  </si>
  <si>
    <t>Rv2439c</t>
  </si>
  <si>
    <t>Rv3728</t>
  </si>
  <si>
    <t>Rv0294</t>
  </si>
  <si>
    <t>Rv0687</t>
  </si>
  <si>
    <t>Rv0913c</t>
  </si>
  <si>
    <t>Rv1504c</t>
  </si>
  <si>
    <t>Rv1525</t>
  </si>
  <si>
    <t>Rv2237</t>
  </si>
  <si>
    <t>Rv2578c</t>
  </si>
  <si>
    <t>Rv3123</t>
  </si>
  <si>
    <t>Rv1795</t>
  </si>
  <si>
    <t>Rv3674c</t>
  </si>
  <si>
    <t>Rv2202c</t>
  </si>
  <si>
    <t>Rv3801c</t>
  </si>
  <si>
    <t>Rv2427c</t>
  </si>
  <si>
    <t>Rv0236c</t>
  </si>
  <si>
    <t>Rv1074c</t>
  </si>
  <si>
    <t>Rv2051c</t>
  </si>
  <si>
    <t>Rv0133</t>
  </si>
  <si>
    <t>Rv0674</t>
  </si>
  <si>
    <t>Rv0999</t>
  </si>
  <si>
    <t>Rv1702c</t>
  </si>
  <si>
    <t>Rv1874</t>
  </si>
  <si>
    <t>Rv2027c</t>
  </si>
  <si>
    <t>Rv2290</t>
  </si>
  <si>
    <t>Rv2337c</t>
  </si>
  <si>
    <t>Rv3767c</t>
  </si>
  <si>
    <t>Rv0119</t>
  </si>
  <si>
    <t>Rv0506</t>
  </si>
  <si>
    <t>Rv0543c</t>
  </si>
  <si>
    <t>Rv0750</t>
  </si>
  <si>
    <t>Rv0820</t>
  </si>
  <si>
    <t>Rv0901</t>
  </si>
  <si>
    <t>Rv1062</t>
  </si>
  <si>
    <t>Rv1085c</t>
  </si>
  <si>
    <t>Rv1550</t>
  </si>
  <si>
    <t>Rv2108</t>
  </si>
  <si>
    <t>Rv3530c</t>
  </si>
  <si>
    <t>Rv2080</t>
  </si>
  <si>
    <t>Rv2241</t>
  </si>
  <si>
    <t>Rv0733</t>
  </si>
  <si>
    <t>Rv3303c</t>
  </si>
  <si>
    <t>Rv3624c</t>
  </si>
  <si>
    <t>Rv0266c</t>
  </si>
  <si>
    <t>Rv3309c</t>
  </si>
  <si>
    <t>Rv1689</t>
  </si>
  <si>
    <t>Rv0402c</t>
  </si>
  <si>
    <t>Rv0783c</t>
  </si>
  <si>
    <t>Rv1781c</t>
  </si>
  <si>
    <t>Rv3310</t>
  </si>
  <si>
    <t>Rv3806c</t>
  </si>
  <si>
    <t>Rv2824c</t>
  </si>
  <si>
    <t>Rv3103c</t>
  </si>
  <si>
    <t>Rv3688c</t>
  </si>
  <si>
    <t>Rv3714c</t>
  </si>
  <si>
    <t>Rv3756c</t>
  </si>
  <si>
    <t>Rv3467</t>
  </si>
  <si>
    <t>Rv0098</t>
  </si>
  <si>
    <t>Rv0614</t>
  </si>
  <si>
    <t>Rv0695</t>
  </si>
  <si>
    <t>Rv0826</t>
  </si>
  <si>
    <t>Rv1928c</t>
  </si>
  <si>
    <t>Rv2041c</t>
  </si>
  <si>
    <t>Rv2050</t>
  </si>
  <si>
    <t>Rv2320c</t>
  </si>
  <si>
    <t>Rv2511</t>
  </si>
  <si>
    <t>Rv3515c</t>
  </si>
  <si>
    <t>Rv2216</t>
  </si>
  <si>
    <t>Rv1565c</t>
  </si>
  <si>
    <t>Rv2097c</t>
  </si>
  <si>
    <t>Rv2203</t>
  </si>
  <si>
    <t>Rv3283</t>
  </si>
  <si>
    <t>Rv2225</t>
  </si>
  <si>
    <t>Rv1360</t>
  </si>
  <si>
    <t>Rv0876c</t>
  </si>
  <si>
    <t>Rv1649</t>
  </si>
  <si>
    <t>Rv3416</t>
  </si>
  <si>
    <t>Rv0669c</t>
  </si>
  <si>
    <t>Rv0404</t>
  </si>
  <si>
    <t>Rv1607</t>
  </si>
  <si>
    <t>Rv0088</t>
  </si>
  <si>
    <t>Rv0261c</t>
  </si>
  <si>
    <t>Rv0618</t>
  </si>
  <si>
    <t>Rv0679c</t>
  </si>
  <si>
    <t>Rv0746</t>
  </si>
  <si>
    <t>Rv0838</t>
  </si>
  <si>
    <t>Rv0881</t>
  </si>
  <si>
    <t>Rv1259</t>
  </si>
  <si>
    <t>Rv1383</t>
  </si>
  <si>
    <t>Rv1487</t>
  </si>
  <si>
    <t>Rv1777</t>
  </si>
  <si>
    <t>Rv1914c</t>
  </si>
  <si>
    <t>Rv2128</t>
  </si>
  <si>
    <t>Rv2878c</t>
  </si>
  <si>
    <t>Rv3500c</t>
  </si>
  <si>
    <t>Rv0254c</t>
  </si>
  <si>
    <t>Rv0775</t>
  </si>
  <si>
    <t>Rv0974c</t>
  </si>
  <si>
    <t>Rv1726</t>
  </si>
  <si>
    <t>Rv2873</t>
  </si>
  <si>
    <t>Rv3073c</t>
  </si>
  <si>
    <t>Rv3361c</t>
  </si>
  <si>
    <t>Rv3424c</t>
  </si>
  <si>
    <t>Rv3225c</t>
  </si>
  <si>
    <t>Rv3401</t>
  </si>
  <si>
    <t>Rv0959</t>
  </si>
  <si>
    <t>Rv1128c</t>
  </si>
  <si>
    <t>Rv3521</t>
  </si>
  <si>
    <t>Rv3854c</t>
  </si>
  <si>
    <t>Rv0594</t>
  </si>
  <si>
    <t>Rv2679</t>
  </si>
  <si>
    <t>Rv2743c</t>
  </si>
  <si>
    <t>Rv3423c</t>
  </si>
  <si>
    <t>Rv1797</t>
  </si>
  <si>
    <t>Rv2172c</t>
  </si>
  <si>
    <t>Rv0014c</t>
  </si>
  <si>
    <t>Rv0317c</t>
  </si>
  <si>
    <t>Rv0923c</t>
  </si>
  <si>
    <t>Rv2173</t>
  </si>
  <si>
    <t>Rv2867c</t>
  </si>
  <si>
    <t>Rv3856c</t>
  </si>
  <si>
    <t>Rv1292</t>
  </si>
  <si>
    <t>Rv3719</t>
  </si>
  <si>
    <t>Rv3307</t>
  </si>
  <si>
    <t>Rv0073</t>
  </si>
  <si>
    <t>Rv0861c</t>
  </si>
  <si>
    <t>Rv1425</t>
  </si>
  <si>
    <t>Rv2885c</t>
  </si>
  <si>
    <t>Rv2963</t>
  </si>
  <si>
    <t>Rv0295c</t>
  </si>
  <si>
    <t>Rv0447c</t>
  </si>
  <si>
    <t>Rv0713</t>
  </si>
  <si>
    <t>Rv0903c</t>
  </si>
  <si>
    <t>Rv2856</t>
  </si>
  <si>
    <t>Rv2062c</t>
  </si>
  <si>
    <t>Rv1294</t>
  </si>
  <si>
    <t>Rv3082c</t>
  </si>
  <si>
    <t>Rv0438c</t>
  </si>
  <si>
    <t>Rv1500</t>
  </si>
  <si>
    <t>Rv2143</t>
  </si>
  <si>
    <t>Rv3001c</t>
  </si>
  <si>
    <t>Rv3826</t>
  </si>
  <si>
    <t>Rv1448c</t>
  </si>
  <si>
    <t>Rv1729c</t>
  </si>
  <si>
    <t>Rv3498c</t>
  </si>
  <si>
    <t>Rv3821</t>
  </si>
  <si>
    <t>Rv2553c</t>
  </si>
  <si>
    <t>Rv0496</t>
  </si>
  <si>
    <t>Rv2461c</t>
  </si>
  <si>
    <t>Rv0174</t>
  </si>
  <si>
    <t>Rv0071</t>
  </si>
  <si>
    <t>Rv0273c</t>
  </si>
  <si>
    <t>Rv0277c</t>
  </si>
  <si>
    <t>Rv0842</t>
  </si>
  <si>
    <t>Rv0920c</t>
  </si>
  <si>
    <t>Rv1124</t>
  </si>
  <si>
    <t>Rv1139c</t>
  </si>
  <si>
    <t>Rv1745c</t>
  </si>
  <si>
    <t>Rv2086</t>
  </si>
  <si>
    <t>Rv2316</t>
  </si>
  <si>
    <t>Rv2466c</t>
  </si>
  <si>
    <t>Rv3332</t>
  </si>
  <si>
    <t>Rv3733c</t>
  </si>
  <si>
    <t>Rv0599c</t>
  </si>
  <si>
    <t>Rv1091</t>
  </si>
  <si>
    <t>Rv1537</t>
  </si>
  <si>
    <t>Rv1560</t>
  </si>
  <si>
    <t>Rv2250c</t>
  </si>
  <si>
    <t>Rv2514c</t>
  </si>
  <si>
    <t>Rv2912c</t>
  </si>
  <si>
    <t>Rv3004</t>
  </si>
  <si>
    <t>Rv3109</t>
  </si>
  <si>
    <t>Rv3697Ac</t>
  </si>
  <si>
    <t>Rv3730c</t>
  </si>
  <si>
    <t>Rv3890c</t>
  </si>
  <si>
    <t>Rv1658</t>
  </si>
  <si>
    <t>Rv3274c</t>
  </si>
  <si>
    <t>Rv3803c</t>
  </si>
  <si>
    <t>Rv1817</t>
  </si>
  <si>
    <t>Rv2817c</t>
  </si>
  <si>
    <t>Rv1698</t>
  </si>
  <si>
    <t>Rv3465</t>
  </si>
  <si>
    <t>Rv3758c</t>
  </si>
  <si>
    <t>Rv2665</t>
  </si>
  <si>
    <t>Rv1132</t>
  </si>
  <si>
    <t>Rv0412c</t>
  </si>
  <si>
    <t>IGR(+Rv3797-Rv3799c)</t>
  </si>
  <si>
    <t>Rv2145c</t>
  </si>
  <si>
    <t>Rv0542c</t>
  </si>
  <si>
    <t>Rv3312c</t>
  </si>
  <si>
    <t>Rv1029</t>
  </si>
  <si>
    <t>Rv1245c</t>
  </si>
  <si>
    <t>Rv3014c</t>
  </si>
  <si>
    <t>Rv3074</t>
  </si>
  <si>
    <t>Rv3886c</t>
  </si>
  <si>
    <t>Rv0018c</t>
  </si>
  <si>
    <t>Rv0037c</t>
  </si>
  <si>
    <t>Rv0845</t>
  </si>
  <si>
    <t>Rv0819</t>
  </si>
  <si>
    <t>Rv0966c</t>
  </si>
  <si>
    <t>Rv1045</t>
  </si>
  <si>
    <t>Rv2554c</t>
  </si>
  <si>
    <t>Rv3062</t>
  </si>
  <si>
    <t>Rv3063</t>
  </si>
  <si>
    <t>Rv3367</t>
  </si>
  <si>
    <t>Rv3411c</t>
  </si>
  <si>
    <t>Rv2971</t>
  </si>
  <si>
    <t>Rv3457c</t>
  </si>
  <si>
    <t>Rv2582</t>
  </si>
  <si>
    <t>Rv2589</t>
  </si>
  <si>
    <t>Rv3410c</t>
  </si>
  <si>
    <t>Rv3525c</t>
  </si>
  <si>
    <t>Rv3600c</t>
  </si>
  <si>
    <t>IGR(+Rv3116+Rv3119)</t>
  </si>
  <si>
    <t>Rv2052c</t>
  </si>
  <si>
    <t>Rv0330c</t>
  </si>
  <si>
    <t>Rv0377</t>
  </si>
  <si>
    <t>Rv0595c</t>
  </si>
  <si>
    <t>Rv0744c</t>
  </si>
  <si>
    <t>Rv1054</t>
  </si>
  <si>
    <t>Rv1158c</t>
  </si>
  <si>
    <t>Rv1186c</t>
  </si>
  <si>
    <t>Rv1361c</t>
  </si>
  <si>
    <t>Rv1432</t>
  </si>
  <si>
    <t>Rv1482c</t>
  </si>
  <si>
    <t>Rv1669</t>
  </si>
  <si>
    <t>Rv2799</t>
  </si>
  <si>
    <t>Rv3386</t>
  </si>
  <si>
    <t>Rv3605c</t>
  </si>
  <si>
    <t>Rv3848</t>
  </si>
  <si>
    <t>Rv0068</t>
  </si>
  <si>
    <t>Rv0150c</t>
  </si>
  <si>
    <t>Rv0274</t>
  </si>
  <si>
    <t>Rv0580c</t>
  </si>
  <si>
    <t>Rv0656c</t>
  </si>
  <si>
    <t>Rv0673</t>
  </si>
  <si>
    <t>Rv1003</t>
  </si>
  <si>
    <t>Rv2187</t>
  </si>
  <si>
    <t>Rv2634c</t>
  </si>
  <si>
    <t>Rv2798c</t>
  </si>
  <si>
    <t>Rv3000</t>
  </si>
  <si>
    <t>Rv3238c</t>
  </si>
  <si>
    <t>Rv3640c</t>
  </si>
  <si>
    <t>Rv3741c</t>
  </si>
  <si>
    <t>Rv3892c</t>
  </si>
  <si>
    <t>Rv0104</t>
  </si>
  <si>
    <t>Rv1609</t>
  </si>
  <si>
    <t>Rv2220</t>
  </si>
  <si>
    <t>Rv2531c</t>
  </si>
  <si>
    <t>Rv3244c</t>
  </si>
  <si>
    <t>Rv0298</t>
  </si>
  <si>
    <t>Rv0945</t>
  </si>
  <si>
    <t>Rv2361c</t>
  </si>
  <si>
    <t>Rv2678c</t>
  </si>
  <si>
    <t>Rv3059</t>
  </si>
  <si>
    <t>Rv3576</t>
  </si>
  <si>
    <t>Rv3106</t>
  </si>
  <si>
    <t>Rv3236c</t>
  </si>
  <si>
    <t>Rv1784</t>
  </si>
  <si>
    <t>Rv3271c</t>
  </si>
  <si>
    <t>Rv1916</t>
  </si>
  <si>
    <t>Rv1731</t>
  </si>
  <si>
    <t>Rv2156c</t>
  </si>
  <si>
    <t>Rv2788</t>
  </si>
  <si>
    <t>Rv0332</t>
  </si>
  <si>
    <t>Rv2335</t>
  </si>
  <si>
    <t>Rv0725c</t>
  </si>
  <si>
    <t>Rv3491</t>
  </si>
  <si>
    <t>Rv3853</t>
  </si>
  <si>
    <t>Rv0165c</t>
  </si>
  <si>
    <t>Rv3302c</t>
  </si>
  <si>
    <t>Rv0441c</t>
  </si>
  <si>
    <t>Rv1708</t>
  </si>
  <si>
    <t>Rv3808c</t>
  </si>
  <si>
    <t>Rv1841c</t>
  </si>
  <si>
    <t>Rv1941</t>
  </si>
  <si>
    <t>Rv2488c</t>
  </si>
  <si>
    <t>Rv3077</t>
  </si>
  <si>
    <t>Rv3727</t>
  </si>
  <si>
    <t>Rv0434</t>
  </si>
  <si>
    <t>Rv2198c</t>
  </si>
  <si>
    <t>Rv1872c</t>
  </si>
  <si>
    <t>Rv0145</t>
  </si>
  <si>
    <t>Rv2154c</t>
  </si>
  <si>
    <t>Rv3464</t>
  </si>
  <si>
    <t>Rv3737</t>
  </si>
  <si>
    <t>Rv2144c</t>
  </si>
  <si>
    <t>Rv2572c</t>
  </si>
  <si>
    <t>Rv3790</t>
  </si>
  <si>
    <t>Rv3273</t>
  </si>
  <si>
    <t>Rv0157</t>
  </si>
  <si>
    <t>Rv2079</t>
  </si>
  <si>
    <t>Rv0363c</t>
  </si>
  <si>
    <t>Rv2854</t>
  </si>
  <si>
    <t>Rv1533</t>
  </si>
  <si>
    <t>Rv0259c</t>
  </si>
  <si>
    <t>Rv1123c</t>
  </si>
  <si>
    <t>Rv2133c</t>
  </si>
  <si>
    <t>Rv2716</t>
  </si>
  <si>
    <t>Rv2877c</t>
  </si>
  <si>
    <t>Rv3142c</t>
  </si>
  <si>
    <t>Rv3673c</t>
  </si>
  <si>
    <t>Rv0112</t>
  </si>
  <si>
    <t>Rv1523</t>
  </si>
  <si>
    <t>Rv1879</t>
  </si>
  <si>
    <t>Rv2332</t>
  </si>
  <si>
    <t>Rv2761c</t>
  </si>
  <si>
    <t>Rv2991</t>
  </si>
  <si>
    <t>Rv0423c</t>
  </si>
  <si>
    <t>Rv2091c</t>
  </si>
  <si>
    <t>Rv3277</t>
  </si>
  <si>
    <t>Rv3811</t>
  </si>
  <si>
    <t>Rv3460c</t>
  </si>
  <si>
    <t>Rv1483</t>
  </si>
  <si>
    <t>Rv0655</t>
  </si>
  <si>
    <t>Rv2501c</t>
  </si>
  <si>
    <t>Rv3010c</t>
  </si>
  <si>
    <t>Rv0361</t>
  </si>
  <si>
    <t>Rv1289</t>
  </si>
  <si>
    <t>Rv1645c</t>
  </si>
  <si>
    <t>Rv1820</t>
  </si>
  <si>
    <t>Rv2036</t>
  </si>
  <si>
    <t>Rv2083</t>
  </si>
  <si>
    <t>Rv2102</t>
  </si>
  <si>
    <t>Rv2508c</t>
  </si>
  <si>
    <t>Rv2510c</t>
  </si>
  <si>
    <t>Rv2683</t>
  </si>
  <si>
    <t>Rv2871</t>
  </si>
  <si>
    <t>Rv3356c</t>
  </si>
  <si>
    <t>Rv0228</t>
  </si>
  <si>
    <t>Rv1910c</t>
  </si>
  <si>
    <t>Rv2228c</t>
  </si>
  <si>
    <t>Rv2258c</t>
  </si>
  <si>
    <t>Rv2726c</t>
  </si>
  <si>
    <t>Rv2770c</t>
  </si>
  <si>
    <t>Rv2872</t>
  </si>
  <si>
    <t>Rv3362c</t>
  </si>
  <si>
    <t>Rv3398c</t>
  </si>
  <si>
    <t>Rv3540c</t>
  </si>
  <si>
    <t>Rv3649</t>
  </si>
  <si>
    <t>Rv3809c</t>
  </si>
  <si>
    <t>Rv3710</t>
  </si>
  <si>
    <t>Rv1280c</t>
  </si>
  <si>
    <t>Rv0422c</t>
  </si>
  <si>
    <t>Rv0427c</t>
  </si>
  <si>
    <t>Rv0495c</t>
  </si>
  <si>
    <t>Rv1028c</t>
  </si>
  <si>
    <t>Rv3689</t>
  </si>
  <si>
    <t>Rv0407</t>
  </si>
  <si>
    <t>Rv2622</t>
  </si>
  <si>
    <t>Rv0479c</t>
  </si>
  <si>
    <t>Rv0418</t>
  </si>
  <si>
    <t>Rv0690c</t>
  </si>
  <si>
    <t>Rv2870c</t>
  </si>
  <si>
    <t>Rv2905</t>
  </si>
  <si>
    <t>Rv3223c</t>
  </si>
  <si>
    <t>Rv2166c</t>
  </si>
  <si>
    <t>Rv0413</t>
  </si>
  <si>
    <t>Rv0874c</t>
  </si>
  <si>
    <t>Rv1011</t>
  </si>
  <si>
    <t>Rv1263</t>
  </si>
  <si>
    <t>Rv2113</t>
  </si>
  <si>
    <t>Rv2293c</t>
  </si>
  <si>
    <t>Rv2472</t>
  </si>
  <si>
    <t>Rv2597</t>
  </si>
  <si>
    <t>Rv2729c</t>
  </si>
  <si>
    <t>Rv2825c</t>
  </si>
  <si>
    <t>Rv3015c</t>
  </si>
  <si>
    <t>Rv3335c</t>
  </si>
  <si>
    <t>Rv3434c</t>
  </si>
  <si>
    <t>Rv0255c</t>
  </si>
  <si>
    <t>Rv0800</t>
  </si>
  <si>
    <t>Rv1210</t>
  </si>
  <si>
    <t>Rv1685c</t>
  </si>
  <si>
    <t>Rv3359</t>
  </si>
  <si>
    <t>Rv3383c</t>
  </si>
  <si>
    <t>Rv1789</t>
  </si>
  <si>
    <t>Rv1300</t>
  </si>
  <si>
    <t>Rv0206c</t>
  </si>
  <si>
    <t>Rv1421</t>
  </si>
  <si>
    <t>Rv3226c</t>
  </si>
  <si>
    <t>Rv2709</t>
  </si>
  <si>
    <t>Rv3263</t>
  </si>
  <si>
    <t>Rv3382c</t>
  </si>
  <si>
    <t>Rv2448c</t>
  </si>
  <si>
    <t>Rv3044</t>
  </si>
  <si>
    <t>Rv3793</t>
  </si>
  <si>
    <t>Rv0148</t>
  </si>
  <si>
    <t>Rv1272c</t>
  </si>
  <si>
    <t>Rv1696</t>
  </si>
  <si>
    <t>Rv2533c</t>
  </si>
  <si>
    <t>Rv3400</t>
  </si>
  <si>
    <t>Rv3792</t>
  </si>
  <si>
    <t>Rv0137c</t>
  </si>
  <si>
    <t>Rv1283c</t>
  </si>
  <si>
    <t>Rv1723</t>
  </si>
  <si>
    <t>Rv3724B</t>
  </si>
  <si>
    <t>Rv1644</t>
  </si>
  <si>
    <t>Rv2850c</t>
  </si>
  <si>
    <t>Rv3794</t>
  </si>
  <si>
    <t>Rv0300</t>
  </si>
  <si>
    <t>Rv0420c</t>
  </si>
  <si>
    <t>Rv0606</t>
  </si>
  <si>
    <t>Rv0727c</t>
  </si>
  <si>
    <t>Rv0864</t>
  </si>
  <si>
    <t>Rv1399c</t>
  </si>
  <si>
    <t>Rv1457c</t>
  </si>
  <si>
    <t>Rv1701</t>
  </si>
  <si>
    <t>Rv1778c</t>
  </si>
  <si>
    <t>Rv3279c</t>
  </si>
  <si>
    <t>Rv3743c</t>
  </si>
  <si>
    <t>Rv0209</t>
  </si>
  <si>
    <t>Rv0627</t>
  </si>
  <si>
    <t>Rv1205</t>
  </si>
  <si>
    <t>Rv1440</t>
  </si>
  <si>
    <t>Rv1878</t>
  </si>
  <si>
    <t>Rv2162c</t>
  </si>
  <si>
    <t>Rv2322c</t>
  </si>
  <si>
    <t>Rv2442c</t>
  </si>
  <si>
    <t>Rv2595</t>
  </si>
  <si>
    <t>Rv2894c</t>
  </si>
  <si>
    <t>Rv3026c</t>
  </si>
  <si>
    <t>Rv3701c</t>
  </si>
  <si>
    <t>Rv3852</t>
  </si>
  <si>
    <t>Rv0293c</t>
  </si>
  <si>
    <t>Rv0702</t>
  </si>
  <si>
    <t>Rv2115c</t>
  </si>
  <si>
    <t>Rv3870</t>
  </si>
  <si>
    <t>Rv0718</t>
  </si>
  <si>
    <t>Rv0173</t>
  </si>
  <si>
    <t>Rv2724c</t>
  </si>
  <si>
    <t>Rv0818</t>
  </si>
  <si>
    <t>Rv1419</t>
  </si>
  <si>
    <t>Rv1679</t>
  </si>
  <si>
    <t>Rv2315c</t>
  </si>
  <si>
    <t>Rv3442c</t>
  </si>
  <si>
    <t>Rv3691</t>
  </si>
  <si>
    <t>Rv3029c</t>
  </si>
  <si>
    <t>Rv3272</t>
  </si>
  <si>
    <t>Rv2711</t>
  </si>
  <si>
    <t>Rv0410c</t>
  </si>
  <si>
    <t>Rv2733c</t>
  </si>
  <si>
    <t>Rv1018c</t>
  </si>
  <si>
    <t>Rv1641</t>
  </si>
  <si>
    <t>IGR(+Rvnt29+Rv2512A)</t>
  </si>
  <si>
    <t>Rv0390</t>
  </si>
  <si>
    <t>Rv1677</t>
  </si>
  <si>
    <t>Rv2259</t>
  </si>
  <si>
    <t>Rv0175</t>
  </si>
  <si>
    <t>Rv1248c</t>
  </si>
  <si>
    <t>Rv1096</t>
  </si>
  <si>
    <t>Rv1946c</t>
  </si>
  <si>
    <t>Rv0307c</t>
  </si>
  <si>
    <t>Rv0359</t>
  </si>
  <si>
    <t>Rv0448c</t>
  </si>
  <si>
    <t>Rv1380</t>
  </si>
  <si>
    <t>Rv1416</t>
  </si>
  <si>
    <t>Rv1530</t>
  </si>
  <si>
    <t>Rv2499c</t>
  </si>
  <si>
    <t>Rv2581c</t>
  </si>
  <si>
    <t>Rv0389</t>
  </si>
  <si>
    <t>Rv0437c</t>
  </si>
  <si>
    <t>Rv0692</t>
  </si>
  <si>
    <t>Rv1474c</t>
  </si>
  <si>
    <t>Rv2185c</t>
  </si>
  <si>
    <t>Rv3007c</t>
  </si>
  <si>
    <t>Rv3449</t>
  </si>
  <si>
    <t>Rv3553</t>
  </si>
  <si>
    <t>Rv3628</t>
  </si>
  <si>
    <t>Rv3747</t>
  </si>
  <si>
    <t>Rv1021</t>
  </si>
  <si>
    <t>Rv0072</t>
  </si>
  <si>
    <t>Rv0223c</t>
  </si>
  <si>
    <t>Rv1266c</t>
  </si>
  <si>
    <t>Rv3604c</t>
  </si>
  <si>
    <t>Rv3861</t>
  </si>
  <si>
    <t>Rv0706</t>
  </si>
  <si>
    <t>Rv1557</t>
  </si>
  <si>
    <t>Rv0954</t>
  </si>
  <si>
    <t>Rv1536</t>
  </si>
  <si>
    <t>Rv0539</t>
  </si>
  <si>
    <t>Rv3258c</t>
  </si>
  <si>
    <t>Rv0548c</t>
  </si>
  <si>
    <t>Rv1290c</t>
  </si>
  <si>
    <t>Rv1899c</t>
  </si>
  <si>
    <t>Rv3375</t>
  </si>
  <si>
    <t>Rv2194</t>
  </si>
  <si>
    <t>Rv3586</t>
  </si>
  <si>
    <t>Rv2959c</t>
  </si>
  <si>
    <t>Rv3598c</t>
  </si>
  <si>
    <t>Rv0462</t>
  </si>
  <si>
    <t>Rv1302</t>
  </si>
  <si>
    <t>Rv0851c</t>
  </si>
  <si>
    <t>Rv0865</t>
  </si>
  <si>
    <t>Rv1030</t>
  </si>
  <si>
    <t>Rv1151c</t>
  </si>
  <si>
    <t>Rv1271c</t>
  </si>
  <si>
    <t>Rv1774</t>
  </si>
  <si>
    <t>Rv1913</t>
  </si>
  <si>
    <t>Rv2619c</t>
  </si>
  <si>
    <t>Rv0010c</t>
  </si>
  <si>
    <t>Rv0208c</t>
  </si>
  <si>
    <t>Rv0514</t>
  </si>
  <si>
    <t>Rv1056</t>
  </si>
  <si>
    <t>Rv2138</t>
  </si>
  <si>
    <t>Rv2308</t>
  </si>
  <si>
    <t>Rv3405c</t>
  </si>
  <si>
    <t>Rv3566c</t>
  </si>
  <si>
    <t>Rv2956</t>
  </si>
  <si>
    <t>Rv1157c</t>
  </si>
  <si>
    <t>Rv3276c</t>
  </si>
  <si>
    <t>Rv0171</t>
  </si>
  <si>
    <t>Rv0891c</t>
  </si>
  <si>
    <t>Rv2182c</t>
  </si>
  <si>
    <t>Rv2748c</t>
  </si>
  <si>
    <t>Rv0050</t>
  </si>
  <si>
    <t>Rv0381c</t>
  </si>
  <si>
    <t>Rv0626</t>
  </si>
  <si>
    <t>Rv3860</t>
  </si>
  <si>
    <t>Rv1126c</t>
  </si>
  <si>
    <t>Rv1144</t>
  </si>
  <si>
    <t>Rv2333c</t>
  </si>
  <si>
    <t>Rv2504c</t>
  </si>
  <si>
    <t>Rv2750</t>
  </si>
  <si>
    <t>Rv2682c</t>
  </si>
  <si>
    <t>Rv3484</t>
  </si>
  <si>
    <t>Rv2992c</t>
  </si>
  <si>
    <t>Rv1888c</t>
  </si>
  <si>
    <t>Rv1111c</t>
  </si>
  <si>
    <t>Rv1796</t>
  </si>
  <si>
    <t>Rv2190c</t>
  </si>
  <si>
    <t>Rv3627c</t>
  </si>
  <si>
    <t>Rv1546</t>
  </si>
  <si>
    <t>Rv2140c</t>
  </si>
  <si>
    <t>Rv2149c</t>
  </si>
  <si>
    <t>Rv3594</t>
  </si>
  <si>
    <t>Rv3754</t>
  </si>
  <si>
    <t>Rv0212c</t>
  </si>
  <si>
    <t>Rv1364c</t>
  </si>
  <si>
    <t>Rv1173</t>
  </si>
  <si>
    <t>Rv0536</t>
  </si>
  <si>
    <t>Rv0791c</t>
  </si>
  <si>
    <t>Rv0855</t>
  </si>
  <si>
    <t>Rv1455</t>
  </si>
  <si>
    <t>Rv1517</t>
  </si>
  <si>
    <t>Rv1958c</t>
  </si>
  <si>
    <t>Rv2002</t>
  </si>
  <si>
    <t>Rv2735c</t>
  </si>
  <si>
    <t>Rv3002c</t>
  </si>
  <si>
    <t>Rv3744</t>
  </si>
  <si>
    <t>Rv0048c</t>
  </si>
  <si>
    <t>Rv0302</t>
  </si>
  <si>
    <t>Rv0739</t>
  </si>
  <si>
    <t>Rv0835</t>
  </si>
  <si>
    <t>Rv0975c</t>
  </si>
  <si>
    <t>Rv0977</t>
  </si>
  <si>
    <t>Rv0993</t>
  </si>
  <si>
    <t>Rv1214c</t>
  </si>
  <si>
    <t>Rv3563</t>
  </si>
  <si>
    <t>Rv3577</t>
  </si>
  <si>
    <t>Rv3609c</t>
  </si>
  <si>
    <t>Rv0929</t>
  </si>
  <si>
    <t>Rv3215</t>
  </si>
  <si>
    <t>Rv1863c</t>
  </si>
  <si>
    <t>Rv0715</t>
  </si>
  <si>
    <t>Rv1594</t>
  </si>
  <si>
    <t>Rv2417c</t>
  </si>
  <si>
    <t>Rv2608</t>
  </si>
  <si>
    <t>Rv0659c</t>
  </si>
  <si>
    <t>Rv1260</t>
  </si>
  <si>
    <t>Rv1933c</t>
  </si>
  <si>
    <t>Rv2468c</t>
  </si>
  <si>
    <t>Rv3835</t>
  </si>
  <si>
    <t>Rv2230c</t>
  </si>
  <si>
    <t>Rv3781</t>
  </si>
  <si>
    <t>Rv2556c</t>
  </si>
  <si>
    <t>Rv0955</t>
  </si>
  <si>
    <t>Rv1846c</t>
  </si>
  <si>
    <t>Rv3404c</t>
  </si>
  <si>
    <t>Rv1703c</t>
  </si>
  <si>
    <t>Rv2927c</t>
  </si>
  <si>
    <t>Rv3234c</t>
  </si>
  <si>
    <t>Rv3306c</t>
  </si>
  <si>
    <t>Rv0154c</t>
  </si>
  <si>
    <t>Rv1275</t>
  </si>
  <si>
    <t>Rv3454</t>
  </si>
  <si>
    <t>Rv0803</t>
  </si>
  <si>
    <t>Rv0355c</t>
  </si>
  <si>
    <t>Rv0630c</t>
  </si>
  <si>
    <t>Rv0752c</t>
  </si>
  <si>
    <t>Rv3776</t>
  </si>
  <si>
    <t>Rv0118c</t>
  </si>
  <si>
    <t>Rv0128</t>
  </si>
  <si>
    <t>Rv0264c</t>
  </si>
  <si>
    <t>Rv1239c</t>
  </si>
  <si>
    <t>Rv1562c</t>
  </si>
  <si>
    <t>Rv1643</t>
  </si>
  <si>
    <t>Rv2033c</t>
  </si>
  <si>
    <t>Rv2065</t>
  </si>
  <si>
    <t>Rv2397c</t>
  </si>
  <si>
    <t>Rv2500c</t>
  </si>
  <si>
    <t>Rv1098c</t>
  </si>
  <si>
    <t>Rv0346c</t>
  </si>
  <si>
    <t>Rv1002c</t>
  </si>
  <si>
    <t>Rv3417c</t>
  </si>
  <si>
    <t>Rv2224c</t>
  </si>
  <si>
    <t>Rv2462c</t>
  </si>
  <si>
    <t>Rv2948c</t>
  </si>
  <si>
    <t>Rv0303</t>
  </si>
  <si>
    <t>Rv0863</t>
  </si>
  <si>
    <t>Rv1267c</t>
  </si>
  <si>
    <t>Rv1429</t>
  </si>
  <si>
    <t>Rv2038c</t>
  </si>
  <si>
    <t>Rv2568c</t>
  </si>
  <si>
    <t>Rv2771c</t>
  </si>
  <si>
    <t>Rv2809</t>
  </si>
  <si>
    <t>Rv3088</t>
  </si>
  <si>
    <t>Rv3094c</t>
  </si>
  <si>
    <t>Rv3160c</t>
  </si>
  <si>
    <t>Rv3363c</t>
  </si>
  <si>
    <t>Rv3636</t>
  </si>
  <si>
    <t>Rv0429c</t>
  </si>
  <si>
    <t>Rv0866</t>
  </si>
  <si>
    <t>Rv1160</t>
  </si>
  <si>
    <t>Rv1957</t>
  </si>
  <si>
    <t>Rv2014</t>
  </si>
  <si>
    <t>Rv2248</t>
  </si>
  <si>
    <t>Rv2401</t>
  </si>
  <si>
    <t>Rv2410c</t>
  </si>
  <si>
    <t>Rv2706c</t>
  </si>
  <si>
    <t>Rv2181</t>
  </si>
  <si>
    <t>Rv1240</t>
  </si>
  <si>
    <t>Rv0537c</t>
  </si>
  <si>
    <t>Rv1447c</t>
  </si>
  <si>
    <t>Rv3005c</t>
  </si>
  <si>
    <t>Rv3820c</t>
  </si>
  <si>
    <t>Rv2934</t>
  </si>
  <si>
    <t>Rv1070c</t>
  </si>
  <si>
    <t>Rv2043c</t>
  </si>
  <si>
    <t>Rv0056</t>
  </si>
  <si>
    <t>Rv0950c</t>
  </si>
  <si>
    <t>Rv3081</t>
  </si>
  <si>
    <t>Rv1410c</t>
  </si>
  <si>
    <t>Rv0910</t>
  </si>
  <si>
    <t>Rv0961</t>
  </si>
  <si>
    <t>Rv2604c</t>
  </si>
  <si>
    <t>Rv3543c</t>
  </si>
  <si>
    <t>Rv3578</t>
  </si>
  <si>
    <t>Rv0260c</t>
  </si>
  <si>
    <t>Rv1407</t>
  </si>
  <si>
    <t>Rv1636</t>
  </si>
  <si>
    <t>Rv3765c</t>
  </si>
  <si>
    <t>Rv3855</t>
  </si>
  <si>
    <t>Rv0676c</t>
  </si>
  <si>
    <t>Rv0982</t>
  </si>
  <si>
    <t>Rv3305c</t>
  </si>
  <si>
    <t>Rv0777</t>
  </si>
  <si>
    <t>Rv2883c</t>
  </si>
  <si>
    <t>Rv0431</t>
  </si>
  <si>
    <t>Rv0773c</t>
  </si>
  <si>
    <t>Rv3634c</t>
  </si>
  <si>
    <t>Rv3667</t>
  </si>
  <si>
    <t>Rv3696c</t>
  </si>
  <si>
    <t>Rv2519</t>
  </si>
  <si>
    <t>Rv2200c</t>
  </si>
  <si>
    <t>Rv3205c</t>
  </si>
  <si>
    <t>Rv2605c</t>
  </si>
  <si>
    <t>Rv2823c</t>
  </si>
  <si>
    <t>Rv3370c</t>
  </si>
  <si>
    <t>Rv2698</t>
  </si>
  <si>
    <t>Rv2731</t>
  </si>
  <si>
    <t>Rv2010</t>
  </si>
  <si>
    <t>Rv2837c</t>
  </si>
  <si>
    <t>Rv3116</t>
  </si>
  <si>
    <t>Rv3810</t>
  </si>
  <si>
    <t>Rv0892</t>
  </si>
  <si>
    <t>Rv0896</t>
  </si>
  <si>
    <t>Rv1409</t>
  </si>
  <si>
    <t>Rv0432</t>
  </si>
  <si>
    <t>Rv0220</t>
  </si>
  <si>
    <t>Rv0682</t>
  </si>
  <si>
    <t>Rv0899</t>
  </si>
  <si>
    <t>Rv3373</t>
  </si>
  <si>
    <t>Rv1193</t>
  </si>
  <si>
    <t>Rv0489</t>
  </si>
  <si>
    <t>Rv2449c</t>
  </si>
  <si>
    <t>Rv1932</t>
  </si>
  <si>
    <t>Rv0237</t>
  </si>
  <si>
    <t>Rv1212c</t>
  </si>
  <si>
    <t>Rv0685</t>
  </si>
  <si>
    <t>Rv0256c</t>
  </si>
  <si>
    <t>Rv1521</t>
  </si>
  <si>
    <t>Rv1238</t>
  </si>
  <si>
    <t>Rv0567</t>
  </si>
  <si>
    <t>Rv2696c</t>
  </si>
  <si>
    <t>Rv0357c</t>
  </si>
  <si>
    <t>Rv0411c</t>
  </si>
  <si>
    <t>Rv0591</t>
  </si>
  <si>
    <t>Rv1728c</t>
  </si>
  <si>
    <t>Rv2037c</t>
  </si>
  <si>
    <t>Rv2676c</t>
  </si>
  <si>
    <t>Rv2914c</t>
  </si>
  <si>
    <t>Rv0339c</t>
  </si>
  <si>
    <t>Rv0872c</t>
  </si>
  <si>
    <t>Rv0989c</t>
  </si>
  <si>
    <t>Rv1469</t>
  </si>
  <si>
    <t>Rv2690c</t>
  </si>
  <si>
    <t>Rv0873</t>
  </si>
  <si>
    <t>Rv3412</t>
  </si>
  <si>
    <t>Rv0952</t>
  </si>
  <si>
    <t>Rv3680</t>
  </si>
  <si>
    <t>Rv1830</t>
  </si>
  <si>
    <t>Rv1854c</t>
  </si>
  <si>
    <t>Rv1008</t>
  </si>
  <si>
    <t>Rv1395</t>
  </si>
  <si>
    <t>Rv3018c</t>
  </si>
  <si>
    <t>Rv3242c</t>
  </si>
  <si>
    <t>Rv0024</t>
  </si>
  <si>
    <t>Rv0463</t>
  </si>
  <si>
    <t>Rv0971c</t>
  </si>
  <si>
    <t>Rv1066</t>
  </si>
  <si>
    <t>Rv1135c</t>
  </si>
  <si>
    <t>Rv2966c</t>
  </si>
  <si>
    <t>Rv3055</t>
  </si>
  <si>
    <t>Rv3195</t>
  </si>
  <si>
    <t>Rv3572</t>
  </si>
  <si>
    <t>Rv3390</t>
  </si>
  <si>
    <t>Rv0321</t>
  </si>
  <si>
    <t>Rv0565c</t>
  </si>
  <si>
    <t>Rv0857</t>
  </si>
  <si>
    <t>Rv0996A</t>
  </si>
  <si>
    <t>Rv1048c</t>
  </si>
  <si>
    <t>Rv1926c</t>
  </si>
  <si>
    <t>Rv2269c</t>
  </si>
  <si>
    <t>Rv2287</t>
  </si>
  <si>
    <t>Rv2613c</t>
  </si>
  <si>
    <t>Rv2677c</t>
  </si>
  <si>
    <t>Rv2844</t>
  </si>
  <si>
    <t>Rv3037c</t>
  </si>
  <si>
    <t>Rv3058c</t>
  </si>
  <si>
    <t>Rv3601c</t>
  </si>
  <si>
    <t>Rv0858c</t>
  </si>
  <si>
    <t>Rv2734</t>
  </si>
  <si>
    <t>Rv3707c</t>
  </si>
  <si>
    <t>Rv0272c</t>
  </si>
  <si>
    <t>Rv2069</t>
  </si>
  <si>
    <t>Rv0292</t>
  </si>
  <si>
    <t>Rv3144c</t>
  </si>
  <si>
    <t>Rv3318</t>
  </si>
  <si>
    <t>Rv1073</t>
  </si>
  <si>
    <t>Rv1228</t>
  </si>
  <si>
    <t>Rv0167</t>
  </si>
  <si>
    <t>Rv2540c</t>
  </si>
  <si>
    <t>Rv2777c</t>
  </si>
  <si>
    <t>Rv2995c</t>
  </si>
  <si>
    <t>Rv1543</t>
  </si>
  <si>
    <t>Rv3210c</t>
  </si>
  <si>
    <t>Rv3268</t>
  </si>
  <si>
    <t>Rv1400c</t>
  </si>
  <si>
    <t>Rv0026</t>
  </si>
  <si>
    <t>Rv1099c</t>
  </si>
  <si>
    <t>Rv2507</t>
  </si>
  <si>
    <t>Rv0585c</t>
  </si>
  <si>
    <t>Rv1749c</t>
  </si>
  <si>
    <t>Rv2151c</t>
  </si>
  <si>
    <t>Rv0070c</t>
  </si>
  <si>
    <t>Rv0940c</t>
  </si>
  <si>
    <t>Rv1785c</t>
  </si>
  <si>
    <t>Rv2842c</t>
  </si>
  <si>
    <t>Rv2890c</t>
  </si>
  <si>
    <t>Rv1821</t>
  </si>
  <si>
    <t>Rv0058</t>
  </si>
  <si>
    <t>Rv0136</t>
  </si>
  <si>
    <t>Rv0832</t>
  </si>
  <si>
    <t>Rv1501</t>
  </si>
  <si>
    <t>Rv1739c</t>
  </si>
  <si>
    <t>Rv2470</t>
  </si>
  <si>
    <t>Rv3595c</t>
  </si>
  <si>
    <t>Rv3903c</t>
  </si>
  <si>
    <t>Rv0327c</t>
  </si>
  <si>
    <t>Rv1138c</t>
  </si>
  <si>
    <t>Rv2819c</t>
  </si>
  <si>
    <t>Rv0528</t>
  </si>
  <si>
    <t>Rv0457c</t>
  </si>
  <si>
    <t>Rv0455c</t>
  </si>
  <si>
    <t>Rv2518c</t>
  </si>
  <si>
    <t>Rv1244</t>
  </si>
  <si>
    <t>Rv1672c</t>
  </si>
  <si>
    <t>Rv2264c</t>
  </si>
  <si>
    <t>Rv0938</t>
  </si>
  <si>
    <t>Rv2845c</t>
  </si>
  <si>
    <t>Rv3265c</t>
  </si>
  <si>
    <t>Rv3418c</t>
  </si>
  <si>
    <t>Rv0061</t>
  </si>
  <si>
    <t>Rv2563</t>
  </si>
  <si>
    <t>Rv1612</t>
  </si>
  <si>
    <t>Rv2435c</t>
  </si>
  <si>
    <t>Rv2969c</t>
  </si>
  <si>
    <t>Rv1454c</t>
  </si>
  <si>
    <t>Rv1918c</t>
  </si>
  <si>
    <t>Rv1855c</t>
  </si>
  <si>
    <t>Rv0877</t>
  </si>
  <si>
    <t>Rv3280</t>
  </si>
  <si>
    <t>Rv3531c</t>
  </si>
  <si>
    <t>Rv0579</t>
  </si>
  <si>
    <t>Rv1206</t>
  </si>
  <si>
    <t>Rv1287</t>
  </si>
  <si>
    <t>Rv1922</t>
  </si>
  <si>
    <t>Rv2206</t>
  </si>
  <si>
    <t>Rv2240c</t>
  </si>
  <si>
    <t>Rv2921c</t>
  </si>
  <si>
    <t>Rv0176</t>
  </si>
  <si>
    <t>Rv3610c</t>
  </si>
  <si>
    <t>Rv0476</t>
  </si>
  <si>
    <t>Rv3321c</t>
  </si>
  <si>
    <t>Rv0802c</t>
  </si>
  <si>
    <t>Rv1014c</t>
  </si>
  <si>
    <t>Rv1524</t>
  </si>
  <si>
    <t>Rv2360c</t>
  </si>
  <si>
    <t>Rv3179</t>
  </si>
  <si>
    <t>Rv3395c</t>
  </si>
  <si>
    <t>Rv3534c</t>
  </si>
  <si>
    <t>Rv3552</t>
  </si>
  <si>
    <t>Rv0089</t>
  </si>
  <si>
    <t>Rv0620</t>
  </si>
  <si>
    <t>Rv2021c</t>
  </si>
  <si>
    <t>Rv2227</t>
  </si>
  <si>
    <t>Rv2274c</t>
  </si>
  <si>
    <t>Rv2286c</t>
  </si>
  <si>
    <t>Rv2407</t>
  </si>
  <si>
    <t>Rv2639c</t>
  </si>
  <si>
    <t>Rv2749</t>
  </si>
  <si>
    <t>Rv3231c</t>
  </si>
  <si>
    <t>Rv3422c</t>
  </si>
  <si>
    <t>Rv3472</t>
  </si>
  <si>
    <t>Rv3486</t>
  </si>
  <si>
    <t>Rv3664c</t>
  </si>
  <si>
    <t>Rv3891c</t>
  </si>
  <si>
    <t>Rv0100</t>
  </si>
  <si>
    <t>Rv0160c</t>
  </si>
  <si>
    <t>Rv0612</t>
  </si>
  <si>
    <t>Rv0634B</t>
  </si>
  <si>
    <t>Rv0942</t>
  </si>
  <si>
    <t>Rv1036c</t>
  </si>
  <si>
    <t>Rv1227c</t>
  </si>
  <si>
    <t>Rv1276c</t>
  </si>
  <si>
    <t>Rv1865c</t>
  </si>
  <si>
    <t>Rv1898</t>
  </si>
  <si>
    <t>Rv2015c</t>
  </si>
  <si>
    <t>Rv2437</t>
  </si>
  <si>
    <t>Rv2699c</t>
  </si>
  <si>
    <t>Rv2980</t>
  </si>
  <si>
    <t>Rv3078</t>
  </si>
  <si>
    <t>Rv3316</t>
  </si>
  <si>
    <t>Rv3565</t>
  </si>
  <si>
    <t>Rv3705A</t>
  </si>
  <si>
    <t>Rv3769</t>
  </si>
  <si>
    <t>Rv3893c</t>
  </si>
  <si>
    <t>Rv0221</t>
  </si>
  <si>
    <t>Rv1539</t>
  </si>
  <si>
    <t>Rv1665</t>
  </si>
  <si>
    <t>Rv0239</t>
  </si>
  <si>
    <t>Rv0178</t>
  </si>
  <si>
    <t>Rv1354c</t>
  </si>
  <si>
    <t>Rv1472</t>
  </si>
  <si>
    <t>Rv1697</t>
  </si>
  <si>
    <t>Rv1200</t>
  </si>
  <si>
    <t>Rv0485</t>
  </si>
  <si>
    <t>Rv0315</t>
  </si>
  <si>
    <t>Rv0309</t>
  </si>
  <si>
    <t>Rv0710</t>
  </si>
  <si>
    <t>Rv1080c</t>
  </si>
  <si>
    <t>Rv2124c</t>
  </si>
  <si>
    <t>Rv2092c</t>
  </si>
  <si>
    <t>Rv3459c</t>
  </si>
  <si>
    <t>Rv2275</t>
  </si>
  <si>
    <t>Rv2982c</t>
  </si>
  <si>
    <t>Rv3294c</t>
  </si>
  <si>
    <t>Rv3479</t>
  </si>
  <si>
    <t>Rv3784</t>
  </si>
  <si>
    <t>Rv0400c</t>
  </si>
  <si>
    <t>Rv2968c</t>
  </si>
  <si>
    <t>Rv3407</t>
  </si>
  <si>
    <t>Rv0883c</t>
  </si>
  <si>
    <t>Rv2702</t>
  </si>
  <si>
    <t>Rv0215c</t>
  </si>
  <si>
    <t>Rv3704c</t>
  </si>
  <si>
    <t>Rv3592</t>
  </si>
  <si>
    <t>Rv2534c</t>
  </si>
  <si>
    <t>Rv3092c</t>
  </si>
  <si>
    <t>Rv3497c</t>
  </si>
  <si>
    <t>Rv1175c</t>
  </si>
  <si>
    <t>Rv0265c</t>
  </si>
  <si>
    <t>Rv1371</t>
  </si>
  <si>
    <t>Rv0924c</t>
  </si>
  <si>
    <t>Rv1838c</t>
  </si>
  <si>
    <t>Rv1707</t>
  </si>
  <si>
    <t>Rv0111</t>
  </si>
  <si>
    <t>Rv3413c</t>
  </si>
  <si>
    <t>Rv2700</t>
  </si>
  <si>
    <t>Rv3336c</t>
  </si>
  <si>
    <t>Rv1615</t>
  </si>
  <si>
    <t>Rv2577</t>
  </si>
  <si>
    <t>Rv3213c</t>
  </si>
  <si>
    <t>Rv0151c</t>
  </si>
  <si>
    <t>Rv0152c</t>
  </si>
  <si>
    <t>Rv0385</t>
  </si>
  <si>
    <t>Rv0645c</t>
  </si>
  <si>
    <t>Rv0862c</t>
  </si>
  <si>
    <t>Rv1058</t>
  </si>
  <si>
    <t>Rv1141c</t>
  </si>
  <si>
    <t>Rv2458</t>
  </si>
  <si>
    <t>Rv2797c</t>
  </si>
  <si>
    <t>Rv1143</t>
  </si>
  <si>
    <t>Rv2542</t>
  </si>
  <si>
    <t>Rv3631</t>
  </si>
  <si>
    <t>Rv0931c</t>
  </si>
  <si>
    <t>Rv0121c</t>
  </si>
  <si>
    <t>Rv2503c</t>
  </si>
  <si>
    <t>Rv2827c</t>
  </si>
  <si>
    <t>Rv3369</t>
  </si>
  <si>
    <t>Rv0191</t>
  </si>
  <si>
    <t>Rv0554</t>
  </si>
  <si>
    <t>Rv2405</t>
  </si>
  <si>
    <t>Rv3168</t>
  </si>
  <si>
    <t>Rv3170</t>
  </si>
  <si>
    <t>Rv3172c</t>
  </si>
  <si>
    <t>Rv3286c</t>
  </si>
  <si>
    <t>Rv3432c</t>
  </si>
  <si>
    <t>Rv1492</t>
  </si>
  <si>
    <t>Rv1547</t>
  </si>
  <si>
    <t>Rv1117</t>
  </si>
  <si>
    <t>Rv0811c</t>
  </si>
  <si>
    <t>Rv1651c</t>
  </si>
  <si>
    <t>Rv2787</t>
  </si>
  <si>
    <t>Rv0135c</t>
  </si>
  <si>
    <t>Rv0646c</t>
  </si>
  <si>
    <t>Rv1496</t>
  </si>
  <si>
    <t>Rv3194c</t>
  </si>
  <si>
    <t>Rv1279</t>
  </si>
  <si>
    <t>Rv3091</t>
  </si>
  <si>
    <t>Rv1683</t>
  </si>
  <si>
    <t>Rv2725c</t>
  </si>
  <si>
    <t>Rv1837c</t>
  </si>
  <si>
    <t>Rv0998</t>
  </si>
  <si>
    <t>Rv2136c</t>
  </si>
  <si>
    <t>Rv3783</t>
  </si>
  <si>
    <t>Rv0343</t>
  </si>
  <si>
    <t>Rv3379c</t>
  </si>
  <si>
    <t>Rv0951</t>
  </si>
  <si>
    <t>Rv1614</t>
  </si>
  <si>
    <t>Rv1194c</t>
  </si>
  <si>
    <t>Rv1418</t>
  </si>
  <si>
    <t>Rv0263c</t>
  </si>
  <si>
    <t>Rv2925c</t>
  </si>
  <si>
    <t>Rv0590</t>
  </si>
  <si>
    <t>Rv1428c</t>
  </si>
  <si>
    <t>Rv1446c</t>
  </si>
  <si>
    <t>Rv2235</t>
  </si>
  <si>
    <t>Rv2336</t>
  </si>
  <si>
    <t>Rv2739c</t>
  </si>
  <si>
    <t>Rv2901c</t>
  </si>
  <si>
    <t>Rv3421c</t>
  </si>
  <si>
    <t>Rv3913</t>
  </si>
  <si>
    <t>Rv0461</t>
  </si>
  <si>
    <t>Rv3897c</t>
  </si>
  <si>
    <t>Rv3198c</t>
  </si>
  <si>
    <t>Rv1013</t>
  </si>
  <si>
    <t>Rv0012</t>
  </si>
  <si>
    <t>Rv0785</t>
  </si>
  <si>
    <t>Rv3451</t>
  </si>
  <si>
    <t>Rv3755c</t>
  </si>
  <si>
    <t>Rv2707</t>
  </si>
  <si>
    <t>Rv2555c</t>
  </si>
  <si>
    <t>Rv0126</t>
  </si>
  <si>
    <t>Rv1493</t>
  </si>
  <si>
    <t>Rv1730c</t>
  </si>
  <si>
    <t>Rv2484c</t>
  </si>
  <si>
    <t>Rv2223c</t>
  </si>
  <si>
    <t>Rv3717</t>
  </si>
  <si>
    <t>Rv2723</t>
  </si>
  <si>
    <t>Rv0719</t>
  </si>
  <si>
    <t>Rv1328</t>
  </si>
  <si>
    <t>Rv3201c</t>
  </si>
  <si>
    <t>Rv0025</t>
  </si>
  <si>
    <t>Rv0085</t>
  </si>
  <si>
    <t>Rv0334</t>
  </si>
  <si>
    <t>Rv1261c</t>
  </si>
  <si>
    <t>Rv1724c</t>
  </si>
  <si>
    <t>Rv1875</t>
  </si>
  <si>
    <t>Rv1896c</t>
  </si>
  <si>
    <t>Rv1919c</t>
  </si>
  <si>
    <t>Rv2169c</t>
  </si>
  <si>
    <t>Rv2849c</t>
  </si>
  <si>
    <t>Rv2943</t>
  </si>
  <si>
    <t>Rv0052</t>
  </si>
  <si>
    <t>Rv0415</t>
  </si>
  <si>
    <t>Rv0762c</t>
  </si>
  <si>
    <t>Rv0992c</t>
  </si>
  <si>
    <t>Rv1995</t>
  </si>
  <si>
    <t>Rv2016</t>
  </si>
  <si>
    <t>Rv2754c</t>
  </si>
  <si>
    <t>Rv2765</t>
  </si>
  <si>
    <t>Rv3071</t>
  </si>
  <si>
    <t>Rv3216</t>
  </si>
  <si>
    <t>Rv3901c</t>
  </si>
  <si>
    <t>Rv2457c</t>
  </si>
  <si>
    <t>Rv0240</t>
  </si>
  <si>
    <t>Rv0834c</t>
  </si>
  <si>
    <t>Rv0904c</t>
  </si>
  <si>
    <t>Rv1680</t>
  </si>
  <si>
    <t>Rv2453c</t>
  </si>
  <si>
    <t>Rv2602</t>
  </si>
  <si>
    <t>Rv2911</t>
  </si>
  <si>
    <t>Rv2977c</t>
  </si>
  <si>
    <t>Rv3510c</t>
  </si>
  <si>
    <t>Rv0648</t>
  </si>
  <si>
    <t>Rv3443c</t>
  </si>
  <si>
    <t>Rv1869c</t>
  </si>
  <si>
    <t>Rv0632c</t>
  </si>
  <si>
    <t>Rv0464c</t>
  </si>
  <si>
    <t>Rv0908</t>
  </si>
  <si>
    <t>Rv2296</t>
  </si>
  <si>
    <t>Rv1800</t>
  </si>
  <si>
    <t>Rv3827c</t>
  </si>
  <si>
    <t>Rv3207c</t>
  </si>
  <si>
    <t>Rv2158c</t>
  </si>
  <si>
    <t>Rv0981</t>
  </si>
  <si>
    <t>Rv0120c</t>
  </si>
  <si>
    <t>Rv0351</t>
  </si>
  <si>
    <t>Rv3763</t>
  </si>
  <si>
    <t>Rv1201c</t>
  </si>
  <si>
    <t>Rv1001</t>
  </si>
  <si>
    <t>Rv0637</t>
  </si>
  <si>
    <t>Rv0016c</t>
  </si>
  <si>
    <t>Rv1638</t>
  </si>
  <si>
    <t>Rv1832</t>
  </si>
  <si>
    <t>Rv2339</t>
  </si>
  <si>
    <t>Rv3038c</t>
  </si>
  <si>
    <t>Rv0884c</t>
  </si>
  <si>
    <t>Rv1568</t>
  </si>
  <si>
    <t>Rv3031</t>
  </si>
  <si>
    <t>Rv3761c</t>
  </si>
  <si>
    <t>Rv0613c</t>
  </si>
  <si>
    <t>Rv3910</t>
  </si>
  <si>
    <t>Rv1633</t>
  </si>
  <si>
    <t>Rv2858c</t>
  </si>
  <si>
    <t>Rv3582c</t>
  </si>
  <si>
    <t>Rv3681c</t>
  </si>
  <si>
    <t>Rv2869c</t>
  </si>
  <si>
    <t>Rv3458c</t>
  </si>
  <si>
    <t>Rv2861c</t>
  </si>
  <si>
    <t>Rv0054</t>
  </si>
  <si>
    <t>Rv1142c</t>
  </si>
  <si>
    <t>Rv2171</t>
  </si>
  <si>
    <t>Rv3392c</t>
  </si>
  <si>
    <t>Rv2285</t>
  </si>
  <si>
    <t>Rv2618</t>
  </si>
  <si>
    <t>Rv1358</t>
  </si>
  <si>
    <t>Rv1700</t>
  </si>
  <si>
    <t>Rv2593c</t>
  </si>
  <si>
    <t>Rv3481c</t>
  </si>
  <si>
    <t>Rv3519</t>
  </si>
  <si>
    <t>Rv3257c</t>
  </si>
  <si>
    <t>Rv0515</t>
  </si>
  <si>
    <t>Rv2455c</t>
  </si>
  <si>
    <t>Rv1631</t>
  </si>
  <si>
    <t>Rv3725</t>
  </si>
  <si>
    <t>Rv0245</t>
  </si>
  <si>
    <t>Rv0658c</t>
  </si>
  <si>
    <t>Rv1402</t>
  </si>
  <si>
    <t>Rv1569</t>
  </si>
  <si>
    <t>Rv2591</t>
  </si>
  <si>
    <t>Rv2688c</t>
  </si>
  <si>
    <t>Rv3894c</t>
  </si>
  <si>
    <t>Rv0504c</t>
  </si>
  <si>
    <t>Rv2802c</t>
  </si>
  <si>
    <t>Rv2820c</t>
  </si>
  <si>
    <t>Rv1485</t>
  </si>
  <si>
    <t>Rv2737c</t>
  </si>
  <si>
    <t>Rv0168</t>
  </si>
  <si>
    <t>Rv0530</t>
  </si>
  <si>
    <t>Rv2281</t>
  </si>
  <si>
    <t>Rv3267</t>
  </si>
  <si>
    <t>Rv2164c</t>
  </si>
  <si>
    <t>Rv0408</t>
  </si>
  <si>
    <t>Rv3329</t>
  </si>
  <si>
    <t>Rv0497</t>
  </si>
  <si>
    <t>Rv3052c</t>
  </si>
  <si>
    <t>Rv2586c</t>
  </si>
  <si>
    <t>Rv0769</t>
  </si>
  <si>
    <t>Rv2325c</t>
  </si>
  <si>
    <t>Rv0059</t>
  </si>
  <si>
    <t>Rv3678c</t>
  </si>
  <si>
    <t>Rv0985c</t>
  </si>
  <si>
    <t>Rv3100c</t>
  </si>
  <si>
    <t>Rv3557c</t>
  </si>
  <si>
    <t>Rv0728c</t>
  </si>
  <si>
    <t>Rv0776c</t>
  </si>
  <si>
    <t>Rv0944</t>
  </si>
  <si>
    <t>Rv1531</t>
  </si>
  <si>
    <t>Rv1606</t>
  </si>
  <si>
    <t>Rv2375</t>
  </si>
  <si>
    <t>Rv3384c</t>
  </si>
  <si>
    <t>Rv0097</t>
  </si>
  <si>
    <t>Rv0747</t>
  </si>
  <si>
    <t>Rv1226c</t>
  </si>
  <si>
    <t>Rv1624c</t>
  </si>
  <si>
    <t>Rv1834</t>
  </si>
  <si>
    <t>Rv1956</t>
  </si>
  <si>
    <t>Rv2116</t>
  </si>
  <si>
    <t>Rv2549c</t>
  </si>
  <si>
    <t>Rv2675c</t>
  </si>
  <si>
    <t>Rv2740</t>
  </si>
  <si>
    <t>Rv2832c</t>
  </si>
  <si>
    <t>Rv3033</t>
  </si>
  <si>
    <t>Rv3517</t>
  </si>
  <si>
    <t>Rv3535c</t>
  </si>
  <si>
    <t>Rv2800</t>
  </si>
  <si>
    <t>Rv3045</t>
  </si>
  <si>
    <t>Rv2852c</t>
  </si>
  <si>
    <t>Rv1323</t>
  </si>
  <si>
    <t>Rv2606c</t>
  </si>
  <si>
    <t>Rv0667</t>
  </si>
  <si>
    <t>Rv1170</t>
  </si>
  <si>
    <t>Rv2779c</t>
  </si>
  <si>
    <t>Rv1204c</t>
  </si>
  <si>
    <t>Rv3102c</t>
  </si>
  <si>
    <t>Rv0129c</t>
  </si>
  <si>
    <t>Rv0636</t>
  </si>
  <si>
    <t>Rv1156</t>
  </si>
  <si>
    <t>Rv0029</t>
  </si>
  <si>
    <t>Rv1599</t>
  </si>
  <si>
    <t>Rv1337</t>
  </si>
  <si>
    <t>Rv2984</t>
  </si>
  <si>
    <t>Rv1101c</t>
  </si>
  <si>
    <t>Rv2473</t>
  </si>
  <si>
    <t>Rv2616</t>
  </si>
  <si>
    <t>Rv2909c</t>
  </si>
  <si>
    <t>Rv2919c</t>
  </si>
  <si>
    <t>Rv2637</t>
  </si>
  <si>
    <t>Rv2884</t>
  </si>
  <si>
    <t>Rv3771c</t>
  </si>
  <si>
    <t>Rv3831</t>
  </si>
  <si>
    <t>Rv1442</t>
  </si>
  <si>
    <t>Rv2232</t>
  </si>
  <si>
    <t>Rv0592</t>
  </si>
  <si>
    <t>Rv1467c</t>
  </si>
  <si>
    <t>Rv1661</t>
  </si>
  <si>
    <t>Rv3043c</t>
  </si>
  <si>
    <t>Rv2612c</t>
  </si>
  <si>
    <t>Rv3256c</t>
  </si>
  <si>
    <t>Rv0477</t>
  </si>
  <si>
    <t>Rv1788</t>
  </si>
  <si>
    <t>Rv3030</t>
  </si>
  <si>
    <t>Rv3391</t>
  </si>
  <si>
    <t>Rv3393</t>
  </si>
  <si>
    <t>Rv3692</t>
  </si>
  <si>
    <t>Rv3906c</t>
  </si>
  <si>
    <t>Rv0507</t>
  </si>
  <si>
    <t>Rv0198c</t>
  </si>
  <si>
    <t>Rv0642c</t>
  </si>
  <si>
    <t>Rv3709c</t>
  </si>
  <si>
    <t>Rv1588c</t>
  </si>
  <si>
    <t>Rv1140</t>
  </si>
  <si>
    <t>Rv1634</t>
  </si>
  <si>
    <t>Rv2276</t>
  </si>
  <si>
    <t>Rv2314c</t>
  </si>
  <si>
    <t>Rv2848c</t>
  </si>
  <si>
    <t>Rv2994</t>
  </si>
  <si>
    <t>Rv0480c</t>
  </si>
  <si>
    <t>Rv3671c</t>
  </si>
  <si>
    <t>Rv1713</t>
  </si>
  <si>
    <t>Rv0772</t>
  </si>
  <si>
    <t>Rv3105c</t>
  </si>
  <si>
    <t>Rv3248c</t>
  </si>
  <si>
    <t>Rv0101</t>
  </si>
  <si>
    <t>Rv0270</t>
  </si>
  <si>
    <t>Rv0314c</t>
  </si>
  <si>
    <t>Rv1038c</t>
  </si>
  <si>
    <t>Rv3889c</t>
  </si>
  <si>
    <t>Rv1747</t>
  </si>
  <si>
    <t>Rv1183</t>
  </si>
  <si>
    <t>Rv1548c</t>
  </si>
  <si>
    <t>Rv0271c</t>
  </si>
  <si>
    <t>Rv3076</t>
  </si>
  <si>
    <t>Rv3679</t>
  </si>
  <si>
    <t>Rv3214</t>
  </si>
  <si>
    <t>Rv3438</t>
  </si>
  <si>
    <t>Rv3677c</t>
  </si>
  <si>
    <t>Rv1894c</t>
  </si>
  <si>
    <t>Rv2560</t>
  </si>
  <si>
    <t>Rv3227</t>
  </si>
  <si>
    <t>Rv1544</t>
  </si>
  <si>
    <t>Rv1620c</t>
  </si>
  <si>
    <t>Rv1814</t>
  </si>
  <si>
    <t>Rv2183c</t>
  </si>
  <si>
    <t>Rv0269c</t>
  </si>
  <si>
    <t>Rv0654</t>
  </si>
  <si>
    <t>Rv1368</t>
  </si>
  <si>
    <t>Rv1754c</t>
  </si>
  <si>
    <t>Rv2720</t>
  </si>
  <si>
    <t>Rv3320c</t>
  </si>
  <si>
    <t>Rv3556c</t>
  </si>
  <si>
    <t>Rv3558</t>
  </si>
  <si>
    <t>Rv1635c</t>
  </si>
  <si>
    <t>Rv0439c</t>
  </si>
  <si>
    <t>Rv1298</t>
  </si>
  <si>
    <t>Rv3859c</t>
  </si>
  <si>
    <t>Rv0949</t>
  </si>
  <si>
    <t>Rv0393</t>
  </si>
  <si>
    <t>Rv0444c</t>
  </si>
  <si>
    <t>Rv1209</t>
  </si>
  <si>
    <t>Rv1322</t>
  </si>
  <si>
    <t>Rv1598c</t>
  </si>
  <si>
    <t>Rv2103c</t>
  </si>
  <si>
    <t>Rv3056</t>
  </si>
  <si>
    <t>Rv0140</t>
  </si>
  <si>
    <t>Rv0379</t>
  </si>
  <si>
    <t>Rv1019</t>
  </si>
  <si>
    <t>Rv2670c</t>
  </si>
  <si>
    <t>Rv1836c</t>
  </si>
  <si>
    <t>Rv1475c</t>
  </si>
  <si>
    <t>Rv1301</t>
  </si>
  <si>
    <t>Rv0635</t>
  </si>
  <si>
    <t>Rv2784c</t>
  </si>
  <si>
    <t>Rv2431c</t>
  </si>
  <si>
    <t>Rv2839c</t>
  </si>
  <si>
    <t>Rv2114</t>
  </si>
  <si>
    <t>Rv0586</t>
  </si>
  <si>
    <t>Rv3246c</t>
  </si>
  <si>
    <t>Rv2614c</t>
  </si>
  <si>
    <t>Rv2795c</t>
  </si>
  <si>
    <t>Rv1249c</t>
  </si>
  <si>
    <t>Rv1678</t>
  </si>
  <si>
    <t>Rv2364c</t>
  </si>
  <si>
    <t>Rv0166</t>
  </si>
  <si>
    <t>Rv3697c</t>
  </si>
  <si>
    <t>Rv2394</t>
  </si>
  <si>
    <t>Rv0003</t>
  </si>
  <si>
    <t>Rv1835c</t>
  </si>
  <si>
    <t>Rv3911</t>
  </si>
  <si>
    <t>Rv0995</t>
  </si>
  <si>
    <t>Rv1727</t>
  </si>
  <si>
    <t>Rv1890c</t>
  </si>
  <si>
    <t>Rv2330c</t>
  </si>
  <si>
    <t>Rv2573</t>
  </si>
  <si>
    <t>Rv2766c</t>
  </si>
  <si>
    <t>Rv2821c</t>
  </si>
  <si>
    <t>Rv2862c</t>
  </si>
  <si>
    <t>Rv0203</t>
  </si>
  <si>
    <t>Rv0534c</t>
  </si>
  <si>
    <t>Rv0575c</t>
  </si>
  <si>
    <t>Rv0915c</t>
  </si>
  <si>
    <t>Rv1439c</t>
  </si>
  <si>
    <t>Rv1803c</t>
  </si>
  <si>
    <t>Rv1809</t>
  </si>
  <si>
    <t>Rv2186c</t>
  </si>
  <si>
    <t>Rv2804c</t>
  </si>
  <si>
    <t>Rv2961</t>
  </si>
  <si>
    <t>Rv3066</t>
  </si>
  <si>
    <t>Rv3289c</t>
  </si>
  <si>
    <t>Rv3778c</t>
  </si>
  <si>
    <t>Rv0214</t>
  </si>
  <si>
    <t>Rv3814c</t>
  </si>
  <si>
    <t>Rv0310c</t>
  </si>
  <si>
    <t>Rv0421c</t>
  </si>
  <si>
    <t>Rv1647</t>
  </si>
  <si>
    <t>Rv2268c</t>
  </si>
  <si>
    <t>Rv2372c</t>
  </si>
  <si>
    <t>Rv3648c</t>
  </si>
  <si>
    <t>Rv3762c</t>
  </si>
  <si>
    <t>Rv3850</t>
  </si>
  <si>
    <t>Rv0127</t>
  </si>
  <si>
    <t>Rv3199c</t>
  </si>
  <si>
    <t>Rv1827</t>
  </si>
  <si>
    <t>Rv2238c</t>
  </si>
  <si>
    <t>Rv3313c</t>
  </si>
  <si>
    <t>Rv1403c</t>
  </si>
  <si>
    <t>Rv1808</t>
  </si>
  <si>
    <t>Rv2747</t>
  </si>
  <si>
    <t>Rv1009</t>
  </si>
  <si>
    <t>Rv1880c</t>
  </si>
  <si>
    <t>Rv2535c</t>
  </si>
  <si>
    <t>Rv3139</t>
  </si>
  <si>
    <t>Rv1281c</t>
  </si>
  <si>
    <t>Rv1601</t>
  </si>
  <si>
    <t>Rv3430c</t>
  </si>
  <si>
    <t>Rv0684</t>
  </si>
  <si>
    <t>Rv1794</t>
  </si>
  <si>
    <t>Rv1251c</t>
  </si>
  <si>
    <t>Rv0753c</t>
  </si>
  <si>
    <t>Rv1477</t>
  </si>
  <si>
    <t>Rv2210c</t>
  </si>
  <si>
    <t>Rv2567</t>
  </si>
  <si>
    <t>Rv1621c</t>
  </si>
  <si>
    <t>Rv0751c</t>
  </si>
  <si>
    <t>Rv0889c</t>
  </si>
  <si>
    <t>Rv1060</t>
  </si>
  <si>
    <t>Rv0505c</t>
  </si>
  <si>
    <t>Rv0885</t>
  </si>
  <si>
    <t>Rv0980c</t>
  </si>
  <si>
    <t>Rv1420</t>
  </si>
  <si>
    <t>Rv1752</t>
  </si>
  <si>
    <t>Rv2119</t>
  </si>
  <si>
    <t>Rv2523c</t>
  </si>
  <si>
    <t>Rv2689c</t>
  </si>
  <si>
    <t>Rv3700c</t>
  </si>
  <si>
    <t>Rv0233</t>
  </si>
  <si>
    <t>Rv1022</t>
  </si>
  <si>
    <t>Rv1401</t>
  </si>
  <si>
    <t>Rv1423</t>
  </si>
  <si>
    <t>Rv1897c</t>
  </si>
  <si>
    <t>Rv0083</t>
  </si>
  <si>
    <t>Rv0087</t>
  </si>
  <si>
    <t>Rv0905</t>
  </si>
  <si>
    <t>Rv0911</t>
  </si>
  <si>
    <t>Rv2191</t>
  </si>
  <si>
    <t>Rv2674</t>
  </si>
  <si>
    <t>Rv0053</t>
  </si>
  <si>
    <t>Rv1551</t>
  </si>
  <si>
    <t>Rv2999</t>
  </si>
  <si>
    <t>Rv3284</t>
  </si>
  <si>
    <t>Rv3476c</t>
  </si>
  <si>
    <t>Rv0207c</t>
  </si>
  <si>
    <t>Rv2887</t>
  </si>
  <si>
    <t>Rv3666c</t>
  </si>
  <si>
    <t>Rv3858c</t>
  </si>
  <si>
    <t>Rv0216</t>
  </si>
  <si>
    <t>Rv1451</t>
  </si>
  <si>
    <t>Rv2256c</t>
  </si>
  <si>
    <t>Rv2933</t>
  </si>
  <si>
    <t>Rv2221c</t>
  </si>
  <si>
    <t>Rv3156</t>
  </si>
  <si>
    <t>Rv1534</t>
  </si>
  <si>
    <t>Rv0764c</t>
  </si>
  <si>
    <t>Rv3537</t>
  </si>
  <si>
    <t>Rv2454c</t>
  </si>
  <si>
    <t>Rv1010</t>
  </si>
  <si>
    <t>Rv1077</t>
  </si>
  <si>
    <t>Rv0304c</t>
  </si>
  <si>
    <t>Rv3723</t>
  </si>
  <si>
    <t>Rv0248c</t>
  </si>
  <si>
    <t>Rv3816c</t>
  </si>
  <si>
    <t>Rv1155</t>
  </si>
  <si>
    <t>Rv0229c</t>
  </si>
  <si>
    <t>Rv0631c</t>
  </si>
  <si>
    <t>Rv0756c</t>
  </si>
  <si>
    <t>Rv1208</t>
  </si>
  <si>
    <t>Rv1372</t>
  </si>
  <si>
    <t>Rv1456c</t>
  </si>
  <si>
    <t>Rv3171c</t>
  </si>
  <si>
    <t>Rv3462c</t>
  </si>
  <si>
    <t>Rv0454</t>
  </si>
  <si>
    <t>Rv0731c</t>
  </si>
  <si>
    <t>Rv2429</t>
  </si>
  <si>
    <t>Rv0932c</t>
  </si>
  <si>
    <t>Rv0711</t>
  </si>
  <si>
    <t>Rv0364</t>
  </si>
  <si>
    <t>Rv2440c</t>
  </si>
  <si>
    <t>Rv3629c</t>
  </si>
  <si>
    <t>Rv1059</t>
  </si>
  <si>
    <t>Rv2993c</t>
  </si>
  <si>
    <t>Rv3915</t>
  </si>
  <si>
    <t>Rv3304</t>
  </si>
  <si>
    <t>Rv1286</t>
  </si>
  <si>
    <t>Rv2477c</t>
  </si>
  <si>
    <t>Rv1867</t>
  </si>
  <si>
    <t>Rv1920</t>
  </si>
  <si>
    <t>Rv2001</t>
  </si>
  <si>
    <t>Rv3097c</t>
  </si>
  <si>
    <t>Rv3606c</t>
  </si>
  <si>
    <t>Rv0201c</t>
  </si>
  <si>
    <t>Rv0417</t>
  </si>
  <si>
    <t>Rv0729</t>
  </si>
  <si>
    <t>Rv0768</t>
  </si>
  <si>
    <t>Rv0933</t>
  </si>
  <si>
    <t>Rv2307c</t>
  </si>
  <si>
    <t>Rv2899c</t>
  </si>
  <si>
    <t>Rv3569c</t>
  </si>
  <si>
    <t>Rv3635</t>
  </si>
  <si>
    <t>Rv3685c</t>
  </si>
  <si>
    <t>Rv1709</t>
  </si>
  <si>
    <t>Rv3104c</t>
  </si>
  <si>
    <t>Rv3377c</t>
  </si>
  <si>
    <t>Rv0939</t>
  </si>
  <si>
    <t>Rv0806c</t>
  </si>
  <si>
    <t>Rv0503c</t>
  </si>
  <si>
    <t>Rv1097c</t>
  </si>
  <si>
    <t>Rv0249c</t>
  </si>
  <si>
    <t>Rv3396c</t>
  </si>
  <si>
    <t>Rv0593</t>
  </si>
  <si>
    <t>Rv0199</t>
  </si>
  <si>
    <t>Rv1341</t>
  </si>
  <si>
    <t>Rv1520</t>
  </si>
  <si>
    <t>Rv2398c</t>
  </si>
  <si>
    <t>Rv3584</t>
  </si>
  <si>
    <t>Rv0597c</t>
  </si>
  <si>
    <t>Rv1710</t>
  </si>
  <si>
    <t>Rv2242</t>
  </si>
  <si>
    <t>Rv2896c</t>
  </si>
  <si>
    <t>Rv0917</t>
  </si>
  <si>
    <t>Rv1127c</t>
  </si>
  <si>
    <t>Rv1305</t>
  </si>
  <si>
    <t>Rv1526c</t>
  </si>
  <si>
    <t>Rv3317</t>
  </si>
  <si>
    <t>Rv3796</t>
  </si>
  <si>
    <t>Rv0634A</t>
  </si>
  <si>
    <t>Rv2571c</t>
  </si>
  <si>
    <t>Rv2859c</t>
  </si>
  <si>
    <t>Rv0694</t>
  </si>
  <si>
    <t>Rv2525c</t>
  </si>
  <si>
    <t>Rv1900c</t>
  </si>
  <si>
    <t>Rv0976c</t>
  </si>
  <si>
    <t>Rv2011c</t>
  </si>
  <si>
    <t>Rv2236c</t>
  </si>
  <si>
    <t>Rv2506</t>
  </si>
  <si>
    <t>Rv2516c</t>
  </si>
  <si>
    <t>Rv3914</t>
  </si>
  <si>
    <t>Rv0840c</t>
  </si>
  <si>
    <t>Rv1231c</t>
  </si>
  <si>
    <t>Rv2906c</t>
  </si>
  <si>
    <t>Rv3093c</t>
  </si>
  <si>
    <t>Rv2112c</t>
  </si>
  <si>
    <t>Rv0486</t>
  </si>
  <si>
    <t>Rv3150</t>
  </si>
  <si>
    <t>Rv0545c</t>
  </si>
  <si>
    <t>Rv0922</t>
  </si>
  <si>
    <t>Rv3067</t>
  </si>
  <si>
    <t>Rv3549c</t>
  </si>
  <si>
    <t>Rv0046c</t>
  </si>
  <si>
    <t>Rv0680c</t>
  </si>
  <si>
    <t>Rv0856</t>
  </si>
  <si>
    <t>Rv0921</t>
  </si>
  <si>
    <t>Rv0959A</t>
  </si>
  <si>
    <t>Rv1470</t>
  </si>
  <si>
    <t>Rv1567c</t>
  </si>
  <si>
    <t>Rv1962Ac</t>
  </si>
  <si>
    <t>Rv2025c</t>
  </si>
  <si>
    <t>Rv2039c</t>
  </si>
  <si>
    <t>Rv2492</t>
  </si>
  <si>
    <t>Rv2644c</t>
  </si>
  <si>
    <t>Rv2774c</t>
  </si>
  <si>
    <t>Rv2830c</t>
  </si>
  <si>
    <t>Rv2910c</t>
  </si>
  <si>
    <t>Rv0258c</t>
  </si>
  <si>
    <t>Rv0278c</t>
  </si>
  <si>
    <t>Rv0459</t>
  </si>
  <si>
    <t>Rv0493c</t>
  </si>
  <si>
    <t>Rv1657</t>
  </si>
  <si>
    <t>Rv1892</t>
  </si>
  <si>
    <t>Rv2111c</t>
  </si>
  <si>
    <t>Rv2254c</t>
  </si>
  <si>
    <t>Rv2263</t>
  </si>
  <si>
    <t>Rv2539c</t>
  </si>
  <si>
    <t>Rv2643</t>
  </si>
  <si>
    <t>Rv3241c</t>
  </si>
  <si>
    <t>Rv3702c</t>
  </si>
  <si>
    <t>Rv0442c</t>
  </si>
  <si>
    <t>Rv0217c</t>
  </si>
  <si>
    <t>Rv0436c</t>
  </si>
  <si>
    <t>Rv0771</t>
  </si>
  <si>
    <t>Rv2150c</t>
  </si>
  <si>
    <t>Rv0051</t>
  </si>
  <si>
    <t>Rv2174</t>
  </si>
  <si>
    <t>Rv0714</t>
  </si>
  <si>
    <t>Rv1020</t>
  </si>
  <si>
    <t>Rv0538</t>
  </si>
  <si>
    <t>Rv1104</t>
  </si>
  <si>
    <t>Rv2685</t>
  </si>
  <si>
    <t>Rv0789c</t>
  </si>
  <si>
    <t>Rv1350</t>
  </si>
  <si>
    <t>Rv1802</t>
  </si>
  <si>
    <t>Rv3463</t>
  </si>
  <si>
    <t>Rv1314c</t>
  </si>
  <si>
    <t>Rv1852</t>
  </si>
  <si>
    <t>Rv2305</t>
  </si>
  <si>
    <t>Rv3735</t>
  </si>
  <si>
    <t>Rv0306</t>
  </si>
  <si>
    <t>Rv0356c</t>
  </si>
  <si>
    <t>Rv0373c</t>
  </si>
  <si>
    <t>Rv0779c</t>
  </si>
  <si>
    <t>Rv3528c</t>
  </si>
  <si>
    <t>Rv3813c</t>
  </si>
  <si>
    <t>Rv3264c</t>
  </si>
  <si>
    <t>Rv0102</t>
  </si>
  <si>
    <t>Rv0893c</t>
  </si>
  <si>
    <t>Rv1862</t>
  </si>
  <si>
    <t>Rv2129c</t>
  </si>
  <si>
    <t>Rv2334</t>
  </si>
  <si>
    <t>Rv3319</t>
  </si>
  <si>
    <t>Rv0906</t>
  </si>
  <si>
    <t>Rv1374c</t>
  </si>
  <si>
    <t>Rv2231c</t>
  </si>
  <si>
    <t>Rv0409</t>
  </si>
  <si>
    <t>Rv0445c</t>
  </si>
  <si>
    <t>Rv0839</t>
  </si>
  <si>
    <t>Rv1433</t>
  </si>
  <si>
    <t>Rv2892c</t>
  </si>
  <si>
    <t>Rv0017c</t>
  </si>
  <si>
    <t>Rv2188c</t>
  </si>
  <si>
    <t>Rv2413c</t>
  </si>
  <si>
    <t>Rv3300c</t>
  </si>
  <si>
    <t>Rv3882c</t>
  </si>
  <si>
    <t>Rv2213</t>
  </si>
  <si>
    <t>Rv2939</t>
  </si>
  <si>
    <t>Rv0107c</t>
  </si>
  <si>
    <t>Rv2587c</t>
  </si>
  <si>
    <t>Rv0563</t>
  </si>
  <si>
    <t>Rv0313</t>
  </si>
  <si>
    <t>Rv0225</t>
  </si>
  <si>
    <t>Rv0551c</t>
  </si>
  <si>
    <t>Rv3603c</t>
  </si>
  <si>
    <t>Rv2932</t>
  </si>
  <si>
    <t>Rv0187</t>
  </si>
  <si>
    <t>Rv0794c</t>
  </si>
  <si>
    <t>Rv0812</t>
  </si>
  <si>
    <t>Rv1334</t>
  </si>
  <si>
    <t>Rv2538c</t>
  </si>
  <si>
    <t>Rv3323c</t>
  </si>
  <si>
    <t>Rv1706c</t>
  </si>
  <si>
    <t>Rv2697c</t>
  </si>
  <si>
    <t>Rv3544c</t>
  </si>
  <si>
    <t>Rv3668c</t>
  </si>
  <si>
    <t>Rv3050c</t>
  </si>
  <si>
    <t>Rv0262c</t>
  </si>
  <si>
    <t>Rv2357c</t>
  </si>
  <si>
    <t>Rv2565</t>
  </si>
  <si>
    <t>Rv3232c</t>
  </si>
  <si>
    <t>Rv2496c</t>
  </si>
  <si>
    <t>Rv0704</t>
  </si>
  <si>
    <t>Rv1618</t>
  </si>
  <si>
    <t>Rv2212</t>
  </si>
  <si>
    <t>Rv0984</t>
  </si>
  <si>
    <t>Rv0973c</t>
  </si>
  <si>
    <t>Rv1438</t>
  </si>
  <si>
    <t>Rv1602</t>
  </si>
  <si>
    <t>Rv3596c</t>
  </si>
  <si>
    <t>Rv3482c</t>
  </si>
  <si>
    <t>Rv2163c</t>
  </si>
  <si>
    <t>Rv3425</t>
  </si>
  <si>
    <t>Rv0185</t>
  </si>
  <si>
    <t>Rv0367c</t>
  </si>
  <si>
    <t>Rv0531</t>
  </si>
  <si>
    <t>Rv2717c</t>
  </si>
  <si>
    <t>Rv3698</t>
  </si>
  <si>
    <t>Rv3768</t>
  </si>
  <si>
    <t>Rv3590c</t>
  </si>
  <si>
    <t>Rv0370c</t>
  </si>
  <si>
    <t>Rv0474</t>
  </si>
  <si>
    <t>Rv1412</t>
  </si>
  <si>
    <t>Rv1417</t>
  </si>
  <si>
    <t>Rv1444c</t>
  </si>
  <si>
    <t>Rv0316</t>
  </si>
  <si>
    <t>Rv1441c</t>
  </si>
  <si>
    <t>Rv1751</t>
  </si>
  <si>
    <t>Rv3301c</t>
  </si>
  <si>
    <t>Rv2438c</t>
  </si>
  <si>
    <t>Rv1182</t>
  </si>
  <si>
    <t>Rv2594c</t>
  </si>
  <si>
    <t>Rv2691</t>
  </si>
  <si>
    <t>Rv0035</t>
  </si>
  <si>
    <t>Rv1146</t>
  </si>
  <si>
    <t>Rv3523</t>
  </si>
  <si>
    <t>Rv1329c</t>
  </si>
  <si>
    <t>Rv2880c</t>
  </si>
  <si>
    <t>Rv2918c</t>
  </si>
  <si>
    <t>Rv0660c</t>
  </si>
  <si>
    <t>Rv2951c</t>
  </si>
  <si>
    <t>Rv3909</t>
  </si>
  <si>
    <t>Rv1411c</t>
  </si>
  <si>
    <t>Rv2471</t>
  </si>
  <si>
    <t>Rv2280</t>
  </si>
  <si>
    <t>Rv1338</t>
  </si>
  <si>
    <t>Rv3815c</t>
  </si>
  <si>
    <t>Rv0078A</t>
  </si>
  <si>
    <t>Rv0526</t>
  </si>
  <si>
    <t>Rv1445c</t>
  </si>
  <si>
    <t>Rv3419c</t>
  </si>
  <si>
    <t>Rv0956</t>
  </si>
  <si>
    <t>Rv2135c</t>
  </si>
  <si>
    <t>Rv2617c</t>
  </si>
  <si>
    <t>Rv3807c</t>
  </si>
  <si>
    <t>Rv2252</t>
  </si>
  <si>
    <t>Rv3516</t>
  </si>
  <si>
    <t>Rv2713</t>
  </si>
  <si>
    <t>Rv1449c</t>
  </si>
  <si>
    <t>Rv0805</t>
  </si>
  <si>
    <t>Rv1161</t>
  </si>
  <si>
    <t>Rv0192</t>
  </si>
  <si>
    <t>Rv0558</t>
  </si>
  <si>
    <t>Rv1430</t>
  </si>
  <si>
    <t>Rv2445c</t>
  </si>
  <si>
    <t>Rv0708</t>
  </si>
  <si>
    <t>Rv1229c</t>
  </si>
  <si>
    <t>Rv0352</t>
  </si>
  <si>
    <t>Rv0147</t>
  </si>
  <si>
    <t>Rv0761c</t>
  </si>
  <si>
    <t>Rv1480</t>
  </si>
  <si>
    <t>Rv2048c</t>
  </si>
  <si>
    <t>Rv3480c</t>
  </si>
  <si>
    <t>Rv3212</t>
  </si>
  <si>
    <t>Rv0086</t>
  </si>
  <si>
    <t>Rv1000c</t>
  </si>
  <si>
    <t>Rv2851c</t>
  </si>
  <si>
    <t>Rv3249c</t>
  </si>
  <si>
    <t>Rv2950c</t>
  </si>
  <si>
    <t>Rv2243</t>
  </si>
  <si>
    <t>Rv1860</t>
  </si>
  <si>
    <t>Rv3218</t>
  </si>
  <si>
    <t>Rv3314c</t>
  </si>
  <si>
    <t>Rv1811</t>
  </si>
  <si>
    <t>Rv3713</t>
  </si>
  <si>
    <t>Rv1691</t>
  </si>
  <si>
    <t>Rv2180c</t>
  </si>
  <si>
    <t>Rv3550</t>
  </si>
  <si>
    <t>Rv3834c</t>
  </si>
  <si>
    <t>Rv1497</t>
  </si>
  <si>
    <t>Rv2047c</t>
  </si>
  <si>
    <t>Rv2412</t>
  </si>
  <si>
    <t>Rv1844c</t>
  </si>
  <si>
    <t>Rv1109c</t>
  </si>
  <si>
    <t>Rv2134c</t>
  </si>
  <si>
    <t>Rv3024c</t>
  </si>
  <si>
    <t>Rv3435c</t>
  </si>
  <si>
    <t>Rv3729</t>
  </si>
  <si>
    <t>Rv1148c</t>
  </si>
  <si>
    <t>Rv1315</t>
  </si>
  <si>
    <t>Rv0383c</t>
  </si>
  <si>
    <t>Rv1391</t>
  </si>
  <si>
    <t>Rv1392</t>
  </si>
  <si>
    <t>Rv0138</t>
  </si>
  <si>
    <t>Rv1610</t>
  </si>
  <si>
    <t>Rv2084</t>
  </si>
  <si>
    <t>Rv3224A</t>
  </si>
  <si>
    <t>Rv3902c</t>
  </si>
  <si>
    <t>Rv0091</t>
  </si>
  <si>
    <t>Rv0991c</t>
  </si>
  <si>
    <t>Rv2607</t>
  </si>
  <si>
    <t>Rv3083</t>
  </si>
  <si>
    <t>Rv3182</t>
  </si>
  <si>
    <t>Rv0723</t>
  </si>
  <si>
    <t>Rv1378c</t>
  </si>
  <si>
    <t>Rv1711</t>
  </si>
  <si>
    <t>Rv1842c</t>
  </si>
  <si>
    <t>Rv3035</t>
  </si>
  <si>
    <t>Rv3157</t>
  </si>
  <si>
    <t>Rv1473</t>
  </si>
  <si>
    <t>Rv1039c</t>
  </si>
  <si>
    <t>Rv2836c</t>
  </si>
  <si>
    <t>Rv3278c</t>
  </si>
  <si>
    <t>Rv1282c</t>
  </si>
  <si>
    <t>Rv1905c</t>
  </si>
  <si>
    <t>Rv3647c</t>
  </si>
  <si>
    <t>Rv0428c</t>
  </si>
  <si>
    <t>Rv0519c</t>
  </si>
  <si>
    <t>Rv3642c</t>
  </si>
  <si>
    <t>Rv0512</t>
  </si>
  <si>
    <t>Rv0562</t>
  </si>
  <si>
    <t>Rv1676</t>
  </si>
  <si>
    <t>Rv2843</t>
  </si>
  <si>
    <t>Rv2201</t>
  </si>
  <si>
    <t>Rv2715</t>
  </si>
  <si>
    <t>Rv2482c</t>
  </si>
  <si>
    <t>Rv2345</t>
  </si>
  <si>
    <t>Rv1133c</t>
  </si>
  <si>
    <t>Rv2855</t>
  </si>
  <si>
    <t>Rv0362</t>
  </si>
  <si>
    <t>Rv1850</t>
  </si>
  <si>
    <t>Rv3149</t>
  </si>
  <si>
    <t>Rv1390</t>
  </si>
  <si>
    <t>Rv0557</t>
  </si>
  <si>
    <t>Rv3782</t>
  </si>
  <si>
    <t>Rv0693</t>
  </si>
  <si>
    <t>Rv1071c</t>
  </si>
  <si>
    <t>Rv1202</t>
  </si>
  <si>
    <t>Rv3509c</t>
  </si>
  <si>
    <t>Rv3883c</t>
  </si>
  <si>
    <t>Rv0914c</t>
  </si>
  <si>
    <t>Rv1787</t>
  </si>
  <si>
    <t>Rv2155c</t>
  </si>
  <si>
    <t>Rv2611c</t>
  </si>
  <si>
    <t>Rv1355c</t>
  </si>
  <si>
    <t>Rv1166</t>
  </si>
  <si>
    <t>Rv1868</t>
  </si>
  <si>
    <t>Rv2199c</t>
  </si>
  <si>
    <t>Rv0425c</t>
  </si>
  <si>
    <t>Rv0170</t>
  </si>
  <si>
    <t>Rv2570</t>
  </si>
  <si>
    <t>Rv0481c</t>
  </si>
  <si>
    <t>Rv0947c</t>
  </si>
  <si>
    <t>Rv0953c</t>
  </si>
  <si>
    <t>Rv1924c</t>
  </si>
  <si>
    <t>Rv1955</t>
  </si>
  <si>
    <t>Rv2299c</t>
  </si>
  <si>
    <t>Rv0386</t>
  </si>
  <si>
    <t>Rv1079</t>
  </si>
  <si>
    <t>Rv3683</t>
  </si>
  <si>
    <t>Rv0043c</t>
  </si>
  <si>
    <t>Rv0141c</t>
  </si>
  <si>
    <t>Rv0577</t>
  </si>
  <si>
    <t>Rv1746</t>
  </si>
  <si>
    <t>Rv1153c</t>
  </si>
  <si>
    <t>Rv3672c</t>
  </si>
  <si>
    <t>Rv3203</t>
  </si>
  <si>
    <t>Rv2416c</t>
  </si>
  <si>
    <t>Rv3308</t>
  </si>
  <si>
    <t>Rv2141c</t>
  </si>
  <si>
    <t>Rv2789c</t>
  </si>
  <si>
    <t>Rv0268c</t>
  </si>
  <si>
    <t>Rv3896c</t>
  </si>
  <si>
    <t>Rv2165c</t>
  </si>
  <si>
    <t>Rv2900c</t>
  </si>
  <si>
    <t>Rv1903</t>
  </si>
  <si>
    <t>Rv2003c</t>
  </si>
  <si>
    <t>Rv3041c</t>
  </si>
  <si>
    <t>Rv0452</t>
  </si>
  <si>
    <t>Rv1207</t>
  </si>
  <si>
    <t>Rv2064</t>
  </si>
  <si>
    <t>Rv3559c</t>
  </si>
  <si>
    <t>Rv3588c</t>
  </si>
  <si>
    <t>Rv0015c</t>
  </si>
  <si>
    <t>Rv3245c</t>
  </si>
  <si>
    <t>Rv1304</t>
  </si>
  <si>
    <t>Rv1529</t>
  </si>
  <si>
    <t>Rv2928</t>
  </si>
  <si>
    <t>Rv0588</t>
  </si>
  <si>
    <t>Rv1906c</t>
  </si>
  <si>
    <t>Rv2952</t>
  </si>
  <si>
    <t>Rv0345</t>
  </si>
  <si>
    <t>Rv0844c</t>
  </si>
  <si>
    <t>Rv2426c</t>
  </si>
  <si>
    <t>IGR(+Rv2614A+Rv2616)</t>
  </si>
  <si>
    <t>Rv2907c</t>
  </si>
  <si>
    <t>Rv3536c</t>
  </si>
  <si>
    <t>Rv3562</t>
  </si>
  <si>
    <t>Rv0831c</t>
  </si>
  <si>
    <t>Rv1630</t>
  </si>
  <si>
    <t>Rv1216c</t>
  </si>
  <si>
    <t>Rv0969</t>
  </si>
  <si>
    <t>Rv1617</t>
  </si>
  <si>
    <t>Rv2592c</t>
  </si>
  <si>
    <t>Rv0365c</t>
  </si>
  <si>
    <t>Rv3008</t>
  </si>
  <si>
    <t>Rv2962c</t>
  </si>
  <si>
    <t>Rv1264</t>
  </si>
  <si>
    <t>Rv1233c</t>
  </si>
  <si>
    <t>Rv0115</t>
  </si>
  <si>
    <t>Rv2979c</t>
  </si>
  <si>
    <t>Rv1031</t>
  </si>
  <si>
    <t>Rv1471</t>
  </si>
  <si>
    <t>Rv2146c</t>
  </si>
  <si>
    <t>Rv2340c</t>
  </si>
  <si>
    <t>Rv3665c</t>
  </si>
  <si>
    <t>Rv1375</t>
  </si>
  <si>
    <t>Rv3224</t>
  </si>
  <si>
    <t>Rv1255c</t>
  </si>
  <si>
    <t>Rv1311</t>
  </si>
  <si>
    <t>Rv0792c</t>
  </si>
  <si>
    <t>Rv3670</t>
  </si>
  <si>
    <t>Rv2857c</t>
  </si>
  <si>
    <t>Rv0041</t>
  </si>
  <si>
    <t>Rv0433</t>
  </si>
  <si>
    <t>Rv1327c</t>
  </si>
  <si>
    <t>Rv3580c</t>
  </si>
  <si>
    <t>Rv3293</t>
  </si>
  <si>
    <t>Rv2411c</t>
  </si>
  <si>
    <t>Rv3343c</t>
  </si>
  <si>
    <t>Rv2913c</t>
  </si>
  <si>
    <t>Rv0533c</t>
  </si>
  <si>
    <t>Rv3715c</t>
  </si>
  <si>
    <t>Rv1613</t>
  </si>
  <si>
    <t>Rv0724</t>
  </si>
  <si>
    <t>Rv1923</t>
  </si>
  <si>
    <t>Rv2967c</t>
  </si>
  <si>
    <t>Rv3916c</t>
  </si>
  <si>
    <t>Rv2881c</t>
  </si>
  <si>
    <t>Rv1593c</t>
  </si>
  <si>
    <t>Rv1798</t>
  </si>
  <si>
    <t>Rv1815</t>
  </si>
  <si>
    <t>Rv3107c</t>
  </si>
  <si>
    <t>Rv0234c</t>
  </si>
  <si>
    <t>Rv2239c</t>
  </si>
  <si>
    <t>Rv1095</t>
  </si>
  <si>
    <t>Rv2583c</t>
  </si>
  <si>
    <t>Rv2759c</t>
  </si>
  <si>
    <t>Rv0210</t>
  </si>
  <si>
    <t>Rv0854</t>
  </si>
  <si>
    <t>Rv1129c</t>
  </si>
  <si>
    <t>Rv3311</t>
  </si>
  <si>
    <t>Rv1121</t>
  </si>
  <si>
    <t>Rv1006</t>
  </si>
  <si>
    <t>Rv3682</t>
  </si>
  <si>
    <t>Rv0647c</t>
  </si>
  <si>
    <t>Rv0062</t>
  </si>
  <si>
    <t>Rv3372</t>
  </si>
  <si>
    <t>Rv3581c</t>
  </si>
  <si>
    <t>Rv0194</t>
  </si>
  <si>
    <t>Rv0576</t>
  </si>
  <si>
    <t>Rv3389c</t>
  </si>
  <si>
    <t>Rv1388</t>
  </si>
  <si>
    <t>Rv0705</t>
  </si>
  <si>
    <t>Rv0994</t>
  </si>
  <si>
    <t>Rv2864c</t>
  </si>
  <si>
    <t>Rv2082</t>
  </si>
  <si>
    <t>Rv1538c</t>
  </si>
  <si>
    <t>Rv1655</t>
  </si>
  <si>
    <t>Rv1871c</t>
  </si>
  <si>
    <t>Rv2509</t>
  </si>
  <si>
    <t>Rv3101c</t>
  </si>
  <si>
    <t>Rv3211</t>
  </si>
  <si>
    <t>Rv3296</t>
  </si>
  <si>
    <t>Rv0644c</t>
  </si>
  <si>
    <t>Rv1303</t>
  </si>
  <si>
    <t>Rv3499c</t>
  </si>
  <si>
    <t>Rv1408</t>
  </si>
  <si>
    <t>Rv3495c</t>
  </si>
  <si>
    <t>Rv0897c</t>
  </si>
  <si>
    <t>Rv2402</t>
  </si>
  <si>
    <t>Rv1225c</t>
  </si>
  <si>
    <t>Rv1250</t>
  </si>
  <si>
    <t>Rv0511</t>
  </si>
  <si>
    <t>Rv3003c</t>
  </si>
  <si>
    <t>Rv2447c</t>
  </si>
  <si>
    <t>Rv3414c</t>
  </si>
  <si>
    <t>Rv0778</t>
  </si>
  <si>
    <t>Rv1559</t>
  </si>
  <si>
    <t>Rv1086</t>
  </si>
  <si>
    <t>Rv1540</t>
  </si>
  <si>
    <t>Rv1619</t>
  </si>
  <si>
    <t>Rv3095</t>
  </si>
  <si>
    <t>Rv3669</t>
  </si>
  <si>
    <t>Rv2101</t>
  </si>
  <si>
    <t>Rv1092c</t>
  </si>
  <si>
    <t>Rv1196</t>
  </si>
  <si>
    <t>Rv1381</t>
  </si>
  <si>
    <t>Rv2423</t>
  </si>
  <si>
    <t>Rv2736c</t>
  </si>
  <si>
    <t>Rv0044c</t>
  </si>
  <si>
    <t>Rv0604</t>
  </si>
  <si>
    <t>Rv0852</t>
  </si>
  <si>
    <t>Rv2229c</t>
  </si>
  <si>
    <t>Rv3331</t>
  </si>
  <si>
    <t>Rv3726</t>
  </si>
  <si>
    <t>Rv2704</t>
  </si>
  <si>
    <t>Rv1033c</t>
  </si>
  <si>
    <t>Rv2916c</t>
  </si>
  <si>
    <t>Rv0780</t>
  </si>
  <si>
    <t>Rv3339c</t>
  </si>
  <si>
    <t>Rv0153c</t>
  </si>
  <si>
    <t>Rv2244</t>
  </si>
  <si>
    <t>Rv0342</t>
  </si>
  <si>
    <t>Rv2981c</t>
  </si>
  <si>
    <t>Rv3785</t>
  </si>
  <si>
    <t>Rv3676</t>
  </si>
  <si>
    <t>Rv1258c</t>
  </si>
  <si>
    <t>Rv3009c</t>
  </si>
  <si>
    <t>Rv0983</t>
  </si>
  <si>
    <t>Rv2752c</t>
  </si>
  <si>
    <t>Rv0798c</t>
  </si>
  <si>
    <t>Rv2786c</t>
  </si>
  <si>
    <t>Rv3791</t>
  </si>
  <si>
    <t>Rv0882</t>
  </si>
  <si>
    <t>Rv1714</t>
  </si>
  <si>
    <t>Rv1934c</t>
  </si>
  <si>
    <t>Rv3488</t>
  </si>
  <si>
    <t>Rv0109</t>
  </si>
  <si>
    <t>Rv2636</t>
  </si>
  <si>
    <t>Rv3057c</t>
  </si>
  <si>
    <t>Rv3169</t>
  </si>
  <si>
    <t>Rv3368c</t>
  </si>
  <si>
    <t>Rv3347c</t>
  </si>
  <si>
    <t>Rv3780</t>
  </si>
  <si>
    <t>Rv1564c</t>
  </si>
  <si>
    <t>Rv1656</t>
  </si>
  <si>
    <t>Rv0060</t>
  </si>
  <si>
    <t>Rv3694c</t>
  </si>
  <si>
    <t>Rv1179c</t>
  </si>
  <si>
    <t>Rv3922c</t>
  </si>
  <si>
    <t>Rv2211c</t>
  </si>
  <si>
    <t>Rv1532c</t>
  </si>
  <si>
    <t>Rv2331A</t>
  </si>
  <si>
    <t>Rv1252c</t>
  </si>
  <si>
    <t>Rv2805</t>
  </si>
  <si>
    <t>Rv3012c</t>
  </si>
  <si>
    <t>Rv2090</t>
  </si>
  <si>
    <t>Rv2189c</t>
  </si>
  <si>
    <t>Rv0144</t>
  </si>
  <si>
    <t>Rv1883c</t>
  </si>
  <si>
    <t>Rv2889c</t>
  </si>
  <si>
    <t>Rv0888</t>
  </si>
  <si>
    <t>Rv2680</t>
  </si>
  <si>
    <t>Rv3228</t>
  </si>
  <si>
    <t>Rv0005</t>
  </si>
  <si>
    <t>Rv2474c</t>
  </si>
  <si>
    <t>Rv2746c</t>
  </si>
  <si>
    <t>Rv0755c</t>
  </si>
  <si>
    <t>Rv2409c</t>
  </si>
  <si>
    <t>Rv0640</t>
  </si>
  <si>
    <t>Rv2421c</t>
  </si>
  <si>
    <t>Rv1917c</t>
  </si>
  <si>
    <t>Rv3764c</t>
  </si>
  <si>
    <t>Rv0124</t>
  </si>
  <si>
    <t>Rv0617</t>
  </si>
  <si>
    <t>Rv0868c</t>
  </si>
  <si>
    <t>Rv2307B</t>
  </si>
  <si>
    <t>Rv2741</t>
  </si>
  <si>
    <t>Rv2998</t>
  </si>
  <si>
    <t>Rv0299</t>
  </si>
  <si>
    <t>Rv0616A</t>
  </si>
  <si>
    <t>Rv3388</t>
  </si>
  <si>
    <t>Rv3444c</t>
  </si>
  <si>
    <t>Rv0808</t>
  </si>
  <si>
    <t>Rv0721</t>
  </si>
  <si>
    <t>Rv1427c</t>
  </si>
  <si>
    <t>Rv3871</t>
  </si>
  <si>
    <t>Rv2926c</t>
  </si>
  <si>
    <t>Rv2721c</t>
  </si>
  <si>
    <t>Rv2444c</t>
  </si>
  <si>
    <t>Rv1007c</t>
  </si>
  <si>
    <t>Rv0823c</t>
  </si>
  <si>
    <t>Rv1017c</t>
  </si>
  <si>
    <t>Rv1326c</t>
  </si>
  <si>
    <t>Rv3716c</t>
  </si>
  <si>
    <t>Rv3917c</t>
  </si>
  <si>
    <t>Rv2942</t>
  </si>
  <si>
    <t>Rv0092</t>
  </si>
  <si>
    <t>Rv0230c</t>
  </si>
  <si>
    <t>Rv2400c</t>
  </si>
  <si>
    <t>Rv0243</t>
  </si>
  <si>
    <t>Rv3439c</t>
  </si>
  <si>
    <t>Rv1518</t>
  </si>
  <si>
    <t>Rv1110</t>
  </si>
  <si>
    <t>Rv0180c</t>
  </si>
  <si>
    <t>Rv1106c</t>
  </si>
  <si>
    <t>Rv1929c</t>
  </si>
  <si>
    <t>Rv0020c</t>
  </si>
  <si>
    <t>Rv2443</t>
  </si>
  <si>
    <t>Rv2368c</t>
  </si>
  <si>
    <t>Rv2245</t>
  </si>
  <si>
    <t>Rv3042c</t>
  </si>
  <si>
    <t>Rv0547c</t>
  </si>
  <si>
    <t>Rv1484</t>
  </si>
  <si>
    <t>Rv1223</t>
  </si>
  <si>
    <t>Rv1662</t>
  </si>
  <si>
    <t>Rv1954c</t>
  </si>
  <si>
    <t>Rv1426c</t>
  </si>
  <si>
    <t>Rv1296</t>
  </si>
  <si>
    <t>Rv1605</t>
  </si>
  <si>
    <t>Rv0653c</t>
  </si>
  <si>
    <t>Rv0001</t>
  </si>
  <si>
    <t>Rv3376</t>
  </si>
  <si>
    <t>Rv1481</t>
  </si>
  <si>
    <t>Rv3175</t>
  </si>
  <si>
    <t>Rv0472c</t>
  </si>
  <si>
    <t>Rv2552c</t>
  </si>
  <si>
    <t>Rv0045c</t>
  </si>
  <si>
    <t>Rv3921c</t>
  </si>
  <si>
    <t>Rv0113</t>
  </si>
  <si>
    <t>Rv0275c</t>
  </si>
  <si>
    <t>Rv0382c</t>
  </si>
  <si>
    <t>Rv3122</t>
  </si>
  <si>
    <t>Rv2303c</t>
  </si>
  <si>
    <t>Rv0075</t>
  </si>
  <si>
    <t>Rv0930</t>
  </si>
  <si>
    <t>Rv3075c</t>
  </si>
  <si>
    <t>Rv1704c</t>
  </si>
  <si>
    <t>Rv1384</t>
  </si>
  <si>
    <t>Rv0391</t>
  </si>
  <si>
    <t>Rv2157c</t>
  </si>
  <si>
    <t>Rv3526</t>
  </si>
  <si>
    <t>Rv1165</t>
  </si>
  <si>
    <t>Rv3292</t>
  </si>
  <si>
    <t>Rv1415</t>
  </si>
  <si>
    <t>Rv1856c</t>
  </si>
  <si>
    <t>Rv3340</t>
  </si>
  <si>
    <t>Rv0584</t>
  </si>
  <si>
    <t>Rv1310</t>
  </si>
  <si>
    <t>Rv3158</t>
  </si>
  <si>
    <t>Rv0076c</t>
  </si>
  <si>
    <t>Rv0990c</t>
  </si>
  <si>
    <t>Rv0734</t>
  </si>
  <si>
    <t>Rv2207</t>
  </si>
  <si>
    <t>Rv1682</t>
  </si>
  <si>
    <t>Rv2344c</t>
  </si>
  <si>
    <t>Rv3099c</t>
  </si>
  <si>
    <t>Rv0161</t>
  </si>
  <si>
    <t>Rv3766</t>
  </si>
  <si>
    <t>Rv0341</t>
  </si>
  <si>
    <t>Rv3478</t>
  </si>
  <si>
    <t>Rv2703</t>
  </si>
  <si>
    <t>Rv0084</t>
  </si>
  <si>
    <t>Rv1057</t>
  </si>
  <si>
    <t>Rv0443</t>
  </si>
  <si>
    <t>Rv1839c</t>
  </si>
  <si>
    <t>Rv2319c</t>
  </si>
  <si>
    <t>Rv3125c</t>
  </si>
  <si>
    <t>Rv3196</t>
  </si>
  <si>
    <t>Rv0963c</t>
  </si>
  <si>
    <t>Rv1112</t>
  </si>
  <si>
    <t>Rv3507</t>
  </si>
  <si>
    <t>Rv3532</t>
  </si>
  <si>
    <t>Rv3695</t>
  </si>
  <si>
    <t>Rv0163</t>
  </si>
  <si>
    <t>Rv2089c</t>
  </si>
  <si>
    <t>Rv3836</t>
  </si>
  <si>
    <t>Rv0067c</t>
  </si>
  <si>
    <t>Rv0652</t>
  </si>
  <si>
    <t>Rv2529</t>
  </si>
  <si>
    <t>Rv3349c</t>
  </si>
  <si>
    <t>Rv3546</t>
  </si>
  <si>
    <t>Rv3918c</t>
  </si>
  <si>
    <t>Rv1629</t>
  </si>
  <si>
    <t>Rv2419c</t>
  </si>
  <si>
    <t>Rv2986c</t>
  </si>
  <si>
    <t>Rv1332</t>
  </si>
  <si>
    <t>Rv2266</t>
  </si>
  <si>
    <t>Rv1397c</t>
  </si>
  <si>
    <t>Rv1705c</t>
  </si>
  <si>
    <t>Rv1793</t>
  </si>
  <si>
    <t>Rv1192</t>
  </si>
  <si>
    <t>Rv0556</t>
  </si>
  <si>
    <t>Rv2965c</t>
  </si>
  <si>
    <t>Rv3447c</t>
  </si>
  <si>
    <t>Rv2840c</t>
  </si>
  <si>
    <t>Rv0353</t>
  </si>
  <si>
    <t>Rv3200c</t>
  </si>
  <si>
    <t>Rv1015c</t>
  </si>
  <si>
    <t>Rv1164</t>
  </si>
  <si>
    <t>Rv1308</t>
  </si>
  <si>
    <t>Rv2996c</t>
  </si>
  <si>
    <t>Rv0007</t>
  </si>
  <si>
    <t>Rv3720</t>
  </si>
  <si>
    <t>Rv0490</t>
  </si>
  <si>
    <t>Rv3297</t>
  </si>
  <si>
    <t>Rv3684</t>
  </si>
  <si>
    <t>Rv3779</t>
  </si>
  <si>
    <t>Rv1254</t>
  </si>
  <si>
    <t>Rv1600</t>
  </si>
  <si>
    <t>Rv1336</t>
  </si>
  <si>
    <t>Rv0065</t>
  </si>
  <si>
    <t>Rv2664</t>
  </si>
  <si>
    <t>Rv3607c</t>
  </si>
  <si>
    <t>Rv1535</t>
  </si>
  <si>
    <t>Rv1642</t>
  </si>
  <si>
    <t>Rv2662</t>
  </si>
  <si>
    <t>Rv3072c</t>
  </si>
  <si>
    <t>Rv2753c</t>
  </si>
  <si>
    <t>Rv0446c</t>
  </si>
  <si>
    <t>Rv0236A</t>
  </si>
  <si>
    <t>Rv2415c</t>
  </si>
  <si>
    <t>Rv2127</t>
  </si>
  <si>
    <t>Rv2710</t>
  </si>
  <si>
    <t>Rv3291c</t>
  </si>
  <si>
    <t>Rv1094</t>
  </si>
  <si>
    <t>Rv0935</t>
  </si>
  <si>
    <t>Rv1458c</t>
  </si>
  <si>
    <t>Rv2282c</t>
  </si>
  <si>
    <t>Rv0987</t>
  </si>
  <si>
    <t>Rv1293</t>
  </si>
  <si>
    <t>Rv0023</t>
  </si>
  <si>
    <t>Rv3869</t>
  </si>
  <si>
    <t>Rv0384c</t>
  </si>
  <si>
    <t>Rv1699</t>
  </si>
  <si>
    <t>Rv0787</t>
  </si>
  <si>
    <t>Rv0824c</t>
  </si>
  <si>
    <t>Rv1779c</t>
  </si>
  <si>
    <t>Rv3240c</t>
  </si>
  <si>
    <t>Rv1603</t>
  </si>
  <si>
    <t>Rv2609c</t>
  </si>
  <si>
    <t>Rv3262</t>
  </si>
  <si>
    <t>Rv1628c</t>
  </si>
  <si>
    <t>Rv1178</t>
  </si>
  <si>
    <t>Rv2673</t>
  </si>
  <si>
    <t>Rv3823c</t>
  </si>
  <si>
    <t>Rv0189c</t>
  </si>
  <si>
    <t>Rv2903c</t>
  </si>
  <si>
    <t>Rv1322A</t>
  </si>
  <si>
    <t>Rv0491</t>
  </si>
  <si>
    <t>Rv0527</t>
  </si>
  <si>
    <t>Rv0347</t>
  </si>
  <si>
    <t>Rv3506</t>
  </si>
  <si>
    <t>Rv2756c</t>
  </si>
  <si>
    <t>Rv2267c</t>
  </si>
  <si>
    <t>Rv2742c</t>
  </si>
  <si>
    <t>Rv2853</t>
  </si>
  <si>
    <t>Rv0179c</t>
  </si>
  <si>
    <t>Rv3047c</t>
  </si>
  <si>
    <t>Rv2989</t>
  </si>
  <si>
    <t>Rv3570c</t>
  </si>
  <si>
    <t>Rv3261</t>
  </si>
  <si>
    <t>Rv1215c</t>
  </si>
  <si>
    <t>Rv0069c</t>
  </si>
  <si>
    <t>Rv3736</t>
  </si>
  <si>
    <t>Rv0878c</t>
  </si>
  <si>
    <t>Rv2247</t>
  </si>
  <si>
    <t>Rv0169</t>
  </si>
  <si>
    <t>Rv3799c</t>
  </si>
  <si>
    <t>Rv1437</t>
  </si>
  <si>
    <t>Rv2251</t>
  </si>
  <si>
    <t>Rv3795</t>
  </si>
  <si>
    <t>Rv3524</t>
  </si>
  <si>
    <t>Rv1627c</t>
  </si>
  <si>
    <t>Rv0238</t>
  </si>
  <si>
    <t>Rv1331</t>
  </si>
  <si>
    <t>Rv3409c</t>
  </si>
  <si>
    <t>Rv1363c</t>
  </si>
  <si>
    <t>Rv2718c</t>
  </si>
  <si>
    <t>Rv3575c</t>
  </si>
  <si>
    <t>Rv2147c</t>
  </si>
  <si>
    <t>Rv0280</t>
  </si>
  <si>
    <t>Rv1422</t>
  </si>
  <si>
    <t>Rv0668</t>
  </si>
  <si>
    <t>Rv0549c</t>
  </si>
  <si>
    <t>Rv0006</t>
  </si>
  <si>
    <t>Rv2826c</t>
  </si>
  <si>
    <t>Rv1595</t>
  </si>
  <si>
    <t>Rv2953</t>
  </si>
  <si>
    <t>Rv2764c</t>
  </si>
  <si>
    <t>Rv1237</t>
  </si>
  <si>
    <t>Rv2192c</t>
  </si>
  <si>
    <t>Rv3034c</t>
  </si>
  <si>
    <t>Rv0510</t>
  </si>
  <si>
    <t>Rv1937</t>
  </si>
  <si>
    <t>Rv3560c</t>
  </si>
  <si>
    <t>Rv0197</t>
  </si>
  <si>
    <t>Rv2522c</t>
  </si>
  <si>
    <t>Rv3545c</t>
  </si>
  <si>
    <t>Rv3675</t>
  </si>
  <si>
    <t>Rv2936</t>
  </si>
  <si>
    <t>Rv0333</t>
  </si>
  <si>
    <t>Rv2132</t>
  </si>
  <si>
    <t>Rv0164</t>
  </si>
  <si>
    <t>Rv0172</t>
  </si>
  <si>
    <t>Rv2958c</t>
  </si>
  <si>
    <t>Rv3198A</t>
  </si>
  <si>
    <t>Rv1780</t>
  </si>
  <si>
    <t>Rv0132c</t>
  </si>
  <si>
    <t>Rv1882c</t>
  </si>
  <si>
    <t>Rv3571</t>
  </si>
  <si>
    <t>Rv1887</t>
  </si>
  <si>
    <t>Rv1232c</t>
  </si>
  <si>
    <t>Rv1925</t>
  </si>
  <si>
    <t>Rv2327</t>
  </si>
  <si>
    <t>Rv1093</t>
  </si>
  <si>
    <t>Rv2846c</t>
  </si>
  <si>
    <t>Rv0688</t>
  </si>
  <si>
    <t>Rv1404</t>
  </si>
  <si>
    <t>Rv2955c</t>
  </si>
  <si>
    <t>Rv0846c</t>
  </si>
  <si>
    <t>Rv1819c</t>
  </si>
  <si>
    <t>Rv2246</t>
  </si>
  <si>
    <t>Rv2222c</t>
  </si>
  <si>
    <t>Rv1295</t>
  </si>
  <si>
    <t>Rv2193</t>
  </si>
  <si>
    <t>Rv3504</t>
  </si>
  <si>
    <t>Rv1632c</t>
  </si>
  <si>
    <t>Rv2469c</t>
  </si>
  <si>
    <t>Rv3833</t>
  </si>
  <si>
    <t>Rv3299c</t>
  </si>
  <si>
    <t>Rv2783c</t>
  </si>
  <si>
    <t>Rv3800c</t>
  </si>
  <si>
    <t>Rv3505</t>
  </si>
  <si>
    <t>Rv2403c</t>
  </si>
  <si>
    <t>Rv2176</t>
  </si>
  <si>
    <t>Rv2794c</t>
  </si>
  <si>
    <t>Rv3805c</t>
  </si>
  <si>
    <t>Rv0770</t>
  </si>
  <si>
    <t>Rv2818c</t>
  </si>
  <si>
    <t>Rv3579c</t>
  </si>
  <si>
    <t>Rv2782c</t>
  </si>
  <si>
    <t>Rv2694c</t>
  </si>
  <si>
    <t>Rv3220c</t>
  </si>
  <si>
    <t>Rv0707</t>
  </si>
  <si>
    <t>Rv3708c</t>
  </si>
  <si>
    <t>Rv1653</t>
  </si>
  <si>
    <t>Rv1299</t>
  </si>
  <si>
    <t>Rv1596</t>
  </si>
  <si>
    <t>Rv2902c</t>
  </si>
  <si>
    <t>Rv1884c</t>
  </si>
  <si>
    <t>Rv3154</t>
  </si>
  <si>
    <t>Rv2976c</t>
  </si>
  <si>
    <t>Rv1312</t>
  </si>
  <si>
    <t>Rv3208</t>
  </si>
  <si>
    <t>Rv0988</t>
  </si>
  <si>
    <t>Rv2463</t>
  </si>
  <si>
    <t>Rv0308</t>
  </si>
  <si>
    <t>Rv2178c</t>
  </si>
  <si>
    <t>Rv0338c</t>
  </si>
  <si>
    <t>Rv2195</t>
  </si>
  <si>
    <t>Rv3152</t>
  </si>
  <si>
    <t>Rv3857c</t>
  </si>
  <si>
    <t>Rv3651</t>
  </si>
  <si>
    <t>Rv0859</t>
  </si>
  <si>
    <t>Rv0242c</t>
  </si>
  <si>
    <t>Rv0414c</t>
  </si>
  <si>
    <t>Rv0712</t>
  </si>
  <si>
    <t>Rv2214c</t>
  </si>
  <si>
    <t>Rv2465c</t>
  </si>
  <si>
    <t>Rv2387</t>
  </si>
  <si>
    <t>Rv1859</t>
  </si>
  <si>
    <t>Rv0700</t>
  </si>
  <si>
    <t>Rv2476c</t>
  </si>
  <si>
    <t>Rv3661</t>
  </si>
  <si>
    <t>Rv3885c</t>
  </si>
  <si>
    <t>Rv2537c</t>
  </si>
  <si>
    <t>Rv0190</t>
  </si>
  <si>
    <t>Rv0517</t>
  </si>
  <si>
    <t>Rv3513c</t>
  </si>
  <si>
    <t>Rv2068c</t>
  </si>
  <si>
    <t>Rv0784</t>
  </si>
  <si>
    <t>Rv0125</t>
  </si>
  <si>
    <t>Rv1072</t>
  </si>
  <si>
    <t>Rv2291</t>
  </si>
  <si>
    <t>Rv3053Ac</t>
  </si>
  <si>
    <t>logCPM</t>
  </si>
  <si>
    <t>PValue</t>
  </si>
  <si>
    <t>fdr</t>
  </si>
  <si>
    <t>Infection</t>
  </si>
  <si>
    <t>Spike_in</t>
  </si>
  <si>
    <t>Gene</t>
  </si>
  <si>
    <t>Product</t>
  </si>
  <si>
    <t>BCG_0979c</t>
  </si>
  <si>
    <t>short chain dehydrogenase</t>
  </si>
  <si>
    <t>BCG_1282</t>
  </si>
  <si>
    <t>hypothetical protein</t>
  </si>
  <si>
    <t>BCG_1794c</t>
  </si>
  <si>
    <t>plcD</t>
  </si>
  <si>
    <t>phospholipase C 4 plcD</t>
  </si>
  <si>
    <t>BCG_1857</t>
  </si>
  <si>
    <t>pgsA2</t>
  </si>
  <si>
    <t>CDP-diacylglycerol--glycerol-3-phosphate 3-phosphatidyltransferase pgsA2</t>
  </si>
  <si>
    <t>BCG_1960c</t>
  </si>
  <si>
    <t>lppF</t>
  </si>
  <si>
    <t>lipoprotein lppF</t>
  </si>
  <si>
    <t>BCG_2370c</t>
  </si>
  <si>
    <t>PPE71</t>
  </si>
  <si>
    <t>PPE family protein</t>
  </si>
  <si>
    <t>BCG_0359</t>
  </si>
  <si>
    <t>pcp</t>
  </si>
  <si>
    <t>pyrrolidone-carboxylate peptidase</t>
  </si>
  <si>
    <t>BCG_0655</t>
  </si>
  <si>
    <t>BCG_0726c</t>
  </si>
  <si>
    <t>membrane protein mmpS5</t>
  </si>
  <si>
    <t>BCG_0727</t>
  </si>
  <si>
    <t>BCG_0964</t>
  </si>
  <si>
    <t>BCG_0995c</t>
  </si>
  <si>
    <t>BCG_1414</t>
  </si>
  <si>
    <t>BCG_2065</t>
  </si>
  <si>
    <t>lppI</t>
  </si>
  <si>
    <t>lipoprotein lppI</t>
  </si>
  <si>
    <t>BCG_2137c</t>
  </si>
  <si>
    <t>integral membrane protein</t>
  </si>
  <si>
    <t>BCG_2410</t>
  </si>
  <si>
    <t>BCG_2675</t>
  </si>
  <si>
    <t>BCG_2945c</t>
  </si>
  <si>
    <t>BCG_2946c</t>
  </si>
  <si>
    <t>fpg</t>
  </si>
  <si>
    <t>formamidopyrimidine-DNA glycosylase</t>
  </si>
  <si>
    <t>BCG_3064c</t>
  </si>
  <si>
    <t>BCG_3213c</t>
  </si>
  <si>
    <t>transposase</t>
  </si>
  <si>
    <t>BCG_3381c</t>
  </si>
  <si>
    <t>cdd</t>
  </si>
  <si>
    <t>cytidine deaminase</t>
  </si>
  <si>
    <t>BCG_3465</t>
  </si>
  <si>
    <t>BCG_3503</t>
  </si>
  <si>
    <t>BCG_0851c</t>
  </si>
  <si>
    <t>BCG_2138c</t>
  </si>
  <si>
    <t>hisG</t>
  </si>
  <si>
    <t>ATP phosphoribosyltransferase</t>
  </si>
  <si>
    <t>BCG_3662c</t>
  </si>
  <si>
    <t>lsr2</t>
  </si>
  <si>
    <t>lsr2 protein precursor</t>
  </si>
  <si>
    <t>BCG_0445c</t>
  </si>
  <si>
    <t>beta-lactamase</t>
  </si>
  <si>
    <t>BCG_0488c</t>
  </si>
  <si>
    <t>BCG_0746</t>
  </si>
  <si>
    <t>dehydrogenase</t>
  </si>
  <si>
    <t>BCG_0812c</t>
  </si>
  <si>
    <t>BCG_1016c</t>
  </si>
  <si>
    <t>lprP</t>
  </si>
  <si>
    <t>lipoprotein lprP</t>
  </si>
  <si>
    <t>BCG_1054</t>
  </si>
  <si>
    <t>BCG_1102</t>
  </si>
  <si>
    <t>BCG_1111c</t>
  </si>
  <si>
    <t>BCG_1133c</t>
  </si>
  <si>
    <t>BCG_1251</t>
  </si>
  <si>
    <t>sigI</t>
  </si>
  <si>
    <t>RNA polymerase sigma factor SigI</t>
  </si>
  <si>
    <t>BCG_1660c</t>
  </si>
  <si>
    <t>cydB</t>
  </si>
  <si>
    <t>integral membrane cytochrome D ubiquinol oxidase (subunit II) cydB</t>
  </si>
  <si>
    <t>BCG_2224</t>
  </si>
  <si>
    <t>cobS</t>
  </si>
  <si>
    <t>cobalamin synthase</t>
  </si>
  <si>
    <t>BCG_2684</t>
  </si>
  <si>
    <t>ribD</t>
  </si>
  <si>
    <t>BCG_3114</t>
  </si>
  <si>
    <t>fadD13</t>
  </si>
  <si>
    <t>chain-fatty-acid-CoA ligase fadD13</t>
  </si>
  <si>
    <t>BCG_3188c</t>
  </si>
  <si>
    <t>moxR3</t>
  </si>
  <si>
    <t>methanol dehydrogenase transcriptional regulatory protein moxR3</t>
  </si>
  <si>
    <t>BCG_3317c</t>
  </si>
  <si>
    <t>usfY</t>
  </si>
  <si>
    <t>protein usfY</t>
  </si>
  <si>
    <t>BCG_3534c</t>
  </si>
  <si>
    <t>mhpE</t>
  </si>
  <si>
    <t>4-hydroxy-2-ketovalerate aldolase</t>
  </si>
  <si>
    <t>BCG_3535c</t>
  </si>
  <si>
    <t>ilvB2</t>
  </si>
  <si>
    <t>acetolactate synthase large subunit IlvB</t>
  </si>
  <si>
    <t>BCG_3557c</t>
  </si>
  <si>
    <t>Mce-associated protein</t>
  </si>
  <si>
    <t>BCG_0237</t>
  </si>
  <si>
    <t>BCG_0954c</t>
  </si>
  <si>
    <t>prrB</t>
  </si>
  <si>
    <t>two component sensor histidine kinase prrB</t>
  </si>
  <si>
    <t>BCG_3837</t>
  </si>
  <si>
    <t>lipE</t>
  </si>
  <si>
    <t>lipase lipE</t>
  </si>
  <si>
    <t>BCG_3235c</t>
  </si>
  <si>
    <t>TB9.4</t>
  </si>
  <si>
    <t>BCG_0185</t>
  </si>
  <si>
    <t>quinone oxidoreductase</t>
  </si>
  <si>
    <t>BCG_1140</t>
  </si>
  <si>
    <t>mca</t>
  </si>
  <si>
    <t>Mycothiol conjugate amidase Mca</t>
  </si>
  <si>
    <t>BCG_1337</t>
  </si>
  <si>
    <t>BCG_0061</t>
  </si>
  <si>
    <t>BCG_0605c</t>
  </si>
  <si>
    <t>benzoquinone methyltransferase</t>
  </si>
  <si>
    <t>BCG_0932</t>
  </si>
  <si>
    <t>MarR family transcriptional regulator</t>
  </si>
  <si>
    <t>BCG_1186</t>
  </si>
  <si>
    <t>BCG_1271</t>
  </si>
  <si>
    <t>BCG_1428</t>
  </si>
  <si>
    <t>BCG_1429c</t>
  </si>
  <si>
    <t>BCG_1474</t>
  </si>
  <si>
    <t>BCG_1654</t>
  </si>
  <si>
    <t>BCG_1868c</t>
  </si>
  <si>
    <t>haloalkane dehalogenase</t>
  </si>
  <si>
    <t>BCG_1986</t>
  </si>
  <si>
    <t>BCG_2073</t>
  </si>
  <si>
    <t>BCG_2278</t>
  </si>
  <si>
    <t>BCG_2495c</t>
  </si>
  <si>
    <t>BCG_3168</t>
  </si>
  <si>
    <t>nuoA</t>
  </si>
  <si>
    <t>NADH dehydrogenase subunit A</t>
  </si>
  <si>
    <t>BCG_3516c</t>
  </si>
  <si>
    <t>BCG_3794c</t>
  </si>
  <si>
    <t>BCG_3816c</t>
  </si>
  <si>
    <t>proW</t>
  </si>
  <si>
    <t>osmoprotectant (glycine betaine/carnitine/choline/l-proline) transport integral membrane protein ABC transporter proW</t>
  </si>
  <si>
    <t>BCG_3957c</t>
  </si>
  <si>
    <t>BCG_2349</t>
  </si>
  <si>
    <t>PE23</t>
  </si>
  <si>
    <t>PE family protein</t>
  </si>
  <si>
    <t>BCG_2430c</t>
  </si>
  <si>
    <t>BCG_2916c</t>
  </si>
  <si>
    <t>viuB</t>
  </si>
  <si>
    <t>mycobactin utilization protein viuB</t>
  </si>
  <si>
    <t>BCG_2967c</t>
  </si>
  <si>
    <t>lppX</t>
  </si>
  <si>
    <t>lipoprotein lppX</t>
  </si>
  <si>
    <t>BCG_1012</t>
  </si>
  <si>
    <t>magnesium chelatase</t>
  </si>
  <si>
    <t>BCG_1051</t>
  </si>
  <si>
    <t>BCG_0067c</t>
  </si>
  <si>
    <t>BCG_1646c</t>
  </si>
  <si>
    <t>bcpB</t>
  </si>
  <si>
    <t>peroxidoxin bcpB</t>
  </si>
  <si>
    <t>BCG_3772</t>
  </si>
  <si>
    <t>ligase</t>
  </si>
  <si>
    <t>BCG_0073c</t>
  </si>
  <si>
    <t>transcriptional regulatory protein (marR-family)</t>
  </si>
  <si>
    <t>BCG_0255</t>
  </si>
  <si>
    <t>BCG_0590c</t>
  </si>
  <si>
    <t>BCG_0901</t>
  </si>
  <si>
    <t>integral membrane transport protein</t>
  </si>
  <si>
    <t>BCG_1761</t>
  </si>
  <si>
    <t>biotin carboxylase-like protein</t>
  </si>
  <si>
    <t>BCG_2035</t>
  </si>
  <si>
    <t>BCG_2504</t>
  </si>
  <si>
    <t>echA14</t>
  </si>
  <si>
    <t>enoyl-CoA hydratase</t>
  </si>
  <si>
    <t>BCG_3157c</t>
  </si>
  <si>
    <t>BCG_3943c</t>
  </si>
  <si>
    <t>BCG_1237c</t>
  </si>
  <si>
    <t>BCG_2078</t>
  </si>
  <si>
    <t>BCG_2479</t>
  </si>
  <si>
    <t>BCG_0431c</t>
  </si>
  <si>
    <t>BCG_1950c</t>
  </si>
  <si>
    <t>lppC</t>
  </si>
  <si>
    <t>lipoprotein lppC</t>
  </si>
  <si>
    <t>BCG_2377</t>
  </si>
  <si>
    <t>amiA2</t>
  </si>
  <si>
    <t>amidase</t>
  </si>
  <si>
    <t>BCG_3558c</t>
  </si>
  <si>
    <t>mce4F</t>
  </si>
  <si>
    <t>Mce-family protein mce4F</t>
  </si>
  <si>
    <t>BCG_0922c</t>
  </si>
  <si>
    <t>BCG_1321c</t>
  </si>
  <si>
    <t>HIT family protein</t>
  </si>
  <si>
    <t>BCG_1610</t>
  </si>
  <si>
    <t>BCG_1732</t>
  </si>
  <si>
    <t>tlyA</t>
  </si>
  <si>
    <t>cytotoxin/hemolysin TlyA</t>
  </si>
  <si>
    <t>BCG_2095c</t>
  </si>
  <si>
    <t>BCG_2654c</t>
  </si>
  <si>
    <t>BCG_3050c</t>
  </si>
  <si>
    <t>BCG_3566c</t>
  </si>
  <si>
    <t>fabG</t>
  </si>
  <si>
    <t>3-ketoacyl-ACP reductase</t>
  </si>
  <si>
    <t>BCG_3702c</t>
  </si>
  <si>
    <t>DNA polymerase III subunit delta'</t>
  </si>
  <si>
    <t>BCG_3801c</t>
  </si>
  <si>
    <t>oxidoreductase</t>
  </si>
  <si>
    <t>BCG_0595c</t>
  </si>
  <si>
    <t>BCG_2305</t>
  </si>
  <si>
    <t>cdh</t>
  </si>
  <si>
    <t>CDP-diacylglycerol pyrophosphatase</t>
  </si>
  <si>
    <t>BCG_2607c</t>
  </si>
  <si>
    <t>apt</t>
  </si>
  <si>
    <t>adenine phosphoribosyltransferase</t>
  </si>
  <si>
    <t>BCG_3009c</t>
  </si>
  <si>
    <t>leuC</t>
  </si>
  <si>
    <t>isopropylmalate isomerase large subunit</t>
  </si>
  <si>
    <t>BCG_2522c</t>
  </si>
  <si>
    <t>accD1</t>
  </si>
  <si>
    <t>acetyl-/propionyl-coa carboxylase subunit beta accD1</t>
  </si>
  <si>
    <t>BCG_1061c</t>
  </si>
  <si>
    <t>BCG_2314</t>
  </si>
  <si>
    <t>BCG_0070c</t>
  </si>
  <si>
    <t>BCG_0469</t>
  </si>
  <si>
    <t>BCG_0519</t>
  </si>
  <si>
    <t>deoC</t>
  </si>
  <si>
    <t>deoxyribose-phosphate aldolase</t>
  </si>
  <si>
    <t>BCG_0991c</t>
  </si>
  <si>
    <t>BCG_1751</t>
  </si>
  <si>
    <t>cmk</t>
  </si>
  <si>
    <t>cytidylate kinase</t>
  </si>
  <si>
    <t>BCG_1970c</t>
  </si>
  <si>
    <t>transcriptional regulatory protein</t>
  </si>
  <si>
    <t>BCG_2310</t>
  </si>
  <si>
    <t>aminotransferase</t>
  </si>
  <si>
    <t>BCG_2580</t>
  </si>
  <si>
    <t>BCG_2745c</t>
  </si>
  <si>
    <t>BCG_2780c</t>
  </si>
  <si>
    <t>dfrA</t>
  </si>
  <si>
    <t>dihydrofolate reductase dfrA</t>
  </si>
  <si>
    <t>BCG_2898</t>
  </si>
  <si>
    <t>BCG_3408</t>
  </si>
  <si>
    <t>BCG_1336</t>
  </si>
  <si>
    <t>BCG_1850</t>
  </si>
  <si>
    <t>BCG_1881c</t>
  </si>
  <si>
    <t>BCG_1883</t>
  </si>
  <si>
    <t>BCG_3230</t>
  </si>
  <si>
    <t>DNA-methyltransferase</t>
  </si>
  <si>
    <t>BCG_2959</t>
  </si>
  <si>
    <t>drrB</t>
  </si>
  <si>
    <t>daunorubicin-DIM-transport integral membrane protein ABC transporter drrB</t>
  </si>
  <si>
    <t>BCG_3048c</t>
  </si>
  <si>
    <t>iscS</t>
  </si>
  <si>
    <t>cysteine desulfurase iscS</t>
  </si>
  <si>
    <t>BCG_3771c</t>
  </si>
  <si>
    <t>dnaQ</t>
  </si>
  <si>
    <t>DNA polymerase III subunit epsilon</t>
  </si>
  <si>
    <t>BCG_3927</t>
  </si>
  <si>
    <t>BCG_0500</t>
  </si>
  <si>
    <t>BCG_0780</t>
  </si>
  <si>
    <t>BCG_1529c</t>
  </si>
  <si>
    <t>PE_PGRS29</t>
  </si>
  <si>
    <t>PE-PGRS family protein</t>
  </si>
  <si>
    <t>BCG_1675c</t>
  </si>
  <si>
    <t>BCG_1706c</t>
  </si>
  <si>
    <t>macrolide ABC transporter ATP-binding protein</t>
  </si>
  <si>
    <t>BCG_1929</t>
  </si>
  <si>
    <t>BCG_2017</t>
  </si>
  <si>
    <t>BCG_3672c</t>
  </si>
  <si>
    <t>folP1</t>
  </si>
  <si>
    <t>dihydropteroate synthase</t>
  </si>
  <si>
    <t>BCG_2960</t>
  </si>
  <si>
    <t>drrC</t>
  </si>
  <si>
    <t>daunorubicin-DIM-transport integral membrane protein ABC transporter drrC</t>
  </si>
  <si>
    <t>BCG_2558</t>
  </si>
  <si>
    <t>BCG_3268c</t>
  </si>
  <si>
    <t>transmembrane transport protein</t>
  </si>
  <si>
    <t>BCG_3560c</t>
  </si>
  <si>
    <t>mce4D</t>
  </si>
  <si>
    <t>Mce-family protein mce4D</t>
  </si>
  <si>
    <t>BCG_1333</t>
  </si>
  <si>
    <t>lprB</t>
  </si>
  <si>
    <t>lipoprotein lprB</t>
  </si>
  <si>
    <t>BCG_3164</t>
  </si>
  <si>
    <t>NADPH quinone oxidoreductase fadB4</t>
  </si>
  <si>
    <t>BCG_0219c</t>
  </si>
  <si>
    <t>sigG</t>
  </si>
  <si>
    <t>RNA polymerase factor sigma-70</t>
  </si>
  <si>
    <t>BCG_2635c</t>
  </si>
  <si>
    <t>pimA</t>
  </si>
  <si>
    <t>Alpha-mannosyltransferase pimA</t>
  </si>
  <si>
    <t>BCG_1119</t>
  </si>
  <si>
    <t>BCG_1213</t>
  </si>
  <si>
    <t>BCG_2518c</t>
  </si>
  <si>
    <t>citE</t>
  </si>
  <si>
    <t>citrate (pro-3s)-lyase subunit beta</t>
  </si>
  <si>
    <t>BCG_3248c</t>
  </si>
  <si>
    <t>TB7.3_1</t>
  </si>
  <si>
    <t>acetyl-CoA carboxylase biotin carboxyl carrier protein subunit</t>
  </si>
  <si>
    <t>BCG_3443</t>
  </si>
  <si>
    <t>BCG_1782</t>
  </si>
  <si>
    <t>pknE</t>
  </si>
  <si>
    <t>transmembrane serine/threonine-protein kinase E pknE</t>
  </si>
  <si>
    <t>BCG_2220c</t>
  </si>
  <si>
    <t>BCG_2882c</t>
  </si>
  <si>
    <t>glnA4</t>
  </si>
  <si>
    <t>glutamine synthetase</t>
  </si>
  <si>
    <t>BCG_0692c</t>
  </si>
  <si>
    <t>mmaA3</t>
  </si>
  <si>
    <t>methoxy mycolic acid synthase</t>
  </si>
  <si>
    <t>BCG_2243</t>
  </si>
  <si>
    <t>BCG_1121c</t>
  </si>
  <si>
    <t>BCG_1553</t>
  </si>
  <si>
    <t>BCG_1619c</t>
  </si>
  <si>
    <t>inv protein</t>
  </si>
  <si>
    <t>BCG_2026</t>
  </si>
  <si>
    <t>BCG_2442c</t>
  </si>
  <si>
    <t>BCG_3691</t>
  </si>
  <si>
    <t>BCG_0239c</t>
  </si>
  <si>
    <t>mmpL11</t>
  </si>
  <si>
    <t>transmembrane transport protein mmpL11</t>
  </si>
  <si>
    <t>BCG_2565</t>
  </si>
  <si>
    <t>lppA</t>
  </si>
  <si>
    <t>lipoprotein lppA</t>
  </si>
  <si>
    <t>BCG_2366c</t>
  </si>
  <si>
    <t>dnaG</t>
  </si>
  <si>
    <t>DNA primase</t>
  </si>
  <si>
    <t>BCG_3758</t>
  </si>
  <si>
    <t>BCG_3818c</t>
  </si>
  <si>
    <t>proX</t>
  </si>
  <si>
    <t>osmoprotectant (glycine betaine/carnitine/choline/l-proline) binding lipoprotein proX</t>
  </si>
  <si>
    <t>BCG_3910</t>
  </si>
  <si>
    <t>BCG_0458</t>
  </si>
  <si>
    <t>lpqM</t>
  </si>
  <si>
    <t>lipoprotein peptidase lpqM</t>
  </si>
  <si>
    <t>BCG_1541</t>
  </si>
  <si>
    <t>moxR1</t>
  </si>
  <si>
    <t>transcriptional regulatory protein moxR1</t>
  </si>
  <si>
    <t>BCG_0833</t>
  </si>
  <si>
    <t>ptrB</t>
  </si>
  <si>
    <t>protease II ptrB (oligopeptidase B)</t>
  </si>
  <si>
    <t>BCG_0552</t>
  </si>
  <si>
    <t>hemA</t>
  </si>
  <si>
    <t>glutamyl-tRNA reductase</t>
  </si>
  <si>
    <t>BCG_1395</t>
  </si>
  <si>
    <t>hydrolase</t>
  </si>
  <si>
    <t>BCG_2808c</t>
  </si>
  <si>
    <t>ltp1</t>
  </si>
  <si>
    <t>lipid-transfer protein</t>
  </si>
  <si>
    <t>BCG_3652c</t>
  </si>
  <si>
    <t>BCG_1224</t>
  </si>
  <si>
    <t>narH</t>
  </si>
  <si>
    <t>respiratory nitrate reductase subunit beta narH</t>
  </si>
  <si>
    <t>BCG_2334c</t>
  </si>
  <si>
    <t>BCG_2476c</t>
  </si>
  <si>
    <t>BCG_2810c</t>
  </si>
  <si>
    <t>resolvase</t>
  </si>
  <si>
    <t>BCG_3762c</t>
  </si>
  <si>
    <t>BCG_3901c</t>
  </si>
  <si>
    <t>prephenate dehydratase</t>
  </si>
  <si>
    <t>BCG_2023</t>
  </si>
  <si>
    <t>trehalose-6-phosphate phosphatase otsB1</t>
  </si>
  <si>
    <t>BCG_2515c</t>
  </si>
  <si>
    <t>pdhC</t>
  </si>
  <si>
    <t>branched-chain alpha-keto acid dehydrogenase subunit E2</t>
  </si>
  <si>
    <t>BCG_0712</t>
  </si>
  <si>
    <t>atsD</t>
  </si>
  <si>
    <t>arylsulfatase atsD</t>
  </si>
  <si>
    <t>BCG_0687</t>
  </si>
  <si>
    <t>secE</t>
  </si>
  <si>
    <t>preprotein translocase subunit SecE</t>
  </si>
  <si>
    <t>BCG_1101c</t>
  </si>
  <si>
    <t>BCG_0088</t>
  </si>
  <si>
    <t>BCG_0268</t>
  </si>
  <si>
    <t>acyl-CoA dehydrogenase fadE4</t>
  </si>
  <si>
    <t>BCG_0387</t>
  </si>
  <si>
    <t>BCG_1344</t>
  </si>
  <si>
    <t>cysD</t>
  </si>
  <si>
    <t>sulfate adenylyltransferase subunit 2</t>
  </si>
  <si>
    <t>BCG_1496c</t>
  </si>
  <si>
    <t>BCG_1787</t>
  </si>
  <si>
    <t>BCG_2903c</t>
  </si>
  <si>
    <t>frr</t>
  </si>
  <si>
    <t>ribosome recycling factor</t>
  </si>
  <si>
    <t>BCG_3688</t>
  </si>
  <si>
    <t>BCG_0980</t>
  </si>
  <si>
    <t>pstS3</t>
  </si>
  <si>
    <t>periplasmic phosphate-binding lipoprotein pstS3</t>
  </si>
  <si>
    <t>BCG_3931</t>
  </si>
  <si>
    <t>BCG_1127c</t>
  </si>
  <si>
    <t>BCG_2909c</t>
  </si>
  <si>
    <t>amiC</t>
  </si>
  <si>
    <t>BCG_1011</t>
  </si>
  <si>
    <t>purH</t>
  </si>
  <si>
    <t>bifunctional phosphoribosylaminoimidazolecarboxamide formyltransferase/IMP cyclohydrolase</t>
  </si>
  <si>
    <t>BCG_1550</t>
  </si>
  <si>
    <t>BCG_0942c</t>
  </si>
  <si>
    <t>LuxR family transcriptional regulator</t>
  </si>
  <si>
    <t>BCG_0810</t>
  </si>
  <si>
    <t>two component system response sensor kinase membrane associated phoR</t>
  </si>
  <si>
    <t>BCG_3314</t>
  </si>
  <si>
    <t>accA3</t>
  </si>
  <si>
    <t>bifunctional protein acetyl-/propionyl-coenzyme A carboxylase (alpha chain) accA3: biotin carboxylase + biotin carboxyl carrier protein</t>
  </si>
  <si>
    <t>BCG_2694</t>
  </si>
  <si>
    <t>BCG_2790c</t>
  </si>
  <si>
    <t>dapB</t>
  </si>
  <si>
    <t>dihydrodipicolinate reductase</t>
  </si>
  <si>
    <t>BCG_3752</t>
  </si>
  <si>
    <t>BCG_3792</t>
  </si>
  <si>
    <t>BCG_2127c</t>
  </si>
  <si>
    <t>prcB</t>
  </si>
  <si>
    <t>proteasome subunit beta PrcB</t>
  </si>
  <si>
    <t>BCG_0514</t>
  </si>
  <si>
    <t>BCG_2199c</t>
  </si>
  <si>
    <t>BCG_2231</t>
  </si>
  <si>
    <t>dlaT</t>
  </si>
  <si>
    <t>dihydrolipoamide acetyltransferase</t>
  </si>
  <si>
    <t>BCG_1689</t>
  </si>
  <si>
    <t>pheT</t>
  </si>
  <si>
    <t>phenylalanyl-tRNA synthetase subunit beta</t>
  </si>
  <si>
    <t>BCG_3926</t>
  </si>
  <si>
    <t>BCG_0921c</t>
  </si>
  <si>
    <t>moaA</t>
  </si>
  <si>
    <t>molybdenum cofactor biosynthesis protein A</t>
  </si>
  <si>
    <t>BCG_3658</t>
  </si>
  <si>
    <t>lpqF</t>
  </si>
  <si>
    <t>lipoprotein lpqF</t>
  </si>
  <si>
    <t>BCG_0600</t>
  </si>
  <si>
    <t>menD</t>
  </si>
  <si>
    <t>2-succinyl-5-enolpyruvyl-6-hydroxy-3-cyclohexene-1-carboxylate synthase</t>
  </si>
  <si>
    <t>BCG_0542</t>
  </si>
  <si>
    <t>proC</t>
  </si>
  <si>
    <t>pyrroline-5-carboxylate reductase</t>
  </si>
  <si>
    <t>BCG_2235</t>
  </si>
  <si>
    <t>BCG_0071c</t>
  </si>
  <si>
    <t>mtc28</t>
  </si>
  <si>
    <t>BCG_2086c</t>
  </si>
  <si>
    <t>BCG_3964c</t>
  </si>
  <si>
    <t>pcnA</t>
  </si>
  <si>
    <t>poly(A) polymerase</t>
  </si>
  <si>
    <t>BCG_0782</t>
  </si>
  <si>
    <t>secY</t>
  </si>
  <si>
    <t>preprotein translocase subunit SecY</t>
  </si>
  <si>
    <t>BCG_1579c</t>
  </si>
  <si>
    <t>pks5</t>
  </si>
  <si>
    <t>polyketide synthase pks5</t>
  </si>
  <si>
    <t>BCG_1168c</t>
  </si>
  <si>
    <t>xseA</t>
  </si>
  <si>
    <t>exodeoxyribonuclease VII large subunit</t>
  </si>
  <si>
    <t>BCG_3006</t>
  </si>
  <si>
    <t>mutT1</t>
  </si>
  <si>
    <t>hydrolase mutT1</t>
  </si>
  <si>
    <t>BCG_0250c</t>
  </si>
  <si>
    <t>methyltransferase</t>
  </si>
  <si>
    <t>BCG_1497</t>
  </si>
  <si>
    <t>gap</t>
  </si>
  <si>
    <t>glyceraldehyde 3-phosphate dehydrogenase gap</t>
  </si>
  <si>
    <t>BCG_3327c</t>
  </si>
  <si>
    <t>lpqC_1</t>
  </si>
  <si>
    <t>esterase lipoprotein lpqC</t>
  </si>
  <si>
    <t>BCG_0111c</t>
  </si>
  <si>
    <t>BCG_0192</t>
  </si>
  <si>
    <t>pntAb</t>
  </si>
  <si>
    <t>NAD(p) transhydrogenase (subunit alpha) pntAb</t>
  </si>
  <si>
    <t>BCG_0232</t>
  </si>
  <si>
    <t>LuxR family two component transcriptional regulator</t>
  </si>
  <si>
    <t>BCG_0869c</t>
  </si>
  <si>
    <t>BCG_1397</t>
  </si>
  <si>
    <t>antigen cfp10A</t>
  </si>
  <si>
    <t>BCG_1783c</t>
  </si>
  <si>
    <t>BCG_2344c</t>
  </si>
  <si>
    <t>BCG_2470c</t>
  </si>
  <si>
    <t>rpfE</t>
  </si>
  <si>
    <t>resuscitation-promoting factor rpfE</t>
  </si>
  <si>
    <t>BCG_2536c</t>
  </si>
  <si>
    <t>BCG_3553</t>
  </si>
  <si>
    <t>BCG_3681</t>
  </si>
  <si>
    <t>lpqG</t>
  </si>
  <si>
    <t>lipoprotein lpqG</t>
  </si>
  <si>
    <t>BCG_3935c</t>
  </si>
  <si>
    <t>BCG_0315A</t>
  </si>
  <si>
    <t>antitoxin</t>
  </si>
  <si>
    <t>BCG_0561</t>
  </si>
  <si>
    <t>BCG_0568</t>
  </si>
  <si>
    <t>BCG_1082</t>
  </si>
  <si>
    <t>BCG_1568c</t>
  </si>
  <si>
    <t>BCG_1798</t>
  </si>
  <si>
    <t>cut1</t>
  </si>
  <si>
    <t>cutinase cut1</t>
  </si>
  <si>
    <t>BCG_1943</t>
  </si>
  <si>
    <t>BCG_2192c</t>
  </si>
  <si>
    <t>BCG_2288</t>
  </si>
  <si>
    <t>BCG_2339</t>
  </si>
  <si>
    <t>uspC</t>
  </si>
  <si>
    <t>periplasmic sugar-binding lipoprotein uspC</t>
  </si>
  <si>
    <t>BCG_2424</t>
  </si>
  <si>
    <t>PE24</t>
  </si>
  <si>
    <t>PE family-like protein</t>
  </si>
  <si>
    <t>BCG_2436c</t>
  </si>
  <si>
    <t>BCG_2451c</t>
  </si>
  <si>
    <t>BCG_3394</t>
  </si>
  <si>
    <t>BCG_0141c</t>
  </si>
  <si>
    <t>BCG_1179c</t>
  </si>
  <si>
    <t>BCG_1221c</t>
  </si>
  <si>
    <t>phhB</t>
  </si>
  <si>
    <t>pterin-4-alpha-carbinolamine dehydratase</t>
  </si>
  <si>
    <t>BCG_1413</t>
  </si>
  <si>
    <t>BCG_2372</t>
  </si>
  <si>
    <t>ArsR family transcriptional regulator</t>
  </si>
  <si>
    <t>BCG_2422c</t>
  </si>
  <si>
    <t>BCG_2589</t>
  </si>
  <si>
    <t>BCG_2626</t>
  </si>
  <si>
    <t>BCG_3008c</t>
  </si>
  <si>
    <t>leuD</t>
  </si>
  <si>
    <t>isopropylmalate isomerase small subunit</t>
  </si>
  <si>
    <t>BCG_3111</t>
  </si>
  <si>
    <t>adhD</t>
  </si>
  <si>
    <t>zinc-type alcohol dehydrogenase adhD</t>
  </si>
  <si>
    <t>BCG_3123c</t>
  </si>
  <si>
    <t>BCG_3412</t>
  </si>
  <si>
    <t>BCG_3432</t>
  </si>
  <si>
    <t>BCG_3533c</t>
  </si>
  <si>
    <t>rmlB2</t>
  </si>
  <si>
    <t>dTDP-glucose 4,6-dehydratase rmlB2</t>
  </si>
  <si>
    <t>BCG_3619c</t>
  </si>
  <si>
    <t>BCG_3654</t>
  </si>
  <si>
    <t>mutY</t>
  </si>
  <si>
    <t>adenine glycosylase</t>
  </si>
  <si>
    <t>BCG_3808c</t>
  </si>
  <si>
    <t>BCG_0543</t>
  </si>
  <si>
    <t>BCG_0971</t>
  </si>
  <si>
    <t>BCG_1557</t>
  </si>
  <si>
    <t>BCG_1982c</t>
  </si>
  <si>
    <t>BCG_2597</t>
  </si>
  <si>
    <t>BCG_2789c</t>
  </si>
  <si>
    <t>BCG_2793c</t>
  </si>
  <si>
    <t>BCG_3316c</t>
  </si>
  <si>
    <t>rsbW</t>
  </si>
  <si>
    <t>anti-sigma factor rsbW</t>
  </si>
  <si>
    <t>BCG_3778c</t>
  </si>
  <si>
    <t>BCG_0011c</t>
  </si>
  <si>
    <t>septation inhibitor protein</t>
  </si>
  <si>
    <t>BCG_1098c</t>
  </si>
  <si>
    <t>PE8</t>
  </si>
  <si>
    <t>BCG_1296</t>
  </si>
  <si>
    <t>sugA</t>
  </si>
  <si>
    <t>sugar-transport integral membrane protein ABC transporter sugA</t>
  </si>
  <si>
    <t>BCG_1733</t>
  </si>
  <si>
    <t>ppnK</t>
  </si>
  <si>
    <t>inorganic polyphosphate/ATP-NAD kinase</t>
  </si>
  <si>
    <t>BCG_2034</t>
  </si>
  <si>
    <t>regulatory protein</t>
  </si>
  <si>
    <t>BCG_2115c</t>
  </si>
  <si>
    <t>BCG_3611</t>
  </si>
  <si>
    <t>BCG_3615</t>
  </si>
  <si>
    <t>CoA-transferase subunit alpha</t>
  </si>
  <si>
    <t>BCG_0195c</t>
  </si>
  <si>
    <t>PE3</t>
  </si>
  <si>
    <t>BCG_1295</t>
  </si>
  <si>
    <t>lpqY</t>
  </si>
  <si>
    <t>sugar-binding lipoprotein lpqY</t>
  </si>
  <si>
    <t>BCG_2329c</t>
  </si>
  <si>
    <t>integrase</t>
  </si>
  <si>
    <t>BCG_2740c</t>
  </si>
  <si>
    <t>miaA</t>
  </si>
  <si>
    <t>tRNA delta(2)-isopentenylpyrophosphate transferase</t>
  </si>
  <si>
    <t>BCG_3812c</t>
  </si>
  <si>
    <t>BCG_0336c</t>
  </si>
  <si>
    <t>sulfatase</t>
  </si>
  <si>
    <t>BCG_0923</t>
  </si>
  <si>
    <t>cspB</t>
  </si>
  <si>
    <t>cold shock-like protein B cspB</t>
  </si>
  <si>
    <t>BCG_1294</t>
  </si>
  <si>
    <t>BCG_1454c</t>
  </si>
  <si>
    <t>monoxygenase</t>
  </si>
  <si>
    <t>BCG_2699c</t>
  </si>
  <si>
    <t>antibiotic ABC transporter integral membrane protein</t>
  </si>
  <si>
    <t>BCG_3593c</t>
  </si>
  <si>
    <t>BCG_0341</t>
  </si>
  <si>
    <t>BCG_1090c</t>
  </si>
  <si>
    <t>trcS</t>
  </si>
  <si>
    <t>two component sensor histidine kinase trcS</t>
  </si>
  <si>
    <t>BCG_1240</t>
  </si>
  <si>
    <t>ferredoxin fdxC</t>
  </si>
  <si>
    <t>BCG_1434</t>
  </si>
  <si>
    <t>glycolipid sulfotransferase</t>
  </si>
  <si>
    <t>BCG_1455c</t>
  </si>
  <si>
    <t>cyp132</t>
  </si>
  <si>
    <t>cytochrome P450 132 cyp132</t>
  </si>
  <si>
    <t>BCG_2085</t>
  </si>
  <si>
    <t>cobI</t>
  </si>
  <si>
    <t>bifunctional protein, CobI-CobJ fusion protein: S-adenosyl-L-methionine-precorrin-2 methyl transferase + precorrin-3 methylase</t>
  </si>
  <si>
    <t>BCG_2100c</t>
  </si>
  <si>
    <t>BCG_2549c</t>
  </si>
  <si>
    <t>mrr</t>
  </si>
  <si>
    <t>restriction system protein mrr</t>
  </si>
  <si>
    <t>BCG_3038</t>
  </si>
  <si>
    <t>lpqA</t>
  </si>
  <si>
    <t>lipoprotein lpqA</t>
  </si>
  <si>
    <t>BCG_3603</t>
  </si>
  <si>
    <t>PPE63</t>
  </si>
  <si>
    <t>BCG_0165c</t>
  </si>
  <si>
    <t>fadE1</t>
  </si>
  <si>
    <t>acyl-CoA dehydrogenase fadE1</t>
  </si>
  <si>
    <t>BCG_0572</t>
  </si>
  <si>
    <t>ccsA</t>
  </si>
  <si>
    <t>cytochrome c-type biogenesis protein ccsA</t>
  </si>
  <si>
    <t>BCG_1026c</t>
  </si>
  <si>
    <t>fadE12</t>
  </si>
  <si>
    <t>acyl-CoA dehydrogenase fadE12</t>
  </si>
  <si>
    <t>BCG_1424c</t>
  </si>
  <si>
    <t>BCG_1485c</t>
  </si>
  <si>
    <t>BCG_1540</t>
  </si>
  <si>
    <t>invasion protein</t>
  </si>
  <si>
    <t>BCG_1823</t>
  </si>
  <si>
    <t>PE19</t>
  </si>
  <si>
    <t>BCG_2376c</t>
  </si>
  <si>
    <t>recO</t>
  </si>
  <si>
    <t>DNA repair protein RecO</t>
  </si>
  <si>
    <t>BCG_2484c</t>
  </si>
  <si>
    <t>DNA glycosylase</t>
  </si>
  <si>
    <t>BCG_3183c</t>
  </si>
  <si>
    <t>PPE70</t>
  </si>
  <si>
    <t>BCG_3283</t>
  </si>
  <si>
    <t>BCG_0198c</t>
  </si>
  <si>
    <t>adhE1</t>
  </si>
  <si>
    <t>zinc-type alcohol dehydrogenase (e subunit) adhE</t>
  </si>
  <si>
    <t>BCG_1380c</t>
  </si>
  <si>
    <t>adenylate cyclase</t>
  </si>
  <si>
    <t>BCG_1492</t>
  </si>
  <si>
    <t>BCG_1504c</t>
  </si>
  <si>
    <t>BCG_1803c</t>
  </si>
  <si>
    <t>BCG_1922c</t>
  </si>
  <si>
    <t>chorismate mutase</t>
  </si>
  <si>
    <t>BCG_2064c</t>
  </si>
  <si>
    <t>lipT</t>
  </si>
  <si>
    <t>carboxylesterase LipT</t>
  </si>
  <si>
    <t>BCG_2811c</t>
  </si>
  <si>
    <t>truB</t>
  </si>
  <si>
    <t>tRNA pseudouridine synthase B</t>
  </si>
  <si>
    <t>BCG_3683c</t>
  </si>
  <si>
    <t>mesJ</t>
  </si>
  <si>
    <t>cell cycle protein mesJ</t>
  </si>
  <si>
    <t>BCG_3909</t>
  </si>
  <si>
    <t>sodA</t>
  </si>
  <si>
    <t>superoxide dismutase [Fe] sodA</t>
  </si>
  <si>
    <t>BCG_0115</t>
  </si>
  <si>
    <t>BCG_2581</t>
  </si>
  <si>
    <t>BCG_2978</t>
  </si>
  <si>
    <t>glycosyl transferase family protein</t>
  </si>
  <si>
    <t>BCG_0352</t>
  </si>
  <si>
    <t>BCG_0559c</t>
  </si>
  <si>
    <t>BCG_2402c</t>
  </si>
  <si>
    <t>hemN</t>
  </si>
  <si>
    <t>coproporphyrinogen III oxidase</t>
  </si>
  <si>
    <t>BCG_2453c</t>
  </si>
  <si>
    <t>BCG_2705</t>
  </si>
  <si>
    <t>ceoC</t>
  </si>
  <si>
    <t>TRK system potassium uptake protein ceoC</t>
  </si>
  <si>
    <t>BCG_3185c</t>
  </si>
  <si>
    <t>dioxygenase</t>
  </si>
  <si>
    <t>BCG_3900c</t>
  </si>
  <si>
    <t>phosphoglycerate mutase</t>
  </si>
  <si>
    <t>BCG_1024</t>
  </si>
  <si>
    <t>BCG_1062c</t>
  </si>
  <si>
    <t>pabB</t>
  </si>
  <si>
    <t>aminodeoxychorismate synthase component I</t>
  </si>
  <si>
    <t>BCG_1249</t>
  </si>
  <si>
    <t>rocA</t>
  </si>
  <si>
    <t>pyrroline-5-carboxylate dehydrogenase rocA</t>
  </si>
  <si>
    <t>BCG_1437</t>
  </si>
  <si>
    <t>BCG_1703</t>
  </si>
  <si>
    <t>pks9</t>
  </si>
  <si>
    <t>polyketide synthase pks9</t>
  </si>
  <si>
    <t>BCG_1902</t>
  </si>
  <si>
    <t>BCG_2603c</t>
  </si>
  <si>
    <t>hisS</t>
  </si>
  <si>
    <t>histidyl-tRNA synthetase</t>
  </si>
  <si>
    <t>BCG_2999c</t>
  </si>
  <si>
    <t>BCG_0080</t>
  </si>
  <si>
    <t>BCG_0263c</t>
  </si>
  <si>
    <t>BCG_1229c</t>
  </si>
  <si>
    <t>BCG_1678c</t>
  </si>
  <si>
    <t>BCG_2165c</t>
  </si>
  <si>
    <t>BCG_3565c</t>
  </si>
  <si>
    <t>yrbE4A</t>
  </si>
  <si>
    <t>integral membrane protein YrbE4a</t>
  </si>
  <si>
    <t>BCG_3829c</t>
  </si>
  <si>
    <t>BCG_0817c</t>
  </si>
  <si>
    <t>BCG_1000c</t>
  </si>
  <si>
    <t>pgi</t>
  </si>
  <si>
    <t>glucose-6-phosphate isomerase</t>
  </si>
  <si>
    <t>BCG_1467</t>
  </si>
  <si>
    <t>fmt</t>
  </si>
  <si>
    <t>methionyl-tRNA formyltransferase</t>
  </si>
  <si>
    <t>BCG_3454c</t>
  </si>
  <si>
    <t>BCG_0105</t>
  </si>
  <si>
    <t>BCG_0126c</t>
  </si>
  <si>
    <t>BCG_0182</t>
  </si>
  <si>
    <t>BCG_0261c</t>
  </si>
  <si>
    <t>BCG_0946</t>
  </si>
  <si>
    <t>BCG_0990</t>
  </si>
  <si>
    <t>pstA2</t>
  </si>
  <si>
    <t>phosphate ABC transporter transmembrane protein</t>
  </si>
  <si>
    <t>BCG_1081</t>
  </si>
  <si>
    <t>BCG_2588</t>
  </si>
  <si>
    <t>BCG_3060c</t>
  </si>
  <si>
    <t>TB22.2</t>
  </si>
  <si>
    <t>BCG_3105c</t>
  </si>
  <si>
    <t>pknK</t>
  </si>
  <si>
    <t>serine/threonine-protein kinase transcriptional regulatory protein pknK</t>
  </si>
  <si>
    <t>BCG_0218c</t>
  </si>
  <si>
    <t>BCG_0367</t>
  </si>
  <si>
    <t>TetR family transcriptional regulator</t>
  </si>
  <si>
    <t>BCG_0418c</t>
  </si>
  <si>
    <t>rna methyltransferase</t>
  </si>
  <si>
    <t>BCG_0463c</t>
  </si>
  <si>
    <t>BCG_1719</t>
  </si>
  <si>
    <t>moeX</t>
  </si>
  <si>
    <t>molybdopterin biosynthesis protein moeX</t>
  </si>
  <si>
    <t>BCG_1808</t>
  </si>
  <si>
    <t>BCG_2059c</t>
  </si>
  <si>
    <t>sugar-transport integral membrane protein ABC transporter</t>
  </si>
  <si>
    <t>BCG_2221c</t>
  </si>
  <si>
    <t>BCG_2554c</t>
  </si>
  <si>
    <t>BCG_2611c</t>
  </si>
  <si>
    <t>yajC</t>
  </si>
  <si>
    <t>preprotein translocase subunit YajC</t>
  </si>
  <si>
    <t>BCG_2985</t>
  </si>
  <si>
    <t>purU</t>
  </si>
  <si>
    <t>formyltetrahydrofolate deformylase</t>
  </si>
  <si>
    <t>BCG_3418</t>
  </si>
  <si>
    <t>BCG_0616c</t>
  </si>
  <si>
    <t>BCG_0623c</t>
  </si>
  <si>
    <t>PE_PGRS7</t>
  </si>
  <si>
    <t>BCG_0626</t>
  </si>
  <si>
    <t>BCG_0745</t>
  </si>
  <si>
    <t>membrane sugar transferase</t>
  </si>
  <si>
    <t>BCG_1514</t>
  </si>
  <si>
    <t>transcriptional activator protein</t>
  </si>
  <si>
    <t>BCG_1551</t>
  </si>
  <si>
    <t>BCG_1593c</t>
  </si>
  <si>
    <t>lprI</t>
  </si>
  <si>
    <t>lipoprotein lprI</t>
  </si>
  <si>
    <t>BCG_1771c</t>
  </si>
  <si>
    <t>BCG_2039c</t>
  </si>
  <si>
    <t>BCG_2411</t>
  </si>
  <si>
    <t>PE_PGRS41</t>
  </si>
  <si>
    <t>BCG_2668</t>
  </si>
  <si>
    <t>cadI</t>
  </si>
  <si>
    <t>cadmium inducible protein cadI</t>
  </si>
  <si>
    <t>BCG_3398c</t>
  </si>
  <si>
    <t>sigJ</t>
  </si>
  <si>
    <t>RNA polymerase sigma factor SigJ</t>
  </si>
  <si>
    <t>BCG_3411</t>
  </si>
  <si>
    <t>metX</t>
  </si>
  <si>
    <t>homoserine O-acetyltransferase</t>
  </si>
  <si>
    <t>BCG_3944c</t>
  </si>
  <si>
    <t>BCG_0370</t>
  </si>
  <si>
    <t>dehydrogenase/reductase</t>
  </si>
  <si>
    <t>BCG_0598</t>
  </si>
  <si>
    <t>O-succinylbenzoate synthase</t>
  </si>
  <si>
    <t>BCG_0669</t>
  </si>
  <si>
    <t>BCG_1290c</t>
  </si>
  <si>
    <t>BCG_1377c</t>
  </si>
  <si>
    <t>ogt</t>
  </si>
  <si>
    <t>methylated-DNA--protein-cysteine methyltransferase ogt</t>
  </si>
  <si>
    <t>BCG_1628</t>
  </si>
  <si>
    <t>BCG_1730</t>
  </si>
  <si>
    <t>phosphatase</t>
  </si>
  <si>
    <t>BCG_2135c</t>
  </si>
  <si>
    <t>RNA methyltransferase</t>
  </si>
  <si>
    <t>BCG_2289</t>
  </si>
  <si>
    <t>BCG_2592c</t>
  </si>
  <si>
    <t>BCG_3288</t>
  </si>
  <si>
    <t>BCG_3304c</t>
  </si>
  <si>
    <t>purE</t>
  </si>
  <si>
    <t>phosphoribosylaminoimidazole carboxylase catalytic subunit purE</t>
  </si>
  <si>
    <t>BCG_3490c</t>
  </si>
  <si>
    <t>rimI</t>
  </si>
  <si>
    <t>ribosomal-protein-alanine acetyltransferase rimI</t>
  </si>
  <si>
    <t>BCG_3506c</t>
  </si>
  <si>
    <t>BCG_3716c</t>
  </si>
  <si>
    <t>BCG_0425c</t>
  </si>
  <si>
    <t>PPE9</t>
  </si>
  <si>
    <t>BCG_0627</t>
  </si>
  <si>
    <t>BCG_0657c</t>
  </si>
  <si>
    <t>BCG_0849</t>
  </si>
  <si>
    <t>transposase for insertion sequence element IS1547</t>
  </si>
  <si>
    <t>BCG_0947</t>
  </si>
  <si>
    <t>BCG_2352</t>
  </si>
  <si>
    <t>BCG_2667c</t>
  </si>
  <si>
    <t>BCG_3133</t>
  </si>
  <si>
    <t>BCG_3582c</t>
  </si>
  <si>
    <t>cyp142a</t>
  </si>
  <si>
    <t>cytochrome P450 monooxygenase 142 cyp142a</t>
  </si>
  <si>
    <t>BCG_3859</t>
  </si>
  <si>
    <t>fadE35</t>
  </si>
  <si>
    <t>acyl-CoA dehydrogenase fadE35</t>
  </si>
  <si>
    <t>BCG_3892c</t>
  </si>
  <si>
    <t>BCG_0544</t>
  </si>
  <si>
    <t>galE2</t>
  </si>
  <si>
    <t>udp-glucose 4-epimerase galE2</t>
  </si>
  <si>
    <t>BCG_1863</t>
  </si>
  <si>
    <t>BCG_1940</t>
  </si>
  <si>
    <t>cinA</t>
  </si>
  <si>
    <t>competence damage-inducible protein A</t>
  </si>
  <si>
    <t>BCG_0097c</t>
  </si>
  <si>
    <t>icd2</t>
  </si>
  <si>
    <t>isocitrate dehydrogenase</t>
  </si>
  <si>
    <t>BCG_0136c</t>
  </si>
  <si>
    <t>ctpB</t>
  </si>
  <si>
    <t>cation-transporter P-type atpase B ctpB</t>
  </si>
  <si>
    <t>BCG_3905c</t>
  </si>
  <si>
    <t>glpQ1</t>
  </si>
  <si>
    <t>glycerophosphoryl diester phosphodiesterase glpQ1</t>
  </si>
  <si>
    <t>BCG_1243</t>
  </si>
  <si>
    <t>polyketide beta-ketoacyl synthase pks3</t>
  </si>
  <si>
    <t>BCG_2234</t>
  </si>
  <si>
    <t>lipA</t>
  </si>
  <si>
    <t>lipoyl synthase</t>
  </si>
  <si>
    <t>BCG_2299</t>
  </si>
  <si>
    <t>lipM</t>
  </si>
  <si>
    <t>esterase LipM</t>
  </si>
  <si>
    <t>BCG_3507c</t>
  </si>
  <si>
    <t>glmM</t>
  </si>
  <si>
    <t>phosphoglucosamine mutase</t>
  </si>
  <si>
    <t>BCG_3880</t>
  </si>
  <si>
    <t>BCG_1281</t>
  </si>
  <si>
    <t>sigE</t>
  </si>
  <si>
    <t>RNA polymerase sigma factor SigE</t>
  </si>
  <si>
    <t>BCG_0545</t>
  </si>
  <si>
    <t>BCG_0069</t>
  </si>
  <si>
    <t>BCG_2233</t>
  </si>
  <si>
    <t>lipB</t>
  </si>
  <si>
    <t>lipoate-protein ligase B</t>
  </si>
  <si>
    <t>BCG_0179c</t>
  </si>
  <si>
    <t>BCG_0505c</t>
  </si>
  <si>
    <t>BCG_2861c</t>
  </si>
  <si>
    <t>nusA</t>
  </si>
  <si>
    <t>transcription elongation factor NusA</t>
  </si>
  <si>
    <t>BCG_2994c</t>
  </si>
  <si>
    <t>BCG_3799c</t>
  </si>
  <si>
    <t>BCG_0658c</t>
  </si>
  <si>
    <t>BCG_2936c</t>
  </si>
  <si>
    <t>BCG_3469</t>
  </si>
  <si>
    <t>BCG_3833</t>
  </si>
  <si>
    <t>hisC2</t>
  </si>
  <si>
    <t>BCG_0051c</t>
  </si>
  <si>
    <t>BCG_0363c</t>
  </si>
  <si>
    <t>BCG_0759</t>
  </si>
  <si>
    <t>rpmC</t>
  </si>
  <si>
    <t>50S ribosomal protein L29</t>
  </si>
  <si>
    <t>BCG_0874c</t>
  </si>
  <si>
    <t>phosphate-transport system transcriptional regulatory protein phoY2</t>
  </si>
  <si>
    <t>BCG_2525c</t>
  </si>
  <si>
    <t>fadD35</t>
  </si>
  <si>
    <t>AMP-binding protein</t>
  </si>
  <si>
    <t>BCG_2586</t>
  </si>
  <si>
    <t>glnQ</t>
  </si>
  <si>
    <t>glutamine-transport ATP-binding protein ABC transporter glnQ</t>
  </si>
  <si>
    <t>BCG_3449c</t>
  </si>
  <si>
    <t>BCG_0540</t>
  </si>
  <si>
    <t>BCG_0730</t>
  </si>
  <si>
    <t>BCG_0905c</t>
  </si>
  <si>
    <t>pdc</t>
  </si>
  <si>
    <t>pyruvate or indole-3-pyruvate decarboxylase pdc</t>
  </si>
  <si>
    <t>BCG_1378c</t>
  </si>
  <si>
    <t>alkA</t>
  </si>
  <si>
    <t>ada regulatory protein alkA</t>
  </si>
  <si>
    <t>BCG_1702</t>
  </si>
  <si>
    <t>pks17</t>
  </si>
  <si>
    <t>polyketide synthase</t>
  </si>
  <si>
    <t>BCG_2706c</t>
  </si>
  <si>
    <t>integral membrane alanine and leucine rich protein</t>
  </si>
  <si>
    <t>BCG_2897</t>
  </si>
  <si>
    <t>mpb70</t>
  </si>
  <si>
    <t>BCG_3289c</t>
  </si>
  <si>
    <t>whiB2</t>
  </si>
  <si>
    <t>transcriptional regulatory protein whiB-like whiB2</t>
  </si>
  <si>
    <t>BCG_3388c</t>
  </si>
  <si>
    <t>BCG_3612c</t>
  </si>
  <si>
    <t>BCG_0509</t>
  </si>
  <si>
    <t>mycolic acid synthase umaA1</t>
  </si>
  <si>
    <t>BCG_1450</t>
  </si>
  <si>
    <t>gmk</t>
  </si>
  <si>
    <t>guanylate kinase</t>
  </si>
  <si>
    <t>BCG_3864c</t>
  </si>
  <si>
    <t>BCG_2995c</t>
  </si>
  <si>
    <t>recG</t>
  </si>
  <si>
    <t>ATP-dependent DNA helicase RecG</t>
  </si>
  <si>
    <t>BCG_3324</t>
  </si>
  <si>
    <t>BCG_2126c</t>
  </si>
  <si>
    <t>prcA</t>
  </si>
  <si>
    <t>proteasome subunit alpha PrcA</t>
  </si>
  <si>
    <t>BCG_3939c</t>
  </si>
  <si>
    <t>BCG_1379c</t>
  </si>
  <si>
    <t>BCG_3284c</t>
  </si>
  <si>
    <t>manA</t>
  </si>
  <si>
    <t>mannose-6-phosphate isomerase manA</t>
  </si>
  <si>
    <t>BCG_2991c</t>
  </si>
  <si>
    <t>lipN</t>
  </si>
  <si>
    <t>lipase/esterase lipN</t>
  </si>
  <si>
    <t>BCG_1664</t>
  </si>
  <si>
    <t>two-component system transcriptional regulator</t>
  </si>
  <si>
    <t>BCG_1797</t>
  </si>
  <si>
    <t>mmpL14</t>
  </si>
  <si>
    <t>transmembrane transport protein mmpL14</t>
  </si>
  <si>
    <t>BCG_0242</t>
  </si>
  <si>
    <t>BCG_0565</t>
  </si>
  <si>
    <t>gabP</t>
  </si>
  <si>
    <t>4-amino butyrate transport carrier</t>
  </si>
  <si>
    <t>BCG_0597</t>
  </si>
  <si>
    <t>BCG_0721</t>
  </si>
  <si>
    <t>fadE8</t>
  </si>
  <si>
    <t>acyl-CoA dehydrogenase fadE8</t>
  </si>
  <si>
    <t>BCG_2156</t>
  </si>
  <si>
    <t>pyrD</t>
  </si>
  <si>
    <t>dihydroorotate dehydrogenase 2</t>
  </si>
  <si>
    <t>BCG_2213c</t>
  </si>
  <si>
    <t>BCG_2275c</t>
  </si>
  <si>
    <t>BCG_3121</t>
  </si>
  <si>
    <t>BCG_2685</t>
  </si>
  <si>
    <t>protease</t>
  </si>
  <si>
    <t>BCG_1160</t>
  </si>
  <si>
    <t>BCG_1635</t>
  </si>
  <si>
    <t>BCG_1860</t>
  </si>
  <si>
    <t>BCG_2727</t>
  </si>
  <si>
    <t>BCG_3249c</t>
  </si>
  <si>
    <t>anti-sigma factor</t>
  </si>
  <si>
    <t>BCG_1864</t>
  </si>
  <si>
    <t>BCG_3282c</t>
  </si>
  <si>
    <t>cationic amino acid transport integral membrane protein</t>
  </si>
  <si>
    <t>BCG_1941c</t>
  </si>
  <si>
    <t>nanT</t>
  </si>
  <si>
    <t>sialic acid-transport integral membrane protein nanT</t>
  </si>
  <si>
    <t>BCG_2113c</t>
  </si>
  <si>
    <t>tatC</t>
  </si>
  <si>
    <t>Sec-independent protein translocase transmembrane protein tatC</t>
  </si>
  <si>
    <t>BCG_2455</t>
  </si>
  <si>
    <t>rbsK</t>
  </si>
  <si>
    <t>ribokinase rbsK</t>
  </si>
  <si>
    <t>BCG_2996c</t>
  </si>
  <si>
    <t>BCG_0529</t>
  </si>
  <si>
    <t>BCG_0843c</t>
  </si>
  <si>
    <t>BCG_0853</t>
  </si>
  <si>
    <t>BCG_0862c</t>
  </si>
  <si>
    <t>BCG_1002c</t>
  </si>
  <si>
    <t>BCG_1019c</t>
  </si>
  <si>
    <t>BCG_1231c</t>
  </si>
  <si>
    <t>PPE17a</t>
  </si>
  <si>
    <t>BCG_1448</t>
  </si>
  <si>
    <t>PPE20</t>
  </si>
  <si>
    <t>BCG_1764c</t>
  </si>
  <si>
    <t>BCG_1900c</t>
  </si>
  <si>
    <t>BCG_1946c</t>
  </si>
  <si>
    <t>BCG_1983c</t>
  </si>
  <si>
    <t>BCG_2279c</t>
  </si>
  <si>
    <t>BCG_2313</t>
  </si>
  <si>
    <t>BCG_2317</t>
  </si>
  <si>
    <t>cut2</t>
  </si>
  <si>
    <t>cutinase cut2</t>
  </si>
  <si>
    <t>BCG_2551c</t>
  </si>
  <si>
    <t>BCG_2714c</t>
  </si>
  <si>
    <t>suhB</t>
  </si>
  <si>
    <t>extragenic suppressor protein suhB</t>
  </si>
  <si>
    <t>BCG_3514</t>
  </si>
  <si>
    <t>BCG_3696</t>
  </si>
  <si>
    <t>BCG_3791</t>
  </si>
  <si>
    <t>ligC</t>
  </si>
  <si>
    <t>ATP-dependent DNA ligase</t>
  </si>
  <si>
    <t>BCG_3885</t>
  </si>
  <si>
    <t>BCG_3955c</t>
  </si>
  <si>
    <t>BCG_0008c</t>
  </si>
  <si>
    <t>BCG_0365</t>
  </si>
  <si>
    <t>BCG_0406c</t>
  </si>
  <si>
    <t>BCG_0498</t>
  </si>
  <si>
    <t>aldehyde dehydrogenase</t>
  </si>
  <si>
    <t>BCG_0651</t>
  </si>
  <si>
    <t>BCG_0790</t>
  </si>
  <si>
    <t>BCG_0927c</t>
  </si>
  <si>
    <t>BCG_1163c</t>
  </si>
  <si>
    <t>BCG_1781</t>
  </si>
  <si>
    <t>BCG_2089c</t>
  </si>
  <si>
    <t>cobK</t>
  </si>
  <si>
    <t>cobalt-precorrin-6x reductase</t>
  </si>
  <si>
    <t>BCG_2267c</t>
  </si>
  <si>
    <t>glpD1</t>
  </si>
  <si>
    <t>glycerol-3-phosphate dehydrogenase glpd1</t>
  </si>
  <si>
    <t>BCG_2718c</t>
  </si>
  <si>
    <t>BCG_2814c</t>
  </si>
  <si>
    <t>lppV</t>
  </si>
  <si>
    <t>lipoprotein lppV</t>
  </si>
  <si>
    <t>BCG_3202</t>
  </si>
  <si>
    <t>peroxidase</t>
  </si>
  <si>
    <t>BCG_3478</t>
  </si>
  <si>
    <t>BCG_3518</t>
  </si>
  <si>
    <t>cut4</t>
  </si>
  <si>
    <t>cutinase precursor cut4</t>
  </si>
  <si>
    <t>BCG_3625</t>
  </si>
  <si>
    <t>fadD3</t>
  </si>
  <si>
    <t>long-chain-fatty-acid--CoA ligase</t>
  </si>
  <si>
    <t>BCG_3075c</t>
  </si>
  <si>
    <t>nrdE</t>
  </si>
  <si>
    <t>ribonucleotide-diphosphate reductase subunit alpha</t>
  </si>
  <si>
    <t>BCG_0248</t>
  </si>
  <si>
    <t>pckA</t>
  </si>
  <si>
    <t>phosphoenolpyruvate carboxykinase</t>
  </si>
  <si>
    <t>BCG_2449c</t>
  </si>
  <si>
    <t>PPE41</t>
  </si>
  <si>
    <t>BCG_3866c</t>
  </si>
  <si>
    <t>BCG_0376c</t>
  </si>
  <si>
    <t>aspC</t>
  </si>
  <si>
    <t>BCG_1386</t>
  </si>
  <si>
    <t>thioredoxin</t>
  </si>
  <si>
    <t>BCG_3704c</t>
  </si>
  <si>
    <t>topA</t>
  </si>
  <si>
    <t>DNA topoisomerase I</t>
  </si>
  <si>
    <t>BCG_1679c</t>
  </si>
  <si>
    <t>lysS</t>
  </si>
  <si>
    <t>lysyl-tRNA synthetase</t>
  </si>
  <si>
    <t>BCG_3215c</t>
  </si>
  <si>
    <t>BCG_2890c</t>
  </si>
  <si>
    <t>ispG</t>
  </si>
  <si>
    <t>4-hydroxy-3-methylbut-2-en-1-yl diphosphate synthase</t>
  </si>
  <si>
    <t>BCG_3703</t>
  </si>
  <si>
    <t>BCG_1524</t>
  </si>
  <si>
    <t>ABC transporter ATP-binding protein</t>
  </si>
  <si>
    <t>BCG_1923c</t>
  </si>
  <si>
    <t>fbpB</t>
  </si>
  <si>
    <t>BCG_0285c</t>
  </si>
  <si>
    <t>fumarate reductase iron-sulfur subunit</t>
  </si>
  <si>
    <t>BCG_2599c</t>
  </si>
  <si>
    <t>BCG_2970c</t>
  </si>
  <si>
    <t>BCG_0002</t>
  </si>
  <si>
    <t>dnaN_1</t>
  </si>
  <si>
    <t>DNA polymerase III subunit beta</t>
  </si>
  <si>
    <t>BCG_1554c</t>
  </si>
  <si>
    <t>BCG_1574c</t>
  </si>
  <si>
    <t>mmpL12</t>
  </si>
  <si>
    <t>transmembrane transport protein mmpL12</t>
  </si>
  <si>
    <t>BCG_0766</t>
  </si>
  <si>
    <t>rplE</t>
  </si>
  <si>
    <t>50S ribosomal protein L5</t>
  </si>
  <si>
    <t>BCG_3171</t>
  </si>
  <si>
    <t>NADH dehydrogenase subunit D</t>
  </si>
  <si>
    <t>BCG_0861</t>
  </si>
  <si>
    <t>purM</t>
  </si>
  <si>
    <t>phosphoribosylaminoimidazole synthetase</t>
  </si>
  <si>
    <t>BCG_1548c</t>
  </si>
  <si>
    <t>BCG_3051c</t>
  </si>
  <si>
    <t>fixB</t>
  </si>
  <si>
    <t>electron transfer flavoprotein (alpha-subunit) fixB</t>
  </si>
  <si>
    <t>BCG_1879c</t>
  </si>
  <si>
    <t>guaB1</t>
  </si>
  <si>
    <t>inosine 5-monophosphate dehydrogenase</t>
  </si>
  <si>
    <t>BCG_2480c</t>
  </si>
  <si>
    <t>clpP2</t>
  </si>
  <si>
    <t>ATP-dependent Clp protease proteolytic subunit</t>
  </si>
  <si>
    <t>BCG_3073c</t>
  </si>
  <si>
    <t>monooxygenase</t>
  </si>
  <si>
    <t>BCG_0883</t>
  </si>
  <si>
    <t>BCG_3502c</t>
  </si>
  <si>
    <t>glmS</t>
  </si>
  <si>
    <t>glucosamine--fructose-6-phosphate aminotransferase</t>
  </si>
  <si>
    <t>BCG_0604c</t>
  </si>
  <si>
    <t>BCG_1136</t>
  </si>
  <si>
    <t>pra</t>
  </si>
  <si>
    <t>BCG_1705c</t>
  </si>
  <si>
    <t>cyp139</t>
  </si>
  <si>
    <t>cytochrome P450 139 CYP139</t>
  </si>
  <si>
    <t>BCG_3028</t>
  </si>
  <si>
    <t>lppZ</t>
  </si>
  <si>
    <t>lipoprotein lppZ</t>
  </si>
  <si>
    <t>BCG_3260c</t>
  </si>
  <si>
    <t>BCG_1520c</t>
  </si>
  <si>
    <t>BCG_3781c</t>
  </si>
  <si>
    <t>dnaZX</t>
  </si>
  <si>
    <t>DNA polymerase III subunits gamma and tau</t>
  </si>
  <si>
    <t>BCG_0567</t>
  </si>
  <si>
    <t>hemL</t>
  </si>
  <si>
    <t>glutamate-1-semialdehyde aminotransferase</t>
  </si>
  <si>
    <t>BCG_3437c</t>
  </si>
  <si>
    <t>BCG_2043c</t>
  </si>
  <si>
    <t>BCG_2142</t>
  </si>
  <si>
    <t>BCG_2925c</t>
  </si>
  <si>
    <t>rplS</t>
  </si>
  <si>
    <t>50S ribosomal protein L19</t>
  </si>
  <si>
    <t>BCG_0510c</t>
  </si>
  <si>
    <t>pcaA</t>
  </si>
  <si>
    <t>mycolic acid synthase PcaA</t>
  </si>
  <si>
    <t>BCG_2114c</t>
  </si>
  <si>
    <t>tatA</t>
  </si>
  <si>
    <t>twin arginine translocase A</t>
  </si>
  <si>
    <t>BCG_3584c</t>
  </si>
  <si>
    <t>coenzyme F420-dependent oxidoreductase</t>
  </si>
  <si>
    <t>BCG_0732</t>
  </si>
  <si>
    <t>rpsG</t>
  </si>
  <si>
    <t>30S ribosomal protein S7</t>
  </si>
  <si>
    <t>BCG_2975c</t>
  </si>
  <si>
    <t>BCG_3169</t>
  </si>
  <si>
    <t>NADH dehydrogenase subunit B</t>
  </si>
  <si>
    <t>BCG_1100c</t>
  </si>
  <si>
    <t>IS like-2 transposase</t>
  </si>
  <si>
    <t>BCG_0474c</t>
  </si>
  <si>
    <t>atpase</t>
  </si>
  <si>
    <t>BCG_0516</t>
  </si>
  <si>
    <t>hbhA</t>
  </si>
  <si>
    <t>Heparin binding hemagglutinin hbhA</t>
  </si>
  <si>
    <t>BCG_1381c</t>
  </si>
  <si>
    <t>BCG_2803c</t>
  </si>
  <si>
    <t>rpsO</t>
  </si>
  <si>
    <t>30S ribosomal protein S15</t>
  </si>
  <si>
    <t>BCG_3520c</t>
  </si>
  <si>
    <t>truA</t>
  </si>
  <si>
    <t>tRNA pseudouridine synthase A</t>
  </si>
  <si>
    <t>BCG_2119</t>
  </si>
  <si>
    <t>BCG_0875c</t>
  </si>
  <si>
    <t>BCG_2116c</t>
  </si>
  <si>
    <t>BCG_2387c</t>
  </si>
  <si>
    <t>dnaJ2</t>
  </si>
  <si>
    <t>chaperone protein DnaJ</t>
  </si>
  <si>
    <t>BCG_0214</t>
  </si>
  <si>
    <t>mce associated protein</t>
  </si>
  <si>
    <t>BCG_2072c</t>
  </si>
  <si>
    <t>fxsA</t>
  </si>
  <si>
    <t>FxsA protein</t>
  </si>
  <si>
    <t>BCG_2628c</t>
  </si>
  <si>
    <t>BCG_2867c</t>
  </si>
  <si>
    <t>cysG</t>
  </si>
  <si>
    <t>multifunctional enzyme siroheme synthase cysG: uroporphyrin-III c-methyltransferase + precorrin-2 oxidase + ferrochelatase</t>
  </si>
  <si>
    <t>BCG_1402</t>
  </si>
  <si>
    <t>rph</t>
  </si>
  <si>
    <t>ribonuclease PH</t>
  </si>
  <si>
    <t>BCG_0680c</t>
  </si>
  <si>
    <t>BCG_0977c</t>
  </si>
  <si>
    <t>divalent cation-transport integral membrane protein mntH</t>
  </si>
  <si>
    <t>BCG_1080</t>
  </si>
  <si>
    <t>eno</t>
  </si>
  <si>
    <t>phosphopyruvate hydratase</t>
  </si>
  <si>
    <t>BCG_1313</t>
  </si>
  <si>
    <t>deaD</t>
  </si>
  <si>
    <t>cold-shock dead-box protein a deaD</t>
  </si>
  <si>
    <t>BCG_2420c</t>
  </si>
  <si>
    <t>lepA</t>
  </si>
  <si>
    <t>GTP-binding protein LepA</t>
  </si>
  <si>
    <t>BCG_2388c</t>
  </si>
  <si>
    <t>hrcA</t>
  </si>
  <si>
    <t>heat-inducible transcription repressor</t>
  </si>
  <si>
    <t>BCG_1273</t>
  </si>
  <si>
    <t>glgC</t>
  </si>
  <si>
    <t>glucose-1-phosphate adenylyltransferase</t>
  </si>
  <si>
    <t>BCG_2148c</t>
  </si>
  <si>
    <t>BCG_2501c</t>
  </si>
  <si>
    <t>plsC</t>
  </si>
  <si>
    <t>transmembrane phospholipid biosynthesis bifunctionnal l-3-phosphoserine phosphatase/1-acyl-SN-glycerol-3-phosphate acyltransferase</t>
  </si>
  <si>
    <t>BCG_0013</t>
  </si>
  <si>
    <t>trpG_1</t>
  </si>
  <si>
    <t>para-aminobenzoate synthase component II</t>
  </si>
  <si>
    <t>BCG_1846c</t>
  </si>
  <si>
    <t>BCG_3650</t>
  </si>
  <si>
    <t>radA</t>
  </si>
  <si>
    <t>DNA repair protein RadA</t>
  </si>
  <si>
    <t>BCG_0220</t>
  </si>
  <si>
    <t>lysophospholipase</t>
  </si>
  <si>
    <t>BCG_0556</t>
  </si>
  <si>
    <t>BCG_0865c</t>
  </si>
  <si>
    <t>BCG_2896</t>
  </si>
  <si>
    <t>dipZ</t>
  </si>
  <si>
    <t>integral membrane C-type cytochrome biogenesis protein dipZ</t>
  </si>
  <si>
    <t>BCG_3227c</t>
  </si>
  <si>
    <t>ATP-dependent DNA helicase</t>
  </si>
  <si>
    <t>BCG_0700</t>
  </si>
  <si>
    <t>rplJ</t>
  </si>
  <si>
    <t>50S ribosomal protein L10</t>
  </si>
  <si>
    <t>BCG_0740c</t>
  </si>
  <si>
    <t>BCG_2514</t>
  </si>
  <si>
    <t>BCG_2598</t>
  </si>
  <si>
    <t>membrane glycine rich protein</t>
  </si>
  <si>
    <t>BCG_2725c</t>
  </si>
  <si>
    <t>BCG_0264c</t>
  </si>
  <si>
    <t>BCG_1104c</t>
  </si>
  <si>
    <t>BCG_2858c</t>
  </si>
  <si>
    <t>rbfA</t>
  </si>
  <si>
    <t>ribosome-binding factor A</t>
  </si>
  <si>
    <t>BCG_0978c</t>
  </si>
  <si>
    <t>BCG_2795c</t>
  </si>
  <si>
    <t>BCG_3163</t>
  </si>
  <si>
    <t>fadE23</t>
  </si>
  <si>
    <t>acyl-CoA dehydrogenase fadE23</t>
  </si>
  <si>
    <t>BCG_0525c</t>
  </si>
  <si>
    <t>short-chain type oxidoreductase</t>
  </si>
  <si>
    <t>BCG_1440</t>
  </si>
  <si>
    <t>pyrR</t>
  </si>
  <si>
    <t>bifunctional pyrimidine regulatory protein PyrR/uracil phosphoribosyltransferase</t>
  </si>
  <si>
    <t>BCG_3176</t>
  </si>
  <si>
    <t>nuoI</t>
  </si>
  <si>
    <t>NADH dehydrogenase subunit I</t>
  </si>
  <si>
    <t>BCG_3244c</t>
  </si>
  <si>
    <t>BCG_0025c</t>
  </si>
  <si>
    <t>gidB</t>
  </si>
  <si>
    <t>16S rRNA methyltransferase GidB</t>
  </si>
  <si>
    <t>BCG_0191</t>
  </si>
  <si>
    <t>pntAa</t>
  </si>
  <si>
    <t>NAD(p) transhydrogenase (subunit alpha) pntAa</t>
  </si>
  <si>
    <t>BCG_1095c</t>
  </si>
  <si>
    <t>esxI</t>
  </si>
  <si>
    <t>ESAT-6 like protein 1</t>
  </si>
  <si>
    <t>BCG_1382</t>
  </si>
  <si>
    <t>BCG_1801</t>
  </si>
  <si>
    <t>BCG_2647c</t>
  </si>
  <si>
    <t>BCG_3011c</t>
  </si>
  <si>
    <t>BCG_3310</t>
  </si>
  <si>
    <t>BCG_0826c</t>
  </si>
  <si>
    <t>BCG_1861</t>
  </si>
  <si>
    <t>gcvH</t>
  </si>
  <si>
    <t>glycine cleavage system protein H</t>
  </si>
  <si>
    <t>BCG_3236</t>
  </si>
  <si>
    <t>BCG_0241c</t>
  </si>
  <si>
    <t>BCG_0444</t>
  </si>
  <si>
    <t>pks6b</t>
  </si>
  <si>
    <t>membrane bound polyketide synthase pks6b</t>
  </si>
  <si>
    <t>BCG_0541</t>
  </si>
  <si>
    <t>BCG_0841</t>
  </si>
  <si>
    <t>purQ</t>
  </si>
  <si>
    <t>phosphoribosylformylglycinamidine synthase I</t>
  </si>
  <si>
    <t>BCG_2169c</t>
  </si>
  <si>
    <t>murC</t>
  </si>
  <si>
    <t>UDP-N-acetylmuramate--L-alanine ligase</t>
  </si>
  <si>
    <t>BCG_2311</t>
  </si>
  <si>
    <t>BCG_0690</t>
  </si>
  <si>
    <t>rplA</t>
  </si>
  <si>
    <t>50S ribosomal protein L1</t>
  </si>
  <si>
    <t>BCG_0533c</t>
  </si>
  <si>
    <t>oxidoreductase GMC-type</t>
  </si>
  <si>
    <t>BCG_1627</t>
  </si>
  <si>
    <t>bioB</t>
  </si>
  <si>
    <t>biotin synthase</t>
  </si>
  <si>
    <t>BCG_2225</t>
  </si>
  <si>
    <t>BCG_1685</t>
  </si>
  <si>
    <t>PE17</t>
  </si>
  <si>
    <t>BCG_2414c</t>
  </si>
  <si>
    <t>cysT</t>
  </si>
  <si>
    <t>sulfate-transport integral membrane protein ABC transporter cysT</t>
  </si>
  <si>
    <t>BCG_3874</t>
  </si>
  <si>
    <t>PE_PGRS62</t>
  </si>
  <si>
    <t>BCG_0272c</t>
  </si>
  <si>
    <t>BCG_0279c</t>
  </si>
  <si>
    <t>BCG_2061c</t>
  </si>
  <si>
    <t>BCG_2434c</t>
  </si>
  <si>
    <t>BCG_2447</t>
  </si>
  <si>
    <t>alkyl hydroperoxide reductase</t>
  </si>
  <si>
    <t>BCG_0770</t>
  </si>
  <si>
    <t>rplR</t>
  </si>
  <si>
    <t>50S ribosomal protein L18</t>
  </si>
  <si>
    <t>BCG_1858</t>
  </si>
  <si>
    <t>BCG_3033c</t>
  </si>
  <si>
    <t>gatA</t>
  </si>
  <si>
    <t>aspartyl/glutamyl-tRNA amidotransferase subunit A</t>
  </si>
  <si>
    <t>BCG_1220</t>
  </si>
  <si>
    <t>pimE</t>
  </si>
  <si>
    <t>mannosyltransferase</t>
  </si>
  <si>
    <t>BCG_2697</t>
  </si>
  <si>
    <t>arsA</t>
  </si>
  <si>
    <t>arsenic-transport integral membrane protein arsA</t>
  </si>
  <si>
    <t>BCG_0720</t>
  </si>
  <si>
    <t>lpqP</t>
  </si>
  <si>
    <t>lipoprotein lpqP</t>
  </si>
  <si>
    <t>BCG_2582c</t>
  </si>
  <si>
    <t>recombination factor protein RarA</t>
  </si>
  <si>
    <t>BCG_2584</t>
  </si>
  <si>
    <t>BCG_3055</t>
  </si>
  <si>
    <t>transferase</t>
  </si>
  <si>
    <t>BCG_2347c</t>
  </si>
  <si>
    <t>transmembrane ABC transporter ATP-binding protein</t>
  </si>
  <si>
    <t>BCG_1699</t>
  </si>
  <si>
    <t>pks10</t>
  </si>
  <si>
    <t>chalcone synthase pks10</t>
  </si>
  <si>
    <t>BCG_3839</t>
  </si>
  <si>
    <t>BCG_0175</t>
  </si>
  <si>
    <t>BCG_3942c</t>
  </si>
  <si>
    <t>BCG_3250c</t>
  </si>
  <si>
    <t>BCG_3782c</t>
  </si>
  <si>
    <t>BCG_3521c</t>
  </si>
  <si>
    <t>rplQ</t>
  </si>
  <si>
    <t>50S ribosomal protein L17</t>
  </si>
  <si>
    <t>BCG_1947c</t>
  </si>
  <si>
    <t>catalase-peroxidase-peroxynitritase T katG</t>
  </si>
  <si>
    <t>BCG_0049c</t>
  </si>
  <si>
    <t>BCG_0221</t>
  </si>
  <si>
    <t>BCG_1616c</t>
  </si>
  <si>
    <t>treY</t>
  </si>
  <si>
    <t>maltooligosyltrehalose synthase TreY</t>
  </si>
  <si>
    <t>BCG_3684c</t>
  </si>
  <si>
    <t>BCG_0506</t>
  </si>
  <si>
    <t>BCG_2294c</t>
  </si>
  <si>
    <t>glycerolphosphodiesterase</t>
  </si>
  <si>
    <t>BCG_1914</t>
  </si>
  <si>
    <t>BCG_0634</t>
  </si>
  <si>
    <t>mce2A</t>
  </si>
  <si>
    <t>mce-family protein mce2A</t>
  </si>
  <si>
    <t>BCG_1332c</t>
  </si>
  <si>
    <t>drugs-transport transmembrane ATP-binding protein ABC transporter</t>
  </si>
  <si>
    <t>BCG_3212c</t>
  </si>
  <si>
    <t>BCG_3554</t>
  </si>
  <si>
    <t>otsA</t>
  </si>
  <si>
    <t>alpha, alpha-trehalose-phosphate synthase OtsA</t>
  </si>
  <si>
    <t>BCG_1401</t>
  </si>
  <si>
    <t>BCG_2487</t>
  </si>
  <si>
    <t>pepN</t>
  </si>
  <si>
    <t>aminopeptidase N pepN</t>
  </si>
  <si>
    <t>BCG_0004</t>
  </si>
  <si>
    <t>BCG_0585c</t>
  </si>
  <si>
    <t>BCG_0654</t>
  </si>
  <si>
    <t>BCG_0674c</t>
  </si>
  <si>
    <t>BCG_0719</t>
  </si>
  <si>
    <t>end</t>
  </si>
  <si>
    <t>endonuclease IV</t>
  </si>
  <si>
    <t>BCG_1183</t>
  </si>
  <si>
    <t>gnd2</t>
  </si>
  <si>
    <t>6-phosphogluconate dehydrogenase</t>
  </si>
  <si>
    <t>BCG_1789c</t>
  </si>
  <si>
    <t>fadD1</t>
  </si>
  <si>
    <t>acyl-CoA synthetase</t>
  </si>
  <si>
    <t>BCG_1889</t>
  </si>
  <si>
    <t>ureD</t>
  </si>
  <si>
    <t>urease accessory protein ureD</t>
  </si>
  <si>
    <t>BCG_1909</t>
  </si>
  <si>
    <t>BCG_2602</t>
  </si>
  <si>
    <t>dhaA</t>
  </si>
  <si>
    <t>BCG_3848c</t>
  </si>
  <si>
    <t>BCG_0609c</t>
  </si>
  <si>
    <t>gpdA1</t>
  </si>
  <si>
    <t>NAD(P)H-dependent glycerol-3-phosphate dehydrogenase</t>
  </si>
  <si>
    <t>BCG_1421</t>
  </si>
  <si>
    <t>transcriptional regulator</t>
  </si>
  <si>
    <t>BCG_1951c</t>
  </si>
  <si>
    <t>fadB5</t>
  </si>
  <si>
    <t>oxidoreductase fadB5</t>
  </si>
  <si>
    <t>BCG_2108</t>
  </si>
  <si>
    <t>pknJ</t>
  </si>
  <si>
    <t>transmembrane serine/threonine-protein kinase j pknJ</t>
  </si>
  <si>
    <t>BCG_2834c</t>
  </si>
  <si>
    <t>BCG_3086c</t>
  </si>
  <si>
    <t>fadE22</t>
  </si>
  <si>
    <t>acyl-CoA dehydrogenase fadE22</t>
  </si>
  <si>
    <t>BCG_3547c</t>
  </si>
  <si>
    <t>BCG_3232c</t>
  </si>
  <si>
    <t>moeB1</t>
  </si>
  <si>
    <t>molybdopterin biosynthesis-like protein MoeZ</t>
  </si>
  <si>
    <t>BCG_2517c</t>
  </si>
  <si>
    <t>pdhA</t>
  </si>
  <si>
    <t>pyruvate dehydrogenase E1 component subunit alpha pdhA</t>
  </si>
  <si>
    <t>BCG_2943c</t>
  </si>
  <si>
    <t>smc</t>
  </si>
  <si>
    <t>chromosome partition protein smc</t>
  </si>
  <si>
    <t>BCG_3906c</t>
  </si>
  <si>
    <t>BCG_0900</t>
  </si>
  <si>
    <t>cysK2</t>
  </si>
  <si>
    <t>cysteine synthase a cysK2</t>
  </si>
  <si>
    <t>BCG_0351</t>
  </si>
  <si>
    <t>BCG_1142</t>
  </si>
  <si>
    <t>BCG_1347</t>
  </si>
  <si>
    <t>BCG_3400</t>
  </si>
  <si>
    <t>dacB1</t>
  </si>
  <si>
    <t>penicillin-binding protein dacB1</t>
  </si>
  <si>
    <t>BCG_3549c</t>
  </si>
  <si>
    <t>BCG_3721c</t>
  </si>
  <si>
    <t>dppD</t>
  </si>
  <si>
    <t>dipeptide-transport ATP-binding protein ABC transporter dppD</t>
  </si>
  <si>
    <t>BCG_0988</t>
  </si>
  <si>
    <t>pstS1</t>
  </si>
  <si>
    <t>periplasmic phosphate-binding lipoprotein pstS1</t>
  </si>
  <si>
    <t>BCG_1629</t>
  </si>
  <si>
    <t>BCG_3965</t>
  </si>
  <si>
    <t>BCG_3072c</t>
  </si>
  <si>
    <t>nrdF</t>
  </si>
  <si>
    <t>ribonucleotide-diphosphate reductase subunit beta</t>
  </si>
  <si>
    <t>BCG_0751</t>
  </si>
  <si>
    <t>rplC</t>
  </si>
  <si>
    <t>50S ribosomal protein L3</t>
  </si>
  <si>
    <t>BCG_0284</t>
  </si>
  <si>
    <t>BCG_0029c</t>
  </si>
  <si>
    <t>rnpA</t>
  </si>
  <si>
    <t>ribonuclease P</t>
  </si>
  <si>
    <t>BCG_0528</t>
  </si>
  <si>
    <t>BCG_0628c</t>
  </si>
  <si>
    <t>lpqN</t>
  </si>
  <si>
    <t>lipoprotein lpqN</t>
  </si>
  <si>
    <t>BCG_0735</t>
  </si>
  <si>
    <t>BCG_0950c</t>
  </si>
  <si>
    <t>BCG_1329c</t>
  </si>
  <si>
    <t>lprA</t>
  </si>
  <si>
    <t>lipoprotein lprA</t>
  </si>
  <si>
    <t>BCG_2190c</t>
  </si>
  <si>
    <t>BCG_3311</t>
  </si>
  <si>
    <t>Maf-like protein</t>
  </si>
  <si>
    <t>BCG_1280c</t>
  </si>
  <si>
    <t>BCG_1438c</t>
  </si>
  <si>
    <t>BCG_2170c</t>
  </si>
  <si>
    <t>murG</t>
  </si>
  <si>
    <t>UDPdiphospho-muramoylpentapeptide beta-N- acetylglucosaminyltransferase</t>
  </si>
  <si>
    <t>BCG_1815</t>
  </si>
  <si>
    <t>BCG_0026c</t>
  </si>
  <si>
    <t>BCG_0429c</t>
  </si>
  <si>
    <t>ndhA</t>
  </si>
  <si>
    <t>membrane NADH dehydrogenase ndhA</t>
  </si>
  <si>
    <t>BCG_1663c</t>
  </si>
  <si>
    <t>cya</t>
  </si>
  <si>
    <t>membrane-anchored adenylyl cyclase cya</t>
  </si>
  <si>
    <t>BCG_3276c</t>
  </si>
  <si>
    <t>tmk</t>
  </si>
  <si>
    <t>thymidylate kinase</t>
  </si>
  <si>
    <t>BCG_3881</t>
  </si>
  <si>
    <t>BCG_3887c</t>
  </si>
  <si>
    <t>papA1</t>
  </si>
  <si>
    <t>polyketide synthase associated protein papA1</t>
  </si>
  <si>
    <t>BCG_0094</t>
  </si>
  <si>
    <t>BCG_0753</t>
  </si>
  <si>
    <t>rplW</t>
  </si>
  <si>
    <t>50S ribosomal protein L23</t>
  </si>
  <si>
    <t>BCG_1561c</t>
  </si>
  <si>
    <t>BCG_3666c</t>
  </si>
  <si>
    <t>panC</t>
  </si>
  <si>
    <t>pantoate--beta-alanine ligase</t>
  </si>
  <si>
    <t>BCG_0508</t>
  </si>
  <si>
    <t>3-hydroxybutyryl-CoA dehydrogenase</t>
  </si>
  <si>
    <t>BCG_3295c</t>
  </si>
  <si>
    <t>rmld</t>
  </si>
  <si>
    <t>dTDP-rhamnose modification protein rmlD</t>
  </si>
  <si>
    <t>BCG_3161</t>
  </si>
  <si>
    <t>pflA</t>
  </si>
  <si>
    <t>pyruvate formate lyase activating protein pflA</t>
  </si>
  <si>
    <t>BCG_0078c</t>
  </si>
  <si>
    <t>BCG_0747</t>
  </si>
  <si>
    <t>BCG_1284</t>
  </si>
  <si>
    <t>tatB</t>
  </si>
  <si>
    <t>sec-independent translocase</t>
  </si>
  <si>
    <t>BCG_1392c</t>
  </si>
  <si>
    <t>nicotinate phosphoribosyltransferase</t>
  </si>
  <si>
    <t>BCG_1687</t>
  </si>
  <si>
    <t>BCG_1894</t>
  </si>
  <si>
    <t>modB</t>
  </si>
  <si>
    <t>molbdenum-transport integral membrane protein ABC transporter modB</t>
  </si>
  <si>
    <t>BCG_1948c</t>
  </si>
  <si>
    <t>ferric uptake regulation protein furA</t>
  </si>
  <si>
    <t>BCG_2542</t>
  </si>
  <si>
    <t>bcp</t>
  </si>
  <si>
    <t>bacterioferritin comigratory protein bcp</t>
  </si>
  <si>
    <t>BCG_3272c</t>
  </si>
  <si>
    <t>BCG_3467c</t>
  </si>
  <si>
    <t>phyA</t>
  </si>
  <si>
    <t>phytoene synthase phyA</t>
  </si>
  <si>
    <t>BCG_3556c</t>
  </si>
  <si>
    <t>BCG_3586</t>
  </si>
  <si>
    <t>BCG_3606c</t>
  </si>
  <si>
    <t>BCG_3638c</t>
  </si>
  <si>
    <t>fadE34</t>
  </si>
  <si>
    <t>acyl-CoA dehydrogenase fadE34</t>
  </si>
  <si>
    <t>BCG_0668</t>
  </si>
  <si>
    <t>BCG_0805</t>
  </si>
  <si>
    <t>PE_PGRS11</t>
  </si>
  <si>
    <t>BCG_3093c</t>
  </si>
  <si>
    <t>pgmA</t>
  </si>
  <si>
    <t>phosphoglucomutase</t>
  </si>
  <si>
    <t>BCG_3745c</t>
  </si>
  <si>
    <t>BCG_1366</t>
  </si>
  <si>
    <t>atpF</t>
  </si>
  <si>
    <t>F0F1 ATP synthase subunit B</t>
  </si>
  <si>
    <t>BCG_1073c</t>
  </si>
  <si>
    <t>lpqT</t>
  </si>
  <si>
    <t>lipoprotein lpqT</t>
  </si>
  <si>
    <t>BCG_0688</t>
  </si>
  <si>
    <t>nusG</t>
  </si>
  <si>
    <t>transcription antitermination protein NusG</t>
  </si>
  <si>
    <t>BCG_0362</t>
  </si>
  <si>
    <t>udgA</t>
  </si>
  <si>
    <t>udp-glucose 6-dehydrogenase udgA</t>
  </si>
  <si>
    <t>BCG_1698</t>
  </si>
  <si>
    <t>argH</t>
  </si>
  <si>
    <t>argininosuccinate lyase</t>
  </si>
  <si>
    <t>BCG_0151</t>
  </si>
  <si>
    <t>oxyS</t>
  </si>
  <si>
    <t>oxidative stress response regulatory protein oxyS</t>
  </si>
  <si>
    <t>BCG_0667</t>
  </si>
  <si>
    <t>BCG_1083</t>
  </si>
  <si>
    <t>BCG_1966</t>
  </si>
  <si>
    <t>BCG_2316c</t>
  </si>
  <si>
    <t>BCG_2459c</t>
  </si>
  <si>
    <t>proB</t>
  </si>
  <si>
    <t>gamma-glutamyl kinase</t>
  </si>
  <si>
    <t>BCG_3788</t>
  </si>
  <si>
    <t>BCG_0334</t>
  </si>
  <si>
    <t>tam</t>
  </si>
  <si>
    <t>trans-aconitate 2-methyltransferase</t>
  </si>
  <si>
    <t>BCG_0736</t>
  </si>
  <si>
    <t>BCG_0965c</t>
  </si>
  <si>
    <t>BCG_1567c</t>
  </si>
  <si>
    <t>TDP-4-oxo-6-deoxy-D-glucose transaminase</t>
  </si>
  <si>
    <t>BCG_1577</t>
  </si>
  <si>
    <t>wbbL2</t>
  </si>
  <si>
    <t>rhamnosyl transferase wbbL2</t>
  </si>
  <si>
    <t>BCG_2254</t>
  </si>
  <si>
    <t>BCG_2601c</t>
  </si>
  <si>
    <t>BCG_3144</t>
  </si>
  <si>
    <t>BCG_1827</t>
  </si>
  <si>
    <t>BCG_3732c</t>
  </si>
  <si>
    <t>nth</t>
  </si>
  <si>
    <t>endonuclease III nth</t>
  </si>
  <si>
    <t>BCG_2218c</t>
  </si>
  <si>
    <t>adoK</t>
  </si>
  <si>
    <t>adenosine kinase</t>
  </si>
  <si>
    <t>BCG_3863c</t>
  </si>
  <si>
    <t>fadD32</t>
  </si>
  <si>
    <t>BCG_2444c</t>
  </si>
  <si>
    <t>proA</t>
  </si>
  <si>
    <t>gamma-glutamyl phosphate reductase</t>
  </si>
  <si>
    <t>BCG_0273c</t>
  </si>
  <si>
    <t>BCG_1132c</t>
  </si>
  <si>
    <t>fadA3</t>
  </si>
  <si>
    <t>acetyl-CoA acetyltransferase</t>
  </si>
  <si>
    <t>BCG_2070c</t>
  </si>
  <si>
    <t>ppm1</t>
  </si>
  <si>
    <t>polyprenol-monophosphomannose synthase Ppm1</t>
  </si>
  <si>
    <t>BCG_0167</t>
  </si>
  <si>
    <t>acetyltransferase</t>
  </si>
  <si>
    <t>BCG_0723</t>
  </si>
  <si>
    <t>BCG_1056</t>
  </si>
  <si>
    <t>BCG_1277c</t>
  </si>
  <si>
    <t>tetronasin-transport integral membrane protein ABC transporter</t>
  </si>
  <si>
    <t>BCG_1740c</t>
  </si>
  <si>
    <t>BCG_1910</t>
  </si>
  <si>
    <t>BCG_2046c</t>
  </si>
  <si>
    <t>histidine kinase response regulator</t>
  </si>
  <si>
    <t>BCG_2307</t>
  </si>
  <si>
    <t>lppOb</t>
  </si>
  <si>
    <t>lipoprotein lppOb</t>
  </si>
  <si>
    <t>BCG_2359c</t>
  </si>
  <si>
    <t>BCG_3077c</t>
  </si>
  <si>
    <t>nrdH</t>
  </si>
  <si>
    <t>glutaredoxin electron transport component of nrdEF (glutaredoxin-like protein) nrdH</t>
  </si>
  <si>
    <t>BCG_3826c</t>
  </si>
  <si>
    <t>BCG_0153</t>
  </si>
  <si>
    <t>fadD7</t>
  </si>
  <si>
    <t>BCG_0549</t>
  </si>
  <si>
    <t>mmpS2</t>
  </si>
  <si>
    <t>membrane protein mmpS2</t>
  </si>
  <si>
    <t>BCG_0587c</t>
  </si>
  <si>
    <t>BCG_0801</t>
  </si>
  <si>
    <t>BCG_0872</t>
  </si>
  <si>
    <t>phoTa</t>
  </si>
  <si>
    <t>phosphate-transport ATP-binding protein ABC transporter phoTa</t>
  </si>
  <si>
    <t>BCG_0953</t>
  </si>
  <si>
    <t>BCG_1120</t>
  </si>
  <si>
    <t>BCG_1143c</t>
  </si>
  <si>
    <t>hemolysin-like protein</t>
  </si>
  <si>
    <t>BCG_1602</t>
  </si>
  <si>
    <t>fadD11</t>
  </si>
  <si>
    <t>fatty-acid-CoA ligase FadD11</t>
  </si>
  <si>
    <t>BCG_1912</t>
  </si>
  <si>
    <t>bacterioferritin bfrA</t>
  </si>
  <si>
    <t>BCG_2125</t>
  </si>
  <si>
    <t>PPE36</t>
  </si>
  <si>
    <t>BCG_3594c</t>
  </si>
  <si>
    <t>BCG_2099</t>
  </si>
  <si>
    <t>lppJ</t>
  </si>
  <si>
    <t>lipoprotein LppJ</t>
  </si>
  <si>
    <t>BCG_2258</t>
  </si>
  <si>
    <t>aceE</t>
  </si>
  <si>
    <t>pyruvate dehydrogenase subunit E1</t>
  </si>
  <si>
    <t>BCG_0783</t>
  </si>
  <si>
    <t>adk</t>
  </si>
  <si>
    <t>adenylate kinase</t>
  </si>
  <si>
    <t>BCG_3368c</t>
  </si>
  <si>
    <t>lpdA</t>
  </si>
  <si>
    <t>flavoprotein disulfide reductase</t>
  </si>
  <si>
    <t>BCG_3682c</t>
  </si>
  <si>
    <t>hpt</t>
  </si>
  <si>
    <t>hypoxanthine-guanine phosphoribosyltransferase hpt</t>
  </si>
  <si>
    <t>BCG_0304c</t>
  </si>
  <si>
    <t>oplA</t>
  </si>
  <si>
    <t>5-oxoprolinase</t>
  </si>
  <si>
    <t>BCG_3374c</t>
  </si>
  <si>
    <t>upp</t>
  </si>
  <si>
    <t>uracil phosphoribosyltransferase</t>
  </si>
  <si>
    <t>BCG_1727</t>
  </si>
  <si>
    <t>tyrS</t>
  </si>
  <si>
    <t>tyrosyl-tRNA synthetase</t>
  </si>
  <si>
    <t>BCG_0440c</t>
  </si>
  <si>
    <t>mmpL1a</t>
  </si>
  <si>
    <t>transmembrane transport protein mmpL1a</t>
  </si>
  <si>
    <t>BCG_0834c</t>
  </si>
  <si>
    <t>emrB</t>
  </si>
  <si>
    <t>multidrug resistance integral membrane efflux protein emrB</t>
  </si>
  <si>
    <t>BCG_1814c</t>
  </si>
  <si>
    <t>malQ</t>
  </si>
  <si>
    <t>4-alpha-glucanotransferase malQ</t>
  </si>
  <si>
    <t>BCG_3375</t>
  </si>
  <si>
    <t>sapM</t>
  </si>
  <si>
    <t>acid phosphatase</t>
  </si>
  <si>
    <t>BCG_3868c</t>
  </si>
  <si>
    <t>phosphoribose diphosphate:decaprenyl-phosphate phosphoribosyltransferase</t>
  </si>
  <si>
    <t>BCG_2843c</t>
  </si>
  <si>
    <t>BCG_3128c</t>
  </si>
  <si>
    <t>BCG_3747c</t>
  </si>
  <si>
    <t>BCG_3774c</t>
  </si>
  <si>
    <t>BCG_3815c</t>
  </si>
  <si>
    <t>proZ</t>
  </si>
  <si>
    <t>osmoprotectant (glycine betaine/carnitine/choline/l-proline) transport integral membrane protein ABC transporter proZ</t>
  </si>
  <si>
    <t>BCG_0127c</t>
  </si>
  <si>
    <t>BCG_0131</t>
  </si>
  <si>
    <t>BCG_0661</t>
  </si>
  <si>
    <t>BCG_0744</t>
  </si>
  <si>
    <t>BCG_0879</t>
  </si>
  <si>
    <t>BCG_1967c</t>
  </si>
  <si>
    <t>BCG_2060c</t>
  </si>
  <si>
    <t>sugar-binding lipoprotein</t>
  </si>
  <si>
    <t>BCG_2069</t>
  </si>
  <si>
    <t>BCG_2341c</t>
  </si>
  <si>
    <t>rocE</t>
  </si>
  <si>
    <t>cationic amino acid transport integral membrane protein rocE</t>
  </si>
  <si>
    <t>BCG_2531</t>
  </si>
  <si>
    <t>orn</t>
  </si>
  <si>
    <t>oligoribonuclease</t>
  </si>
  <si>
    <t>BCG_3578c</t>
  </si>
  <si>
    <t>fadD19</t>
  </si>
  <si>
    <t>BCG_0223</t>
  </si>
  <si>
    <t>beta-glucosidase bglS</t>
  </si>
  <si>
    <t>BCG_2232</t>
  </si>
  <si>
    <t>BCG_2962c</t>
  </si>
  <si>
    <t>multifunctional mycocerosic acid synthase membrane-associated mas</t>
  </si>
  <si>
    <t>BCG_1618c</t>
  </si>
  <si>
    <t>BCG_2117c</t>
  </si>
  <si>
    <t>BCG_2219</t>
  </si>
  <si>
    <t>BCG_3312</t>
  </si>
  <si>
    <t>sseA</t>
  </si>
  <si>
    <t>thiosulfate sulfurtransferase sseA</t>
  </si>
  <si>
    <t>BCG_2242</t>
  </si>
  <si>
    <t>panB</t>
  </si>
  <si>
    <t>3-methyl-2-oxobutanoate hydroxymethyltransferase</t>
  </si>
  <si>
    <t>BCG_1422</t>
  </si>
  <si>
    <t>BCG_0132</t>
  </si>
  <si>
    <t>BCG_0928c</t>
  </si>
  <si>
    <t>BCG_1688</t>
  </si>
  <si>
    <t>pheS</t>
  </si>
  <si>
    <t>phenylalanyl-tRNA synthetase subunit alpha</t>
  </si>
  <si>
    <t>BCG_3486</t>
  </si>
  <si>
    <t>whiB3</t>
  </si>
  <si>
    <t>transcriptional regulatory protein whiB-like whib3</t>
  </si>
  <si>
    <t>BCG_0718c</t>
  </si>
  <si>
    <t>BCG_0442</t>
  </si>
  <si>
    <t>fadD30</t>
  </si>
  <si>
    <t>BCG_1645</t>
  </si>
  <si>
    <t>chaA</t>
  </si>
  <si>
    <t>ionic transporter integral membrane protein chaA</t>
  </si>
  <si>
    <t>BCG_0121</t>
  </si>
  <si>
    <t>BCG_2021c</t>
  </si>
  <si>
    <t>BCG_0299c</t>
  </si>
  <si>
    <t>narK3</t>
  </si>
  <si>
    <t>integral membrane nitrite extrusion protein narK3</t>
  </si>
  <si>
    <t>BCG_0665</t>
  </si>
  <si>
    <t>galT</t>
  </si>
  <si>
    <t>galactose-1-phosphate uridylyltransferase galT</t>
  </si>
  <si>
    <t>BCG_0728c</t>
  </si>
  <si>
    <t>BCG_0796</t>
  </si>
  <si>
    <t>PE_PGRS9</t>
  </si>
  <si>
    <t>BCG_0890</t>
  </si>
  <si>
    <t>lpqR</t>
  </si>
  <si>
    <t>lipoprotein lpqR</t>
  </si>
  <si>
    <t>BCG_0933</t>
  </si>
  <si>
    <t>rRNA methyltransferase</t>
  </si>
  <si>
    <t>BCG_1317</t>
  </si>
  <si>
    <t>BCG_1444</t>
  </si>
  <si>
    <t>carA</t>
  </si>
  <si>
    <t>carbamoyl phosphate synthase small subunit</t>
  </si>
  <si>
    <t>BCG_1549</t>
  </si>
  <si>
    <t>BCG_1810</t>
  </si>
  <si>
    <t>cyp144</t>
  </si>
  <si>
    <t>cytochrome p450 144 CYP144</t>
  </si>
  <si>
    <t>BCG_1953c</t>
  </si>
  <si>
    <t>BCG_2080c</t>
  </si>
  <si>
    <t>BCG_2145</t>
  </si>
  <si>
    <t>BCG_2900c</t>
  </si>
  <si>
    <t>mpb53</t>
  </si>
  <si>
    <t>BCG_3564c</t>
  </si>
  <si>
    <t>yrbE4B</t>
  </si>
  <si>
    <t>integral membrane protein YrbE4b</t>
  </si>
  <si>
    <t>BCG_0292c</t>
  </si>
  <si>
    <t>cobU</t>
  </si>
  <si>
    <t>bifunctional cobalamin biosynthesis protein cobU: cobinamide kinase + cobinamide phosphate guanylyltransferase</t>
  </si>
  <si>
    <t>BCG_0827</t>
  </si>
  <si>
    <t>BCG_1028c</t>
  </si>
  <si>
    <t>accD2</t>
  </si>
  <si>
    <t>acetyl-/propionyl-coa carboxylase subunit beta accD2</t>
  </si>
  <si>
    <t>BCG_1765</t>
  </si>
  <si>
    <t>BCG_2895</t>
  </si>
  <si>
    <t>mpb83</t>
  </si>
  <si>
    <t>cell surface lipoprotein mpb83</t>
  </si>
  <si>
    <t>BCG_3098c</t>
  </si>
  <si>
    <t>BCG_3433c</t>
  </si>
  <si>
    <t>BCG_3494c</t>
  </si>
  <si>
    <t>BCG_3551c</t>
  </si>
  <si>
    <t>esterase/lipase lipF</t>
  </si>
  <si>
    <t>BCG_3633c</t>
  </si>
  <si>
    <t>biphenyl-2,3-diol 1,2-dioxygenase bphC</t>
  </si>
  <si>
    <t>BCG_0615</t>
  </si>
  <si>
    <t>ribonucleoside-diphosphate reductase large subunit nrdZ</t>
  </si>
  <si>
    <t>BCG_3255c</t>
  </si>
  <si>
    <t>BCG_3471</t>
  </si>
  <si>
    <t>BCG_1013</t>
  </si>
  <si>
    <t>BCG_1189c</t>
  </si>
  <si>
    <t>BCG_3585</t>
  </si>
  <si>
    <t>BCG_3917c</t>
  </si>
  <si>
    <t>ethA</t>
  </si>
  <si>
    <t>monooxygenase ethA</t>
  </si>
  <si>
    <t>BCG_0640</t>
  </si>
  <si>
    <t>mce2F</t>
  </si>
  <si>
    <t>mce-family protein mce2F</t>
  </si>
  <si>
    <t>BCG_2692</t>
  </si>
  <si>
    <t>BCG_2759c</t>
  </si>
  <si>
    <t>membrane alanine rich protein</t>
  </si>
  <si>
    <t>BCG_3493c</t>
  </si>
  <si>
    <t>alr</t>
  </si>
  <si>
    <t>alanine racemase</t>
  </si>
  <si>
    <t>BCG_1829</t>
  </si>
  <si>
    <t>BCG_2187c</t>
  </si>
  <si>
    <t>BCG_0044c</t>
  </si>
  <si>
    <t>pknB</t>
  </si>
  <si>
    <t>Ser/Thr protein kinase</t>
  </si>
  <si>
    <t>BCG_0357c</t>
  </si>
  <si>
    <t>glpQ2</t>
  </si>
  <si>
    <t>glycerophosphoryl diester phosphodiesterase glpQ2</t>
  </si>
  <si>
    <t>BCG_0975c</t>
  </si>
  <si>
    <t>BCG_2188</t>
  </si>
  <si>
    <t>idsA2</t>
  </si>
  <si>
    <t>geranylgeranyl pyrophosphate synthetase idsA2</t>
  </si>
  <si>
    <t>BCG_2889c</t>
  </si>
  <si>
    <t>BCG_3919c</t>
  </si>
  <si>
    <t>BCG_1352</t>
  </si>
  <si>
    <t>argS</t>
  </si>
  <si>
    <t>arginyl-tRNA synthetase</t>
  </si>
  <si>
    <t>BCG_3779</t>
  </si>
  <si>
    <t>BCG_3372</t>
  </si>
  <si>
    <t>deoD</t>
  </si>
  <si>
    <t>purine nucleoside phosphorylase</t>
  </si>
  <si>
    <t>BCG_0104</t>
  </si>
  <si>
    <t>glutamine ABC transporter ATP-binding protein</t>
  </si>
  <si>
    <t>BCG_0913c</t>
  </si>
  <si>
    <t>DNA helicase</t>
  </si>
  <si>
    <t>BCG_1486</t>
  </si>
  <si>
    <t>BCG_2906c</t>
  </si>
  <si>
    <t>BCG_2984</t>
  </si>
  <si>
    <t>BCG_0335c</t>
  </si>
  <si>
    <t>BCG_0486c</t>
  </si>
  <si>
    <t>ufaA1</t>
  </si>
  <si>
    <t>cyclopropane-fatty-acyl-phospholipid synthase ufaA1</t>
  </si>
  <si>
    <t>BCG_0763</t>
  </si>
  <si>
    <t>BCG_0955c</t>
  </si>
  <si>
    <t>prrA</t>
  </si>
  <si>
    <t>two component response transcriptional regulatory protein prrA</t>
  </si>
  <si>
    <t>BCG_2876</t>
  </si>
  <si>
    <t>nicT</t>
  </si>
  <si>
    <t>nickel-transport integral membrane protein nicT</t>
  </si>
  <si>
    <t>BCG_2081c</t>
  </si>
  <si>
    <t>cobN</t>
  </si>
  <si>
    <t>cobaltochelatase subunit CobN</t>
  </si>
  <si>
    <t>BCG_1354</t>
  </si>
  <si>
    <t>thrA</t>
  </si>
  <si>
    <t>homoserine dehydrogenase</t>
  </si>
  <si>
    <t>BCG_3107c</t>
  </si>
  <si>
    <t>virS</t>
  </si>
  <si>
    <t>virulence-regulating transcriptional regulator VirS</t>
  </si>
  <si>
    <t>BCG_0524</t>
  </si>
  <si>
    <t>lipoprotein lprQ</t>
  </si>
  <si>
    <t>BCG_0477c</t>
  </si>
  <si>
    <t>moeA2</t>
  </si>
  <si>
    <t>molybdopterin biosynthesis protein moeA2</t>
  </si>
  <si>
    <t>BCG_1564</t>
  </si>
  <si>
    <t>glycosyltransferase</t>
  </si>
  <si>
    <t>BCG_2160</t>
  </si>
  <si>
    <t>BCG_3023c</t>
  </si>
  <si>
    <t>ilvC</t>
  </si>
  <si>
    <t>ketol-acid reductoisomerase</t>
  </si>
  <si>
    <t>BCG_3889</t>
  </si>
  <si>
    <t>fadD23</t>
  </si>
  <si>
    <t>BCG_1509c</t>
  </si>
  <si>
    <t>tal</t>
  </si>
  <si>
    <t>transaldolase</t>
  </si>
  <si>
    <t>BCG_1768c</t>
  </si>
  <si>
    <t>BCG_3562c</t>
  </si>
  <si>
    <t>mce4B</t>
  </si>
  <si>
    <t>Mce-family protein mce4B</t>
  </si>
  <si>
    <t>BCG_3883</t>
  </si>
  <si>
    <t>BCG_2576c</t>
  </si>
  <si>
    <t>BCG_0538</t>
  </si>
  <si>
    <t>BCG_2481c</t>
  </si>
  <si>
    <t>clpP</t>
  </si>
  <si>
    <t>BCG_0211</t>
  </si>
  <si>
    <t>mce1F</t>
  </si>
  <si>
    <t>MCE-family protein mce1F</t>
  </si>
  <si>
    <t>BCG_0102</t>
  </si>
  <si>
    <t>maturase</t>
  </si>
  <si>
    <t>BCG_0311c</t>
  </si>
  <si>
    <t>BCG_0315c</t>
  </si>
  <si>
    <t>BCG_0894</t>
  </si>
  <si>
    <t>BCG_0972c</t>
  </si>
  <si>
    <t>BCG_1185</t>
  </si>
  <si>
    <t>ephC</t>
  </si>
  <si>
    <t>epoxide hydrolase ephC</t>
  </si>
  <si>
    <t>BCG_1201c</t>
  </si>
  <si>
    <t>BCG_1405c</t>
  </si>
  <si>
    <t>lipoprotein lprD</t>
  </si>
  <si>
    <t>BCG_1784c</t>
  </si>
  <si>
    <t>idi</t>
  </si>
  <si>
    <t>isopentenyl-diphosphate delta-isomerase</t>
  </si>
  <si>
    <t>BCG_2106</t>
  </si>
  <si>
    <t>BCG_2337</t>
  </si>
  <si>
    <t>uspA</t>
  </si>
  <si>
    <t>sugar-transport integral membrane protein ABC transporter uspA</t>
  </si>
  <si>
    <t>BCG_2486c</t>
  </si>
  <si>
    <t>BCG_3402</t>
  </si>
  <si>
    <t>nagA</t>
  </si>
  <si>
    <t>N-acetylglucosamine-6-phosphate deacetylase nagA</t>
  </si>
  <si>
    <t>BCG_3793c</t>
  </si>
  <si>
    <t>BCG_0645c</t>
  </si>
  <si>
    <t>BCG_1151</t>
  </si>
  <si>
    <t>PE_PGRS22</t>
  </si>
  <si>
    <t>BCG_1589</t>
  </si>
  <si>
    <t>dinX</t>
  </si>
  <si>
    <t>DNA polymerase IV</t>
  </si>
  <si>
    <t>BCG_1612</t>
  </si>
  <si>
    <t>BCG_2268c</t>
  </si>
  <si>
    <t>BCG_2535c</t>
  </si>
  <si>
    <t>BCG_2933c</t>
  </si>
  <si>
    <t>BCG_3026</t>
  </si>
  <si>
    <t>cfp6</t>
  </si>
  <si>
    <t>low molecular weight protein antigen 6 cfp6</t>
  </si>
  <si>
    <t>BCG_3392c</t>
  </si>
  <si>
    <t>moaA3</t>
  </si>
  <si>
    <t>molybdenum cofactor biosynthesis protein A moaA1</t>
  </si>
  <si>
    <t>BCG_3756A</t>
  </si>
  <si>
    <t>BCG_3790c</t>
  </si>
  <si>
    <t>BCG_3946c</t>
  </si>
  <si>
    <t>esxC</t>
  </si>
  <si>
    <t>ESAT-6 like protein 11 esxC</t>
  </si>
  <si>
    <t>BCG_1697</t>
  </si>
  <si>
    <t>argG</t>
  </si>
  <si>
    <t>argininosuccinate synthase</t>
  </si>
  <si>
    <t>BCG_3303c</t>
  </si>
  <si>
    <t>fadE25</t>
  </si>
  <si>
    <t>acyl-CoA dehydrogenase fadE25</t>
  </si>
  <si>
    <t>BCG_3865c</t>
  </si>
  <si>
    <t>fbpD</t>
  </si>
  <si>
    <t>BCG_1852</t>
  </si>
  <si>
    <t>BCG_2835c</t>
  </si>
  <si>
    <t>BCG_1736</t>
  </si>
  <si>
    <t>BCG_3530</t>
  </si>
  <si>
    <t>rmlC</t>
  </si>
  <si>
    <t>dTDP-4-dehydrorhamnose 3,5-epimerase rmlC</t>
  </si>
  <si>
    <t>BCG_3817c</t>
  </si>
  <si>
    <t>proV</t>
  </si>
  <si>
    <t>osmoprotectant (glycine betaine/carnitine/choline/l-proline) transport ATP-binding protein ABC transporter proV</t>
  </si>
  <si>
    <t>BCG_2677c</t>
  </si>
  <si>
    <t>BCG_1193</t>
  </si>
  <si>
    <t>BCG_0451c</t>
  </si>
  <si>
    <t>BCG_1374c</t>
  </si>
  <si>
    <t>BCG_2162c</t>
  </si>
  <si>
    <t>wag31</t>
  </si>
  <si>
    <t>BCG_0586c</t>
  </si>
  <si>
    <t>menE</t>
  </si>
  <si>
    <t>O-succinylbenzoic acid--CoA ligase</t>
  </si>
  <si>
    <t>BCG_3377c</t>
  </si>
  <si>
    <t>BCG_1087</t>
  </si>
  <si>
    <t>kdpA</t>
  </si>
  <si>
    <t>potassium-transporting ATPase subunit A</t>
  </si>
  <si>
    <t>BCG_1305c</t>
  </si>
  <si>
    <t>short-chain type dehydrogenase/reductase</t>
  </si>
  <si>
    <t>BCG_3036c</t>
  </si>
  <si>
    <t>ligA</t>
  </si>
  <si>
    <t>NAD-dependent DNA ligase LigA</t>
  </si>
  <si>
    <t>BCG_3099</t>
  </si>
  <si>
    <t>BCG_3941c</t>
  </si>
  <si>
    <t>BCG_0048c</t>
  </si>
  <si>
    <t>pstP</t>
  </si>
  <si>
    <t>Serine/threonine phosphatase PPP</t>
  </si>
  <si>
    <t>BCG_0068c</t>
  </si>
  <si>
    <t>BCG_0897</t>
  </si>
  <si>
    <t>two component sensor kinase</t>
  </si>
  <si>
    <t>BCG_0871</t>
  </si>
  <si>
    <t>BCG_1020c</t>
  </si>
  <si>
    <t>BCG_1103</t>
  </si>
  <si>
    <t>BCG_2577c</t>
  </si>
  <si>
    <t>Holliday junction resolvase-like protein</t>
  </si>
  <si>
    <t>BCG_3087</t>
  </si>
  <si>
    <t>ligB</t>
  </si>
  <si>
    <t>BCG_3088</t>
  </si>
  <si>
    <t>cstA</t>
  </si>
  <si>
    <t>carbon starvation protein A cstA</t>
  </si>
  <si>
    <t>BCG_3439</t>
  </si>
  <si>
    <t>PE_PGRS51</t>
  </si>
  <si>
    <t>BCG_3481c</t>
  </si>
  <si>
    <t>guaB2</t>
  </si>
  <si>
    <t>inosine 5'-monophosphate dehydrogenase</t>
  </si>
  <si>
    <t>BCG_2993</t>
  </si>
  <si>
    <t>BCG_3522c</t>
  </si>
  <si>
    <t>rpoA</t>
  </si>
  <si>
    <t>DNA-directed RNA polymerase subunit alpha</t>
  </si>
  <si>
    <t>BCG_2605</t>
  </si>
  <si>
    <t>ppiB</t>
  </si>
  <si>
    <t>peptidyl-prolyl cis-trans isomerase B ppiB</t>
  </si>
  <si>
    <t>BCG_2612</t>
  </si>
  <si>
    <t>gabT</t>
  </si>
  <si>
    <t>4-aminobutyrate aminotransferase</t>
  </si>
  <si>
    <t>BCG_3480c</t>
  </si>
  <si>
    <t>guaB3</t>
  </si>
  <si>
    <t>BCG_3589c</t>
  </si>
  <si>
    <t>siderophore-binding protein</t>
  </si>
  <si>
    <t>BCG_3664c</t>
  </si>
  <si>
    <t>pantothenate kinase</t>
  </si>
  <si>
    <t>BCG_0867c</t>
  </si>
  <si>
    <t>cysA2</t>
  </si>
  <si>
    <t>thiosulfate sulfurtransferase cysA2</t>
  </si>
  <si>
    <t>BCG_2071c</t>
  </si>
  <si>
    <t>BCG_0369c</t>
  </si>
  <si>
    <t>BCG_0415</t>
  </si>
  <si>
    <t>LysR family transcriptional regulator</t>
  </si>
  <si>
    <t>BCG_0641c</t>
  </si>
  <si>
    <t>BCG_0794c</t>
  </si>
  <si>
    <t>BCG_1041</t>
  </si>
  <si>
    <t>adhesion component transport atp-binding protein ABC transporter</t>
  </si>
  <si>
    <t>BCG_1112</t>
  </si>
  <si>
    <t>BCG_1219c</t>
  </si>
  <si>
    <t>BCG_1248c</t>
  </si>
  <si>
    <t>BCG_1423c</t>
  </si>
  <si>
    <t>PPE19</t>
  </si>
  <si>
    <t>BCG_1493</t>
  </si>
  <si>
    <t>BCG_1544c</t>
  </si>
  <si>
    <t>BCG_1707</t>
  </si>
  <si>
    <t>BCG_2817</t>
  </si>
  <si>
    <t>BCG_3455</t>
  </si>
  <si>
    <t>BCG_3669c</t>
  </si>
  <si>
    <t>BCG_3911</t>
  </si>
  <si>
    <t>BCG_0099</t>
  </si>
  <si>
    <t>BCG_0186c</t>
  </si>
  <si>
    <t>BCG_0312</t>
  </si>
  <si>
    <t>BCG_0625c</t>
  </si>
  <si>
    <t>BCG_0705c</t>
  </si>
  <si>
    <t>BCG_0722</t>
  </si>
  <si>
    <t>echA4</t>
  </si>
  <si>
    <t>BCG_1060</t>
  </si>
  <si>
    <t>BCG_1853c</t>
  </si>
  <si>
    <t>BCG_2202</t>
  </si>
  <si>
    <t>BCG_2655</t>
  </si>
  <si>
    <t>BCG_2661c</t>
  </si>
  <si>
    <t>PE_PGRS46</t>
  </si>
  <si>
    <t>BCG_2816c</t>
  </si>
  <si>
    <t>BCG_3022</t>
  </si>
  <si>
    <t>BCG_3160</t>
  </si>
  <si>
    <t>monophosphatase</t>
  </si>
  <si>
    <t>BCG_3267c</t>
  </si>
  <si>
    <t>BCG_3698c</t>
  </si>
  <si>
    <t>BCG_3800c</t>
  </si>
  <si>
    <t>BCG_3903</t>
  </si>
  <si>
    <t>BCG_3948c</t>
  </si>
  <si>
    <t>PPE69</t>
  </si>
  <si>
    <t>BCG_2963</t>
  </si>
  <si>
    <t>BCG_0137</t>
  </si>
  <si>
    <t>BCG_1647</t>
  </si>
  <si>
    <t>trpE</t>
  </si>
  <si>
    <t>anthranilate synthase component I</t>
  </si>
  <si>
    <t>BCG_2237</t>
  </si>
  <si>
    <t>glnA1</t>
  </si>
  <si>
    <t>glutamine synthetase glnA1</t>
  </si>
  <si>
    <t>BCG_2553c</t>
  </si>
  <si>
    <t>amino acid decarboxylase</t>
  </si>
  <si>
    <t>BCG_3273c</t>
  </si>
  <si>
    <t>lpqB</t>
  </si>
  <si>
    <t>lipoprotein LpqB</t>
  </si>
  <si>
    <t>BCG_0338</t>
  </si>
  <si>
    <t>BCG_0999</t>
  </si>
  <si>
    <t>BCG_2375c</t>
  </si>
  <si>
    <t>UDP pyrophosphate synthase</t>
  </si>
  <si>
    <t>BCG_2691c</t>
  </si>
  <si>
    <t>hemE</t>
  </si>
  <si>
    <t>uroporphyrinogen decarboxylase</t>
  </si>
  <si>
    <t>BCG_3084</t>
  </si>
  <si>
    <t>cyp136</t>
  </si>
  <si>
    <t>cytochrome P450 136 cyp136</t>
  </si>
  <si>
    <t>BCG_3641</t>
  </si>
  <si>
    <t>lppH</t>
  </si>
  <si>
    <t>lipoprotein lppH</t>
  </si>
  <si>
    <t>BCG_0523</t>
  </si>
  <si>
    <t>UDP-N-acetylenolpyruvoylglucosamine reductase</t>
  </si>
  <si>
    <t>BCG_3131</t>
  </si>
  <si>
    <t>fprA</t>
  </si>
  <si>
    <t>NADPH:adrenodoxin oxidoreductase fprA</t>
  </si>
  <si>
    <t>BCG_3265c</t>
  </si>
  <si>
    <t>BCG_1816</t>
  </si>
  <si>
    <t>BCG_3300c</t>
  </si>
  <si>
    <t>BCG_1954</t>
  </si>
  <si>
    <t>aceA</t>
  </si>
  <si>
    <t>isocitrate lyase aceA</t>
  </si>
  <si>
    <t>BCG_1770</t>
  </si>
  <si>
    <t>gabD2</t>
  </si>
  <si>
    <t>succinate-semialdehyde dehydrogenase</t>
  </si>
  <si>
    <t>BCG_2173c</t>
  </si>
  <si>
    <t>mraY</t>
  </si>
  <si>
    <t>phospho-N-acetylmuramoyl-pentapeptide-transferase</t>
  </si>
  <si>
    <t>BCG_2806</t>
  </si>
  <si>
    <t>sirR</t>
  </si>
  <si>
    <t>transcriptional repressor sirR</t>
  </si>
  <si>
    <t>BCG_0371</t>
  </si>
  <si>
    <t>BCG_2357</t>
  </si>
  <si>
    <t>serine acetyltransferase cysE</t>
  </si>
  <si>
    <t>BCG_0775c</t>
  </si>
  <si>
    <t>BCG_3555</t>
  </si>
  <si>
    <t>BCG_3916</t>
  </si>
  <si>
    <t>menG</t>
  </si>
  <si>
    <t>ribonuclease activity regulator protein RraA</t>
  </si>
  <si>
    <t>BCG_0201c</t>
  </si>
  <si>
    <t>GntR family transcriptional regulator</t>
  </si>
  <si>
    <t>BCG_3331c</t>
  </si>
  <si>
    <t>glpD2_1</t>
  </si>
  <si>
    <t>glycerol-3-phosphate dehydrogenase glpD2</t>
  </si>
  <si>
    <t>BCG_0480c</t>
  </si>
  <si>
    <t>BCG_1747</t>
  </si>
  <si>
    <t>initiation inhibitor protein</t>
  </si>
  <si>
    <t>BCG_3870c</t>
  </si>
  <si>
    <t>galactofuranosyl transferase</t>
  </si>
  <si>
    <t>BCG_1877c</t>
  </si>
  <si>
    <t>BCG_1980</t>
  </si>
  <si>
    <t>BCG_2507c</t>
  </si>
  <si>
    <t>BCG_3102</t>
  </si>
  <si>
    <t>BCG_3787</t>
  </si>
  <si>
    <t>BCG_0473</t>
  </si>
  <si>
    <t>BCG_2214c</t>
  </si>
  <si>
    <t>mmpS3</t>
  </si>
  <si>
    <t>membrane protein mmpS3</t>
  </si>
  <si>
    <t>BCG_1908c</t>
  </si>
  <si>
    <t>lldD2</t>
  </si>
  <si>
    <t>L-lactate dehydrogenase (cytochrome) lldD2</t>
  </si>
  <si>
    <t>BCG_0181</t>
  </si>
  <si>
    <t>BCG_2171c</t>
  </si>
  <si>
    <t>ftsW</t>
  </si>
  <si>
    <t>FtsW-like protein FtsW</t>
  </si>
  <si>
    <t>BCG_3070c</t>
  </si>
  <si>
    <t>BCG_3529</t>
  </si>
  <si>
    <t>rmlB1</t>
  </si>
  <si>
    <t>dTDP-glucose 4,6-dehydratase rmlB1</t>
  </si>
  <si>
    <t>BCG_3797</t>
  </si>
  <si>
    <t>BCG_2161c</t>
  </si>
  <si>
    <t>BCG_2595c</t>
  </si>
  <si>
    <t>aspS</t>
  </si>
  <si>
    <t>aspartyl-tRNA synthetase</t>
  </si>
  <si>
    <t>BCG_3852</t>
  </si>
  <si>
    <t>BCG_3302</t>
  </si>
  <si>
    <t>transmembrane carbonic anhydrase</t>
  </si>
  <si>
    <t>BCG_0193</t>
  </si>
  <si>
    <t>pntB</t>
  </si>
  <si>
    <t>NAD(p) transhydrogenase (subunit beta) pntB</t>
  </si>
  <si>
    <t>BCG_2098</t>
  </si>
  <si>
    <t>BCG_0401c</t>
  </si>
  <si>
    <t>fba</t>
  </si>
  <si>
    <t>fructose-bisphosphate aldolase</t>
  </si>
  <si>
    <t>BCG_2874</t>
  </si>
  <si>
    <t>BCG_0919c</t>
  </si>
  <si>
    <t>resuscitation-promoting factor rpfA</t>
  </si>
  <si>
    <t>BCG_1585</t>
  </si>
  <si>
    <t>BCG_0297c</t>
  </si>
  <si>
    <t>BCG_1184c</t>
  </si>
  <si>
    <t>bpoB</t>
  </si>
  <si>
    <t>peroxidase bpoB</t>
  </si>
  <si>
    <t>BCG_2150c</t>
  </si>
  <si>
    <t>BCG_2729</t>
  </si>
  <si>
    <t>BCG_2899c</t>
  </si>
  <si>
    <t>BCG_3165c</t>
  </si>
  <si>
    <t>BCG_3731c</t>
  </si>
  <si>
    <t>membrane-anchored thioredoxin-like protein</t>
  </si>
  <si>
    <t>BCG_0145</t>
  </si>
  <si>
    <t>gca</t>
  </si>
  <si>
    <t>GDP-mannose 4,6-dehydratase</t>
  </si>
  <si>
    <t>BCG_1575</t>
  </si>
  <si>
    <t>BCG_1916</t>
  </si>
  <si>
    <t>BCG_2354</t>
  </si>
  <si>
    <t>mez</t>
  </si>
  <si>
    <t>malate dehydrogenase</t>
  </si>
  <si>
    <t>BCG_2777c</t>
  </si>
  <si>
    <t>hsdS</t>
  </si>
  <si>
    <t>type I restriction/modification system specificity determinant hsdS</t>
  </si>
  <si>
    <t>BCG_3012</t>
  </si>
  <si>
    <t>BCG_0462c</t>
  </si>
  <si>
    <t>thiC</t>
  </si>
  <si>
    <t>thiamine biosynthesis protein ThiC</t>
  </si>
  <si>
    <t>BCG_2111c</t>
  </si>
  <si>
    <t>BCG_3306</t>
  </si>
  <si>
    <t>BCG_3873</t>
  </si>
  <si>
    <t>BCG_3525c</t>
  </si>
  <si>
    <t>rpsM</t>
  </si>
  <si>
    <t>30S ribosomal protein S13</t>
  </si>
  <si>
    <t>BCG_1545</t>
  </si>
  <si>
    <t>fabG1</t>
  </si>
  <si>
    <t>3-oxoacyl-ACP reductase</t>
  </si>
  <si>
    <t>BCG_0704</t>
  </si>
  <si>
    <t>mkl</t>
  </si>
  <si>
    <t>ribonucleotide-transport ATP-binding protein ABC transporter mkl</t>
  </si>
  <si>
    <t>BCG_2521c</t>
  </si>
  <si>
    <t>accA1</t>
  </si>
  <si>
    <t>acetyl-/propionyl-coenzyme A carboxylase alpha chain subunit alpha accA1</t>
  </si>
  <si>
    <t>BCG_3032c</t>
  </si>
  <si>
    <t>pfkA</t>
  </si>
  <si>
    <t>6-phosphofructokinase</t>
  </si>
  <si>
    <t>BCG_0399</t>
  </si>
  <si>
    <t>BCG_1348</t>
  </si>
  <si>
    <t>BCG_1684c</t>
  </si>
  <si>
    <t>BCG_1855</t>
  </si>
  <si>
    <t>ilvG</t>
  </si>
  <si>
    <t>BCG_2055</t>
  </si>
  <si>
    <t>BCG_2102</t>
  </si>
  <si>
    <t>BCG_2121</t>
  </si>
  <si>
    <t>BCG_2528c</t>
  </si>
  <si>
    <t>integral membrane leucine and alanine rich protein</t>
  </si>
  <si>
    <t>BCG_2530c</t>
  </si>
  <si>
    <t>BCG_2696</t>
  </si>
  <si>
    <t>BCG_2893</t>
  </si>
  <si>
    <t>BCG_3428c</t>
  </si>
  <si>
    <t>folD</t>
  </si>
  <si>
    <t>bifunctional 5,10-methylene-tetrahydrofolate dehydrogenase/ 5,10-methylene-tetrahydrofolate cyclohydrolase</t>
  </si>
  <si>
    <t>BCG_0265</t>
  </si>
  <si>
    <t>integral membrane acyltransferase</t>
  </si>
  <si>
    <t>BCG_1949c</t>
  </si>
  <si>
    <t>BCG_2246c</t>
  </si>
  <si>
    <t>bifunctional RNase H/acid phosphatase</t>
  </si>
  <si>
    <t>BCG_2276c</t>
  </si>
  <si>
    <t>BCG_2739c</t>
  </si>
  <si>
    <t>dapF</t>
  </si>
  <si>
    <t>diaminopimelate epimerase</t>
  </si>
  <si>
    <t>BCG_2787c</t>
  </si>
  <si>
    <t>PPE44</t>
  </si>
  <si>
    <t>BCG_2894</t>
  </si>
  <si>
    <t>BCG_3434c</t>
  </si>
  <si>
    <t>ATP/GTP-binding protein</t>
  </si>
  <si>
    <t>BCG_3468c</t>
  </si>
  <si>
    <t>idsA1</t>
  </si>
  <si>
    <t>multifunctional geranylgeranyl pyrophosphate synthetase idsA1</t>
  </si>
  <si>
    <t>BCG_3604c</t>
  </si>
  <si>
    <t>ltp2</t>
  </si>
  <si>
    <t>BCG_3707</t>
  </si>
  <si>
    <t>helicase</t>
  </si>
  <si>
    <t>BCG_3871c</t>
  </si>
  <si>
    <t>glf</t>
  </si>
  <si>
    <t>UDP-galactopyranose mutase</t>
  </si>
  <si>
    <t>BCG_3770</t>
  </si>
  <si>
    <t>leuA</t>
  </si>
  <si>
    <t>2-isopropylmalate synthase</t>
  </si>
  <si>
    <t>BCG_1339c</t>
  </si>
  <si>
    <t>oppA</t>
  </si>
  <si>
    <t>periplasmic oligopeptide-binding lipoprotein oppA</t>
  </si>
  <si>
    <t>BCG_0461c</t>
  </si>
  <si>
    <t>thiD</t>
  </si>
  <si>
    <t>phosphomethylpyrimidine kinase</t>
  </si>
  <si>
    <t>BCG_0466c</t>
  </si>
  <si>
    <t>xthA</t>
  </si>
  <si>
    <t>exodeoxyribonuclease III protein xthA</t>
  </si>
  <si>
    <t>BCG_0537c</t>
  </si>
  <si>
    <t>BCG_1085c</t>
  </si>
  <si>
    <t>kdpD</t>
  </si>
  <si>
    <t>sensor protein kdpD</t>
  </si>
  <si>
    <t>BCG_3748</t>
  </si>
  <si>
    <t>BCG_0446</t>
  </si>
  <si>
    <t>fgd1</t>
  </si>
  <si>
    <t>glucose-6-phosphate dehydrogenase</t>
  </si>
  <si>
    <t>BCG_2649</t>
  </si>
  <si>
    <t>BCG_0520c</t>
  </si>
  <si>
    <t>BCG_0457</t>
  </si>
  <si>
    <t>lpqL</t>
  </si>
  <si>
    <t>lipoprotein aminopeptidase lpqL</t>
  </si>
  <si>
    <t>BCG_0739c</t>
  </si>
  <si>
    <t>BCG_2892c</t>
  </si>
  <si>
    <t>dxr</t>
  </si>
  <si>
    <t>1-deoxy-D-xylulose 5-phosphate reductoisomerase</t>
  </si>
  <si>
    <t>BCG_2926</t>
  </si>
  <si>
    <t>lppW</t>
  </si>
  <si>
    <t>alanine rich lipoprotein lppW</t>
  </si>
  <si>
    <t>BCG_3930</t>
  </si>
  <si>
    <t>BCG_3251c</t>
  </si>
  <si>
    <t>sigH_1</t>
  </si>
  <si>
    <t>RNA polymerase sigma factor RpoE</t>
  </si>
  <si>
    <t>BCG_2183c</t>
  </si>
  <si>
    <t>cell division protein MraZ</t>
  </si>
  <si>
    <t>BCG_0452</t>
  </si>
  <si>
    <t>mutT3</t>
  </si>
  <si>
    <t>mutator protein MutT3</t>
  </si>
  <si>
    <t>BCG_0926c</t>
  </si>
  <si>
    <t>BCG_1068</t>
  </si>
  <si>
    <t>ispE</t>
  </si>
  <si>
    <t>4-diphosphocytidyl-2-C-methyl-D-erythritol kinase</t>
  </si>
  <si>
    <t>BCG_1322</t>
  </si>
  <si>
    <t>amiB2</t>
  </si>
  <si>
    <t>BCG_2130</t>
  </si>
  <si>
    <t>BCG_2309c</t>
  </si>
  <si>
    <t>BCG_2492</t>
  </si>
  <si>
    <t>BCG_2620</t>
  </si>
  <si>
    <t>BCG_2657</t>
  </si>
  <si>
    <t>BCG_2742c</t>
  </si>
  <si>
    <t>integral membrane alanine and valine and leucine rich protein</t>
  </si>
  <si>
    <t>BCG_2844c</t>
  </si>
  <si>
    <t>BCG_3037c</t>
  </si>
  <si>
    <t>BCG_3406c</t>
  </si>
  <si>
    <t>BCG_3500c</t>
  </si>
  <si>
    <t>BCG_0293c</t>
  </si>
  <si>
    <t>cobQ1</t>
  </si>
  <si>
    <t>cobyric acid synthase</t>
  </si>
  <si>
    <t>BCG_0443</t>
  </si>
  <si>
    <t>pks6a</t>
  </si>
  <si>
    <t>membrane bound polyketide synthase pks6a</t>
  </si>
  <si>
    <t>BCG_0852</t>
  </si>
  <si>
    <t>pepC</t>
  </si>
  <si>
    <t>aminopeptidase 2</t>
  </si>
  <si>
    <t>BCG_1270</t>
  </si>
  <si>
    <t>tagA</t>
  </si>
  <si>
    <t>DNA-3-methyladenine glycosylase i tagA</t>
  </si>
  <si>
    <t>BCG_1723c</t>
  </si>
  <si>
    <t>BCG_3431</t>
  </si>
  <si>
    <t>BCG_3452c</t>
  </si>
  <si>
    <t>idsB</t>
  </si>
  <si>
    <t>polyprenyl synthetase idsB</t>
  </si>
  <si>
    <t>BCG_1821</t>
  </si>
  <si>
    <t>PPE26</t>
  </si>
  <si>
    <t>BCG_1360</t>
  </si>
  <si>
    <t>hemK</t>
  </si>
  <si>
    <t>hemk protein hemK</t>
  </si>
  <si>
    <t>BCG_0243c</t>
  </si>
  <si>
    <t>mmpL3</t>
  </si>
  <si>
    <t>transmembrane transport protein mmpL3</t>
  </si>
  <si>
    <t>BCG_1482</t>
  </si>
  <si>
    <t>BCG_3256c</t>
  </si>
  <si>
    <t>BCG_2722</t>
  </si>
  <si>
    <t>BCG_3292</t>
  </si>
  <si>
    <t>DNA methylase</t>
  </si>
  <si>
    <t>BCG_3451c</t>
  </si>
  <si>
    <t>lytB1</t>
  </si>
  <si>
    <t>lytB-related protein lytB1</t>
  </si>
  <si>
    <t>BCG_2468c</t>
  </si>
  <si>
    <t>valS</t>
  </si>
  <si>
    <t>valyl-tRNA synthetase</t>
  </si>
  <si>
    <t>BCG_3068</t>
  </si>
  <si>
    <t>fecB</t>
  </si>
  <si>
    <t>FeIII-dicitrate-binding periplasmic lipoprotein fecB</t>
  </si>
  <si>
    <t>BCG_3855</t>
  </si>
  <si>
    <t>embC</t>
  </si>
  <si>
    <t>integral membrane indolylacetylinositol arabinosyltransferase embC</t>
  </si>
  <si>
    <t>BCG_0184</t>
  </si>
  <si>
    <t>BCG_1331c</t>
  </si>
  <si>
    <t>BCG_1734</t>
  </si>
  <si>
    <t>recN</t>
  </si>
  <si>
    <t>DNA repair protein recN</t>
  </si>
  <si>
    <t>BCG_2555c</t>
  </si>
  <si>
    <t>nusB</t>
  </si>
  <si>
    <t>transcription antitermination protein NusB</t>
  </si>
  <si>
    <t>BCG_3470</t>
  </si>
  <si>
    <t>BCG_3854</t>
  </si>
  <si>
    <t>BCG_0173c</t>
  </si>
  <si>
    <t>msrA</t>
  </si>
  <si>
    <t>methionine sulfoxide reductase A</t>
  </si>
  <si>
    <t>BCG_1342c</t>
  </si>
  <si>
    <t>oppB</t>
  </si>
  <si>
    <t>oligopeptide-transport integral membrane protein ABC transporter oppB</t>
  </si>
  <si>
    <t>BCG_1762</t>
  </si>
  <si>
    <t>BCG_3784</t>
  </si>
  <si>
    <t>cut5</t>
  </si>
  <si>
    <t>cutinase precursor cut5</t>
  </si>
  <si>
    <t>BCG_1683</t>
  </si>
  <si>
    <t>tsnR</t>
  </si>
  <si>
    <t>23S rRNA methyltransferase tsnR</t>
  </si>
  <si>
    <t>BCG_2870c</t>
  </si>
  <si>
    <t>BCG_3856</t>
  </si>
  <si>
    <t>embA</t>
  </si>
  <si>
    <t>integral membrane indolylacetylinositol arabinosyltransferase embA</t>
  </si>
  <si>
    <t>BCG_0340</t>
  </si>
  <si>
    <t>BCG_0459c</t>
  </si>
  <si>
    <t>BCG_0652</t>
  </si>
  <si>
    <t>BCG_0777c</t>
  </si>
  <si>
    <t>fucA</t>
  </si>
  <si>
    <t>L-fuculose phosphate aldolase</t>
  </si>
  <si>
    <t>BCG_0916</t>
  </si>
  <si>
    <t>moaC</t>
  </si>
  <si>
    <t>molybdenum cofactor biosynthesis protein MoaC</t>
  </si>
  <si>
    <t>BCG_1460c</t>
  </si>
  <si>
    <t>lipH</t>
  </si>
  <si>
    <t>lipase lipH</t>
  </si>
  <si>
    <t>BCG_1518c</t>
  </si>
  <si>
    <t>unidentified antibiotic-transport integral membrane ABC transporter</t>
  </si>
  <si>
    <t>BCG_1739</t>
  </si>
  <si>
    <t>xerD</t>
  </si>
  <si>
    <t>site-specific tyrosine recombinase XerD</t>
  </si>
  <si>
    <t>BCG_1811c</t>
  </si>
  <si>
    <t>BCG_3308c</t>
  </si>
  <si>
    <t>birA</t>
  </si>
  <si>
    <t>bifunctional protein birA: biotin operon repressor + biotin--[acetyl-coa-carboxylase] synthetase</t>
  </si>
  <si>
    <t>BCG_3802c</t>
  </si>
  <si>
    <t>ctpJ</t>
  </si>
  <si>
    <t>cation transporter P-type atpase ctpJ</t>
  </si>
  <si>
    <t>BCG_0246</t>
  </si>
  <si>
    <t>BCG_0673</t>
  </si>
  <si>
    <t>BCG_1265</t>
  </si>
  <si>
    <t>BCG_1501</t>
  </si>
  <si>
    <t>secG</t>
  </si>
  <si>
    <t>preprotein translocase subunit SecG</t>
  </si>
  <si>
    <t>BCG_1915</t>
  </si>
  <si>
    <t>glnA3</t>
  </si>
  <si>
    <t>glutamine synthetase glnA3</t>
  </si>
  <si>
    <t>BCG_2179c</t>
  </si>
  <si>
    <t>PE_PGRS38</t>
  </si>
  <si>
    <t>BCG_2343c</t>
  </si>
  <si>
    <t>rocD1</t>
  </si>
  <si>
    <t>ornithine aminotransferase (N-terminus part) rocD1</t>
  </si>
  <si>
    <t>BCG_2462c</t>
  </si>
  <si>
    <t>rplU</t>
  </si>
  <si>
    <t>50S ribosomal protein L21</t>
  </si>
  <si>
    <t>BCG_2618</t>
  </si>
  <si>
    <t>BCG_2721c</t>
  </si>
  <si>
    <t>BCG_2797</t>
  </si>
  <si>
    <t>ald_a</t>
  </si>
  <si>
    <t>L-alanine dehydrogenase</t>
  </si>
  <si>
    <t>BCG_2915c</t>
  </si>
  <si>
    <t>xerC</t>
  </si>
  <si>
    <t>site-specific tyrosine recombinase XerC</t>
  </si>
  <si>
    <t>BCG_3049c</t>
  </si>
  <si>
    <t>BCG_3760c</t>
  </si>
  <si>
    <t>BCG_3915</t>
  </si>
  <si>
    <t>hns</t>
  </si>
  <si>
    <t>histone-like protein hns</t>
  </si>
  <si>
    <t>BCG_0333c</t>
  </si>
  <si>
    <t>BCG_0752</t>
  </si>
  <si>
    <t>rplD</t>
  </si>
  <si>
    <t>50S ribosomal protein L4</t>
  </si>
  <si>
    <t>BCG_2132c</t>
  </si>
  <si>
    <t>ATPase</t>
  </si>
  <si>
    <t>BCG_3933</t>
  </si>
  <si>
    <t>BCG_0768</t>
  </si>
  <si>
    <t>rpsH</t>
  </si>
  <si>
    <t>30S ribosomal protein S8</t>
  </si>
  <si>
    <t>BCG_0210</t>
  </si>
  <si>
    <t>lprK</t>
  </si>
  <si>
    <t>mce family lipoprotein LprK</t>
  </si>
  <si>
    <t>BCG_2737c</t>
  </si>
  <si>
    <t>fadE20</t>
  </si>
  <si>
    <t>acyl-CoA dehydrogenase fadE20</t>
  </si>
  <si>
    <t>BCG_0870</t>
  </si>
  <si>
    <t>BCG_1480</t>
  </si>
  <si>
    <t>BCG_1717</t>
  </si>
  <si>
    <t>fadE16</t>
  </si>
  <si>
    <t>acyl-CoA dehydrogenase fadE16</t>
  </si>
  <si>
    <t>BCG_2336c</t>
  </si>
  <si>
    <t>BCG_3508c</t>
  </si>
  <si>
    <t>rpsI</t>
  </si>
  <si>
    <t>30S ribosomal protein S9</t>
  </si>
  <si>
    <t>BCG_2203</t>
  </si>
  <si>
    <t>fadD15</t>
  </si>
  <si>
    <t>long-chain-fatty-acid-CoA ligase fadD15</t>
  </si>
  <si>
    <t>BCG_3750</t>
  </si>
  <si>
    <t>BCG_3052c</t>
  </si>
  <si>
    <t>fixA</t>
  </si>
  <si>
    <t>electron transfer flavoprotein (beta-subunit) fixA</t>
  </si>
  <si>
    <t>BCG_3301</t>
  </si>
  <si>
    <t>BCG_2724</t>
  </si>
  <si>
    <t>ideR</t>
  </si>
  <si>
    <t>Iron-dependent repressor and activator ideR</t>
  </si>
  <si>
    <t>BCG_0449c</t>
  </si>
  <si>
    <t>pknG</t>
  </si>
  <si>
    <t>Serine/threonine-protein kinase pknG</t>
  </si>
  <si>
    <t>BCG_2746c</t>
  </si>
  <si>
    <t>(dimethylallyl)adenosine tRNA methylthiotransferase</t>
  </si>
  <si>
    <t>BCG_1075c</t>
  </si>
  <si>
    <t>glmU</t>
  </si>
  <si>
    <t>bifunctional N-acetylglucosamine-1-phosphate uridyltransferase/glucosamine-1-phosphate acetyltransferase</t>
  </si>
  <si>
    <t>BCG_1680</t>
  </si>
  <si>
    <t>infC</t>
  </si>
  <si>
    <t>translation initiation factor IF-3</t>
  </si>
  <si>
    <t>BCG_1105</t>
  </si>
  <si>
    <t>IS1081 transposase</t>
  </si>
  <si>
    <t>BCG_0427</t>
  </si>
  <si>
    <t>BCG_1715</t>
  </si>
  <si>
    <t>dsbF</t>
  </si>
  <si>
    <t>lipoprotein dsbF</t>
  </si>
  <si>
    <t>BCG_2277</t>
  </si>
  <si>
    <t>adhE2</t>
  </si>
  <si>
    <t>zinc-dependent alcohol dehydrogenase AdhE2</t>
  </si>
  <si>
    <t>BCG_0212</t>
  </si>
  <si>
    <t>mce associated membrane protein</t>
  </si>
  <si>
    <t>BCG_1308c</t>
  </si>
  <si>
    <t>kgd</t>
  </si>
  <si>
    <t>alpha-ketoglutarate decarboxylase</t>
  </si>
  <si>
    <t>BCG_1156</t>
  </si>
  <si>
    <t>glycosyl hydrolase</t>
  </si>
  <si>
    <t>BCG_1985c</t>
  </si>
  <si>
    <t>lppG</t>
  </si>
  <si>
    <t>lipoprotein</t>
  </si>
  <si>
    <t>BCG_0347c</t>
  </si>
  <si>
    <t>BCG_0397</t>
  </si>
  <si>
    <t>BCG_0487c</t>
  </si>
  <si>
    <t>BCG_1441</t>
  </si>
  <si>
    <t>pyrB</t>
  </si>
  <si>
    <t>aspartate carbamoyltransferase</t>
  </si>
  <si>
    <t>BCG_1477</t>
  </si>
  <si>
    <t>ribH</t>
  </si>
  <si>
    <t>6,7-dimethyl-8-ribityllumazine synthase</t>
  </si>
  <si>
    <t>BCG_1582</t>
  </si>
  <si>
    <t>adh</t>
  </si>
  <si>
    <t>alcohol dehydrogenase adh</t>
  </si>
  <si>
    <t>BCG_2519c</t>
  </si>
  <si>
    <t>oxidase regulatory-related protein</t>
  </si>
  <si>
    <t>BCG_2604c</t>
  </si>
  <si>
    <t>glyoxalase II</t>
  </si>
  <si>
    <t>BCG_3182c</t>
  </si>
  <si>
    <t>PPE53</t>
  </si>
  <si>
    <t>BCG_0426</t>
  </si>
  <si>
    <t>purT</t>
  </si>
  <si>
    <t>phosphoribosylglycinamide formyltransferase 2</t>
  </si>
  <si>
    <t>BCG_0476c</t>
  </si>
  <si>
    <t>psd</t>
  </si>
  <si>
    <t>phosphatidylserine decarboxylase</t>
  </si>
  <si>
    <t>BCG_0741</t>
  </si>
  <si>
    <t>BCG_1536c</t>
  </si>
  <si>
    <t>BCG_2200c</t>
  </si>
  <si>
    <t>TB16.3</t>
  </si>
  <si>
    <t>BCG_3029c</t>
  </si>
  <si>
    <t>BCG_3515</t>
  </si>
  <si>
    <t>serine protease</t>
  </si>
  <si>
    <t>BCG_3617</t>
  </si>
  <si>
    <t>BCG_3686</t>
  </si>
  <si>
    <t>ppa</t>
  </si>
  <si>
    <t>inorganic pyrophosphatase ppa</t>
  </si>
  <si>
    <t>BCG_3806</t>
  </si>
  <si>
    <t>BCG_1078</t>
  </si>
  <si>
    <t>nucleoside triphosphate pyrophosphohydrolase</t>
  </si>
  <si>
    <t>BCG_0103</t>
  </si>
  <si>
    <t>glutamine ABC transporter</t>
  </si>
  <si>
    <t>BCG_0259c</t>
  </si>
  <si>
    <t>BCG_1325c</t>
  </si>
  <si>
    <t>pknH</t>
  </si>
  <si>
    <t>transmembrane serine/threonine-protein kinase H pknH</t>
  </si>
  <si>
    <t>BCG_3668c</t>
  </si>
  <si>
    <t>transmembrane protein rich in alanine and arginine and proline</t>
  </si>
  <si>
    <t>BCG_3924</t>
  </si>
  <si>
    <t>BCG_0756</t>
  </si>
  <si>
    <t>rplV</t>
  </si>
  <si>
    <t>50S ribosomal protein L22</t>
  </si>
  <si>
    <t>BCG_1609</t>
  </si>
  <si>
    <t>mmpL6</t>
  </si>
  <si>
    <t>transmembrane transport protein mmpL6</t>
  </si>
  <si>
    <t>BCG_1008</t>
  </si>
  <si>
    <t>BCG_1588</t>
  </si>
  <si>
    <t>ileS</t>
  </si>
  <si>
    <t>isoleucyl-tRNA synthetase</t>
  </si>
  <si>
    <t>BCG_0583</t>
  </si>
  <si>
    <t>dolichyl-phosphate sugar synthase</t>
  </si>
  <si>
    <t>BCG_3287c</t>
  </si>
  <si>
    <t>BCG_0592c</t>
  </si>
  <si>
    <t>menB</t>
  </si>
  <si>
    <t>naphthoate synthase</t>
  </si>
  <si>
    <t>BCG_1349c</t>
  </si>
  <si>
    <t>BCG_1938c</t>
  </si>
  <si>
    <t>lppD</t>
  </si>
  <si>
    <t>lipoprotein lppD</t>
  </si>
  <si>
    <t>BCG_3446</t>
  </si>
  <si>
    <t>amiD</t>
  </si>
  <si>
    <t>amidase amiD</t>
  </si>
  <si>
    <t>BCG_2210</t>
  </si>
  <si>
    <t>qcrC</t>
  </si>
  <si>
    <t>ubiquinol-cytochrome C reductase QcrC (cytochrome C subunit)</t>
  </si>
  <si>
    <t>BCG_3651</t>
  </si>
  <si>
    <t>DNA integrity scanning protein DisA</t>
  </si>
  <si>
    <t>BCG_2980c</t>
  </si>
  <si>
    <t>BCG_3663c</t>
  </si>
  <si>
    <t>BCG_0502</t>
  </si>
  <si>
    <t>lpd</t>
  </si>
  <si>
    <t>dihydrolipoamide dehydrogenase</t>
  </si>
  <si>
    <t>BCG_1362</t>
  </si>
  <si>
    <t>rfe</t>
  </si>
  <si>
    <t>undecapaprenyl-phosphate alpha-n-acetylglucosaminyltransferase rfe</t>
  </si>
  <si>
    <t>BCG_0903c</t>
  </si>
  <si>
    <t>BCG_0917</t>
  </si>
  <si>
    <t>mog</t>
  </si>
  <si>
    <t>molybdopterin biosynthesis mog protein</t>
  </si>
  <si>
    <t>BCG_1088</t>
  </si>
  <si>
    <t>kdpB</t>
  </si>
  <si>
    <t>potassium-transporting ATPase subunit B</t>
  </si>
  <si>
    <t>BCG_1212c</t>
  </si>
  <si>
    <t>NAD-dependent deacetylase</t>
  </si>
  <si>
    <t>BCG_1330c</t>
  </si>
  <si>
    <t>BCG_1807</t>
  </si>
  <si>
    <t>BCG_1952</t>
  </si>
  <si>
    <t>BCG_2646c</t>
  </si>
  <si>
    <t>BCG_3298</t>
  </si>
  <si>
    <t>BCG_0010c</t>
  </si>
  <si>
    <t>BCG_0245c</t>
  </si>
  <si>
    <t>trmB</t>
  </si>
  <si>
    <t>tRNA (guanine-N(7)-)-methyltransferase</t>
  </si>
  <si>
    <t>BCG_0388</t>
  </si>
  <si>
    <t>BCG_0557</t>
  </si>
  <si>
    <t>BCG_1114</t>
  </si>
  <si>
    <t>BCG_2155</t>
  </si>
  <si>
    <t>lppL</t>
  </si>
  <si>
    <t>lipoprotein LppL</t>
  </si>
  <si>
    <t>BCG_2328</t>
  </si>
  <si>
    <t>BCG_3475c</t>
  </si>
  <si>
    <t>BCG_3630c</t>
  </si>
  <si>
    <t>nat</t>
  </si>
  <si>
    <t>arylamine n-acetyltransferase nat</t>
  </si>
  <si>
    <t>BCG_2977</t>
  </si>
  <si>
    <t>BCG_1218c</t>
  </si>
  <si>
    <t>BCG_3305c</t>
  </si>
  <si>
    <t>purK</t>
  </si>
  <si>
    <t>phosphoribosylaminoimidazole carboxylase ATPase subunit</t>
  </si>
  <si>
    <t>BCG_0208</t>
  </si>
  <si>
    <t>mce1C</t>
  </si>
  <si>
    <t>MCE-family protein mce1C</t>
  </si>
  <si>
    <t>BCG_0943c</t>
  </si>
  <si>
    <t>BCG_2197c</t>
  </si>
  <si>
    <t>1-acylglycerol-3-phosphate O-acyltransferase</t>
  </si>
  <si>
    <t>BCG_2764c</t>
  </si>
  <si>
    <t>ftsK</t>
  </si>
  <si>
    <t>cell division transmembrane protein ftsK</t>
  </si>
  <si>
    <t>BCG_0081</t>
  </si>
  <si>
    <t>ponA1</t>
  </si>
  <si>
    <t>bifunctional penicillin-binding protein 1A/1B PONA1</t>
  </si>
  <si>
    <t>BCG_0419c</t>
  </si>
  <si>
    <t>BCG_0672</t>
  </si>
  <si>
    <t>BCG_3923</t>
  </si>
  <si>
    <t>BCG_1187c</t>
  </si>
  <si>
    <t>BCG_1206</t>
  </si>
  <si>
    <t>BCG_2355c</t>
  </si>
  <si>
    <t>BCG_2524c</t>
  </si>
  <si>
    <t>scoA</t>
  </si>
  <si>
    <t>succinyl-CoA:3-ketoacid-coenzyme A transferase subunit alpha scoA</t>
  </si>
  <si>
    <t>BCG_3928</t>
  </si>
  <si>
    <t>BCG_2766</t>
  </si>
  <si>
    <t>BCG_2695c</t>
  </si>
  <si>
    <t>dxs1</t>
  </si>
  <si>
    <t>1-deoxy-D-xylulose-5-phosphate synthase</t>
  </si>
  <si>
    <t>BCG_3548</t>
  </si>
  <si>
    <t>cpsA</t>
  </si>
  <si>
    <t>protein cpsA</t>
  </si>
  <si>
    <t>BCG_3013c</t>
  </si>
  <si>
    <t>gltX</t>
  </si>
  <si>
    <t>glutamyl-tRNA synthetase</t>
  </si>
  <si>
    <t>BCG_1925c</t>
  </si>
  <si>
    <t>BCG_1171c</t>
  </si>
  <si>
    <t>BCG_1828</t>
  </si>
  <si>
    <t>BCG_2206c</t>
  </si>
  <si>
    <t>BCG_3685c</t>
  </si>
  <si>
    <t>BCG_1599</t>
  </si>
  <si>
    <t>BCG_2157c</t>
  </si>
  <si>
    <t>TB18.6</t>
  </si>
  <si>
    <t>BCG_2166c</t>
  </si>
  <si>
    <t>yfiH</t>
  </si>
  <si>
    <t>BCG_3659</t>
  </si>
  <si>
    <t>BCG_3813</t>
  </si>
  <si>
    <t>tyrA</t>
  </si>
  <si>
    <t>prephenate dehydrogenase</t>
  </si>
  <si>
    <t>BCG_0681c</t>
  </si>
  <si>
    <t>BCG_0249c</t>
  </si>
  <si>
    <t>nadR</t>
  </si>
  <si>
    <t>transcriptional regulator NadR</t>
  </si>
  <si>
    <t>BCG_1426c</t>
  </si>
  <si>
    <t>BCG_1236</t>
  </si>
  <si>
    <t>fbiC</t>
  </si>
  <si>
    <t>FO synthase</t>
  </si>
  <si>
    <t>BCG_0580</t>
  </si>
  <si>
    <t>galE3</t>
  </si>
  <si>
    <t>UDP-glucose 4-epimerase</t>
  </si>
  <si>
    <t>BCG_0844c</t>
  </si>
  <si>
    <t>BCG_0907</t>
  </si>
  <si>
    <t>far</t>
  </si>
  <si>
    <t>fatty-acid-CoA racemase far</t>
  </si>
  <si>
    <t>BCG_1516</t>
  </si>
  <si>
    <t>BCG_1569</t>
  </si>
  <si>
    <t>BCG_1997c</t>
  </si>
  <si>
    <t>BCG_2019</t>
  </si>
  <si>
    <t>fabG3</t>
  </si>
  <si>
    <t>20-beta-hydroxysteroid dehydrogenase fabG3</t>
  </si>
  <si>
    <t>BCG_2748c</t>
  </si>
  <si>
    <t>BCG_3024c</t>
  </si>
  <si>
    <t>ilvH</t>
  </si>
  <si>
    <t>acetolactate synthase 3 regulatory subunit</t>
  </si>
  <si>
    <t>BCG_3677c</t>
  </si>
  <si>
    <t>BCG_3803</t>
  </si>
  <si>
    <t>BCG_0079c</t>
  </si>
  <si>
    <t>BCG_0342</t>
  </si>
  <si>
    <t>BCG_0789</t>
  </si>
  <si>
    <t>BCG_0887</t>
  </si>
  <si>
    <t>lpqQ</t>
  </si>
  <si>
    <t>lipoprotein lpqQ</t>
  </si>
  <si>
    <t>BCG_1029c</t>
  </si>
  <si>
    <t>fadE13</t>
  </si>
  <si>
    <t>acyl-coa dehydrogenase fadE13</t>
  </si>
  <si>
    <t>BCG_1031</t>
  </si>
  <si>
    <t>PE_PGRS16</t>
  </si>
  <si>
    <t>BCG_1048</t>
  </si>
  <si>
    <t>galU</t>
  </si>
  <si>
    <t>UTP--glucose-1-phosphate uridylyltransferase galU</t>
  </si>
  <si>
    <t>BCG_1274c</t>
  </si>
  <si>
    <t>PE14</t>
  </si>
  <si>
    <t>BCG_3627</t>
  </si>
  <si>
    <t>fadE32</t>
  </si>
  <si>
    <t>acyl-CoA dehydrogenase fadE32</t>
  </si>
  <si>
    <t>BCG_3642</t>
  </si>
  <si>
    <t>BCG_3673c</t>
  </si>
  <si>
    <t>folE</t>
  </si>
  <si>
    <t>GTP cyclohydrolase I</t>
  </si>
  <si>
    <t>BCG_3884</t>
  </si>
  <si>
    <t>BCG_0981</t>
  </si>
  <si>
    <t>pstC2</t>
  </si>
  <si>
    <t>phosphate-transport integral membrane ABC transporter pstC2</t>
  </si>
  <si>
    <t>BCG_3242</t>
  </si>
  <si>
    <t>entC_1</t>
  </si>
  <si>
    <t>isochorismate synthase entC</t>
  </si>
  <si>
    <t>BCG_1899c</t>
  </si>
  <si>
    <t>BCG_0765</t>
  </si>
  <si>
    <t>rplX</t>
  </si>
  <si>
    <t>50S ribosomal protein L24</t>
  </si>
  <si>
    <t>BCG_1632</t>
  </si>
  <si>
    <t>nadA</t>
  </si>
  <si>
    <t>quinolinate synthetase</t>
  </si>
  <si>
    <t>BCG_2433c</t>
  </si>
  <si>
    <t>BCG_2633</t>
  </si>
  <si>
    <t>PPE42</t>
  </si>
  <si>
    <t>BCG_0708c</t>
  </si>
  <si>
    <t>BCG_1318</t>
  </si>
  <si>
    <t>BCG_1972c</t>
  </si>
  <si>
    <t>fadE18</t>
  </si>
  <si>
    <t>acyl-CoA dehydrogenase fadE18</t>
  </si>
  <si>
    <t>BCG_2488c</t>
  </si>
  <si>
    <t>BCG_3898</t>
  </si>
  <si>
    <t>BCG_1407</t>
  </si>
  <si>
    <t>fadD33</t>
  </si>
  <si>
    <t>long-chain-fatty-acid--ACP ligase</t>
  </si>
  <si>
    <t>BCG_2248c</t>
  </si>
  <si>
    <t>BCG_3843</t>
  </si>
  <si>
    <t>rbfE</t>
  </si>
  <si>
    <t>O-antigen/lipopolysaccharide transport ATP-binding protein ABC transporter rfbE</t>
  </si>
  <si>
    <t>BCG_2579c</t>
  </si>
  <si>
    <t>BCG_1009</t>
  </si>
  <si>
    <t>BCG_1882c</t>
  </si>
  <si>
    <t>BCG_3474c</t>
  </si>
  <si>
    <t>BCG_1741c</t>
  </si>
  <si>
    <t>catechol-o-methyltransferase</t>
  </si>
  <si>
    <t>BCG_2949c</t>
  </si>
  <si>
    <t>BCG_3263c</t>
  </si>
  <si>
    <t>BCG_3371c</t>
  </si>
  <si>
    <t>amiB1</t>
  </si>
  <si>
    <t>amidase amiB1</t>
  </si>
  <si>
    <t>BCG_0190c</t>
  </si>
  <si>
    <t>fadE2</t>
  </si>
  <si>
    <t>acyl-CoA dehydrogenase fadE2</t>
  </si>
  <si>
    <t>BCG_1334</t>
  </si>
  <si>
    <t>lprC</t>
  </si>
  <si>
    <t>lipoprotein lprC</t>
  </si>
  <si>
    <t>BCG_3519</t>
  </si>
  <si>
    <t>BCG_0855</t>
  </si>
  <si>
    <t>purL</t>
  </si>
  <si>
    <t>phosphoribosylformylglycinamidine synthase II</t>
  </si>
  <si>
    <t>BCG_0393c</t>
  </si>
  <si>
    <t>PPE8</t>
  </si>
  <si>
    <t>BCG_0677c</t>
  </si>
  <si>
    <t>recBa</t>
  </si>
  <si>
    <t>exonuclease V subunit beta recBa</t>
  </si>
  <si>
    <t>BCG_0803c</t>
  </si>
  <si>
    <t>fadE9</t>
  </si>
  <si>
    <t>acyl-CoA dehydrogenase fadE9</t>
  </si>
  <si>
    <t>BCG_3838</t>
  </si>
  <si>
    <t>BCG_0152c</t>
  </si>
  <si>
    <t>oxcA</t>
  </si>
  <si>
    <t>oxalyl-CoA decarboxylase</t>
  </si>
  <si>
    <t>BCG_0162</t>
  </si>
  <si>
    <t>BCG_0302c</t>
  </si>
  <si>
    <t>BCG_1299c</t>
  </si>
  <si>
    <t>corA</t>
  </si>
  <si>
    <t>magnesium and cobalt transport transmembrane protein corA</t>
  </si>
  <si>
    <t>BCG_1615c</t>
  </si>
  <si>
    <t>treZa</t>
  </si>
  <si>
    <t>maltooligosyltrehalose trehalohydrolase TreZ</t>
  </si>
  <si>
    <t>BCG_1682</t>
  </si>
  <si>
    <t>rplT</t>
  </si>
  <si>
    <t>50S ribosomal protein L20</t>
  </si>
  <si>
    <t>BCG_2052c</t>
  </si>
  <si>
    <t>BCG_2084</t>
  </si>
  <si>
    <t>cobH</t>
  </si>
  <si>
    <t>precorrin-8X methylmutase</t>
  </si>
  <si>
    <t>BCG_2412c</t>
  </si>
  <si>
    <t>cysA1</t>
  </si>
  <si>
    <t>sulfate-transport ATP-binding protein ABC transporter cysA1</t>
  </si>
  <si>
    <t>BCG_2520c</t>
  </si>
  <si>
    <t>fadE19</t>
  </si>
  <si>
    <t>acyl-CoA dehydrogenase fadE19</t>
  </si>
  <si>
    <t>BCG_1158c</t>
  </si>
  <si>
    <t>fumC</t>
  </si>
  <si>
    <t>fumarate hydratase</t>
  </si>
  <si>
    <t>BCG_0385c</t>
  </si>
  <si>
    <t>ansP2</t>
  </si>
  <si>
    <t>l-asparagine permease ansP2</t>
  </si>
  <si>
    <t>BCG_1059c</t>
  </si>
  <si>
    <t>BCG_3487c</t>
  </si>
  <si>
    <t>groEL</t>
  </si>
  <si>
    <t>chaperonin GroEL</t>
  </si>
  <si>
    <t>BCG_2241c</t>
  </si>
  <si>
    <t>BCG_2482c</t>
  </si>
  <si>
    <t>tig</t>
  </si>
  <si>
    <t>trigger factor</t>
  </si>
  <si>
    <t>BCG_2969c</t>
  </si>
  <si>
    <t>fadD22</t>
  </si>
  <si>
    <t>BCG_0343</t>
  </si>
  <si>
    <t>BCG_0915</t>
  </si>
  <si>
    <t>BCG_1326c</t>
  </si>
  <si>
    <t>embR</t>
  </si>
  <si>
    <t>transcriptional regulatory protein embR</t>
  </si>
  <si>
    <t>BCG_1490</t>
  </si>
  <si>
    <t>BCG_2057c</t>
  </si>
  <si>
    <t>sugar-transport ATP-binding protein ABC transporter</t>
  </si>
  <si>
    <t>BCG_2591c</t>
  </si>
  <si>
    <t>BCG_2788c</t>
  </si>
  <si>
    <t>BCG_2827</t>
  </si>
  <si>
    <t>BCG_3113</t>
  </si>
  <si>
    <t>BCG_3119c</t>
  </si>
  <si>
    <t>BCG_3184c</t>
  </si>
  <si>
    <t>BCG_3435c</t>
  </si>
  <si>
    <t>BCG_3694</t>
  </si>
  <si>
    <t>BCG_0468c</t>
  </si>
  <si>
    <t>def</t>
  </si>
  <si>
    <t>peptide deformylase</t>
  </si>
  <si>
    <t>BCG_0918</t>
  </si>
  <si>
    <t>moaE2</t>
  </si>
  <si>
    <t>molybdenum cofactor biosynthesis protein e2 moaE2</t>
  </si>
  <si>
    <t>BCG_1222</t>
  </si>
  <si>
    <t>mutT2</t>
  </si>
  <si>
    <t>mutator protein mutT2</t>
  </si>
  <si>
    <t>BCG_1996</t>
  </si>
  <si>
    <t>BCG_2013</t>
  </si>
  <si>
    <t>BCG_2031</t>
  </si>
  <si>
    <t>BCG_2266</t>
  </si>
  <si>
    <t>BCG_2416</t>
  </si>
  <si>
    <t>BCG_2426c</t>
  </si>
  <si>
    <t>BCG_2719c</t>
  </si>
  <si>
    <t>BCG_2196</t>
  </si>
  <si>
    <t>BCG_1300</t>
  </si>
  <si>
    <t>BCG_0581c</t>
  </si>
  <si>
    <t>BCG_1508c</t>
  </si>
  <si>
    <t>zwf2</t>
  </si>
  <si>
    <t>glucose-6-phosphate 1-dehydrogenase</t>
  </si>
  <si>
    <t>BCG_3027c</t>
  </si>
  <si>
    <t>BCG_3882c</t>
  </si>
  <si>
    <t>papA2</t>
  </si>
  <si>
    <t>polyketide synthase associated protein papA2</t>
  </si>
  <si>
    <t>BCG_2956</t>
  </si>
  <si>
    <t>ppsD</t>
  </si>
  <si>
    <t>phenolpthiocerol synthesis type-I polyketide synthase ppsD</t>
  </si>
  <si>
    <t>BCG_1128c</t>
  </si>
  <si>
    <t>echA8</t>
  </si>
  <si>
    <t>BCG_2062c</t>
  </si>
  <si>
    <t>pncA</t>
  </si>
  <si>
    <t>pyrazinamidase/nicotinamidas pncA</t>
  </si>
  <si>
    <t>BCG_0087</t>
  </si>
  <si>
    <t>rplI</t>
  </si>
  <si>
    <t>50S ribosomal protein L9</t>
  </si>
  <si>
    <t>BCG_1004c</t>
  </si>
  <si>
    <t>BCG_3106</t>
  </si>
  <si>
    <t>BCG_1471c</t>
  </si>
  <si>
    <t>aminoglycosides/tetracycline-transport integral membrane protein</t>
  </si>
  <si>
    <t>BCG_0194</t>
  </si>
  <si>
    <t>BCG_0962</t>
  </si>
  <si>
    <t>BCG_1015</t>
  </si>
  <si>
    <t>BCG_2390c</t>
  </si>
  <si>
    <t>cfp2</t>
  </si>
  <si>
    <t>low molecular weight antigen cfp2</t>
  </si>
  <si>
    <t>BCG_2629c</t>
  </si>
  <si>
    <t>glutamine amidotransferase subunit PdxT</t>
  </si>
  <si>
    <t>BCG_3607c</t>
  </si>
  <si>
    <t>fadE29</t>
  </si>
  <si>
    <t>acyl-CoA dehydrogenase fadE29</t>
  </si>
  <si>
    <t>BCG_3643</t>
  </si>
  <si>
    <t>arsB2</t>
  </si>
  <si>
    <t>arsenical pump integral membrane protein arsB2</t>
  </si>
  <si>
    <t>BCG_0298c</t>
  </si>
  <si>
    <t>bifunctional uroporphyrinogen-III synthetase/response regulator domain-containing protein</t>
  </si>
  <si>
    <t>BCG_1468</t>
  </si>
  <si>
    <t>fmu</t>
  </si>
  <si>
    <t>fmu protein</t>
  </si>
  <si>
    <t>BCG_1674</t>
  </si>
  <si>
    <t>TB15.3</t>
  </si>
  <si>
    <t>BCG_3824c</t>
  </si>
  <si>
    <t>two component transcriptional regulator</t>
  </si>
  <si>
    <t>BCG_3918</t>
  </si>
  <si>
    <t>ethR</t>
  </si>
  <si>
    <t>BCG_0725c</t>
  </si>
  <si>
    <t>transmembrane transport protein mmpL5</t>
  </si>
  <si>
    <t>BCG_1037</t>
  </si>
  <si>
    <t>mprB</t>
  </si>
  <si>
    <t>two component sensor kinase mprB</t>
  </si>
  <si>
    <t>BCG_3370c</t>
  </si>
  <si>
    <t>amiA1</t>
  </si>
  <si>
    <t>N-acyl-L-amino acid amidohydrolase amiA1</t>
  </si>
  <si>
    <t>BCG_0829</t>
  </si>
  <si>
    <t>purB</t>
  </si>
  <si>
    <t>adenylosuccinate lyase</t>
  </si>
  <si>
    <t>BCG_2904c</t>
  </si>
  <si>
    <t>pyrH</t>
  </si>
  <si>
    <t>uridylate kinase</t>
  </si>
  <si>
    <t>BCG_0470</t>
  </si>
  <si>
    <t>tuberculin-like protein</t>
  </si>
  <si>
    <t>BCG_0825c</t>
  </si>
  <si>
    <t>ggtA</t>
  </si>
  <si>
    <t>bifunctional acylase ggtA: cephalosporin acylase + gamma-glutamyltranspeptidase</t>
  </si>
  <si>
    <t>BCG_3692c</t>
  </si>
  <si>
    <t>galE1</t>
  </si>
  <si>
    <t>BCG_3725</t>
  </si>
  <si>
    <t>acs</t>
  </si>
  <si>
    <t>acetyl-CoA synthetase</t>
  </si>
  <si>
    <t>BCG_3755c</t>
  </si>
  <si>
    <t>glpK</t>
  </si>
  <si>
    <t>glycerol kinase</t>
  </si>
  <si>
    <t>BCG_2540</t>
  </si>
  <si>
    <t>PE26</t>
  </si>
  <si>
    <t>BCG_2216c</t>
  </si>
  <si>
    <t>ctaC</t>
  </si>
  <si>
    <t>transmembrane cytochrome C oxidase (subunit II) ctaC</t>
  </si>
  <si>
    <t>BCG_3231c</t>
  </si>
  <si>
    <t>BCG_2630c</t>
  </si>
  <si>
    <t>tesB2</t>
  </si>
  <si>
    <t>acyl-CoA thioesterase II tesB2</t>
  </si>
  <si>
    <t>BCG_2842c</t>
  </si>
  <si>
    <t>BCG_3442c</t>
  </si>
  <si>
    <t>dnaE2</t>
  </si>
  <si>
    <t>error-prone DNA polymerase</t>
  </si>
  <si>
    <t>BCG_2711</t>
  </si>
  <si>
    <t>alanine rich transmembrane protein</t>
  </si>
  <si>
    <t>BCG_2744</t>
  </si>
  <si>
    <t>BCG_2027</t>
  </si>
  <si>
    <t>BCG_2857c</t>
  </si>
  <si>
    <t>BCG_3141</t>
  </si>
  <si>
    <t>moeB2</t>
  </si>
  <si>
    <t>molybdenum cofactor biosynthesis protein moeB2</t>
  </si>
  <si>
    <t>BCG_3872</t>
  </si>
  <si>
    <t>pirG</t>
  </si>
  <si>
    <t>BCG_0944</t>
  </si>
  <si>
    <t>BCG_0948</t>
  </si>
  <si>
    <t>gltA</t>
  </si>
  <si>
    <t>type II citrate synthase</t>
  </si>
  <si>
    <t>BCG_1470</t>
  </si>
  <si>
    <t>ribG</t>
  </si>
  <si>
    <t>bifunctional riboflavin biosynthesis protein RIBG: diaminohydroxyphosphoribosylaminopyrimidine deaminase + 5-amino-6-(5-phosphoribosylamino) uracil reductase</t>
  </si>
  <si>
    <t>BCG_2147c</t>
  </si>
  <si>
    <t>cysS2</t>
  </si>
  <si>
    <t>cysteinyl-tRNA synthetase</t>
  </si>
  <si>
    <t>BCG_0471</t>
  </si>
  <si>
    <t>sodC</t>
  </si>
  <si>
    <t>periplasmic superoxide dismutase [Cu-Zn] sodC</t>
  </si>
  <si>
    <t>BCG_0257</t>
  </si>
  <si>
    <t>lipC</t>
  </si>
  <si>
    <t>esterase lipC</t>
  </si>
  <si>
    <t>BCG_0731</t>
  </si>
  <si>
    <t>rpsL</t>
  </si>
  <si>
    <t>30S ribosomal protein S12</t>
  </si>
  <si>
    <t>BCG_0951</t>
  </si>
  <si>
    <t>ompA</t>
  </si>
  <si>
    <t>outer membrane protein A ompA</t>
  </si>
  <si>
    <t>BCG_3445</t>
  </si>
  <si>
    <t>echA18</t>
  </si>
  <si>
    <t>enoyl-CoA hydratase echA18</t>
  </si>
  <si>
    <t>BCG_1253</t>
  </si>
  <si>
    <t>fadD36</t>
  </si>
  <si>
    <t>BCG_0530</t>
  </si>
  <si>
    <t>gpmA</t>
  </si>
  <si>
    <t>phosphoglyceromutase</t>
  </si>
  <si>
    <t>BCG_2469c</t>
  </si>
  <si>
    <t>BCG_1971</t>
  </si>
  <si>
    <t>tpx</t>
  </si>
  <si>
    <t>thiol peroxidase</t>
  </si>
  <si>
    <t>BCG_0275</t>
  </si>
  <si>
    <t>lpqI</t>
  </si>
  <si>
    <t>lipoprotein lpqI</t>
  </si>
  <si>
    <t>BCG_1272c</t>
  </si>
  <si>
    <t>BCG_0734</t>
  </si>
  <si>
    <t>tuf</t>
  </si>
  <si>
    <t>elongation factor Tu</t>
  </si>
  <si>
    <t>BCG_0294c</t>
  </si>
  <si>
    <t>PPE2</t>
  </si>
  <si>
    <t>BCG_1573</t>
  </si>
  <si>
    <t>fadD25</t>
  </si>
  <si>
    <t>BCG_1298</t>
  </si>
  <si>
    <t>sugC</t>
  </si>
  <si>
    <t>sugar-transport ATP-binding protein ABC transporter sugC</t>
  </si>
  <si>
    <t>BCG_0612</t>
  </si>
  <si>
    <t>methyltransferase/methylase</t>
  </si>
  <si>
    <t>BCG_2709c</t>
  </si>
  <si>
    <t>BCG_0395c</t>
  </si>
  <si>
    <t>purA</t>
  </si>
  <si>
    <t>adenylosuccinate synthetase</t>
  </si>
  <si>
    <t>BCG_0450c</t>
  </si>
  <si>
    <t>glnH</t>
  </si>
  <si>
    <t>glutamine-binding lipoprotein glnH</t>
  </si>
  <si>
    <t>BCG_0636</t>
  </si>
  <si>
    <t>mce2C</t>
  </si>
  <si>
    <t>mce-family protein mce2C</t>
  </si>
  <si>
    <t>BCG_1767c</t>
  </si>
  <si>
    <t>BCG_2056c</t>
  </si>
  <si>
    <t>BCG_2689c</t>
  </si>
  <si>
    <t>BCG_2935c</t>
  </si>
  <si>
    <t>pknI</t>
  </si>
  <si>
    <t>transmembrane serine/threonine-protein kinase I pknI</t>
  </si>
  <si>
    <t>BCG_0378c</t>
  </si>
  <si>
    <t>BCG_0924c</t>
  </si>
  <si>
    <t>PE_PGRS15</t>
  </si>
  <si>
    <t>BCG_1044c</t>
  </si>
  <si>
    <t>grcC2</t>
  </si>
  <si>
    <t>polyprenyl-diphosphate synthase grcC2</t>
  </si>
  <si>
    <t>BCG_1530</t>
  </si>
  <si>
    <t>ctpD</t>
  </si>
  <si>
    <t>cation transporter P-type atpase D ctpD</t>
  </si>
  <si>
    <t>BCG_1893</t>
  </si>
  <si>
    <t>molybdate-binding lipoprotein modA</t>
  </si>
  <si>
    <t>BCG_2703c</t>
  </si>
  <si>
    <t>BCG_0925</t>
  </si>
  <si>
    <t>fadE10</t>
  </si>
  <si>
    <t>acyl-CoA dehydrogenase fadE10</t>
  </si>
  <si>
    <t>BCG_3482</t>
  </si>
  <si>
    <t>BCG_1006</t>
  </si>
  <si>
    <t>sucD</t>
  </si>
  <si>
    <t>succinyl-CoA synthetase subunit alpha</t>
  </si>
  <si>
    <t>BCG_3739</t>
  </si>
  <si>
    <t>anion transporter atpase</t>
  </si>
  <si>
    <t>BCG_1865</t>
  </si>
  <si>
    <t>BCG_1890c</t>
  </si>
  <si>
    <t>ndh</t>
  </si>
  <si>
    <t>NADH dehydrogenase ndh</t>
  </si>
  <si>
    <t>BCG_1065</t>
  </si>
  <si>
    <t>tatD</t>
  </si>
  <si>
    <t>deoxyribonuclease TatD (YjjV protein)</t>
  </si>
  <si>
    <t>BCG_1456</t>
  </si>
  <si>
    <t>BCG_3040c</t>
  </si>
  <si>
    <t>PPE46</t>
  </si>
  <si>
    <t>BCG_3271c</t>
  </si>
  <si>
    <t>BCG_0054</t>
  </si>
  <si>
    <t>BCG_0503</t>
  </si>
  <si>
    <t>BCG_0866c</t>
  </si>
  <si>
    <t>sseC2</t>
  </si>
  <si>
    <t>BCG_1025c</t>
  </si>
  <si>
    <t>echA7</t>
  </si>
  <si>
    <t>BCG_1124</t>
  </si>
  <si>
    <t>BCG_1196c</t>
  </si>
  <si>
    <t>PPE16</t>
  </si>
  <si>
    <t>BCG_2404c</t>
  </si>
  <si>
    <t>BCG_2987c</t>
  </si>
  <si>
    <t>BCG_3080</t>
  </si>
  <si>
    <t>BCG_3217</t>
  </si>
  <si>
    <t>BCG_3637</t>
  </si>
  <si>
    <t>BCG_3459</t>
  </si>
  <si>
    <t>lpqD</t>
  </si>
  <si>
    <t>lipoprotein lpqD</t>
  </si>
  <si>
    <t>BCG_0361</t>
  </si>
  <si>
    <t>dcd</t>
  </si>
  <si>
    <t>deoxycytidine triphosphate deaminase</t>
  </si>
  <si>
    <t>BCG_0610c</t>
  </si>
  <si>
    <t>BCG_0909</t>
  </si>
  <si>
    <t>BCG_1053</t>
  </si>
  <si>
    <t>BCG_1106c</t>
  </si>
  <si>
    <t>BCG_1965c</t>
  </si>
  <si>
    <t>mpt63</t>
  </si>
  <si>
    <t>immunogenic protein mpt63</t>
  </si>
  <si>
    <t>BCG_2286c</t>
  </si>
  <si>
    <t>BCG_2303</t>
  </si>
  <si>
    <t>yjcE</t>
  </si>
  <si>
    <t>integral membrane transport protein YjcE</t>
  </si>
  <si>
    <t>BCG_2381c</t>
  </si>
  <si>
    <t>metalloprotease</t>
  </si>
  <si>
    <t>BCG_2638c</t>
  </si>
  <si>
    <t>BCG_2690c</t>
  </si>
  <si>
    <t>hemY</t>
  </si>
  <si>
    <t>protoporphyrinogen oxidase</t>
  </si>
  <si>
    <t>BCG_2864</t>
  </si>
  <si>
    <t>BCG_3061c</t>
  </si>
  <si>
    <t>BCG_3083c</t>
  </si>
  <si>
    <t>BCG_3665c</t>
  </si>
  <si>
    <t>panD</t>
  </si>
  <si>
    <t>aspartate alpha-decarboxylase</t>
  </si>
  <si>
    <t>BCG_0910c</t>
  </si>
  <si>
    <t>BCG_2747</t>
  </si>
  <si>
    <t>BCG_3767c</t>
  </si>
  <si>
    <t>BCG_0310c</t>
  </si>
  <si>
    <t>BCG_2088</t>
  </si>
  <si>
    <t>sigC</t>
  </si>
  <si>
    <t>RNA polymerase sigma factor SigC</t>
  </si>
  <si>
    <t>BCG_0332</t>
  </si>
  <si>
    <t>BCG_3167c</t>
  </si>
  <si>
    <t>PPE52</t>
  </si>
  <si>
    <t>BCG_3384</t>
  </si>
  <si>
    <t>sdhA</t>
  </si>
  <si>
    <t>succinate dehydrogenase flavoprotein subunit</t>
  </si>
  <si>
    <t>BCG_1131</t>
  </si>
  <si>
    <t>BCG_1288</t>
  </si>
  <si>
    <t>lpqX</t>
  </si>
  <si>
    <t>lipoprotein lpqX</t>
  </si>
  <si>
    <t>BCG_0204</t>
  </si>
  <si>
    <t>yrbE1A</t>
  </si>
  <si>
    <t>integral membrane protein YrbE1a</t>
  </si>
  <si>
    <t>BCG_2562c</t>
  </si>
  <si>
    <t>aroF</t>
  </si>
  <si>
    <t>chorismate synthase</t>
  </si>
  <si>
    <t>BCG_2794c</t>
  </si>
  <si>
    <t>BCG_3016c</t>
  </si>
  <si>
    <t>leuB</t>
  </si>
  <si>
    <t>3-isopropylmalate dehydrogenase</t>
  </si>
  <si>
    <t>BCG_1595</t>
  </si>
  <si>
    <t>fatty acyl-CoA reductase</t>
  </si>
  <si>
    <t>BCG_3237c</t>
  </si>
  <si>
    <t>BCG_3297</t>
  </si>
  <si>
    <t>BCG_1461c</t>
  </si>
  <si>
    <t>lipI</t>
  </si>
  <si>
    <t>BCG_0057</t>
  </si>
  <si>
    <t>BCG_1159c</t>
  </si>
  <si>
    <t>glpX</t>
  </si>
  <si>
    <t>fructose 1,6-bisphosphatase II</t>
  </si>
  <si>
    <t>BCG_2022c</t>
  </si>
  <si>
    <t>BCG_2527</t>
  </si>
  <si>
    <t>proline rich membrane protein</t>
  </si>
  <si>
    <t>BCG_0630c</t>
  </si>
  <si>
    <t>BCG_1788c</t>
  </si>
  <si>
    <t>BCG_2168c</t>
  </si>
  <si>
    <t>ftsQ</t>
  </si>
  <si>
    <t>cell division protein ftsQ</t>
  </si>
  <si>
    <t>BCG_0101c</t>
  </si>
  <si>
    <t>glyA</t>
  </si>
  <si>
    <t>serine hydroxymethyltransferase</t>
  </si>
  <si>
    <t>BCG_0994c</t>
  </si>
  <si>
    <t>BCG_1817c</t>
  </si>
  <si>
    <t>cyp143</t>
  </si>
  <si>
    <t>cytochrome P450 143 cyp143</t>
  </si>
  <si>
    <t>BCG_2862c</t>
  </si>
  <si>
    <t>BCG_2911c</t>
  </si>
  <si>
    <t>rpsB</t>
  </si>
  <si>
    <t>30S ribosomal protein S2</t>
  </si>
  <si>
    <t>BCG_1856</t>
  </si>
  <si>
    <t>secA2</t>
  </si>
  <si>
    <t>preprotein translocase subunit SecA</t>
  </si>
  <si>
    <t>BCG_0089</t>
  </si>
  <si>
    <t>dnaB</t>
  </si>
  <si>
    <t>replicative DNA helicase</t>
  </si>
  <si>
    <t>BCG_0172</t>
  </si>
  <si>
    <t>cyp138</t>
  </si>
  <si>
    <t>cytochrome p450 138 cyp138</t>
  </si>
  <si>
    <t>BCG_0885</t>
  </si>
  <si>
    <t>PE_PGRS13</t>
  </si>
  <si>
    <t>BCG_1565</t>
  </si>
  <si>
    <t>BCG_1778c</t>
  </si>
  <si>
    <t>sulfate-transport transmembrane protein ABC transporter</t>
  </si>
  <si>
    <t>BCG_2490</t>
  </si>
  <si>
    <t>glbO</t>
  </si>
  <si>
    <t>globin (oxygen-binding protein) glbO</t>
  </si>
  <si>
    <t>BCG_3660c</t>
  </si>
  <si>
    <t>PE_PGRS59</t>
  </si>
  <si>
    <t>BCG_3960c</t>
  </si>
  <si>
    <t>BCG_0366c</t>
  </si>
  <si>
    <t>cyp135A1</t>
  </si>
  <si>
    <t>cytochrome P450 135A1 cyp135A1</t>
  </si>
  <si>
    <t>BCG_1200c</t>
  </si>
  <si>
    <t>BCG_2838c</t>
  </si>
  <si>
    <t>BCG_0571</t>
  </si>
  <si>
    <t>BCG_0497c</t>
  </si>
  <si>
    <t>peptidase</t>
  </si>
  <si>
    <t>BCG_0494c</t>
  </si>
  <si>
    <t>BCG_2539c</t>
  </si>
  <si>
    <t>lppS</t>
  </si>
  <si>
    <t>lipoprotein lppS</t>
  </si>
  <si>
    <t>BCG_1304</t>
  </si>
  <si>
    <t>lpqZ</t>
  </si>
  <si>
    <t>lipoprotein lpqZ</t>
  </si>
  <si>
    <t>BCG_1710c</t>
  </si>
  <si>
    <t>BCG_2281c</t>
  </si>
  <si>
    <t>BCG_3888c</t>
  </si>
  <si>
    <t>BCG_0992</t>
  </si>
  <si>
    <t>BCG_2865c</t>
  </si>
  <si>
    <t>proS</t>
  </si>
  <si>
    <t>prolyl-tRNA synthetase</t>
  </si>
  <si>
    <t>BCG_3294c</t>
  </si>
  <si>
    <t>wbbL1</t>
  </si>
  <si>
    <t>dTDP-RHA:A-D-GlcNAc-diphosphoryl polyprenol, A-3-L-rhamnosyl transferase wbbL1</t>
  </si>
  <si>
    <t>BCG_3488c</t>
  </si>
  <si>
    <t>groES</t>
  </si>
  <si>
    <t>co-chaperonin GroES</t>
  </si>
  <si>
    <t>BCG_0092</t>
  </si>
  <si>
    <t>BCG_2585</t>
  </si>
  <si>
    <t>glutamine-transport transmembrane protein ABC transporter</t>
  </si>
  <si>
    <t>BCG_1650</t>
  </si>
  <si>
    <t>trpB</t>
  </si>
  <si>
    <t>tryptophan synthase subunit beta</t>
  </si>
  <si>
    <t>BCG_2454c</t>
  </si>
  <si>
    <t>cyclase</t>
  </si>
  <si>
    <t>BCG_2990c</t>
  </si>
  <si>
    <t>membrane or hypothetical protein</t>
  </si>
  <si>
    <t>BCG_1515c</t>
  </si>
  <si>
    <t>qor</t>
  </si>
  <si>
    <t>quinone reductase qor</t>
  </si>
  <si>
    <t>BCG_1957c</t>
  </si>
  <si>
    <t>PPE35a</t>
  </si>
  <si>
    <t>BCG_1891c</t>
  </si>
  <si>
    <t>BCG_0929</t>
  </si>
  <si>
    <t>BCG_3309</t>
  </si>
  <si>
    <t>accD5</t>
  </si>
  <si>
    <t>propionyl-CoA carboxylase beta chain 5 accD5</t>
  </si>
  <si>
    <t>BCG_3595c</t>
  </si>
  <si>
    <t>BCG_0624</t>
  </si>
  <si>
    <t>BCG_1266</t>
  </si>
  <si>
    <t>fadD6</t>
  </si>
  <si>
    <t>long-chain-acyl-CoA synthetase</t>
  </si>
  <si>
    <t>BCG_1346</t>
  </si>
  <si>
    <t>BCG_1961</t>
  </si>
  <si>
    <t>BCG_2222</t>
  </si>
  <si>
    <t>BCG_2257c</t>
  </si>
  <si>
    <t>BCG_2942c</t>
  </si>
  <si>
    <t>ftsY</t>
  </si>
  <si>
    <t>cell division protein ftsY</t>
  </si>
  <si>
    <t>BCG_0213</t>
  </si>
  <si>
    <t>mce associated transmembrane protein</t>
  </si>
  <si>
    <t>BCG_3674c</t>
  </si>
  <si>
    <t>ftsH</t>
  </si>
  <si>
    <t>membrane-bound protease ftsH</t>
  </si>
  <si>
    <t>BCG_0517</t>
  </si>
  <si>
    <t>BCG_2503c</t>
  </si>
  <si>
    <t>carboxylesterase lipQ</t>
  </si>
  <si>
    <t>BCG_3387c</t>
  </si>
  <si>
    <t>BCG_0854c</t>
  </si>
  <si>
    <t>BCG_1071c</t>
  </si>
  <si>
    <t>pth</t>
  </si>
  <si>
    <t>peptidyl-tRNA hydrolase</t>
  </si>
  <si>
    <t>BCG_1576</t>
  </si>
  <si>
    <t>BCG_2374c</t>
  </si>
  <si>
    <t>BCG_3205</t>
  </si>
  <si>
    <t>BCG_3464c</t>
  </si>
  <si>
    <t>BCG_3598c</t>
  </si>
  <si>
    <t>BCG_3616</t>
  </si>
  <si>
    <t>CoA-transferase subunit beta</t>
  </si>
  <si>
    <t>BCG_0122</t>
  </si>
  <si>
    <t>BCG_0666</t>
  </si>
  <si>
    <t>galK</t>
  </si>
  <si>
    <t>galactokinase</t>
  </si>
  <si>
    <t>BCG_2038c</t>
  </si>
  <si>
    <t>BCG_2245</t>
  </si>
  <si>
    <t>BCG_2291c</t>
  </si>
  <si>
    <t>BCG_2302c</t>
  </si>
  <si>
    <t>BCG_2423</t>
  </si>
  <si>
    <t>ribonuclease Z</t>
  </si>
  <si>
    <t>BCG_2666c</t>
  </si>
  <si>
    <t>BCG_2765</t>
  </si>
  <si>
    <t>BCG_3261c</t>
  </si>
  <si>
    <t>BCG_3492c</t>
  </si>
  <si>
    <t>BCG_3537</t>
  </si>
  <si>
    <t>BCG_3550</t>
  </si>
  <si>
    <t>BCG_3722c</t>
  </si>
  <si>
    <t>dppC</t>
  </si>
  <si>
    <t>dipeptide-transport integral membrane protein ABC transporter dppC</t>
  </si>
  <si>
    <t>BCG_3947c</t>
  </si>
  <si>
    <t>esxD</t>
  </si>
  <si>
    <t>BCG_0133</t>
  </si>
  <si>
    <t>BCG_0196c</t>
  </si>
  <si>
    <t>PE4</t>
  </si>
  <si>
    <t>BCG_0659</t>
  </si>
  <si>
    <t>BCG_0683</t>
  </si>
  <si>
    <t>rpmG</t>
  </si>
  <si>
    <t>50S ribosomal protein L33</t>
  </si>
  <si>
    <t>BCG_0996</t>
  </si>
  <si>
    <t>BCG_1094c</t>
  </si>
  <si>
    <t>IS1560 transposase</t>
  </si>
  <si>
    <t>BCG_1287c</t>
  </si>
  <si>
    <t>BCG_1335c</t>
  </si>
  <si>
    <t>BCG_1614c</t>
  </si>
  <si>
    <t>treZb</t>
  </si>
  <si>
    <t>BCG_1901c</t>
  </si>
  <si>
    <t>BCG_1937</t>
  </si>
  <si>
    <t>BCG_2032c</t>
  </si>
  <si>
    <t>BCG_2456</t>
  </si>
  <si>
    <t>BCG_2712c</t>
  </si>
  <si>
    <t>BCG_3001</t>
  </si>
  <si>
    <t>BCG_3103</t>
  </si>
  <si>
    <t>hab</t>
  </si>
  <si>
    <t>hydroxylaminobenzene mutase hab</t>
  </si>
  <si>
    <t>BCG_3382</t>
  </si>
  <si>
    <t>sdhC</t>
  </si>
  <si>
    <t>succinate dehydrogenase (cytochrome B-556 subunit) SDHC</t>
  </si>
  <si>
    <t>BCG_3629</t>
  </si>
  <si>
    <t>aspB</t>
  </si>
  <si>
    <t>aspartate aminotransferase</t>
  </si>
  <si>
    <t>BCG_3765c</t>
  </si>
  <si>
    <t>BCG_3828</t>
  </si>
  <si>
    <t>BCG_3949c</t>
  </si>
  <si>
    <t>PE36</t>
  </si>
  <si>
    <t>BCG_0258</t>
  </si>
  <si>
    <t>BCG_1591</t>
  </si>
  <si>
    <t>lspA</t>
  </si>
  <si>
    <t>lipoprotein signal peptidase</t>
  </si>
  <si>
    <t>BCG_1704</t>
  </si>
  <si>
    <t>pks11</t>
  </si>
  <si>
    <t>chalcone synthase pks11</t>
  </si>
  <si>
    <t>BCG_0277</t>
  </si>
  <si>
    <t>BCG_0215</t>
  </si>
  <si>
    <t>MCE associated membrane protein</t>
  </si>
  <si>
    <t>BCG_1416c</t>
  </si>
  <si>
    <t>BCG_1533</t>
  </si>
  <si>
    <t>echA12</t>
  </si>
  <si>
    <t>BCG_1735</t>
  </si>
  <si>
    <t>BCG_1260</t>
  </si>
  <si>
    <t>BCG_0526</t>
  </si>
  <si>
    <t>BCG_0355</t>
  </si>
  <si>
    <t>beta-1,3-glucanase</t>
  </si>
  <si>
    <t>BCG_0349</t>
  </si>
  <si>
    <t>BCG_0760</t>
  </si>
  <si>
    <t>rpsQ</t>
  </si>
  <si>
    <t>30S ribosomal protein S17</t>
  </si>
  <si>
    <t>BCG_1138c</t>
  </si>
  <si>
    <t>greA</t>
  </si>
  <si>
    <t>transcription elongation factor GreA</t>
  </si>
  <si>
    <t>BCG_2141c</t>
  </si>
  <si>
    <t>metH</t>
  </si>
  <si>
    <t>5-methyltetrahydrofolate--homocystein methyltransferase MetH</t>
  </si>
  <si>
    <t>BCG_2112c</t>
  </si>
  <si>
    <t>helY</t>
  </si>
  <si>
    <t>ATP-dependent DNA helicase helY</t>
  </si>
  <si>
    <t>BCG_3524c</t>
  </si>
  <si>
    <t>rpsK</t>
  </si>
  <si>
    <t>30S ribosomal protein S11</t>
  </si>
  <si>
    <t>BCG_2292</t>
  </si>
  <si>
    <t>BCG_2941c</t>
  </si>
  <si>
    <t>ammonium-transport integral membrane protein amt</t>
  </si>
  <si>
    <t>BCG_3003c</t>
  </si>
  <si>
    <t>gpsA</t>
  </si>
  <si>
    <t>BCG_3323c</t>
  </si>
  <si>
    <t>BCG_3543</t>
  </si>
  <si>
    <t>BCG_3846</t>
  </si>
  <si>
    <t>rfbB</t>
  </si>
  <si>
    <t>dTDP-glucose 4,6-dehydratase rfbB</t>
  </si>
  <si>
    <t>BCG_0437c</t>
  </si>
  <si>
    <t>fadE7</t>
  </si>
  <si>
    <t>acyl-CoA dehydrogenase fadE7</t>
  </si>
  <si>
    <t>BCG_2989c</t>
  </si>
  <si>
    <t>BCG_3477</t>
  </si>
  <si>
    <t>BCG_0935c</t>
  </si>
  <si>
    <t>BCG_2715</t>
  </si>
  <si>
    <t>ppgK</t>
  </si>
  <si>
    <t>polyphosphate glucokinase ppgK</t>
  </si>
  <si>
    <t>BCG_3925c</t>
  </si>
  <si>
    <t>transcriptional regulatory protein whiB-like whiB6</t>
  </si>
  <si>
    <t>BCG_0252c</t>
  </si>
  <si>
    <t>fadE3</t>
  </si>
  <si>
    <t>acyl-CoA dehydrogenase fadE3</t>
  </si>
  <si>
    <t>BCG_3763c</t>
  </si>
  <si>
    <t>gshA</t>
  </si>
  <si>
    <t>glutamate--cysteine ligase</t>
  </si>
  <si>
    <t>BCG_3657</t>
  </si>
  <si>
    <t>TB11.2</t>
  </si>
  <si>
    <t>BCG_2556c</t>
  </si>
  <si>
    <t>efp</t>
  </si>
  <si>
    <t>elongation factor P</t>
  </si>
  <si>
    <t>BCG_3117c</t>
  </si>
  <si>
    <t>BCG_3929</t>
  </si>
  <si>
    <t>BCG_3561c</t>
  </si>
  <si>
    <t>mce4C</t>
  </si>
  <si>
    <t>Mce-family protein mce4C</t>
  </si>
  <si>
    <t>BCG_1238c</t>
  </si>
  <si>
    <t>fadH</t>
  </si>
  <si>
    <t>NADPH dependent 2,4-dienoyl-CoA reductase fadH</t>
  </si>
  <si>
    <t>BCG_0303c</t>
  </si>
  <si>
    <t>periplasmic iron-transport lipoprotein</t>
  </si>
  <si>
    <t>BCG_1431</t>
  </si>
  <si>
    <t>BCG_0976c</t>
  </si>
  <si>
    <t>mntH</t>
  </si>
  <si>
    <t>manganese transport protein MntH</t>
  </si>
  <si>
    <t>BCG_1873c</t>
  </si>
  <si>
    <t>BCG_1746</t>
  </si>
  <si>
    <t>BCG_0144</t>
  </si>
  <si>
    <t>acyltransferase</t>
  </si>
  <si>
    <t>BCG_2154c</t>
  </si>
  <si>
    <t>BCG_3483c</t>
  </si>
  <si>
    <t>BCG_2713</t>
  </si>
  <si>
    <t>BCG_3407c</t>
  </si>
  <si>
    <t>trpS</t>
  </si>
  <si>
    <t>tryptophanyl-tRNA synthetase</t>
  </si>
  <si>
    <t>BCG_1653</t>
  </si>
  <si>
    <t>BCG_2600</t>
  </si>
  <si>
    <t>BCG_3240c</t>
  </si>
  <si>
    <t>soj/parA-related protein</t>
  </si>
  <si>
    <t>BCG_0187c</t>
  </si>
  <si>
    <t>PE1</t>
  </si>
  <si>
    <t>BCG_0188c</t>
  </si>
  <si>
    <t>PE2</t>
  </si>
  <si>
    <t>BCG_0423</t>
  </si>
  <si>
    <t>BCG_0694c</t>
  </si>
  <si>
    <t>mmaA1</t>
  </si>
  <si>
    <t>BCG_0914c</t>
  </si>
  <si>
    <t>BCG_1116</t>
  </si>
  <si>
    <t>fadD14</t>
  </si>
  <si>
    <t>BCG_1203c</t>
  </si>
  <si>
    <t>echA11</t>
  </si>
  <si>
    <t>BCG_2478</t>
  </si>
  <si>
    <t>mmuM</t>
  </si>
  <si>
    <t>homocysteine methyltransferase</t>
  </si>
  <si>
    <t>BCG_2815c</t>
  </si>
  <si>
    <t>BCG_1205</t>
  </si>
  <si>
    <t>mcr</t>
  </si>
  <si>
    <t>alpha-methylacyl-CoA racemase mcr</t>
  </si>
  <si>
    <t>BCG_2564</t>
  </si>
  <si>
    <t>BCG_3689</t>
  </si>
  <si>
    <t>BCG_0983c</t>
  </si>
  <si>
    <t>pknDb</t>
  </si>
  <si>
    <t>BCG_0155c</t>
  </si>
  <si>
    <t>BCG_2523c</t>
  </si>
  <si>
    <t>scoB</t>
  </si>
  <si>
    <t>succinyl-CoA:3-ketoacid-coenzyme A transferase subunit beta scoB</t>
  </si>
  <si>
    <t>BCG_2846c</t>
  </si>
  <si>
    <t>BCG_3156c</t>
  </si>
  <si>
    <t>two component transcriptional regulatory protein DevR</t>
  </si>
  <si>
    <t>BCG_3441</t>
  </si>
  <si>
    <t>BCG_0228</t>
  </si>
  <si>
    <t>BCG_0599</t>
  </si>
  <si>
    <t>bpoC</t>
  </si>
  <si>
    <t>peroxidase bpoC</t>
  </si>
  <si>
    <t>BCG_2421</t>
  </si>
  <si>
    <t>BCG_3192</t>
  </si>
  <si>
    <t>BCG_3194</t>
  </si>
  <si>
    <t>aofH</t>
  </si>
  <si>
    <t>flavin-containing monoamine oxidase AofH</t>
  </si>
  <si>
    <t>BCG_3196c</t>
  </si>
  <si>
    <t>BCG_3315c</t>
  </si>
  <si>
    <t>sigF</t>
  </si>
  <si>
    <t>RNA polymerase sigma factor SigF</t>
  </si>
  <si>
    <t>BCG_3498c</t>
  </si>
  <si>
    <t>gadB</t>
  </si>
  <si>
    <t>glutamate decarboxylase gadB</t>
  </si>
  <si>
    <t>BCG_1555</t>
  </si>
  <si>
    <t>mutA</t>
  </si>
  <si>
    <t>methylmalonyl-CoA mutase small subunit mutA</t>
  </si>
  <si>
    <t>BCG_1600</t>
  </si>
  <si>
    <t>dnaE</t>
  </si>
  <si>
    <t>DNA polymerase III subunit alpha</t>
  </si>
  <si>
    <t>BCG_1178</t>
  </si>
  <si>
    <t>BCG_0863c</t>
  </si>
  <si>
    <t>BCG_1690c</t>
  </si>
  <si>
    <t>PE_PGRS30</t>
  </si>
  <si>
    <t>BCG_2805</t>
  </si>
  <si>
    <t>BCG_0171c</t>
  </si>
  <si>
    <t>BCG_0695c</t>
  </si>
  <si>
    <t>lipG</t>
  </si>
  <si>
    <t>lipase/esterase lipG</t>
  </si>
  <si>
    <t>BCG_1559</t>
  </si>
  <si>
    <t>arginine/ornithine transport system ATPase</t>
  </si>
  <si>
    <t>BCG_3216c</t>
  </si>
  <si>
    <t>BCG_1338</t>
  </si>
  <si>
    <t>dehydrogenase FAD flavoprotein GMC oxidoreductase</t>
  </si>
  <si>
    <t>BCG_3116</t>
  </si>
  <si>
    <t>BCG_1721</t>
  </si>
  <si>
    <t>BCG_2738c</t>
  </si>
  <si>
    <t>hflX</t>
  </si>
  <si>
    <t>GTP-binding protein hflX</t>
  </si>
  <si>
    <t>BCG_1872c</t>
  </si>
  <si>
    <t>glcB</t>
  </si>
  <si>
    <t>malate synthase G</t>
  </si>
  <si>
    <t>BCG_1055</t>
  </si>
  <si>
    <t>BCG_2153c</t>
  </si>
  <si>
    <t>UDP pyrophosphate phosphatase</t>
  </si>
  <si>
    <t>BCG_3845</t>
  </si>
  <si>
    <t>rfbD</t>
  </si>
  <si>
    <t>O-antigen/lipopolysaccharide transport integral membrane protein ABC transporter rfbD</t>
  </si>
  <si>
    <t>BCG_0382</t>
  </si>
  <si>
    <t>iniC</t>
  </si>
  <si>
    <t>isoniazid inductible gene protein iniC</t>
  </si>
  <si>
    <t>BCG_3450c</t>
  </si>
  <si>
    <t>dxs2</t>
  </si>
  <si>
    <t>BCG_1005</t>
  </si>
  <si>
    <t>sucC</t>
  </si>
  <si>
    <t>succinyl-CoA synthetase subunit beta</t>
  </si>
  <si>
    <t>BCG_1652</t>
  </si>
  <si>
    <t>lgt</t>
  </si>
  <si>
    <t>prolipoprotein diacylglyceryl transferase</t>
  </si>
  <si>
    <t>BCG_1254c</t>
  </si>
  <si>
    <t>BCG_1479</t>
  </si>
  <si>
    <t>lprH</t>
  </si>
  <si>
    <t>lipoprotein lprH</t>
  </si>
  <si>
    <t>BCG_0301c</t>
  </si>
  <si>
    <t>BCG_2947c</t>
  </si>
  <si>
    <t>rnc</t>
  </si>
  <si>
    <t>ribonuclease III</t>
  </si>
  <si>
    <t>BCG_0635</t>
  </si>
  <si>
    <t>mce2B</t>
  </si>
  <si>
    <t>mce-family protein mce2B</t>
  </si>
  <si>
    <t>BCG_1246c</t>
  </si>
  <si>
    <t>BCG_1489c</t>
  </si>
  <si>
    <t>BCG_1507c</t>
  </si>
  <si>
    <t>opcA</t>
  </si>
  <si>
    <t>OXPP cycle protein opcA</t>
  </si>
  <si>
    <t>BCG_2252</t>
  </si>
  <si>
    <t>BCG_2358</t>
  </si>
  <si>
    <t>BCG_2753c</t>
  </si>
  <si>
    <t>alanine rich transferase</t>
  </si>
  <si>
    <t>BCG_2922c</t>
  </si>
  <si>
    <t>BCG_3491c</t>
  </si>
  <si>
    <t>BCG_0019</t>
  </si>
  <si>
    <t>trxB2_2</t>
  </si>
  <si>
    <t>thioredoxin reductase trxB2 (TRXR)</t>
  </si>
  <si>
    <t>BCG_0501</t>
  </si>
  <si>
    <t>BCG_3954c</t>
  </si>
  <si>
    <t>BCG_3222c</t>
  </si>
  <si>
    <t>UvrD2</t>
  </si>
  <si>
    <t>DNA helicase II</t>
  </si>
  <si>
    <t>BCG_1070</t>
  </si>
  <si>
    <t>pks16</t>
  </si>
  <si>
    <t>BCG_0012</t>
  </si>
  <si>
    <t>BCG_0836</t>
  </si>
  <si>
    <t>BCG_3517</t>
  </si>
  <si>
    <t>cut3</t>
  </si>
  <si>
    <t>cutinase precursor cut3</t>
  </si>
  <si>
    <t>BCG_3814c</t>
  </si>
  <si>
    <t>BCG_2720</t>
  </si>
  <si>
    <t>transmembrane alanine and leucine rich protein</t>
  </si>
  <si>
    <t>BCG_2578c</t>
  </si>
  <si>
    <t>alaS</t>
  </si>
  <si>
    <t>alanyl-tRNA synthetase</t>
  </si>
  <si>
    <t>BCG_0160</t>
  </si>
  <si>
    <t>treS</t>
  </si>
  <si>
    <t>trehalose synthase treS</t>
  </si>
  <si>
    <t>BCG_1556</t>
  </si>
  <si>
    <t>mutB</t>
  </si>
  <si>
    <t>methylmalonyl-CoA mutase</t>
  </si>
  <si>
    <t>BCG_0837</t>
  </si>
  <si>
    <t>BCG_1769c</t>
  </si>
  <si>
    <t>penicillin-binding protein</t>
  </si>
  <si>
    <t>BCG_2502c</t>
  </si>
  <si>
    <t>BCG_2240c</t>
  </si>
  <si>
    <t>BCG_3777</t>
  </si>
  <si>
    <t>BCG_2736</t>
  </si>
  <si>
    <t>BCG_0769</t>
  </si>
  <si>
    <t>rplF</t>
  </si>
  <si>
    <t>50S ribosomal protein L6</t>
  </si>
  <si>
    <t>BCG_1390</t>
  </si>
  <si>
    <t>glgP</t>
  </si>
  <si>
    <t>glycogen phosphorylase glgP</t>
  </si>
  <si>
    <t>BCG_3226c</t>
  </si>
  <si>
    <t>BCG_0056</t>
  </si>
  <si>
    <t>BCG_0118</t>
  </si>
  <si>
    <t>hycP</t>
  </si>
  <si>
    <t>hydrogenase hycP</t>
  </si>
  <si>
    <t>BCG_0373</t>
  </si>
  <si>
    <t>rmlA</t>
  </si>
  <si>
    <t>glucose-1-phosphate thymidylyltransferase rmlA</t>
  </si>
  <si>
    <t>BCG_1320c</t>
  </si>
  <si>
    <t>BCG_1763c</t>
  </si>
  <si>
    <t>BCG_1911</t>
  </si>
  <si>
    <t>BCG_1935c</t>
  </si>
  <si>
    <t>BCG_1958c</t>
  </si>
  <si>
    <t>BCG_2184c</t>
  </si>
  <si>
    <t>BCG_2869c</t>
  </si>
  <si>
    <t>cobO</t>
  </si>
  <si>
    <t>cob(I)yrinic acid a,c-diamide adenosyltransferase</t>
  </si>
  <si>
    <t>BCG_2965</t>
  </si>
  <si>
    <t>transposase for insertion sequence element IS1533</t>
  </si>
  <si>
    <t>BCG_3542</t>
  </si>
  <si>
    <t>BCG_0083</t>
  </si>
  <si>
    <t>BCG_0288c</t>
  </si>
  <si>
    <t>BCG_0454</t>
  </si>
  <si>
    <t>thiO</t>
  </si>
  <si>
    <t>thiamine biosynthesis oxidoreductase thiO</t>
  </si>
  <si>
    <t>BCG_0814c</t>
  </si>
  <si>
    <t>BCG_1047c</t>
  </si>
  <si>
    <t>BCG_2012</t>
  </si>
  <si>
    <t>BCG_2033</t>
  </si>
  <si>
    <t>BCG_2770c</t>
  </si>
  <si>
    <t>thyX</t>
  </si>
  <si>
    <t>FAD-dependent thymidylate synthase</t>
  </si>
  <si>
    <t>BCG_2782</t>
  </si>
  <si>
    <t>alanine rich hydrolase</t>
  </si>
  <si>
    <t>BCG_3096</t>
  </si>
  <si>
    <t>BCG_3243</t>
  </si>
  <si>
    <t>BCG_3958c</t>
  </si>
  <si>
    <t>BCG_2477c</t>
  </si>
  <si>
    <t>clpX</t>
  </si>
  <si>
    <t>ATP-dependent protease ATP-binding subunit ClpX</t>
  </si>
  <si>
    <t>BCG_0278</t>
  </si>
  <si>
    <t>BCG_0886c</t>
  </si>
  <si>
    <t>PE_PGRS14</t>
  </si>
  <si>
    <t>BCG_0956c</t>
  </si>
  <si>
    <t>accD3</t>
  </si>
  <si>
    <t>acetyl-coenzyme A carboxylase carboxyl transferase (subunit beta) accD3</t>
  </si>
  <si>
    <t>BCG_1718</t>
  </si>
  <si>
    <t>BCG_2473c</t>
  </si>
  <si>
    <t>mobA</t>
  </si>
  <si>
    <t>molybdopterin-guanine dinucleotide biosynthesis protein A</t>
  </si>
  <si>
    <t>BCG_2627</t>
  </si>
  <si>
    <t>BCG_2932</t>
  </si>
  <si>
    <t>dacB2</t>
  </si>
  <si>
    <t>D-alanyl-D-alanine carboxypeptidase</t>
  </si>
  <si>
    <t>BCG_2998c</t>
  </si>
  <si>
    <t>thiL</t>
  </si>
  <si>
    <t>thiamine monophosphate kinase</t>
  </si>
  <si>
    <t>BCG_3574c</t>
  </si>
  <si>
    <t>BCG_0697</t>
  </si>
  <si>
    <t>alpha-mannosidase</t>
  </si>
  <si>
    <t>BCG_3509c</t>
  </si>
  <si>
    <t>rplM</t>
  </si>
  <si>
    <t>50S ribosomal protein L13</t>
  </si>
  <si>
    <t>BCG_3246</t>
  </si>
  <si>
    <t>whiB1_1</t>
  </si>
  <si>
    <t>transcriptional regulatory protein whiB-like whiB1</t>
  </si>
  <si>
    <t>BCG_1905c</t>
  </si>
  <si>
    <t>reductase</t>
  </si>
  <si>
    <t>BCG_0679c</t>
  </si>
  <si>
    <t>echA3</t>
  </si>
  <si>
    <t>BCG_0504c</t>
  </si>
  <si>
    <t>BCG_0960</t>
  </si>
  <si>
    <t>ctpE</t>
  </si>
  <si>
    <t>metal cation transporter atpase P-type ctpE</t>
  </si>
  <si>
    <t>BCG_2312</t>
  </si>
  <si>
    <t>BCG_1806c</t>
  </si>
  <si>
    <t>BCG_1832</t>
  </si>
  <si>
    <t>PPE28</t>
  </si>
  <si>
    <t>BCG_3890c</t>
  </si>
  <si>
    <t>BCG_3233c</t>
  </si>
  <si>
    <t>BCG_1521</t>
  </si>
  <si>
    <t>BCG_2175c</t>
  </si>
  <si>
    <t>murE</t>
  </si>
  <si>
    <t>UDP-N-acetylmuramoylalanyl-D-glutamate--2,6-diaminopimelate ligase</t>
  </si>
  <si>
    <t>BCG_3936c</t>
  </si>
  <si>
    <t>BCG_1036</t>
  </si>
  <si>
    <t>mprA</t>
  </si>
  <si>
    <t>two component response transcriptional regulatory protein MprA</t>
  </si>
  <si>
    <t>BCG_0154c</t>
  </si>
  <si>
    <t>fusA2b</t>
  </si>
  <si>
    <t>elongation factor G</t>
  </si>
  <si>
    <t>BCG_0390</t>
  </si>
  <si>
    <t>grpE</t>
  </si>
  <si>
    <t>heat shock protein GrpE</t>
  </si>
  <si>
    <t>BCG_3822</t>
  </si>
  <si>
    <t>lpqH</t>
  </si>
  <si>
    <t>19 kDa lipoprotein antigen precursor lpqH</t>
  </si>
  <si>
    <t>BCG_1261c</t>
  </si>
  <si>
    <t>BCG_1058</t>
  </si>
  <si>
    <t>arcA</t>
  </si>
  <si>
    <t>arginine deiminase</t>
  </si>
  <si>
    <t>BCG_0686</t>
  </si>
  <si>
    <t>(3R)-hydroxyacyl-ACP dehydratase subunit HadC</t>
  </si>
  <si>
    <t>BCG_0046c</t>
  </si>
  <si>
    <t>pbpA</t>
  </si>
  <si>
    <t>penicillin-binding protein pbpA</t>
  </si>
  <si>
    <t>BCG_1676</t>
  </si>
  <si>
    <t>uvrA</t>
  </si>
  <si>
    <t>excinuclease ABC subunit A</t>
  </si>
  <si>
    <t>BCG_1867</t>
  </si>
  <si>
    <t>gcvB</t>
  </si>
  <si>
    <t>glycine dehydrogenase</t>
  </si>
  <si>
    <t>BCG_2361</t>
  </si>
  <si>
    <t>mmpL9a</t>
  </si>
  <si>
    <t>transmembrane transport protein mmpL9a</t>
  </si>
  <si>
    <t>BCG_3062c</t>
  </si>
  <si>
    <t>BCG_0936c</t>
  </si>
  <si>
    <t>serC</t>
  </si>
  <si>
    <t>phosphoserine aminotransferase</t>
  </si>
  <si>
    <t>BCG_1621</t>
  </si>
  <si>
    <t>bioA</t>
  </si>
  <si>
    <t>adenosylmethionine-8-amino-7-oxononanoate aminotransferase</t>
  </si>
  <si>
    <t>BCG_3054</t>
  </si>
  <si>
    <t>BCG_3820c</t>
  </si>
  <si>
    <t>fadE36</t>
  </si>
  <si>
    <t>acyl-CoA dehydrogenase fadE36</t>
  </si>
  <si>
    <t>BCG_0660c</t>
  </si>
  <si>
    <t>BCG_3967</t>
  </si>
  <si>
    <t>BCG_1671</t>
  </si>
  <si>
    <t>uvrB</t>
  </si>
  <si>
    <t>excinuclease ABC subunit B</t>
  </si>
  <si>
    <t>BCG_2880c</t>
  </si>
  <si>
    <t>aldC</t>
  </si>
  <si>
    <t>aldehyde dehydrogenase aldC</t>
  </si>
  <si>
    <t>BCG_3647c</t>
  </si>
  <si>
    <t>ispD</t>
  </si>
  <si>
    <t>2-C-methyl-D-erythritol 4-phosphate cytidylyltransferase</t>
  </si>
  <si>
    <t>BCG_3740c</t>
  </si>
  <si>
    <t>whiB4</t>
  </si>
  <si>
    <t>transcriptional regulatory protein whiB-like whiB4</t>
  </si>
  <si>
    <t>BCG_2891c</t>
  </si>
  <si>
    <t>BCG_3523c</t>
  </si>
  <si>
    <t>rpsD</t>
  </si>
  <si>
    <t>30S ribosomal protein S4</t>
  </si>
  <si>
    <t>BCG_2883c</t>
  </si>
  <si>
    <t>mapB</t>
  </si>
  <si>
    <t>methionine aminopeptidase</t>
  </si>
  <si>
    <t>BCG_0085</t>
  </si>
  <si>
    <t>ssb</t>
  </si>
  <si>
    <t>single-stranded DNA-binding protein</t>
  </si>
  <si>
    <t>BCG_1204c</t>
  </si>
  <si>
    <t>echA10</t>
  </si>
  <si>
    <t>BCG_2186</t>
  </si>
  <si>
    <t>lppM</t>
  </si>
  <si>
    <t>lipoprotein lppM</t>
  </si>
  <si>
    <t>BCG_3461c</t>
  </si>
  <si>
    <t>cmaA1</t>
  </si>
  <si>
    <t>cyclopropane-fatty-acyl-phospholipid synthase 1 cmaA1</t>
  </si>
  <si>
    <t>BCG_2300</t>
  </si>
  <si>
    <t>BCG_2645</t>
  </si>
  <si>
    <t>BCG_1420</t>
  </si>
  <si>
    <t>BCG_1738</t>
  </si>
  <si>
    <t>BCG_2616c</t>
  </si>
  <si>
    <t>ruvA</t>
  </si>
  <si>
    <t>Holliday junction DNA helicase RuvA</t>
  </si>
  <si>
    <t>BCG_3545c</t>
  </si>
  <si>
    <t>BCG_3583</t>
  </si>
  <si>
    <t>BCG_3286c</t>
  </si>
  <si>
    <t>manB</t>
  </si>
  <si>
    <t>phosphomannomutase</t>
  </si>
  <si>
    <t>BCG_0375</t>
  </si>
  <si>
    <t>BCG_2475c</t>
  </si>
  <si>
    <t>oxidoreductase subunit alpha</t>
  </si>
  <si>
    <t>BCG_1669</t>
  </si>
  <si>
    <t>coaE</t>
  </si>
  <si>
    <t>dephospho-CoA kinase/protein folding accessory domain-containing protein</t>
  </si>
  <si>
    <t>BCG_3785</t>
  </si>
  <si>
    <t>BCG_0283</t>
  </si>
  <si>
    <t>BCG_0707c</t>
  </si>
  <si>
    <t>BCG_1463</t>
  </si>
  <si>
    <t>priA</t>
  </si>
  <si>
    <t>primosome assembly protein PriA</t>
  </si>
  <si>
    <t>BCG_1622</t>
  </si>
  <si>
    <t>bioF1</t>
  </si>
  <si>
    <t>8-amino-7-oxononanoate synthase</t>
  </si>
  <si>
    <t>BCG_2614</t>
  </si>
  <si>
    <t>PE_PGRS44</t>
  </si>
  <si>
    <t>BCG_2701c</t>
  </si>
  <si>
    <t>antibiotic-transport ATP-binding protein ABC transporter</t>
  </si>
  <si>
    <t>BCG_3951c</t>
  </si>
  <si>
    <t>BCG_0547c</t>
  </si>
  <si>
    <t>BCG_2820c</t>
  </si>
  <si>
    <t>BCG_2839c</t>
  </si>
  <si>
    <t>BCG_1547</t>
  </si>
  <si>
    <t>hemH</t>
  </si>
  <si>
    <t>ferrochelatase</t>
  </si>
  <si>
    <t>BCG_2750c</t>
  </si>
  <si>
    <t>recA</t>
  </si>
  <si>
    <t>DNA recombination protein RecA</t>
  </si>
  <si>
    <t>BCG_0205</t>
  </si>
  <si>
    <t>yrbE1B</t>
  </si>
  <si>
    <t>integral membrane protein YrbE1b</t>
  </si>
  <si>
    <t>BCG_0573</t>
  </si>
  <si>
    <t>BCG_2296</t>
  </si>
  <si>
    <t>pitB</t>
  </si>
  <si>
    <t>phosphate-transport permease PitB</t>
  </si>
  <si>
    <t>BCG_3296</t>
  </si>
  <si>
    <t>BCG_0959</t>
  </si>
  <si>
    <t>BCG_2181c</t>
  </si>
  <si>
    <t>BCG_0447</t>
  </si>
  <si>
    <t>pta</t>
  </si>
  <si>
    <t>phosphate acetyltransferase</t>
  </si>
  <si>
    <t>BCG_3399</t>
  </si>
  <si>
    <t>BCG_0539</t>
  </si>
  <si>
    <t>BCG_3076c</t>
  </si>
  <si>
    <t>nrdI</t>
  </si>
  <si>
    <t>ribonucleotide reductase stimulatory protein</t>
  </si>
  <si>
    <t>BCG_2609c</t>
  </si>
  <si>
    <t>secF</t>
  </si>
  <si>
    <t>preprotein translocase subunit SecF</t>
  </si>
  <si>
    <t>BCG_0821</t>
  </si>
  <si>
    <t>BCG_2346c</t>
  </si>
  <si>
    <t>BCG_0090</t>
  </si>
  <si>
    <t>BCG_3736c</t>
  </si>
  <si>
    <t>BCG_1040c</t>
  </si>
  <si>
    <t>mscL</t>
  </si>
  <si>
    <t>large-conductance mechanosensitive channel</t>
  </si>
  <si>
    <t>BCG_3125c</t>
  </si>
  <si>
    <t>smpB</t>
  </si>
  <si>
    <t>SsrA-binding protein</t>
  </si>
  <si>
    <t>BCG_3621c</t>
  </si>
  <si>
    <t>BCG_0112</t>
  </si>
  <si>
    <t>BCG_0778c</t>
  </si>
  <si>
    <t>serA2</t>
  </si>
  <si>
    <t>D-3-phosphoglycerate dehydrogenase serA2</t>
  </si>
  <si>
    <t>BCG_0828c</t>
  </si>
  <si>
    <t>BCG_0998</t>
  </si>
  <si>
    <t>BCG_1583</t>
  </si>
  <si>
    <t>BCG_1644</t>
  </si>
  <si>
    <t>hisI</t>
  </si>
  <si>
    <t>phosphoribosyl-AMP cyclohydrolase</t>
  </si>
  <si>
    <t>BCG_2389</t>
  </si>
  <si>
    <t>BCG_3453c</t>
  </si>
  <si>
    <t>BCG_0130</t>
  </si>
  <si>
    <t>BCG_0797</t>
  </si>
  <si>
    <t>PE_PGRS10</t>
  </si>
  <si>
    <t>BCG_1286c</t>
  </si>
  <si>
    <t>BCG_1662c</t>
  </si>
  <si>
    <t>BCG_1869</t>
  </si>
  <si>
    <t>BCG_1995</t>
  </si>
  <si>
    <t>BCG_2133</t>
  </si>
  <si>
    <t>lppK</t>
  </si>
  <si>
    <t>lipoprotein lppK</t>
  </si>
  <si>
    <t>BCG_2265</t>
  </si>
  <si>
    <t>BCG_2572c</t>
  </si>
  <si>
    <t>BCG_2688c</t>
  </si>
  <si>
    <t>BCG_2754</t>
  </si>
  <si>
    <t>ephG</t>
  </si>
  <si>
    <t>epoxide hydrolase</t>
  </si>
  <si>
    <t>BCG_2852c</t>
  </si>
  <si>
    <t>ugpC</t>
  </si>
  <si>
    <t>sn-glycerol-3-phosphate transport ATP-binding protein ABC transporter ugpC</t>
  </si>
  <si>
    <t>BCG_3057</t>
  </si>
  <si>
    <t>BCG_3580</t>
  </si>
  <si>
    <t>BCG_3599c</t>
  </si>
  <si>
    <t>acetaldehyde dehydrogenase</t>
  </si>
  <si>
    <t>BCG_2818</t>
  </si>
  <si>
    <t>BCG_3069</t>
  </si>
  <si>
    <t>adhC</t>
  </si>
  <si>
    <t>NADP-dependent alcohol dehydrogenase adhC</t>
  </si>
  <si>
    <t>BCG_2872c</t>
  </si>
  <si>
    <t>mqo</t>
  </si>
  <si>
    <t>malate:quinone oxidoreductase</t>
  </si>
  <si>
    <t>BCG_1385</t>
  </si>
  <si>
    <t>fadA4</t>
  </si>
  <si>
    <t>BCG_2631c</t>
  </si>
  <si>
    <t>pyridoxal biosynthesis lyase PdxS</t>
  </si>
  <si>
    <t>BCG_0716</t>
  </si>
  <si>
    <t>rpoB</t>
  </si>
  <si>
    <t>DNA-directed RNA polymerase subunit beta</t>
  </si>
  <si>
    <t>BCG_1233</t>
  </si>
  <si>
    <t>mshB</t>
  </si>
  <si>
    <t>N-Acetyl-1-D-myo-Inosityl-2-amino-2-deoxy-alpha- D-glucopyranoside deacetylase mshB</t>
  </si>
  <si>
    <t>BCG_2796c</t>
  </si>
  <si>
    <t>lrp/asnC family transcriptional regulator</t>
  </si>
  <si>
    <t>BCG_1264c</t>
  </si>
  <si>
    <t>BCG_3127c</t>
  </si>
  <si>
    <t>ftsE</t>
  </si>
  <si>
    <t>cell division ATP-binding protein ftsE</t>
  </si>
  <si>
    <t>BCG_0163c</t>
  </si>
  <si>
    <t>fbpC</t>
  </si>
  <si>
    <t>BCG_0685</t>
  </si>
  <si>
    <t>(3R)-hydroxyacyl-ACP dehydratase subunit HadB</t>
  </si>
  <si>
    <t>BCG_1217</t>
  </si>
  <si>
    <t>BCG_0060</t>
  </si>
  <si>
    <t>BCG_1637</t>
  </si>
  <si>
    <t>hisD</t>
  </si>
  <si>
    <t>histidinol dehydrogenase</t>
  </si>
  <si>
    <t>BCG_2613</t>
  </si>
  <si>
    <t>fatty-acid-CoA ligase fadD9</t>
  </si>
  <si>
    <t>BCG_1399</t>
  </si>
  <si>
    <t>BCG_3005</t>
  </si>
  <si>
    <t>ppk</t>
  </si>
  <si>
    <t>polyphosphate kinase</t>
  </si>
  <si>
    <t>BCG_1161c</t>
  </si>
  <si>
    <t>BCG_2025c</t>
  </si>
  <si>
    <t>BCG_2493</t>
  </si>
  <si>
    <t>BCG_2643</t>
  </si>
  <si>
    <t>BCG_2930c</t>
  </si>
  <si>
    <t>rpsP</t>
  </si>
  <si>
    <t>30S ribosomal protein S16</t>
  </si>
  <si>
    <t>BCG_2940c</t>
  </si>
  <si>
    <t>glnB</t>
  </si>
  <si>
    <t>nitrogen regulatory protein P-II glnB</t>
  </si>
  <si>
    <t>BCG_2014</t>
  </si>
  <si>
    <t>metal cation transporter P-type atpase A ctpF</t>
  </si>
  <si>
    <t>BCG_2664</t>
  </si>
  <si>
    <t>dedA</t>
  </si>
  <si>
    <t>transmembrane protein dedA</t>
  </si>
  <si>
    <t>BCG_2905</t>
  </si>
  <si>
    <t>BCG_3832c</t>
  </si>
  <si>
    <t>BCG_3894</t>
  </si>
  <si>
    <t>BCG_1503</t>
  </si>
  <si>
    <t>bisC</t>
  </si>
  <si>
    <t>biotin sulfoxide reductase bisC</t>
  </si>
  <si>
    <t>BCG_2250</t>
  </si>
  <si>
    <t>BCG_0637</t>
  </si>
  <si>
    <t>mce2Da</t>
  </si>
  <si>
    <t>mce-family protein mce2Da</t>
  </si>
  <si>
    <t>BCG_1528c</t>
  </si>
  <si>
    <t>fadE15</t>
  </si>
  <si>
    <t>acyl-CoA dehydrogenase fadE15</t>
  </si>
  <si>
    <t>BCG_1700</t>
  </si>
  <si>
    <t>pks7</t>
  </si>
  <si>
    <t>polyketide synthase pks7</t>
  </si>
  <si>
    <t>BCG_3067c</t>
  </si>
  <si>
    <t>ctaD</t>
  </si>
  <si>
    <t>cytochrome C oxidase polypeptide I ctaD</t>
  </si>
  <si>
    <t>BCG_2637c</t>
  </si>
  <si>
    <t>pgsA1</t>
  </si>
  <si>
    <t>phosphatidylinositol synthase pgsA1</t>
  </si>
  <si>
    <t>BCG_3285c</t>
  </si>
  <si>
    <t>BCG_0518</t>
  </si>
  <si>
    <t>BCG_1820</t>
  </si>
  <si>
    <t>PE18</t>
  </si>
  <si>
    <t>BCG_3053</t>
  </si>
  <si>
    <t>BCG_3460</t>
  </si>
  <si>
    <t>acrA1</t>
  </si>
  <si>
    <t>BCG_3462</t>
  </si>
  <si>
    <t>iunH</t>
  </si>
  <si>
    <t>nucleoside hydrolase iunH</t>
  </si>
  <si>
    <t>BCG_3751</t>
  </si>
  <si>
    <t>moxR2</t>
  </si>
  <si>
    <t>methanol dehydrogenase transcriptional regulatory protein moxR2</t>
  </si>
  <si>
    <t>BCG_3963c</t>
  </si>
  <si>
    <t>BCG_0550</t>
  </si>
  <si>
    <t>mmpL2</t>
  </si>
  <si>
    <t>transmembrane transport protein mmpL2</t>
  </si>
  <si>
    <t>BCG_0235c</t>
  </si>
  <si>
    <t>zinc metalloprotease</t>
  </si>
  <si>
    <t>BCG_0691c</t>
  </si>
  <si>
    <t>mmaA4</t>
  </si>
  <si>
    <t>BCG_3769c</t>
  </si>
  <si>
    <t>ask</t>
  </si>
  <si>
    <t>aspartate kinase</t>
  </si>
  <si>
    <t>BCG_0128c</t>
  </si>
  <si>
    <t>BCG_1202</t>
  </si>
  <si>
    <t>BCG_1672</t>
  </si>
  <si>
    <t>drug efflux membrane protein</t>
  </si>
  <si>
    <t>BCG_2293</t>
  </si>
  <si>
    <t>cyp121</t>
  </si>
  <si>
    <t>cytochrome P450 121 CYP121</t>
  </si>
  <si>
    <t>BCG_2335c</t>
  </si>
  <si>
    <t>BCG_2868c</t>
  </si>
  <si>
    <t>cobB</t>
  </si>
  <si>
    <t>cobyrinic acid a,c-diamide synthase</t>
  </si>
  <si>
    <t>BCG_3015</t>
  </si>
  <si>
    <t>BCG_0521c</t>
  </si>
  <si>
    <t>BCG_3729c</t>
  </si>
  <si>
    <t>membrane-associated serine protease</t>
  </si>
  <si>
    <t>BCG_1525</t>
  </si>
  <si>
    <t>csd</t>
  </si>
  <si>
    <t>cysteine desulfurase csd</t>
  </si>
  <si>
    <t>BCG_1752</t>
  </si>
  <si>
    <t>engA</t>
  </si>
  <si>
    <t>GTP-binding protein EngA</t>
  </si>
  <si>
    <t>BCG_0824</t>
  </si>
  <si>
    <t>purD</t>
  </si>
  <si>
    <t>phosphoribosylamine--glycine ligase</t>
  </si>
  <si>
    <t>BCG_3130c</t>
  </si>
  <si>
    <t>prfB</t>
  </si>
  <si>
    <t>peptide chain release factor 2</t>
  </si>
  <si>
    <t>BCG_3277c</t>
  </si>
  <si>
    <t>sahH</t>
  </si>
  <si>
    <t>S-adenosyl-L-homocysteine hydrolase</t>
  </si>
  <si>
    <t>BCG_0134</t>
  </si>
  <si>
    <t>nrp</t>
  </si>
  <si>
    <t>peptide synthetase nrp</t>
  </si>
  <si>
    <t>BCG_0308</t>
  </si>
  <si>
    <t>fadD2</t>
  </si>
  <si>
    <t>BCG_0354c</t>
  </si>
  <si>
    <t>BCG_1096c</t>
  </si>
  <si>
    <t>esxJ</t>
  </si>
  <si>
    <t>ESAT-6 like protein 2</t>
  </si>
  <si>
    <t>BCG_3945c</t>
  </si>
  <si>
    <t>BCG_1786</t>
  </si>
  <si>
    <t>BCG_1245</t>
  </si>
  <si>
    <t>mmpL10</t>
  </si>
  <si>
    <t>transmembrane transport protein mmpL10</t>
  </si>
  <si>
    <t>BCG_1601c</t>
  </si>
  <si>
    <t>PPE21</t>
  </si>
  <si>
    <t>BCG_1630c</t>
  </si>
  <si>
    <t>BCG_0309c</t>
  </si>
  <si>
    <t>fadE6</t>
  </si>
  <si>
    <t>acyl-CoA dehydrogenase fadE6</t>
  </si>
  <si>
    <t>BCG_3101</t>
  </si>
  <si>
    <t>BCG_3738</t>
  </si>
  <si>
    <t>BCG_3241</t>
  </si>
  <si>
    <t>gpm2_1</t>
  </si>
  <si>
    <t>BCG_3504</t>
  </si>
  <si>
    <t>BCG_3735c</t>
  </si>
  <si>
    <t>BCG_1932c</t>
  </si>
  <si>
    <t>BCG_2583</t>
  </si>
  <si>
    <t>proline and glycine rich transmembrane protein</t>
  </si>
  <si>
    <t>BCG_3257</t>
  </si>
  <si>
    <t>aroA_1</t>
  </si>
  <si>
    <t>3-phosphoshikimate 1-carboxyvinyltransferase</t>
  </si>
  <si>
    <t>BCG_1597</t>
  </si>
  <si>
    <t>ketoacyl reductase</t>
  </si>
  <si>
    <t>BCG_1658c</t>
  </si>
  <si>
    <t>cydC</t>
  </si>
  <si>
    <t>cytochrome assembly ABC transporter ATP-binding protein CydC</t>
  </si>
  <si>
    <t>BCG_1848</t>
  </si>
  <si>
    <t>erg3</t>
  </si>
  <si>
    <t>membrane-bound C-5 sterol desaturase erg3</t>
  </si>
  <si>
    <t>BCG_2198c</t>
  </si>
  <si>
    <t>BCG_0307c</t>
  </si>
  <si>
    <t>BCG_0703</t>
  </si>
  <si>
    <t>BCG_1430</t>
  </si>
  <si>
    <t>lprF</t>
  </si>
  <si>
    <t>lipoprotein lprF</t>
  </si>
  <si>
    <t>BCG_1793c</t>
  </si>
  <si>
    <t>BCG_2733</t>
  </si>
  <si>
    <t>lexA</t>
  </si>
  <si>
    <t>LexA repressor</t>
  </si>
  <si>
    <t>BCG_3386c</t>
  </si>
  <si>
    <t>BCG_3620c</t>
  </si>
  <si>
    <t>fadA6</t>
  </si>
  <si>
    <t>BCG_3622</t>
  </si>
  <si>
    <t>PPE64</t>
  </si>
  <si>
    <t>BCG_1673c</t>
  </si>
  <si>
    <t>BCG_0478c</t>
  </si>
  <si>
    <t>BCG_1358</t>
  </si>
  <si>
    <t>rpmE</t>
  </si>
  <si>
    <t>50S ribosomal protein L31</t>
  </si>
  <si>
    <t>BCG_3922c</t>
  </si>
  <si>
    <t>gltB</t>
  </si>
  <si>
    <t>ferredoxin-dependent glutamate synthase large subunit GltB</t>
  </si>
  <si>
    <t>BCG_1003</t>
  </si>
  <si>
    <t>uvrD1</t>
  </si>
  <si>
    <t>ATP dependent DNA helicase uvrD1</t>
  </si>
  <si>
    <t>BCG_0430</t>
  </si>
  <si>
    <t>BCG_0483c</t>
  </si>
  <si>
    <t>BCG_1269</t>
  </si>
  <si>
    <t>BCG_1319</t>
  </si>
  <si>
    <t>BCG_1383</t>
  </si>
  <si>
    <t>BCG_1636c</t>
  </si>
  <si>
    <t>BCG_2122c</t>
  </si>
  <si>
    <t>BCG_3081</t>
  </si>
  <si>
    <t>dinP</t>
  </si>
  <si>
    <t>BCG_0176</t>
  </si>
  <si>
    <t>BCG_0417</t>
  </si>
  <si>
    <t>secE2</t>
  </si>
  <si>
    <t>protein transport protein secE2</t>
  </si>
  <si>
    <t>BCG_1076</t>
  </si>
  <si>
    <t>BCG_2683c</t>
  </si>
  <si>
    <t>BCG_1871c</t>
  </si>
  <si>
    <t>BCG_1537c</t>
  </si>
  <si>
    <t>acn</t>
  </si>
  <si>
    <t>aconitate hydratase</t>
  </si>
  <si>
    <t>BCG_1361</t>
  </si>
  <si>
    <t>BCG_0684</t>
  </si>
  <si>
    <t>(3R)-hydroxyacyl-ACP dehydratase subunit HadA</t>
  </si>
  <si>
    <t>BCG_1522</t>
  </si>
  <si>
    <t>BCG_2802c</t>
  </si>
  <si>
    <t>lppU</t>
  </si>
  <si>
    <t>BCG_1408</t>
  </si>
  <si>
    <t>fadE14</t>
  </si>
  <si>
    <t>acyl-CoA dehydrogenase fadE14</t>
  </si>
  <si>
    <t>BCG_2450c</t>
  </si>
  <si>
    <t>PE25</t>
  </si>
  <si>
    <t>BCG_2859c</t>
  </si>
  <si>
    <t>infB</t>
  </si>
  <si>
    <t>translation initiation factor IF-2</t>
  </si>
  <si>
    <t>BCG_2131</t>
  </si>
  <si>
    <t>BCG_0631</t>
  </si>
  <si>
    <t>BCG_3275c</t>
  </si>
  <si>
    <t>mtrA</t>
  </si>
  <si>
    <t>two component sensory transduction transcriptional regulatory protein mtrA</t>
  </si>
  <si>
    <t>BCG_2639c</t>
  </si>
  <si>
    <t>thrS</t>
  </si>
  <si>
    <t>threonyl-tRNA synthetase</t>
  </si>
  <si>
    <t>BCG_2813c</t>
  </si>
  <si>
    <t>BCG_1309c</t>
  </si>
  <si>
    <t>BCG_1716</t>
  </si>
  <si>
    <t>BCG_2378c</t>
  </si>
  <si>
    <t>era</t>
  </si>
  <si>
    <t>GTP-binding protein Era</t>
  </si>
  <si>
    <t>BCG_0203</t>
  </si>
  <si>
    <t>fadD5</t>
  </si>
  <si>
    <t>BCG_3756c</t>
  </si>
  <si>
    <t>BCG_2408</t>
  </si>
  <si>
    <t>ggtB</t>
  </si>
  <si>
    <t>gamma-glutamyltranspeptidase precursor ggtB</t>
  </si>
  <si>
    <t>BCG_0003</t>
  </si>
  <si>
    <t>recF</t>
  </si>
  <si>
    <t>recombination protein F</t>
  </si>
  <si>
    <t>BCG_1870c</t>
  </si>
  <si>
    <t>BCG_0016</t>
  </si>
  <si>
    <t>sigMa_2</t>
  </si>
  <si>
    <t>RNA polymerase sigma factor SigM</t>
  </si>
  <si>
    <t>BCG_0618c</t>
  </si>
  <si>
    <t>BCG_1050</t>
  </si>
  <si>
    <t>rimJ</t>
  </si>
  <si>
    <t>ribosomal-protein-alanine acetyltransferase rimJ</t>
  </si>
  <si>
    <t>BCG_1766</t>
  </si>
  <si>
    <t>BCG_1796</t>
  </si>
  <si>
    <t>sulfite oxidase</t>
  </si>
  <si>
    <t>BCG_1928c</t>
  </si>
  <si>
    <t>BCG_2351c</t>
  </si>
  <si>
    <t>lppP</t>
  </si>
  <si>
    <t>lipoprotein lppP</t>
  </si>
  <si>
    <t>BCG_2596</t>
  </si>
  <si>
    <t>2-dehydropantoate 2-reductase</t>
  </si>
  <si>
    <t>BCG_2783c</t>
  </si>
  <si>
    <t>BCG_2840c</t>
  </si>
  <si>
    <t>BCG_2884c</t>
  </si>
  <si>
    <t>BCG_0240</t>
  </si>
  <si>
    <t>BCG_0578c</t>
  </si>
  <si>
    <t>menA</t>
  </si>
  <si>
    <t>1,4-dihydroxy-2-naphthoate octaprenyltransferase</t>
  </si>
  <si>
    <t>BCG_0620c</t>
  </si>
  <si>
    <t>BCG_0967c</t>
  </si>
  <si>
    <t>PPE14</t>
  </si>
  <si>
    <t>BCG_1500c</t>
  </si>
  <si>
    <t>BCG_1835c</t>
  </si>
  <si>
    <t>PE_PGRS32b</t>
  </si>
  <si>
    <t>BCG_1842</t>
  </si>
  <si>
    <t>PPE33a</t>
  </si>
  <si>
    <t>BCG_2074c</t>
  </si>
  <si>
    <t>30S ribosomal protein S18</t>
  </si>
  <si>
    <t>BCG_2201c</t>
  </si>
  <si>
    <t>BCG_2822c</t>
  </si>
  <si>
    <t>BCG_2982</t>
  </si>
  <si>
    <t>BCG_3091</t>
  </si>
  <si>
    <t>DeoR family transcriptional regulator</t>
  </si>
  <si>
    <t>BCG_3318c</t>
  </si>
  <si>
    <t>BCG_3840c</t>
  </si>
  <si>
    <t>BCG_0251</t>
  </si>
  <si>
    <t>fadD4</t>
  </si>
  <si>
    <t>BCG_0439c</t>
  </si>
  <si>
    <t>mmpL1b</t>
  </si>
  <si>
    <t>transmembrane transport protein mmpL1b</t>
  </si>
  <si>
    <t>BCG_3876c</t>
  </si>
  <si>
    <t>BCG_0350c</t>
  </si>
  <si>
    <t>BCG_0460c</t>
  </si>
  <si>
    <t>BCG_1686</t>
  </si>
  <si>
    <t>BCG_1792c</t>
  </si>
  <si>
    <t>BCG_2285c</t>
  </si>
  <si>
    <t>cyp128</t>
  </si>
  <si>
    <t>cytochrome P450 128 cyp128</t>
  </si>
  <si>
    <t>BCG_2386c</t>
  </si>
  <si>
    <t>16S ribosomal RNA methyltransferase RsmE</t>
  </si>
  <si>
    <t>BCG_3706c</t>
  </si>
  <si>
    <t>cspA</t>
  </si>
  <si>
    <t>cold shock protein A cspA</t>
  </si>
  <si>
    <t>BCG_3821c</t>
  </si>
  <si>
    <t>BCG_3913</t>
  </si>
  <si>
    <t>BCG_0161</t>
  </si>
  <si>
    <t>BCG_2009c</t>
  </si>
  <si>
    <t>metal cation transporter P-type atpase G ctpG</t>
  </si>
  <si>
    <t>BCG_3224c</t>
  </si>
  <si>
    <t>nudC</t>
  </si>
  <si>
    <t>NADH pyrophosphatase</t>
  </si>
  <si>
    <t>BCG_1862</t>
  </si>
  <si>
    <t>cfp17</t>
  </si>
  <si>
    <t>BCG_2255c</t>
  </si>
  <si>
    <t>ahpE</t>
  </si>
  <si>
    <t>peroxiredoxin AhpE</t>
  </si>
  <si>
    <t>BCG_3379c</t>
  </si>
  <si>
    <t>add</t>
  </si>
  <si>
    <t>adenosine deaminase</t>
  </si>
  <si>
    <t>BCG_1464c</t>
  </si>
  <si>
    <t>BCG_1841</t>
  </si>
  <si>
    <t>PPE32</t>
  </si>
  <si>
    <t>BCG_2763</t>
  </si>
  <si>
    <t>N-acetylglutamate synthase</t>
  </si>
  <si>
    <t>BCG_3581c</t>
  </si>
  <si>
    <t>cyp142b</t>
  </si>
  <si>
    <t>cytochrome P450 monooxygenase 142 cyp142b</t>
  </si>
  <si>
    <t>BCG_1066</t>
  </si>
  <si>
    <t>rpfB</t>
  </si>
  <si>
    <t>resuscitation-promoting factor rpfB</t>
  </si>
  <si>
    <t>BCG_1917c</t>
  </si>
  <si>
    <t>cyp140</t>
  </si>
  <si>
    <t>cytochrome p450 140 CYP140</t>
  </si>
  <si>
    <t>BCG_2557c</t>
  </si>
  <si>
    <t>pepQ</t>
  </si>
  <si>
    <t>cytoplasmic peptidase pepQ</t>
  </si>
  <si>
    <t>BCG_3162</t>
  </si>
  <si>
    <t>fadE24</t>
  </si>
  <si>
    <t>acyl-CoA dehydrogenase fadE24</t>
  </si>
  <si>
    <t>BCG_0632</t>
  </si>
  <si>
    <t>integral membrane protein YrbE2a</t>
  </si>
  <si>
    <t>BCG_1340c</t>
  </si>
  <si>
    <t>oppD</t>
  </si>
  <si>
    <t>oligopeptide-transport ATP-binding protein ABC transporter oppD</t>
  </si>
  <si>
    <t>BCG_1639</t>
  </si>
  <si>
    <t>hisB</t>
  </si>
  <si>
    <t>imidazoleglycerol-phosphate dehydratase</t>
  </si>
  <si>
    <t>BCG_3496c</t>
  </si>
  <si>
    <t>BCG_0733</t>
  </si>
  <si>
    <t>fusA1</t>
  </si>
  <si>
    <t>BCG_1826</t>
  </si>
  <si>
    <t>BCG_1311c</t>
  </si>
  <si>
    <t>BCG_0804c</t>
  </si>
  <si>
    <t>mmsA</t>
  </si>
  <si>
    <t>methylmalonate-semialdehyde dehydrogenase mmsA</t>
  </si>
  <si>
    <t>BCG_1539</t>
  </si>
  <si>
    <t>BCG_2226c</t>
  </si>
  <si>
    <t>ilvE</t>
  </si>
  <si>
    <t>branched-chain amino acid aminotransferase</t>
  </si>
  <si>
    <t>BCG_2590</t>
  </si>
  <si>
    <t>BCG_3259c</t>
  </si>
  <si>
    <t>desA3_1</t>
  </si>
  <si>
    <t>linoleoyl-CoA desaturase</t>
  </si>
  <si>
    <t>BCG_0809</t>
  </si>
  <si>
    <t>two component system response transcriptional positive regulator phoP</t>
  </si>
  <si>
    <t>BCG_1659c</t>
  </si>
  <si>
    <t>cydD</t>
  </si>
  <si>
    <t>cytochrome assembly ABC transporter ATP-binding protein CydD</t>
  </si>
  <si>
    <t>BCG_1247c</t>
  </si>
  <si>
    <t>BCG_0802c</t>
  </si>
  <si>
    <t>mmsB</t>
  </si>
  <si>
    <t>3-hydroxyisobutyrate dehydrogenase</t>
  </si>
  <si>
    <t>BCG_0941c</t>
  </si>
  <si>
    <t>citA</t>
  </si>
  <si>
    <t>citrate synthase 2</t>
  </si>
  <si>
    <t>BCG_1118</t>
  </si>
  <si>
    <t>BCG_0548c</t>
  </si>
  <si>
    <t>serB1</t>
  </si>
  <si>
    <t>phosphoserine phosphatase serB1</t>
  </si>
  <si>
    <t>BCG_0937</t>
  </si>
  <si>
    <t>BCG_1035c</t>
  </si>
  <si>
    <t>PE_PGRS18</t>
  </si>
  <si>
    <t>BCG_1481</t>
  </si>
  <si>
    <t>uvrC</t>
  </si>
  <si>
    <t>excinuclease ABC subunit C</t>
  </si>
  <si>
    <t>BCG_1791</t>
  </si>
  <si>
    <t>BCG_2042c</t>
  </si>
  <si>
    <t>BCG_2136</t>
  </si>
  <si>
    <t>BCG_2544c</t>
  </si>
  <si>
    <t>acpS</t>
  </si>
  <si>
    <t>4'-phosphopantetheinyl transferase</t>
  </si>
  <si>
    <t>BCG_2702c</t>
  </si>
  <si>
    <t>BCG_3759c</t>
  </si>
  <si>
    <t>BCG_0270</t>
  </si>
  <si>
    <t>nrdB</t>
  </si>
  <si>
    <t>BCG_1079</t>
  </si>
  <si>
    <t>lpqU</t>
  </si>
  <si>
    <t>lipoprotein lpqU</t>
  </si>
  <si>
    <t>BCG_1462</t>
  </si>
  <si>
    <t>BCG_1484</t>
  </si>
  <si>
    <t>whiA</t>
  </si>
  <si>
    <t>transcriptional regulatory protein whiA</t>
  </si>
  <si>
    <t>BCG_1936c</t>
  </si>
  <si>
    <t>D-tyrosyl-tRNA(Tyr) deacylase</t>
  </si>
  <si>
    <t>BCG_0116</t>
  </si>
  <si>
    <t>BCG_0120</t>
  </si>
  <si>
    <t>hycE</t>
  </si>
  <si>
    <t>formate hydrogenase hycQ (FHL)</t>
  </si>
  <si>
    <t>BCG_0957</t>
  </si>
  <si>
    <t>echA6</t>
  </si>
  <si>
    <t>BCG_0963</t>
  </si>
  <si>
    <t>BCG_2207</t>
  </si>
  <si>
    <t>BCG_2687</t>
  </si>
  <si>
    <t>BCG_0084</t>
  </si>
  <si>
    <t>rpsF</t>
  </si>
  <si>
    <t>30S ribosomal protein S6</t>
  </si>
  <si>
    <t>BCG_1603</t>
  </si>
  <si>
    <t>plsB1</t>
  </si>
  <si>
    <t>glycerol-3-phosphate acyltransferase</t>
  </si>
  <si>
    <t>BCG_3021</t>
  </si>
  <si>
    <t>lppY</t>
  </si>
  <si>
    <t>lipoprotein lppY</t>
  </si>
  <si>
    <t>BCG_3313</t>
  </si>
  <si>
    <t>BCG_3539c</t>
  </si>
  <si>
    <t>kgtP</t>
  </si>
  <si>
    <t>dicarboxylic acid transport integral membrane protein kgtP</t>
  </si>
  <si>
    <t>BCG_0244c</t>
  </si>
  <si>
    <t>BCG_2908</t>
  </si>
  <si>
    <t>BCG_3724c</t>
  </si>
  <si>
    <t>dppA</t>
  </si>
  <si>
    <t>periplasmic dipeptide-binding lipoprotein dppA</t>
  </si>
  <si>
    <t>BCG_3921c</t>
  </si>
  <si>
    <t>gltD</t>
  </si>
  <si>
    <t>glutamate synthase subunit beta</t>
  </si>
  <si>
    <t>BCG_0253</t>
  </si>
  <si>
    <t>BCG_1512</t>
  </si>
  <si>
    <t>ctaB</t>
  </si>
  <si>
    <t>protoheme IX farnesyltransferase</t>
  </si>
  <si>
    <t>BCG_2274c</t>
  </si>
  <si>
    <t>BCG_2955</t>
  </si>
  <si>
    <t>ppsC</t>
  </si>
  <si>
    <t>phenolpthiocerol synthesis type-I polyketide synthase ppsC</t>
  </si>
  <si>
    <t>BCG_2405</t>
  </si>
  <si>
    <t>ferredoxin-dependent nitrite reductase NirA</t>
  </si>
  <si>
    <t>BCG_2238c</t>
  </si>
  <si>
    <t>glnE</t>
  </si>
  <si>
    <t>bifunctional glutamine-synthetase adenylyltransferase/deadenyltransferase</t>
  </si>
  <si>
    <t>BCG_3179</t>
  </si>
  <si>
    <t>nuoL</t>
  </si>
  <si>
    <t>NADH dehydrogenase subunit L</t>
  </si>
  <si>
    <t>BCG_1586</t>
  </si>
  <si>
    <t>BCG_0816c</t>
  </si>
  <si>
    <t>cyp51</t>
  </si>
  <si>
    <t>cytochrome P450 51 cyp51</t>
  </si>
  <si>
    <t>BCG_3601</t>
  </si>
  <si>
    <t>3-ketosteroid-delta-1-dehydrogenase</t>
  </si>
  <si>
    <t>BCG_2474c</t>
  </si>
  <si>
    <t>2-oxoglutarate ferredoxin oxidoreductase subunit beta</t>
  </si>
  <si>
    <t>BCG_1067</t>
  </si>
  <si>
    <t>ksgA</t>
  </si>
  <si>
    <t>dimethyladenosine transferase</t>
  </si>
  <si>
    <t>BCG_1135</t>
  </si>
  <si>
    <t>cbs</t>
  </si>
  <si>
    <t>cystathionine beta-synthase</t>
  </si>
  <si>
    <t>BCG_0345c</t>
  </si>
  <si>
    <t>PPE6</t>
  </si>
  <si>
    <t>BCG_3783</t>
  </si>
  <si>
    <t>BCG_0286c</t>
  </si>
  <si>
    <t>BCG_3878c</t>
  </si>
  <si>
    <t>BCG_1216</t>
  </si>
  <si>
    <t>BCG_0266c</t>
  </si>
  <si>
    <t>BCG_0678c</t>
  </si>
  <si>
    <t>recC</t>
  </si>
  <si>
    <t>exonuclease V (gamma chain) recC</t>
  </si>
  <si>
    <t>BCG_0808c</t>
  </si>
  <si>
    <t>BCG_1268</t>
  </si>
  <si>
    <t>glucosyl-3-phosphoglycerate synthase</t>
  </si>
  <si>
    <t>BCG_1433</t>
  </si>
  <si>
    <t>BCG_1517c</t>
  </si>
  <si>
    <t>BCG_3195c</t>
  </si>
  <si>
    <t>hpx</t>
  </si>
  <si>
    <t>non-heme haloperoxidase hpx</t>
  </si>
  <si>
    <t>BCG_3527c</t>
  </si>
  <si>
    <t>infA</t>
  </si>
  <si>
    <t>translation initiation factor IF-1</t>
  </si>
  <si>
    <t>BCG_0493</t>
  </si>
  <si>
    <t>BCG_0781c</t>
  </si>
  <si>
    <t>BCG_2448</t>
  </si>
  <si>
    <t>ahpD</t>
  </si>
  <si>
    <t>BCG_0985c</t>
  </si>
  <si>
    <t>pstS2</t>
  </si>
  <si>
    <t>periplasmic phosphate-binding lipoprotein pstS2</t>
  </si>
  <si>
    <t>BCG_0761</t>
  </si>
  <si>
    <t>atsA</t>
  </si>
  <si>
    <t>arylsulfatase atsA</t>
  </si>
  <si>
    <t>BCG_0402</t>
  </si>
  <si>
    <t>BCG_2460c</t>
  </si>
  <si>
    <t>obgE</t>
  </si>
  <si>
    <t>GTPase ObgE</t>
  </si>
  <si>
    <t>BCG_3687c</t>
  </si>
  <si>
    <t>BCG_1117</t>
  </si>
  <si>
    <t>BCG_3014c</t>
  </si>
  <si>
    <t>2-hydroxyhepta-2,4-diene-1,7-dioate isomerase</t>
  </si>
  <si>
    <t>BCG_0021</t>
  </si>
  <si>
    <t>BCG_3369</t>
  </si>
  <si>
    <t>BCG_1345</t>
  </si>
  <si>
    <t>cysN</t>
  </si>
  <si>
    <t>bifunctional sulfate adenylyltransferase subunit 1/adenylylsulfate kinase</t>
  </si>
  <si>
    <t>BCG_2497c</t>
  </si>
  <si>
    <t>BCG_2648c</t>
  </si>
  <si>
    <t>BCG_1903</t>
  </si>
  <si>
    <t>BCG_1959</t>
  </si>
  <si>
    <t>BCG_2018</t>
  </si>
  <si>
    <t>BCG_3122c</t>
  </si>
  <si>
    <t>PE_PGRS63</t>
  </si>
  <si>
    <t>BCG_3670c</t>
  </si>
  <si>
    <t>folK</t>
  </si>
  <si>
    <t>2-amino-4-hydroxy-6-hydroxymethyldihydropteridine pyrophosphokinase</t>
  </si>
  <si>
    <t>BCG_0238c</t>
  </si>
  <si>
    <t>BCG_0456</t>
  </si>
  <si>
    <t>thiG</t>
  </si>
  <si>
    <t>thiazole synthase</t>
  </si>
  <si>
    <t>BCG_0779</t>
  </si>
  <si>
    <t>xylB</t>
  </si>
  <si>
    <t>d-xylulose kinase xylB</t>
  </si>
  <si>
    <t>BCG_0820</t>
  </si>
  <si>
    <t>aldA</t>
  </si>
  <si>
    <t>aldehyde dehydrogenase AldA</t>
  </si>
  <si>
    <t>BCG_0987</t>
  </si>
  <si>
    <t>pstBb</t>
  </si>
  <si>
    <t>phosphate-transport protein ABC transporter pstBb</t>
  </si>
  <si>
    <t>BCG_2324c</t>
  </si>
  <si>
    <t>BCG_2920c</t>
  </si>
  <si>
    <t>fdhD</t>
  </si>
  <si>
    <t>formate dehydrogenase accessory protein</t>
  </si>
  <si>
    <t>BCG_3634c</t>
  </si>
  <si>
    <t>bphD</t>
  </si>
  <si>
    <t>2-hydroxy-6-oxo-6-phenylhexa-2,4-dienoate hydrolase</t>
  </si>
  <si>
    <t>BCG_3693</t>
  </si>
  <si>
    <t>BCG_3744c</t>
  </si>
  <si>
    <t>cyp137</t>
  </si>
  <si>
    <t>cytochrome P450 137 cyp137</t>
  </si>
  <si>
    <t>BCG_1748</t>
  </si>
  <si>
    <t>BCG_3129c</t>
  </si>
  <si>
    <t>BCG_3679c</t>
  </si>
  <si>
    <t>BCG_3448c</t>
  </si>
  <si>
    <t>BCG_0993</t>
  </si>
  <si>
    <t>bifunctional enzyme: 2-hydroxyhepta-2,4-diene-1,7-dioate isomerase + cyclase/dehydrase</t>
  </si>
  <si>
    <t>BCG_0858c</t>
  </si>
  <si>
    <t>cpsY</t>
  </si>
  <si>
    <t>udp-glucose-4-epimerase cpsY</t>
  </si>
  <si>
    <t>BCG_0546c</t>
  </si>
  <si>
    <t>cmaA2</t>
  </si>
  <si>
    <t>cyclopropane-fatty-acyl-phospholipid synthase 2 cmaA2</t>
  </si>
  <si>
    <t>BCG_1157c</t>
  </si>
  <si>
    <t>membrane glycine and proline rich protein</t>
  </si>
  <si>
    <t>BCG_0287c</t>
  </si>
  <si>
    <t>succinate dehydrogenase membrane anchor subunit</t>
  </si>
  <si>
    <t>BCG_3466c</t>
  </si>
  <si>
    <t>guaA</t>
  </si>
  <si>
    <t>GMP synthase</t>
  </si>
  <si>
    <t>BCG_0639</t>
  </si>
  <si>
    <t>lprL</t>
  </si>
  <si>
    <t>mce family lipoprotein LprL</t>
  </si>
  <si>
    <t>BCG_0236</t>
  </si>
  <si>
    <t>BCG_1403</t>
  </si>
  <si>
    <t>deoxyribonucleotide triphosphate pyrophosphatase</t>
  </si>
  <si>
    <t>BCG_1572</t>
  </si>
  <si>
    <t>sugar transferase</t>
  </si>
  <si>
    <t>BCG_2413c</t>
  </si>
  <si>
    <t>cysW</t>
  </si>
  <si>
    <t>sulfate-transport integral membrane protein ABC transporter cysW</t>
  </si>
  <si>
    <t>BCG_3649</t>
  </si>
  <si>
    <t>lpqE</t>
  </si>
  <si>
    <t>lipoprotein lpqE</t>
  </si>
  <si>
    <t>BCG_0643c</t>
  </si>
  <si>
    <t>BCG_1749</t>
  </si>
  <si>
    <t>BCG_2259</t>
  </si>
  <si>
    <t>BCG_2917c</t>
  </si>
  <si>
    <t>BCG_0969</t>
  </si>
  <si>
    <t>betP</t>
  </si>
  <si>
    <t>glycine betaine transport integral membrane protein betP</t>
  </si>
  <si>
    <t>BCG_1188c</t>
  </si>
  <si>
    <t>ppdK</t>
  </si>
  <si>
    <t>pyruvate phosphate dikinase</t>
  </si>
  <si>
    <t>BCG_1365</t>
  </si>
  <si>
    <t>atpE</t>
  </si>
  <si>
    <t>F0F1 ATP synthase subunit C</t>
  </si>
  <si>
    <t>BCG_1578c</t>
  </si>
  <si>
    <t>BCG_3383</t>
  </si>
  <si>
    <t>sdhD</t>
  </si>
  <si>
    <t>succinate dehydrogenase (hydrophobic membrane anchor subunit) sdhD</t>
  </si>
  <si>
    <t>BCG_3858</t>
  </si>
  <si>
    <t>BCG_0682</t>
  </si>
  <si>
    <t>BCG_2594c</t>
  </si>
  <si>
    <t>transmembrane alanine and valine and leucine rich protein</t>
  </si>
  <si>
    <t>BCG_2881c</t>
  </si>
  <si>
    <t>amidotransferase</t>
  </si>
  <si>
    <t>BCG_0743</t>
  </si>
  <si>
    <t>lldD1</t>
  </si>
  <si>
    <t>L-lactate dehydrogenase (cytochrome) lldD1</t>
  </si>
  <si>
    <t>BCG_2546c</t>
  </si>
  <si>
    <t>BCG_1939c</t>
  </si>
  <si>
    <t>lipJ</t>
  </si>
  <si>
    <t>lignin peroxidase lipJ</t>
  </si>
  <si>
    <t>BCG_1030c</t>
  </si>
  <si>
    <t>BCG_2028c</t>
  </si>
  <si>
    <t>BCG_2253c</t>
  </si>
  <si>
    <t>cobD</t>
  </si>
  <si>
    <t>cobalamin biosynthesis protein</t>
  </si>
  <si>
    <t>BCG_2526</t>
  </si>
  <si>
    <t>BCG_2537c</t>
  </si>
  <si>
    <t>BCG_0020</t>
  </si>
  <si>
    <t>trxC_2</t>
  </si>
  <si>
    <t>thioredoxin trxC (TRX) (MPT46)</t>
  </si>
  <si>
    <t>BCG_0892c</t>
  </si>
  <si>
    <t>pip</t>
  </si>
  <si>
    <t>proline iminopeptidase pip</t>
  </si>
  <si>
    <t>BCG_1291c</t>
  </si>
  <si>
    <t>BCG_1847c</t>
  </si>
  <si>
    <t>BCG_2927c</t>
  </si>
  <si>
    <t>trmD</t>
  </si>
  <si>
    <t>tRNA (guanine-N(1)-)-methyltransferase</t>
  </si>
  <si>
    <t>BCG_3118c</t>
  </si>
  <si>
    <t>BCG_2129c</t>
  </si>
  <si>
    <t>BCG_0527</t>
  </si>
  <si>
    <t>BCG_3173</t>
  </si>
  <si>
    <t>nuoF</t>
  </si>
  <si>
    <t>NADH dehydrogenase I subunit F</t>
  </si>
  <si>
    <t>BCG_0589c</t>
  </si>
  <si>
    <t>pitA</t>
  </si>
  <si>
    <t>low-affinity inorganic phosphate transporter integral membrane protein pitA</t>
  </si>
  <si>
    <t>BCG_0984c</t>
  </si>
  <si>
    <t>pknDa</t>
  </si>
  <si>
    <t>BCG_0974</t>
  </si>
  <si>
    <t>BCG_3092</t>
  </si>
  <si>
    <t>BCG_3613c</t>
  </si>
  <si>
    <t>BCG_0077c</t>
  </si>
  <si>
    <t>ino1</t>
  </si>
  <si>
    <t>myo-inositol-1-phosphate synthase INO1</t>
  </si>
  <si>
    <t>BCG_0729c</t>
  </si>
  <si>
    <t>BCG_0908</t>
  </si>
  <si>
    <t>BCG_0973</t>
  </si>
  <si>
    <t>BCG_0986</t>
  </si>
  <si>
    <t>pstBa</t>
  </si>
  <si>
    <t>BCG_1013A</t>
  </si>
  <si>
    <t>BCG_1531</t>
  </si>
  <si>
    <t>trxA</t>
  </si>
  <si>
    <t>thioredoxin trxA</t>
  </si>
  <si>
    <t>BCG_1620c</t>
  </si>
  <si>
    <t>BCG_2001A</t>
  </si>
  <si>
    <t>BCG_2044c</t>
  </si>
  <si>
    <t>BCG_2058c</t>
  </si>
  <si>
    <t>BCG_2512</t>
  </si>
  <si>
    <t>BCG_2671c</t>
  </si>
  <si>
    <t>BCG_2791c</t>
  </si>
  <si>
    <t>BCG_2850c</t>
  </si>
  <si>
    <t>BCG_2931c</t>
  </si>
  <si>
    <t>BCG_0296c</t>
  </si>
  <si>
    <t>BCG_0318c</t>
  </si>
  <si>
    <t>PE_PGRS3</t>
  </si>
  <si>
    <t>BCG_0499</t>
  </si>
  <si>
    <t>BCG_0535c</t>
  </si>
  <si>
    <t>BCG_1571</t>
  </si>
  <si>
    <t>BCG_1696</t>
  </si>
  <si>
    <t>argR</t>
  </si>
  <si>
    <t>arginine repressor</t>
  </si>
  <si>
    <t>BCG_1930</t>
  </si>
  <si>
    <t>BCG_2128c</t>
  </si>
  <si>
    <t>BCG_2139c</t>
  </si>
  <si>
    <t>hisE</t>
  </si>
  <si>
    <t>phosphoribosyl-ATP pyrophosphatase</t>
  </si>
  <si>
    <t>BCG_2272c</t>
  </si>
  <si>
    <t>BCG_2280</t>
  </si>
  <si>
    <t>BCG_2561c</t>
  </si>
  <si>
    <t>aroK</t>
  </si>
  <si>
    <t>shikimate kinase</t>
  </si>
  <si>
    <t>BCG_2670</t>
  </si>
  <si>
    <t>arsC</t>
  </si>
  <si>
    <t>arsenic-transport integral membrane protein arsC</t>
  </si>
  <si>
    <t>BCG_3270c</t>
  </si>
  <si>
    <t>BCG_3761c</t>
  </si>
  <si>
    <t>BCG_0481c</t>
  </si>
  <si>
    <t>PPE10</t>
  </si>
  <si>
    <t>BCG_0254c</t>
  </si>
  <si>
    <t>lipW</t>
  </si>
  <si>
    <t>esterase lipW</t>
  </si>
  <si>
    <t>BCG_0475c</t>
  </si>
  <si>
    <t>pssA</t>
  </si>
  <si>
    <t>CDP-diacylglycerol--serine o-phosphatidyltransferase pssA</t>
  </si>
  <si>
    <t>BCG_0823</t>
  </si>
  <si>
    <t>4-carboxymuconolactone decarboxylase</t>
  </si>
  <si>
    <t>BCG_2167c</t>
  </si>
  <si>
    <t>ftsZ</t>
  </si>
  <si>
    <t>cell division protein FtsZ</t>
  </si>
  <si>
    <t>BCG_0082</t>
  </si>
  <si>
    <t>BCG_2189</t>
  </si>
  <si>
    <t>BCG_0764</t>
  </si>
  <si>
    <t>rplN</t>
  </si>
  <si>
    <t>50S ribosomal protein L14</t>
  </si>
  <si>
    <t>BCG_1077</t>
  </si>
  <si>
    <t>mfd</t>
  </si>
  <si>
    <t>transcription-repair coupling factor mfd</t>
  </si>
  <si>
    <t>BCG_0582</t>
  </si>
  <si>
    <t>BCG_1164</t>
  </si>
  <si>
    <t>para-nitrobenzyl esterase</t>
  </si>
  <si>
    <t>BCG_2698</t>
  </si>
  <si>
    <t>arsB1</t>
  </si>
  <si>
    <t>arsenic-transport integral membrane protein arsB1</t>
  </si>
  <si>
    <t>BCG_0842c</t>
  </si>
  <si>
    <t>BCG_1412</t>
  </si>
  <si>
    <t>BCG_1834</t>
  </si>
  <si>
    <t>PPE30</t>
  </si>
  <si>
    <t>BCG_3528</t>
  </si>
  <si>
    <t>BCG_1375c</t>
  </si>
  <si>
    <t>BCG_1888</t>
  </si>
  <si>
    <t>ureG</t>
  </si>
  <si>
    <t>urease accessory protein ureG</t>
  </si>
  <si>
    <t>BCG_2321</t>
  </si>
  <si>
    <t>BCG_3795</t>
  </si>
  <si>
    <t>BCG_0346</t>
  </si>
  <si>
    <t>BCG_0394c</t>
  </si>
  <si>
    <t>BCG_0411c</t>
  </si>
  <si>
    <t>carbon monoxyde dehydrogenase large chain</t>
  </si>
  <si>
    <t>BCG_0831c</t>
  </si>
  <si>
    <t>BCG_2651c</t>
  </si>
  <si>
    <t>BCG_3592c</t>
  </si>
  <si>
    <t>BCG_3875c</t>
  </si>
  <si>
    <t>BCG_3912</t>
  </si>
  <si>
    <t>BCG_3293c</t>
  </si>
  <si>
    <t>manC</t>
  </si>
  <si>
    <t>mannose-1-phosphate guanyltransferase manC</t>
  </si>
  <si>
    <t>BCG_0135</t>
  </si>
  <si>
    <t>BCG_0945c</t>
  </si>
  <si>
    <t>BCG_1898</t>
  </si>
  <si>
    <t>adhA</t>
  </si>
  <si>
    <t>alcohol dehydrogenase adhA</t>
  </si>
  <si>
    <t>BCG_2146c</t>
  </si>
  <si>
    <t>BCG_2356</t>
  </si>
  <si>
    <t>cysK1</t>
  </si>
  <si>
    <t>cysteine synthase A cysK1</t>
  </si>
  <si>
    <t>BCG_3385</t>
  </si>
  <si>
    <t>sdhB</t>
  </si>
  <si>
    <t>succinate dehydrogenase iron-sulfur subunit</t>
  </si>
  <si>
    <t>BCG_0958</t>
  </si>
  <si>
    <t>BCG_1435c</t>
  </si>
  <si>
    <t>BCG_2249c</t>
  </si>
  <si>
    <t>cobC</t>
  </si>
  <si>
    <t>BCG_0448</t>
  </si>
  <si>
    <t>ackA</t>
  </si>
  <si>
    <t>acetate kinase</t>
  </si>
  <si>
    <t>BCG_0484c</t>
  </si>
  <si>
    <t>sigK</t>
  </si>
  <si>
    <t>RNA polymerase sigma factor SigK</t>
  </si>
  <si>
    <t>BCG_0891</t>
  </si>
  <si>
    <t>BCG_1494</t>
  </si>
  <si>
    <t>BCG_2913c</t>
  </si>
  <si>
    <t>PPE45</t>
  </si>
  <si>
    <t>BCG_0047c</t>
  </si>
  <si>
    <t>rodA</t>
  </si>
  <si>
    <t>cell division protein rodA</t>
  </si>
  <si>
    <t>BCG_2204c</t>
  </si>
  <si>
    <t>BCG_2429c</t>
  </si>
  <si>
    <t>BCG_3329c</t>
  </si>
  <si>
    <t>BCG_3937c</t>
  </si>
  <si>
    <t>BCG_2229</t>
  </si>
  <si>
    <t>pepB</t>
  </si>
  <si>
    <t>leucyl aminopeptidase</t>
  </si>
  <si>
    <t>BCG_1523</t>
  </si>
  <si>
    <t>BCG_2961</t>
  </si>
  <si>
    <t>papA5</t>
  </si>
  <si>
    <t>BCG_0140c</t>
  </si>
  <si>
    <t>ctpI</t>
  </si>
  <si>
    <t>cation-transporter atpase I ctpI</t>
  </si>
  <si>
    <t>BCG_2610c</t>
  </si>
  <si>
    <t>secD</t>
  </si>
  <si>
    <t>preprotein translocase subunit SecD</t>
  </si>
  <si>
    <t>BCG_0608</t>
  </si>
  <si>
    <t>htpX</t>
  </si>
  <si>
    <t>heat shock protein HtpX</t>
  </si>
  <si>
    <t>BCG_0353</t>
  </si>
  <si>
    <t>BCG_0262</t>
  </si>
  <si>
    <t>BCG_0596c</t>
  </si>
  <si>
    <t>fadD8</t>
  </si>
  <si>
    <t>BCG_3667c</t>
  </si>
  <si>
    <t>BCG_2954</t>
  </si>
  <si>
    <t>ppsB</t>
  </si>
  <si>
    <t>phenolpthiocerol synthesis type-I polyketide synthase ppsB</t>
  </si>
  <si>
    <t>BCG_0224</t>
  </si>
  <si>
    <t>o-methyltransferase</t>
  </si>
  <si>
    <t>BCG_0848c</t>
  </si>
  <si>
    <t>BCG_0864</t>
  </si>
  <si>
    <t>4-amino-4-deoxychorismate lyase</t>
  </si>
  <si>
    <t>BCG_1396</t>
  </si>
  <si>
    <t>BCG_2560c</t>
  </si>
  <si>
    <t>aroB</t>
  </si>
  <si>
    <t>3-dehydroquinate synthase</t>
  </si>
  <si>
    <t>BCG_3389c</t>
  </si>
  <si>
    <t>moaX</t>
  </si>
  <si>
    <t>moaD-moaE fusion protein moaX</t>
  </si>
  <si>
    <t>BCG_1744c</t>
  </si>
  <si>
    <t>PPE23</t>
  </si>
  <si>
    <t>BCG_2710c</t>
  </si>
  <si>
    <t>dut</t>
  </si>
  <si>
    <t>deoxyuridine 5'-triphosphate nucleotidohydrolase</t>
  </si>
  <si>
    <t>BCG_3608c</t>
  </si>
  <si>
    <t>fadE28</t>
  </si>
  <si>
    <t>acyl-CoA dehydrogenase fadE28</t>
  </si>
  <si>
    <t>BCG_3726c</t>
  </si>
  <si>
    <t>BCG_3074c</t>
  </si>
  <si>
    <t>AsnC family transcriptional regulator</t>
  </si>
  <si>
    <t>BCG_0300c</t>
  </si>
  <si>
    <t>aac</t>
  </si>
  <si>
    <t>aminoglycoside 2'-n-acetyltransferase aac</t>
  </si>
  <si>
    <t>BCG_2371c</t>
  </si>
  <si>
    <t>glyS</t>
  </si>
  <si>
    <t>glycyl-tRNA synthetase</t>
  </si>
  <si>
    <t>BCG_2587</t>
  </si>
  <si>
    <t>BCG_3262c</t>
  </si>
  <si>
    <t>pvdS</t>
  </si>
  <si>
    <t>transcriptional regulatory protein pvdS</t>
  </si>
  <si>
    <t>BCG_2516c</t>
  </si>
  <si>
    <t>pdhB</t>
  </si>
  <si>
    <t>pyruvate dehydrogenase E1 component subunit beta pdhB</t>
  </si>
  <si>
    <t>BCG_0754</t>
  </si>
  <si>
    <t>rplB</t>
  </si>
  <si>
    <t>50S ribosomal protein L2</t>
  </si>
  <si>
    <t>BCG_1656</t>
  </si>
  <si>
    <t>tesB1</t>
  </si>
  <si>
    <t>acyl-CoA thioesterase II tesB1</t>
  </si>
  <si>
    <t>BCG_2228</t>
  </si>
  <si>
    <t>BCG_1039</t>
  </si>
  <si>
    <t>moaB2</t>
  </si>
  <si>
    <t>pterin-4-alpha-carbinolamine dehydratase moaB2</t>
  </si>
  <si>
    <t>BCG_1027c</t>
  </si>
  <si>
    <t>accA2</t>
  </si>
  <si>
    <t>acetyl-/propionyl-coenzyme A carboxylase alpha chain subunit alpha accA2</t>
  </si>
  <si>
    <t>BCG_1499</t>
  </si>
  <si>
    <t>tpiA</t>
  </si>
  <si>
    <t>triosephosphate isomerase</t>
  </si>
  <si>
    <t>BCG_1640</t>
  </si>
  <si>
    <t>hisH</t>
  </si>
  <si>
    <t>imidazole glycerol phosphate synthase subunit HisH</t>
  </si>
  <si>
    <t>BCG_3661c</t>
  </si>
  <si>
    <t>clpC</t>
  </si>
  <si>
    <t>ATP-dependent Clp protease ATP-binding subunit clpC</t>
  </si>
  <si>
    <t>BCG_3546c</t>
  </si>
  <si>
    <t>BCG_2180c</t>
  </si>
  <si>
    <t>pbpB</t>
  </si>
  <si>
    <t>penicillin-binding membrane protein pbpB</t>
  </si>
  <si>
    <t>BCG_3495</t>
  </si>
  <si>
    <t>PPE57</t>
  </si>
  <si>
    <t>BCG_0222</t>
  </si>
  <si>
    <t>BCG_0405c</t>
  </si>
  <si>
    <t>BCG_0574</t>
  </si>
  <si>
    <t>BCG_0899</t>
  </si>
  <si>
    <t>lipoprotein lpqS</t>
  </si>
  <si>
    <t>BCG_2730c</t>
  </si>
  <si>
    <t>BCG_3757</t>
  </si>
  <si>
    <t>BCG_3827</t>
  </si>
  <si>
    <t>BCG_3655c</t>
  </si>
  <si>
    <t>PE_PGRS58</t>
  </si>
  <si>
    <t>BCG_0408c</t>
  </si>
  <si>
    <t>BCG_0515</t>
  </si>
  <si>
    <t>BCG_1473</t>
  </si>
  <si>
    <t>ribC</t>
  </si>
  <si>
    <t>riboflavin synthase subunit alpha</t>
  </si>
  <si>
    <t>BCG_1478</t>
  </si>
  <si>
    <t>BCG_1505c</t>
  </si>
  <si>
    <t>BCG_2951</t>
  </si>
  <si>
    <t>BCG_0356</t>
  </si>
  <si>
    <t>muconolactone isomerase</t>
  </si>
  <si>
    <t>BCG_1502c</t>
  </si>
  <si>
    <t>PE_PGRS26</t>
  </si>
  <si>
    <t>BCG_1790</t>
  </si>
  <si>
    <t>BCG_3330c</t>
  </si>
  <si>
    <t>phoY1_1</t>
  </si>
  <si>
    <t>phosphate-transport system transcriptional regulatory protein phoU 1 phoY1</t>
  </si>
  <si>
    <t>BCG_2457c</t>
  </si>
  <si>
    <t>nadE</t>
  </si>
  <si>
    <t>NAD synthetase</t>
  </si>
  <si>
    <t>BCG_1244</t>
  </si>
  <si>
    <t>papA3</t>
  </si>
  <si>
    <t>polyketide synthase associated protein papA3</t>
  </si>
  <si>
    <t>BCG_2617c</t>
  </si>
  <si>
    <t>ruvC</t>
  </si>
  <si>
    <t>Holliday junction resolvase</t>
  </si>
  <si>
    <t>BCG_2704</t>
  </si>
  <si>
    <t>ceoB</t>
  </si>
  <si>
    <t>TRK system potassium uptake protein ceoB</t>
  </si>
  <si>
    <t>BCG_0066</t>
  </si>
  <si>
    <t>fadD34</t>
  </si>
  <si>
    <t>fatty-acid-CoA ligase</t>
  </si>
  <si>
    <t>BCG_1207</t>
  </si>
  <si>
    <t>mmpL13</t>
  </si>
  <si>
    <t>transmembrane transport protein mmpL13</t>
  </si>
  <si>
    <t>BCG_3587</t>
  </si>
  <si>
    <t>BCG_1391c</t>
  </si>
  <si>
    <t>dinG</t>
  </si>
  <si>
    <t>atp-dependent helicase dinG-like protein</t>
  </si>
  <si>
    <t>BCG_0613</t>
  </si>
  <si>
    <t>cytochrome p450 135b1 cyp135B1</t>
  </si>
  <si>
    <t>BCG_2901c</t>
  </si>
  <si>
    <t>ribosomal RNA large subunit methyltransferase N</t>
  </si>
  <si>
    <t>BCG_2939c</t>
  </si>
  <si>
    <t>glnD</t>
  </si>
  <si>
    <t>PII uridylyl-transferase</t>
  </si>
  <si>
    <t>BCG_0709c</t>
  </si>
  <si>
    <t>BCG_2972c</t>
  </si>
  <si>
    <t>BCG_3966</t>
  </si>
  <si>
    <t>BCG_1472c</t>
  </si>
  <si>
    <t>lprG</t>
  </si>
  <si>
    <t>lipoprotein lprG</t>
  </si>
  <si>
    <t>BCG_2491</t>
  </si>
  <si>
    <t>aglA</t>
  </si>
  <si>
    <t>alpha-glucosidase aglA</t>
  </si>
  <si>
    <t>BCG_2295</t>
  </si>
  <si>
    <t>BCG_1400</t>
  </si>
  <si>
    <t>murI</t>
  </si>
  <si>
    <t>glutamate racemase</t>
  </si>
  <si>
    <t>BCG_3877c</t>
  </si>
  <si>
    <t>BCG_0110c</t>
  </si>
  <si>
    <t>BCG_0569</t>
  </si>
  <si>
    <t>thioredoxin protein</t>
  </si>
  <si>
    <t>BCG_1506c</t>
  </si>
  <si>
    <t>devB</t>
  </si>
  <si>
    <t>6-phosphogluconolactonase devB</t>
  </si>
  <si>
    <t>BCG_3489c</t>
  </si>
  <si>
    <t>gcp</t>
  </si>
  <si>
    <t>DNA-binding/iron metalloprotein/AP endonuclease</t>
  </si>
  <si>
    <t>BCG_0150c</t>
  </si>
  <si>
    <t>BCG_1010</t>
  </si>
  <si>
    <t>purN</t>
  </si>
  <si>
    <t>phosphoribosylglycinamide formyltransferase</t>
  </si>
  <si>
    <t>BCG_2152c</t>
  </si>
  <si>
    <t>BCG_2644c</t>
  </si>
  <si>
    <t>BCG_3869c</t>
  </si>
  <si>
    <t>BCG_2270</t>
  </si>
  <si>
    <t>diacylglycerol kinase</t>
  </si>
  <si>
    <t>BCG_3579</t>
  </si>
  <si>
    <t>echA19</t>
  </si>
  <si>
    <t>BCG_2726</t>
  </si>
  <si>
    <t>sthA</t>
  </si>
  <si>
    <t>soluble pyridine nucleotide transhydrogenase</t>
  </si>
  <si>
    <t>BCG_1510c</t>
  </si>
  <si>
    <t>tkt</t>
  </si>
  <si>
    <t>transketolase</t>
  </si>
  <si>
    <t>BCG_0857</t>
  </si>
  <si>
    <t>BCG_1223</t>
  </si>
  <si>
    <t>narG</t>
  </si>
  <si>
    <t>respiratory nitrate reductase (alpha chain) narG</t>
  </si>
  <si>
    <t>BCG_0229</t>
  </si>
  <si>
    <t>BCG_0603</t>
  </si>
  <si>
    <t>ubiE</t>
  </si>
  <si>
    <t>ubiquinone/menaquinone biosynthesis methyltransferase</t>
  </si>
  <si>
    <t>BCG_1491</t>
  </si>
  <si>
    <t>PE16</t>
  </si>
  <si>
    <t>BCG_2350c</t>
  </si>
  <si>
    <t>nitrite extrusion protein 1 narK1</t>
  </si>
  <si>
    <t>BCG_2465c</t>
  </si>
  <si>
    <t>ndk</t>
  </si>
  <si>
    <t>nucleoside diphosphate kinase</t>
  </si>
  <si>
    <t>BCG_0758</t>
  </si>
  <si>
    <t>rplP</t>
  </si>
  <si>
    <t>50S ribosomal protein L16</t>
  </si>
  <si>
    <t>BCG_1289c</t>
  </si>
  <si>
    <t>mrp</t>
  </si>
  <si>
    <t>MRP-related protein mrp</t>
  </si>
  <si>
    <t>BCG_0391</t>
  </si>
  <si>
    <t>dnaJ1</t>
  </si>
  <si>
    <t>BCG_0183</t>
  </si>
  <si>
    <t>BCG_0813c</t>
  </si>
  <si>
    <t>adhB</t>
  </si>
  <si>
    <t>zinc-containing alcohol dehydrogenaseAdhB</t>
  </si>
  <si>
    <t>BCG_1542</t>
  </si>
  <si>
    <t>BCG_1661c</t>
  </si>
  <si>
    <t>integral membrane cytochrome D ubiquinol oxidase (subunit I) cydA</t>
  </si>
  <si>
    <t>BCG_2067c</t>
  </si>
  <si>
    <t>pks12</t>
  </si>
  <si>
    <t>BCG_3544c</t>
  </si>
  <si>
    <t>BCG_3239</t>
  </si>
  <si>
    <t>BCG_0119</t>
  </si>
  <si>
    <t>hycQ</t>
  </si>
  <si>
    <t>hydrogenase hycQ</t>
  </si>
  <si>
    <t>BCG_1057c</t>
  </si>
  <si>
    <t>BCG_2871c</t>
  </si>
  <si>
    <t>BCG_3278c</t>
  </si>
  <si>
    <t>BCG_2971c</t>
  </si>
  <si>
    <t>fadD29</t>
  </si>
  <si>
    <t>BCG_2260</t>
  </si>
  <si>
    <t>fabD</t>
  </si>
  <si>
    <t>malonyl CoA-ACP transacylase</t>
  </si>
  <si>
    <t>BCG_1896</t>
  </si>
  <si>
    <t>apa</t>
  </si>
  <si>
    <t>BCG_3245</t>
  </si>
  <si>
    <t>BCG_3380c</t>
  </si>
  <si>
    <t>deoA</t>
  </si>
  <si>
    <t>thymidine phosphorylase</t>
  </si>
  <si>
    <t>BCG_1845</t>
  </si>
  <si>
    <t>Mg2+ transporter</t>
  </si>
  <si>
    <t>BCG_3773</t>
  </si>
  <si>
    <t>cobQ2</t>
  </si>
  <si>
    <t>cobyric acid synthase cobQ2</t>
  </si>
  <si>
    <t>BCG_1729</t>
  </si>
  <si>
    <t>BCG_2195c</t>
  </si>
  <si>
    <t>BCG_3614</t>
  </si>
  <si>
    <t>echA20</t>
  </si>
  <si>
    <t>BCG_3897c</t>
  </si>
  <si>
    <t>serS</t>
  </si>
  <si>
    <t>seryl-tRNA synthetase</t>
  </si>
  <si>
    <t>BCG_1560</t>
  </si>
  <si>
    <t>lipL</t>
  </si>
  <si>
    <t>esterase lipL</t>
  </si>
  <si>
    <t>BCG_2066c</t>
  </si>
  <si>
    <t>BCG_2428</t>
  </si>
  <si>
    <t>rpsT</t>
  </si>
  <si>
    <t>30S ribosomal protein S20</t>
  </si>
  <si>
    <t>BCG_1880c</t>
  </si>
  <si>
    <t>gnd1</t>
  </si>
  <si>
    <t>BCG_1169c</t>
  </si>
  <si>
    <t>BCG_2151c</t>
  </si>
  <si>
    <t>BCG_3047c</t>
  </si>
  <si>
    <t>mnmA</t>
  </si>
  <si>
    <t>tRNA-specific 2-thiouridylase MnmA</t>
  </si>
  <si>
    <t>BCG_3501c</t>
  </si>
  <si>
    <t>BCG_3789</t>
  </si>
  <si>
    <t>BCG_1209c</t>
  </si>
  <si>
    <t>BCG_1376</t>
  </si>
  <si>
    <t>murA</t>
  </si>
  <si>
    <t>UDP-N-acetylglucosamine 1-carboxyvinyltransferase</t>
  </si>
  <si>
    <t>BCG_0421c</t>
  </si>
  <si>
    <t>BCG_1452</t>
  </si>
  <si>
    <t>dfp</t>
  </si>
  <si>
    <t>bifunctional phosphopantothenoylcysteine decarboxylase/phosphopantothenate synthase</t>
  </si>
  <si>
    <t>BCG_1453</t>
  </si>
  <si>
    <t>metK</t>
  </si>
  <si>
    <t>S-adenosylmethionine synthetase</t>
  </si>
  <si>
    <t>BCG_0174</t>
  </si>
  <si>
    <t>BCG_1648</t>
  </si>
  <si>
    <t>BCG_2103</t>
  </si>
  <si>
    <t>BCG_3018</t>
  </si>
  <si>
    <t>alanine rich dehydrogenase</t>
  </si>
  <si>
    <t>BCG_3253</t>
  </si>
  <si>
    <t>BCG_3959c</t>
  </si>
  <si>
    <t>BCG_0124</t>
  </si>
  <si>
    <t>mtn</t>
  </si>
  <si>
    <t>bifunctional MTA/SAH nucleosidase mtn</t>
  </si>
  <si>
    <t>BCG_0358c</t>
  </si>
  <si>
    <t>BCG_1046c</t>
  </si>
  <si>
    <t>BCG_2632</t>
  </si>
  <si>
    <t>pdxH</t>
  </si>
  <si>
    <t>pyridoxamine 5'-phosphate oxidase</t>
  </si>
  <si>
    <t>BCG_2652c</t>
  </si>
  <si>
    <t>BCG_3108</t>
  </si>
  <si>
    <t>BCG_3208</t>
  </si>
  <si>
    <t>BCG_0773</t>
  </si>
  <si>
    <t>rplO</t>
  </si>
  <si>
    <t>50S ribosomal protein L15</t>
  </si>
  <si>
    <t>BCG_1439c</t>
  </si>
  <si>
    <t>BCG_1750</t>
  </si>
  <si>
    <t>BCG_1878c</t>
  </si>
  <si>
    <t>BCG_3059</t>
  </si>
  <si>
    <t>BCG_3180</t>
  </si>
  <si>
    <t>nuoM</t>
  </si>
  <si>
    <t>NADH dehydrogenase subunit M</t>
  </si>
  <si>
    <t>BCG_1534</t>
  </si>
  <si>
    <t>macrolide-transport ATP-binding protein ABC transporter</t>
  </si>
  <si>
    <t>BCG_1097c</t>
  </si>
  <si>
    <t>PPE15</t>
  </si>
  <si>
    <t>BCG_2856c</t>
  </si>
  <si>
    <t>dinF</t>
  </si>
  <si>
    <t>DNA-damage-inducible protein F dinF</t>
  </si>
  <si>
    <t>BCG_3307c</t>
  </si>
  <si>
    <t>BCG_1341c</t>
  </si>
  <si>
    <t>oppC</t>
  </si>
  <si>
    <t>oligopeptide-transport integral membrane protein ABC transporter oppC</t>
  </si>
  <si>
    <t>BCG_1944c</t>
  </si>
  <si>
    <t>aao</t>
  </si>
  <si>
    <t>D-amino acid oxidase aao</t>
  </si>
  <si>
    <t>BCG_3705c</t>
  </si>
  <si>
    <t>BCG_0467c</t>
  </si>
  <si>
    <t>BCG_0562c</t>
  </si>
  <si>
    <t>BCG_3700c</t>
  </si>
  <si>
    <t>BCG_0555</t>
  </si>
  <si>
    <t>hemB</t>
  </si>
  <si>
    <t>delta-aminolevulinic acid dehydratase</t>
  </si>
  <si>
    <t>BCG_0607</t>
  </si>
  <si>
    <t>grcC1</t>
  </si>
  <si>
    <t>polyprenyl-diphosphate synthase grcC1</t>
  </si>
  <si>
    <t>BCG_1714</t>
  </si>
  <si>
    <t>BCG_2863</t>
  </si>
  <si>
    <t>transmembrane alanine rich protein</t>
  </si>
  <si>
    <t>BCG_1527</t>
  </si>
  <si>
    <t>BCG_2217</t>
  </si>
  <si>
    <t>asnB</t>
  </si>
  <si>
    <t>asparagine synthetase AsnB</t>
  </si>
  <si>
    <t>BCG_2728</t>
  </si>
  <si>
    <t>BCG_2500c</t>
  </si>
  <si>
    <t>plsB2</t>
  </si>
  <si>
    <t>BCG_2368</t>
  </si>
  <si>
    <t>BCG_1194c</t>
  </si>
  <si>
    <t>metE</t>
  </si>
  <si>
    <t>5-methyltetrahydropteroyltriglutamate/homocysteine S-methyltransferase</t>
  </si>
  <si>
    <t>BCG_2875</t>
  </si>
  <si>
    <t>mtr</t>
  </si>
  <si>
    <t>mycothione reductase</t>
  </si>
  <si>
    <t>BCG_0225</t>
  </si>
  <si>
    <t>BCG_0400</t>
  </si>
  <si>
    <t>mgtE</t>
  </si>
  <si>
    <t>Mg2+ transport transmembrane protein mgtE</t>
  </si>
  <si>
    <t>BCG_1886</t>
  </si>
  <si>
    <t>ureC</t>
  </si>
  <si>
    <t>urease subunit alpha</t>
  </si>
  <si>
    <t>BCG_3172</t>
  </si>
  <si>
    <t>nuoE</t>
  </si>
  <si>
    <t>NADH dehydrogenase subunit E</t>
  </si>
  <si>
    <t>BCG_1451</t>
  </si>
  <si>
    <t>rpoZ</t>
  </si>
  <si>
    <t>DNA-directed RNA polymerase subunit omega</t>
  </si>
  <si>
    <t>BCG_0602</t>
  </si>
  <si>
    <t>pimB</t>
  </si>
  <si>
    <t>BCG_3844</t>
  </si>
  <si>
    <t>L-rhamnosyltransferase</t>
  </si>
  <si>
    <t>BCG_0742</t>
  </si>
  <si>
    <t>pqqE</t>
  </si>
  <si>
    <t>coenzyme PQQ synthesis protein E pqqE</t>
  </si>
  <si>
    <t>BCG_1129c</t>
  </si>
  <si>
    <t>echA9</t>
  </si>
  <si>
    <t>3-hydroxyisobutyryl-CoA hydrolase</t>
  </si>
  <si>
    <t>BCG_1262</t>
  </si>
  <si>
    <t>dapE</t>
  </si>
  <si>
    <t>succinyl-diaminopimelate desuccinylase</t>
  </si>
  <si>
    <t>BCG_3573c</t>
  </si>
  <si>
    <t>ilvX</t>
  </si>
  <si>
    <t>BCG_3938c</t>
  </si>
  <si>
    <t>BCG_0966c</t>
  </si>
  <si>
    <t>BCG_1819</t>
  </si>
  <si>
    <t>PPE25</t>
  </si>
  <si>
    <t>BCG_2172c</t>
  </si>
  <si>
    <t>murD</t>
  </si>
  <si>
    <t>UDP-N-acetylmuramoyl-L-alanyl-D-glutamate synthetase</t>
  </si>
  <si>
    <t>BCG_2636c</t>
  </si>
  <si>
    <t>lipid A biosynthesis lauroyl acyltransferase</t>
  </si>
  <si>
    <t>BCG_1913</t>
  </si>
  <si>
    <t>BCG_1417c</t>
  </si>
  <si>
    <t>moeY</t>
  </si>
  <si>
    <t>BCG_1228</t>
  </si>
  <si>
    <t>lpqW</t>
  </si>
  <si>
    <t>lipoprotein lpqW</t>
  </si>
  <si>
    <t>BCG_1904</t>
  </si>
  <si>
    <t>BCG_2215c</t>
  </si>
  <si>
    <t>BCG_0464c</t>
  </si>
  <si>
    <t>ctpH</t>
  </si>
  <si>
    <t>metal cation transporting P-type atpase ctpH</t>
  </si>
  <si>
    <t>BCG_0207</t>
  </si>
  <si>
    <t>mce1B</t>
  </si>
  <si>
    <t>MCE-family protein mce1B</t>
  </si>
  <si>
    <t>BCG_0479</t>
  </si>
  <si>
    <t>BCG_1279c</t>
  </si>
  <si>
    <t>BCG_2593</t>
  </si>
  <si>
    <t>BCG_2650</t>
  </si>
  <si>
    <t>BCG_0522c</t>
  </si>
  <si>
    <t>BCG_1001c</t>
  </si>
  <si>
    <t>mycolyl transferase</t>
  </si>
  <si>
    <t>BCG_1007c</t>
  </si>
  <si>
    <t>BCG_1963c</t>
  </si>
  <si>
    <t>BCG_1994</t>
  </si>
  <si>
    <t>BCG_2315c</t>
  </si>
  <si>
    <t>htpG</t>
  </si>
  <si>
    <t>heat shock protein 90</t>
  </si>
  <si>
    <t>BCG_0424</t>
  </si>
  <si>
    <t>BCG_1137</t>
  </si>
  <si>
    <t>metB</t>
  </si>
  <si>
    <t>cystathionine gamma-synthase</t>
  </si>
  <si>
    <t>BCG_3742</t>
  </si>
  <si>
    <t>BCG_0074c</t>
  </si>
  <si>
    <t>BCG_0177c</t>
  </si>
  <si>
    <t>BCG_0622</t>
  </si>
  <si>
    <t>TB27.3</t>
  </si>
  <si>
    <t>BCG_1785</t>
  </si>
  <si>
    <t>pknF</t>
  </si>
  <si>
    <t>anchored-membrane serine/threonine-protein kinase pknF</t>
  </si>
  <si>
    <t>BCG_1214c</t>
  </si>
  <si>
    <t>omt</t>
  </si>
  <si>
    <t>O-methyltransferase omt</t>
  </si>
  <si>
    <t>BCG_3730c</t>
  </si>
  <si>
    <t>BCG_0290</t>
  </si>
  <si>
    <t>nitrite reductase NAD(P)H] large subunit</t>
  </si>
  <si>
    <t>BCG_3229</t>
  </si>
  <si>
    <t>lipV</t>
  </si>
  <si>
    <t>lipase lipV</t>
  </si>
  <si>
    <t>BCG_2432c</t>
  </si>
  <si>
    <t>BCG_1526</t>
  </si>
  <si>
    <t>nitrogen fixation-like protein</t>
  </si>
  <si>
    <t>BCG_3373</t>
  </si>
  <si>
    <t>pmmB</t>
  </si>
  <si>
    <t>phosphomannomutase pmmB</t>
  </si>
  <si>
    <t>BCG_2158c</t>
  </si>
  <si>
    <t>BCG_2807c</t>
  </si>
  <si>
    <t>fadE21</t>
  </si>
  <si>
    <t>acyl-CoA dehydrogenase fadE21</t>
  </si>
  <si>
    <t>BCG_0306c</t>
  </si>
  <si>
    <t>BCG_3953c</t>
  </si>
  <si>
    <t>BCG_2182c</t>
  </si>
  <si>
    <t>mraW</t>
  </si>
  <si>
    <t>S-adenosyl-methyltransferase</t>
  </si>
  <si>
    <t>BCG_2921c</t>
  </si>
  <si>
    <t>fdhF</t>
  </si>
  <si>
    <t>formate dehydrogenase H fdhF</t>
  </si>
  <si>
    <t>BCG_1942</t>
  </si>
  <si>
    <t>BCG_2020c</t>
  </si>
  <si>
    <t>BCG_3065c</t>
  </si>
  <si>
    <t>BCG_0491</t>
  </si>
  <si>
    <t>BCG_1267</t>
  </si>
  <si>
    <t>folP2</t>
  </si>
  <si>
    <t>dihydropteroate synthase 2 folP2</t>
  </si>
  <si>
    <t>BCG_2083</t>
  </si>
  <si>
    <t>cobG</t>
  </si>
  <si>
    <t>cobalamin biosynthesis protein CobG</t>
  </si>
  <si>
    <t>BCG_3623c</t>
  </si>
  <si>
    <t>BCG_3653c</t>
  </si>
  <si>
    <t>canB</t>
  </si>
  <si>
    <t>carbonic anhydrase</t>
  </si>
  <si>
    <t>BCG_0045c</t>
  </si>
  <si>
    <t>pknA</t>
  </si>
  <si>
    <t>BCG_3274c</t>
  </si>
  <si>
    <t>mtrB</t>
  </si>
  <si>
    <t>two component sensory transduction histidine kinase mtrB</t>
  </si>
  <si>
    <t>BCG_1364</t>
  </si>
  <si>
    <t>atpB</t>
  </si>
  <si>
    <t>F0F1 ATP synthase subunit A</t>
  </si>
  <si>
    <t>BCG_1581</t>
  </si>
  <si>
    <t>fadD24</t>
  </si>
  <si>
    <t>BCG_2950</t>
  </si>
  <si>
    <t>tesA</t>
  </si>
  <si>
    <t>thioesterase tesA</t>
  </si>
  <si>
    <t>BCG_0633</t>
  </si>
  <si>
    <t>yrbE2B</t>
  </si>
  <si>
    <t>integral membrane protein YrbE2b</t>
  </si>
  <si>
    <t>BCG_1324</t>
  </si>
  <si>
    <t>BCG_1945c</t>
  </si>
  <si>
    <t>BCG_2973</t>
  </si>
  <si>
    <t>BCG_3158</t>
  </si>
  <si>
    <t>PPE50</t>
  </si>
  <si>
    <t>BCG_0384</t>
  </si>
  <si>
    <t>BCG_0896c</t>
  </si>
  <si>
    <t>narL</t>
  </si>
  <si>
    <t>nitrate/nitrite response transcriptional regulatory protein narL</t>
  </si>
  <si>
    <t>BCG_2443c</t>
  </si>
  <si>
    <t>BCG_2641c</t>
  </si>
  <si>
    <t>PE_PGRS45b</t>
  </si>
  <si>
    <t>BCG_2928c</t>
  </si>
  <si>
    <t>rimM</t>
  </si>
  <si>
    <t>16S rRNA-processing protein RimM</t>
  </si>
  <si>
    <t>BCG_3600c</t>
  </si>
  <si>
    <t>hydratase</t>
  </si>
  <si>
    <t>BCG_3626</t>
  </si>
  <si>
    <t>fadE31</t>
  </si>
  <si>
    <t>acyl-CoA dehydrogenase fadE31</t>
  </si>
  <si>
    <t>BCG_0884c</t>
  </si>
  <si>
    <t>BCG_1668</t>
  </si>
  <si>
    <t>rpsA</t>
  </si>
  <si>
    <t>30S ribosomal protein S1</t>
  </si>
  <si>
    <t>BCG_1276c</t>
  </si>
  <si>
    <t>BCG_1023</t>
  </si>
  <si>
    <t>ctpV</t>
  </si>
  <si>
    <t>metal cation transporter P-type atpase ctpV</t>
  </si>
  <si>
    <t>BCG_1655</t>
  </si>
  <si>
    <t>pykA</t>
  </si>
  <si>
    <t>pyruvate kinase</t>
  </si>
  <si>
    <t>BCG_2615c</t>
  </si>
  <si>
    <t>ruvB</t>
  </si>
  <si>
    <t>Holliday junction DNA helicase RuvB</t>
  </si>
  <si>
    <t>BCG_0403c</t>
  </si>
  <si>
    <t>BCG_3030</t>
  </si>
  <si>
    <t>BCG_2983c</t>
  </si>
  <si>
    <t>BCG_1323</t>
  </si>
  <si>
    <t>adenylyl cyclase</t>
  </si>
  <si>
    <t>BCG_1293c</t>
  </si>
  <si>
    <t>BCG_0149</t>
  </si>
  <si>
    <t>sugar kinase</t>
  </si>
  <si>
    <t>BCG_1021</t>
  </si>
  <si>
    <t>BCG_3000c</t>
  </si>
  <si>
    <t>BCG_1089</t>
  </si>
  <si>
    <t>kdpC</t>
  </si>
  <si>
    <t>potassium-transporting ATPase subunit C</t>
  </si>
  <si>
    <t>BCG_1532</t>
  </si>
  <si>
    <t>trxB1</t>
  </si>
  <si>
    <t>thioredoxin trxB1</t>
  </si>
  <si>
    <t>BCG_2163c</t>
  </si>
  <si>
    <t>BCG_2363c</t>
  </si>
  <si>
    <t>PE_PGRS39</t>
  </si>
  <si>
    <t>BCG_3723c</t>
  </si>
  <si>
    <t>dppB</t>
  </si>
  <si>
    <t>dipeptide-transport integral membrane protein ABC transporter dppB</t>
  </si>
  <si>
    <t>BCG_3950c</t>
  </si>
  <si>
    <t>BCG_1436</t>
  </si>
  <si>
    <t>BCG_3252</t>
  </si>
  <si>
    <t>BCG_1315c</t>
  </si>
  <si>
    <t>BCG_1371</t>
  </si>
  <si>
    <t>atpC</t>
  </si>
  <si>
    <t>F0F1 ATP synthase subunit epsilon</t>
  </si>
  <si>
    <t>BCG_0845c</t>
  </si>
  <si>
    <t>BCG_3728</t>
  </si>
  <si>
    <t>ephE</t>
  </si>
  <si>
    <t>epoxide hydrolase ephE</t>
  </si>
  <si>
    <t>BCG_2879c</t>
  </si>
  <si>
    <t>BCG_0072</t>
  </si>
  <si>
    <t>leuS</t>
  </si>
  <si>
    <t>leucyl-tRNA synthetase</t>
  </si>
  <si>
    <t>BCG_0472</t>
  </si>
  <si>
    <t>carboxylate-amine ligase</t>
  </si>
  <si>
    <t>BCG_1389c</t>
  </si>
  <si>
    <t>glgE</t>
  </si>
  <si>
    <t>glucanase glgE</t>
  </si>
  <si>
    <t>BCG_3645c</t>
  </si>
  <si>
    <t>BCG_3322</t>
  </si>
  <si>
    <t>pcd_1</t>
  </si>
  <si>
    <t>piperideine-6-carboxilic acid dehydrogenase pcd</t>
  </si>
  <si>
    <t>BCG_2427c</t>
  </si>
  <si>
    <t>BCG_3413c</t>
  </si>
  <si>
    <t>PPE54</t>
  </si>
  <si>
    <t>BCG_2934c</t>
  </si>
  <si>
    <t>D-amino acid aminohydrolase</t>
  </si>
  <si>
    <t>BCG_0577c</t>
  </si>
  <si>
    <t>fabH</t>
  </si>
  <si>
    <t>3-oxoacyl-ACP synthase</t>
  </si>
  <si>
    <t>BCG_3155c</t>
  </si>
  <si>
    <t>two component sensor histidine kinase devS</t>
  </si>
  <si>
    <t>BCG_3775c</t>
  </si>
  <si>
    <t>recR</t>
  </si>
  <si>
    <t>recombination protein RecR</t>
  </si>
  <si>
    <t>BCG_1651</t>
  </si>
  <si>
    <t>trpA</t>
  </si>
  <si>
    <t>tryptophan synthase subunit alpha</t>
  </si>
  <si>
    <t>BCG_0774</t>
  </si>
  <si>
    <t>sppA</t>
  </si>
  <si>
    <t>protease IV sppA (endopeptidase IV)</t>
  </si>
  <si>
    <t>BCG_1962</t>
  </si>
  <si>
    <t>lipD</t>
  </si>
  <si>
    <t>lipase lipD</t>
  </si>
  <si>
    <t>BCG_2988c</t>
  </si>
  <si>
    <t>pca</t>
  </si>
  <si>
    <t>pyruvate carboxylase</t>
  </si>
  <si>
    <t>BCG_0022c</t>
  </si>
  <si>
    <t>BCG_2902c</t>
  </si>
  <si>
    <t>cdsA</t>
  </si>
  <si>
    <t>integral membrane phosphatidate cytidylyltransferase cdsA</t>
  </si>
  <si>
    <t>BCG_1631c</t>
  </si>
  <si>
    <t>BCG_2373</t>
  </si>
  <si>
    <t>ferric uptake regulation protein furB</t>
  </si>
  <si>
    <t>BCG_1830</t>
  </si>
  <si>
    <t>BCG_1849</t>
  </si>
  <si>
    <t>BCG_3132c</t>
  </si>
  <si>
    <t>agpS</t>
  </si>
  <si>
    <t>alkyldihydroxyacetonephosphate synthase agpS</t>
  </si>
  <si>
    <t>BCG_0271c</t>
  </si>
  <si>
    <t>gabD1</t>
  </si>
  <si>
    <t>BCG_2256c</t>
  </si>
  <si>
    <t>BCG_1155</t>
  </si>
  <si>
    <t>phoH2</t>
  </si>
  <si>
    <t>phoH-like protein phoH2</t>
  </si>
  <si>
    <t>BCG_2606c</t>
  </si>
  <si>
    <t>relA</t>
  </si>
  <si>
    <t>GTP pyrophosphokinase relA</t>
  </si>
  <si>
    <t>BCG_2775c</t>
  </si>
  <si>
    <t>BCG_0247</t>
  </si>
  <si>
    <t>BCG_0906</t>
  </si>
  <si>
    <t>BCG_1190c</t>
  </si>
  <si>
    <t>transcriptional regulator protein</t>
  </si>
  <si>
    <t>BCG_2015c</t>
  </si>
  <si>
    <t>BCG_3676c</t>
  </si>
  <si>
    <t>BCG_3376</t>
  </si>
  <si>
    <t>BCG_1182</t>
  </si>
  <si>
    <t>zwf1</t>
  </si>
  <si>
    <t>BCG_1063</t>
  </si>
  <si>
    <t>BCG_3741</t>
  </si>
  <si>
    <t>ponA2</t>
  </si>
  <si>
    <t>bifunctional membrane-associated penicillin-binding protein 1A/1B ponA2</t>
  </si>
  <si>
    <t>BCG_0696c</t>
  </si>
  <si>
    <t>BCG_0093</t>
  </si>
  <si>
    <t>celA1</t>
  </si>
  <si>
    <t>cellulase celA1 (endoglucanase)</t>
  </si>
  <si>
    <t>BCG_3444</t>
  </si>
  <si>
    <t>otsB2</t>
  </si>
  <si>
    <t>trehalose 6-phosphate phosphatase otsB2</t>
  </si>
  <si>
    <t>BCG_3646c</t>
  </si>
  <si>
    <t>ispF</t>
  </si>
  <si>
    <t>2-C-methyl-D-erythritol 2,4-cyclodiphosphate synthase</t>
  </si>
  <si>
    <t>BCG_0231</t>
  </si>
  <si>
    <t>BCG_0621</t>
  </si>
  <si>
    <t>BCG_3458c</t>
  </si>
  <si>
    <t>BCG_1449</t>
  </si>
  <si>
    <t>mihF</t>
  </si>
  <si>
    <t>integration host factor mihF</t>
  </si>
  <si>
    <t>BCG_0755</t>
  </si>
  <si>
    <t>rpsS</t>
  </si>
  <si>
    <t>30S ribosomal protein S19</t>
  </si>
  <si>
    <t>BCG_1049</t>
  </si>
  <si>
    <t>moeA1</t>
  </si>
  <si>
    <t>molybdopterin biosynthesis protein moeA1</t>
  </si>
  <si>
    <t>BCG_2886c</t>
  </si>
  <si>
    <t>penicillin-binding lipoprotein</t>
  </si>
  <si>
    <t>BCG_3395</t>
  </si>
  <si>
    <t>embR2</t>
  </si>
  <si>
    <t>transcriptional regulatory protein embR2</t>
  </si>
  <si>
    <t>BCG_2101</t>
  </si>
  <si>
    <t>BCG_1590c</t>
  </si>
  <si>
    <t>ansA</t>
  </si>
  <si>
    <t>L-aparaginase ansA</t>
  </si>
  <si>
    <t>BCG_1694</t>
  </si>
  <si>
    <t>argD</t>
  </si>
  <si>
    <t>acetylornithine aminotransferase</t>
  </si>
  <si>
    <t>BCG_1907c</t>
  </si>
  <si>
    <t>BCG_2529</t>
  </si>
  <si>
    <t>BCG_3126c</t>
  </si>
  <si>
    <t>ftsX</t>
  </si>
  <si>
    <t>cell division protein ftsX</t>
  </si>
  <si>
    <t>BCG_3238</t>
  </si>
  <si>
    <t>rhlE</t>
  </si>
  <si>
    <t>ATP-dependent RNA helicase rhlE</t>
  </si>
  <si>
    <t>BCG_3325</t>
  </si>
  <si>
    <t>lhr_1</t>
  </si>
  <si>
    <t>ATP-dependent helicase lhr</t>
  </si>
  <si>
    <t>BCG_0693c</t>
  </si>
  <si>
    <t>mmaA2</t>
  </si>
  <si>
    <t>BCG_1363</t>
  </si>
  <si>
    <t>BCG_3563c</t>
  </si>
  <si>
    <t>mce4A</t>
  </si>
  <si>
    <t>Mce-family protein mce4A</t>
  </si>
  <si>
    <t>BCG_1469</t>
  </si>
  <si>
    <t>rpe</t>
  </si>
  <si>
    <t>ribulose-phosphate 3-epimerase</t>
  </si>
  <si>
    <t>BCG_3559c</t>
  </si>
  <si>
    <t>lprN</t>
  </si>
  <si>
    <t>mce family lipoprotein LprN</t>
  </si>
  <si>
    <t>BCG_0949c</t>
  </si>
  <si>
    <t>BCG_2418</t>
  </si>
  <si>
    <t>BCG_1285c</t>
  </si>
  <si>
    <t>BCG_1310</t>
  </si>
  <si>
    <t>drug-transport integral membrane protein</t>
  </si>
  <si>
    <t>BCG_0554</t>
  </si>
  <si>
    <t>hemD</t>
  </si>
  <si>
    <t>uroporphyrin-III c-methyltransferase hemD</t>
  </si>
  <si>
    <t>BCG_3025c</t>
  </si>
  <si>
    <t>ilvB1</t>
  </si>
  <si>
    <t>acetolactate synthase 1 catalytic subunit</t>
  </si>
  <si>
    <t>BCG_2467c</t>
  </si>
  <si>
    <t>folC</t>
  </si>
  <si>
    <t>folylpolyglutamate synthase folC</t>
  </si>
  <si>
    <t>BCG_3484c</t>
  </si>
  <si>
    <t>sigD</t>
  </si>
  <si>
    <t>RNA polymerase sigma factor SigD</t>
  </si>
  <si>
    <t>BCG_0830</t>
  </si>
  <si>
    <t>cyp126</t>
  </si>
  <si>
    <t>cytochrome P450 126 cyp126</t>
  </si>
  <si>
    <t>BCG_1611</t>
  </si>
  <si>
    <t>ilvA</t>
  </si>
  <si>
    <t>threonine dehydratase</t>
  </si>
  <si>
    <t>BCG_1144</t>
  </si>
  <si>
    <t>Short (C15) chain Z-isoprenyl diphosphate synthase</t>
  </si>
  <si>
    <t>BCG_1592</t>
  </si>
  <si>
    <t>BCG_1657</t>
  </si>
  <si>
    <t>BCG_3120</t>
  </si>
  <si>
    <t>BCG_3727</t>
  </si>
  <si>
    <t>BCG_2120</t>
  </si>
  <si>
    <t>helZ</t>
  </si>
  <si>
    <t>helicase helZ</t>
  </si>
  <si>
    <t>BCG_1152c</t>
  </si>
  <si>
    <t>coaA</t>
  </si>
  <si>
    <t>BCG_1256</t>
  </si>
  <si>
    <t>PPE18</t>
  </si>
  <si>
    <t>BCG_1442</t>
  </si>
  <si>
    <t>pyrC</t>
  </si>
  <si>
    <t>dihydroorotase</t>
  </si>
  <si>
    <t>BCG_2439</t>
  </si>
  <si>
    <t>BCG_2749c</t>
  </si>
  <si>
    <t>recX</t>
  </si>
  <si>
    <t>recombination regulator RecX</t>
  </si>
  <si>
    <t>BCG_0075c</t>
  </si>
  <si>
    <t>BCG_0325</t>
  </si>
  <si>
    <t>BCG_0650</t>
  </si>
  <si>
    <t>lpqO</t>
  </si>
  <si>
    <t>lipoprotein lpqO</t>
  </si>
  <si>
    <t>BCG_0904</t>
  </si>
  <si>
    <t>fadD16</t>
  </si>
  <si>
    <t>fatty-acid-CoA ligase fadD16</t>
  </si>
  <si>
    <t>BCG_2247c</t>
  </si>
  <si>
    <t>BCG_3401</t>
  </si>
  <si>
    <t>sugI</t>
  </si>
  <si>
    <t>sugar-transport integral membrane protein sugI</t>
  </si>
  <si>
    <t>BCG_3786</t>
  </si>
  <si>
    <t>BCG_2717</t>
  </si>
  <si>
    <t>BCG_1091c</t>
  </si>
  <si>
    <t>trcR</t>
  </si>
  <si>
    <t>two component transcriptional regulator trcR</t>
  </si>
  <si>
    <t>BCG_2937c</t>
  </si>
  <si>
    <t>ffh</t>
  </si>
  <si>
    <t>signal recognition particle protein ffh</t>
  </si>
  <si>
    <t>BCG_0832</t>
  </si>
  <si>
    <t>purC</t>
  </si>
  <si>
    <t>phosphoribosylaminoimidazole-succinocarboxamide synthase</t>
  </si>
  <si>
    <t>BCG_3409c</t>
  </si>
  <si>
    <t>icd1</t>
  </si>
  <si>
    <t>BCG_0189c</t>
  </si>
  <si>
    <t>ptbB</t>
  </si>
  <si>
    <t>phosphotyrosine protein phosphatase ptpB</t>
  </si>
  <si>
    <t>BCG_1373c</t>
  </si>
  <si>
    <t>BCG_2261</t>
  </si>
  <si>
    <t>acpP</t>
  </si>
  <si>
    <t>acyl carrier protein</t>
  </si>
  <si>
    <t>BCG_0381</t>
  </si>
  <si>
    <t>iniA</t>
  </si>
  <si>
    <t>isoniazid inductible gene protein iniA</t>
  </si>
  <si>
    <t>BCG_1795c</t>
  </si>
  <si>
    <t>BCG_3002c</t>
  </si>
  <si>
    <t>ddl</t>
  </si>
  <si>
    <t>D-alanyl-alanine synthetase A</t>
  </si>
  <si>
    <t>BCG_3847</t>
  </si>
  <si>
    <t>BCG_3473c</t>
  </si>
  <si>
    <t>BCG_3734</t>
  </si>
  <si>
    <t>CRP/FNR family transcriptional regulator</t>
  </si>
  <si>
    <t>BCG_1316c</t>
  </si>
  <si>
    <t>BCG_3031c</t>
  </si>
  <si>
    <t>gatB</t>
  </si>
  <si>
    <t>aspartyl/glutamyl-tRNA amidotransferase subunit B</t>
  </si>
  <si>
    <t>BCG_1038</t>
  </si>
  <si>
    <t>BCG_2768c</t>
  </si>
  <si>
    <t>BCG_0850c</t>
  </si>
  <si>
    <t>cfp29</t>
  </si>
  <si>
    <t>29 kDa antigen cfp29</t>
  </si>
  <si>
    <t>BCG_2804c</t>
  </si>
  <si>
    <t>ribF</t>
  </si>
  <si>
    <t>bifunctional riboflavin kinase/FMN adenylyltransferase</t>
  </si>
  <si>
    <t>BCG_3853</t>
  </si>
  <si>
    <t>BCG_0934</t>
  </si>
  <si>
    <t>BCG_1753</t>
  </si>
  <si>
    <t>BCG_1973c</t>
  </si>
  <si>
    <t>fadE17</t>
  </si>
  <si>
    <t>acyl-CoA dehydrogenase fadE17</t>
  </si>
  <si>
    <t>BCG_3552</t>
  </si>
  <si>
    <t>BCG_0142</t>
  </si>
  <si>
    <t>PE_PGRS1</t>
  </si>
  <si>
    <t>BCG_2663</t>
  </si>
  <si>
    <t>BCG_3082c</t>
  </si>
  <si>
    <t>BCG_3193</t>
  </si>
  <si>
    <t>BCG_3440c</t>
  </si>
  <si>
    <t>BCG_2760c</t>
  </si>
  <si>
    <t>BCG_0095</t>
  </si>
  <si>
    <t>BCG_3417c</t>
  </si>
  <si>
    <t>PPE55a</t>
  </si>
  <si>
    <t>BCG_3842</t>
  </si>
  <si>
    <t>BCG_1617c</t>
  </si>
  <si>
    <t>treX</t>
  </si>
  <si>
    <t>maltooligosyltrehalose synthase TreX</t>
  </si>
  <si>
    <t>BCG_1695</t>
  </si>
  <si>
    <t>argF</t>
  </si>
  <si>
    <t>ornithine carbamoyltransferase</t>
  </si>
  <si>
    <t>BCG_0091</t>
  </si>
  <si>
    <t>BCG_3753c</t>
  </si>
  <si>
    <t>BCG_1242c</t>
  </si>
  <si>
    <t>BCG_0028c</t>
  </si>
  <si>
    <t>BCG_2227c</t>
  </si>
  <si>
    <t>gcvT</t>
  </si>
  <si>
    <t>glycine cleavage system aminomethyltransferase T</t>
  </si>
  <si>
    <t>BCG_1584c</t>
  </si>
  <si>
    <t>BCG_2353</t>
  </si>
  <si>
    <t>BCG_1312c</t>
  </si>
  <si>
    <t>lprE</t>
  </si>
  <si>
    <t>lipoprotein lprE</t>
  </si>
  <si>
    <t>BCG_2823</t>
  </si>
  <si>
    <t>BCG_3034c</t>
  </si>
  <si>
    <t>gatC</t>
  </si>
  <si>
    <t>aspartyl/glutamyl-tRNA amidotransferase subunit C</t>
  </si>
  <si>
    <t>BCG_2110</t>
  </si>
  <si>
    <t>5'-3' exonuclease</t>
  </si>
  <si>
    <t>BCG_2205c</t>
  </si>
  <si>
    <t>BCG_0180</t>
  </si>
  <si>
    <t>BCG_3149</t>
  </si>
  <si>
    <t>BCG_3159</t>
  </si>
  <si>
    <t>BCG_3170</t>
  </si>
  <si>
    <t>NADH dehydrogenase subunit C</t>
  </si>
  <si>
    <t>BCG_1920c</t>
  </si>
  <si>
    <t>BCG_2910c</t>
  </si>
  <si>
    <t>tsf</t>
  </si>
  <si>
    <t>elongation factor Ts</t>
  </si>
  <si>
    <t>BCG_0940</t>
  </si>
  <si>
    <t>BCG_2693</t>
  </si>
  <si>
    <t>BCG_3258</t>
  </si>
  <si>
    <t>BCG_0005</t>
  </si>
  <si>
    <t>gyrB</t>
  </si>
  <si>
    <t>DNA gyrase subunit B</t>
  </si>
  <si>
    <t>BCG_2494c</t>
  </si>
  <si>
    <t>BCG_2762c</t>
  </si>
  <si>
    <t>pgsA3</t>
  </si>
  <si>
    <t>pgp synthase pgsA3</t>
  </si>
  <si>
    <t>BCG_0806c</t>
  </si>
  <si>
    <t>PPE12</t>
  </si>
  <si>
    <t>BCG_2425c</t>
  </si>
  <si>
    <t>BCG_0689</t>
  </si>
  <si>
    <t>rplK</t>
  </si>
  <si>
    <t>50S ribosomal protein L11</t>
  </si>
  <si>
    <t>BCG_2437c</t>
  </si>
  <si>
    <t>nadD</t>
  </si>
  <si>
    <t>nicotinic acid mononucleotide adenylyltransferase</t>
  </si>
  <si>
    <t>BCG_1955c</t>
  </si>
  <si>
    <t>PPE34</t>
  </si>
  <si>
    <t>BCG_3823c</t>
  </si>
  <si>
    <t>BCG_0158</t>
  </si>
  <si>
    <t>PE_PGRS2</t>
  </si>
  <si>
    <t>BCG_0664</t>
  </si>
  <si>
    <t>BCG_0920c</t>
  </si>
  <si>
    <t>moaD2</t>
  </si>
  <si>
    <t>molybdenum cofactor biosynthesis protein D 2 moaD2</t>
  </si>
  <si>
    <t>BCG_2049c</t>
  </si>
  <si>
    <t>BCG_2326c</t>
  </si>
  <si>
    <t>BCG_2756</t>
  </si>
  <si>
    <t>PE_PGRS47</t>
  </si>
  <si>
    <t>BCG_3019</t>
  </si>
  <si>
    <t>BCG_0339</t>
  </si>
  <si>
    <t>BCG_0663A</t>
  </si>
  <si>
    <t>BCG_3142</t>
  </si>
  <si>
    <t>cysA3</t>
  </si>
  <si>
    <t>thiosulfate sulfurtransferase cysA3</t>
  </si>
  <si>
    <t>BCG_3457</t>
  </si>
  <si>
    <t>PE_PGRS52</t>
  </si>
  <si>
    <t>BCG_3510c</t>
  </si>
  <si>
    <t>esxT</t>
  </si>
  <si>
    <t>BCG_0860</t>
  </si>
  <si>
    <t>purF</t>
  </si>
  <si>
    <t>amidophosphoribosyltransferase</t>
  </si>
  <si>
    <t>BCG_0771</t>
  </si>
  <si>
    <t>rpsE</t>
  </si>
  <si>
    <t>30S ribosomal protein S5</t>
  </si>
  <si>
    <t>BCG_1488c</t>
  </si>
  <si>
    <t>fadD12</t>
  </si>
  <si>
    <t>BCG_3934</t>
  </si>
  <si>
    <t>BCG_2948c</t>
  </si>
  <si>
    <t>BCG_2734c</t>
  </si>
  <si>
    <t>transmembrane alanine and glycine rich protein</t>
  </si>
  <si>
    <t>BCG_2464c</t>
  </si>
  <si>
    <t>rne</t>
  </si>
  <si>
    <t>ribonuclease E rne</t>
  </si>
  <si>
    <t>BCG_1064c</t>
  </si>
  <si>
    <t>metS</t>
  </si>
  <si>
    <t>methionyl-tRNA synthetase</t>
  </si>
  <si>
    <t>BCG_0876c</t>
  </si>
  <si>
    <t>BCG_2656</t>
  </si>
  <si>
    <t>BCG_1074c</t>
  </si>
  <si>
    <t>prsA</t>
  </si>
  <si>
    <t>ribose-phosphate pyrophosphokinase</t>
  </si>
  <si>
    <t>BCG_1388c</t>
  </si>
  <si>
    <t>glgB</t>
  </si>
  <si>
    <t>glycogen branching protein</t>
  </si>
  <si>
    <t>BCG_3776c</t>
  </si>
  <si>
    <t>BCG_0023c</t>
  </si>
  <si>
    <t>parB_2</t>
  </si>
  <si>
    <t>chromosome partitioning protein parB</t>
  </si>
  <si>
    <t>BCG_2964</t>
  </si>
  <si>
    <t>mmpL7</t>
  </si>
  <si>
    <t>transmembrane transport protein mmpL7</t>
  </si>
  <si>
    <t>BCG_0125</t>
  </si>
  <si>
    <t>ctpA</t>
  </si>
  <si>
    <t>cation transporter p-type atpase A ctpA</t>
  </si>
  <si>
    <t>BCG_0267c</t>
  </si>
  <si>
    <t>php</t>
  </si>
  <si>
    <t>phosphotriesterase PHP</t>
  </si>
  <si>
    <t>BCG_2415c</t>
  </si>
  <si>
    <t>subI</t>
  </si>
  <si>
    <t>sulfate-binding lipoprotein subI</t>
  </si>
  <si>
    <t>BCG_0281</t>
  </si>
  <si>
    <t>fadA2</t>
  </si>
  <si>
    <t>BCG_2392c</t>
  </si>
  <si>
    <t>lysine-N-oxygenase mbtG</t>
  </si>
  <si>
    <t>BCG_3505c</t>
  </si>
  <si>
    <t>BCG_1570</t>
  </si>
  <si>
    <t>BCG_1170</t>
  </si>
  <si>
    <t>ispH</t>
  </si>
  <si>
    <t>4-hydroxy-3-methylbut-2-enyl diphosphate reductase</t>
  </si>
  <si>
    <t>BCG_0217c</t>
  </si>
  <si>
    <t>BCG_1166c</t>
  </si>
  <si>
    <t>cholesterol dehydrogenase</t>
  </si>
  <si>
    <t>BCG_1968c</t>
  </si>
  <si>
    <t>BCG_0050c</t>
  </si>
  <si>
    <t>TB39.8</t>
  </si>
  <si>
    <t>BCG_2463</t>
  </si>
  <si>
    <t>dctA</t>
  </si>
  <si>
    <t>C4-dicarboxylate-transport transmembrane protein dctA</t>
  </si>
  <si>
    <t>BCG_2382c</t>
  </si>
  <si>
    <t>phoH1</t>
  </si>
  <si>
    <t>phoH-like protein phoH1</t>
  </si>
  <si>
    <t>BCG_2262</t>
  </si>
  <si>
    <t>kasA</t>
  </si>
  <si>
    <t>BCG_0328</t>
  </si>
  <si>
    <t>low molecular weight protein antigen 7 cfp7</t>
  </si>
  <si>
    <t>BCG_0818c</t>
  </si>
  <si>
    <t>cytochrome P450 123 cyp123</t>
  </si>
  <si>
    <t>BCG_3066c</t>
  </si>
  <si>
    <t>serB2</t>
  </si>
  <si>
    <t>phosphoserine phosphatase serB2</t>
  </si>
  <si>
    <t>BCG_0591c</t>
  </si>
  <si>
    <t>BCG_1546</t>
  </si>
  <si>
    <t>inhA</t>
  </si>
  <si>
    <t>enoyl-ACP reductase</t>
  </si>
  <si>
    <t>BCG_1283</t>
  </si>
  <si>
    <t>htrA</t>
  </si>
  <si>
    <t>serine protease htrA</t>
  </si>
  <si>
    <t>BCG_1701</t>
  </si>
  <si>
    <t>pks8</t>
  </si>
  <si>
    <t>BCG_1993c</t>
  </si>
  <si>
    <t>BCG_1487c</t>
  </si>
  <si>
    <t>lipO</t>
  </si>
  <si>
    <t>esterase lipO</t>
  </si>
  <si>
    <t>BCG_1356</t>
  </si>
  <si>
    <t>thrB</t>
  </si>
  <si>
    <t>homoserine kinase</t>
  </si>
  <si>
    <t>BCG_1643</t>
  </si>
  <si>
    <t>hisF</t>
  </si>
  <si>
    <t>imidazole glycerol phosphate synthase subunit HisF</t>
  </si>
  <si>
    <t>BCG_0702c</t>
  </si>
  <si>
    <t>BCG_0001</t>
  </si>
  <si>
    <t>dnaA</t>
  </si>
  <si>
    <t>chromosomal replication initiation protein</t>
  </si>
  <si>
    <t>BCG_3447</t>
  </si>
  <si>
    <t>BCG_1543</t>
  </si>
  <si>
    <t>BCG_3199</t>
  </si>
  <si>
    <t>BCG_0513c</t>
  </si>
  <si>
    <t>BCG_2575c</t>
  </si>
  <si>
    <t>aroE</t>
  </si>
  <si>
    <t>shikimate 5-dehydrogenase</t>
  </si>
  <si>
    <t>BCG_0076c</t>
  </si>
  <si>
    <t>BCG_0027c</t>
  </si>
  <si>
    <t>preprotein translocase subunit YidC</t>
  </si>
  <si>
    <t>BCG_0146</t>
  </si>
  <si>
    <t>gmhA</t>
  </si>
  <si>
    <t>phosphoheptose isomerase</t>
  </si>
  <si>
    <t>BCG_0313c</t>
  </si>
  <si>
    <t>BCG_0420c</t>
  </si>
  <si>
    <t>pyrE</t>
  </si>
  <si>
    <t>orotate phosphoribosyltransferase</t>
  </si>
  <si>
    <t>BCG_3143</t>
  </si>
  <si>
    <t>BCG_2319c</t>
  </si>
  <si>
    <t>antibiotic-resistance protein</t>
  </si>
  <si>
    <t>BCG_0106</t>
  </si>
  <si>
    <t>BCG_0982</t>
  </si>
  <si>
    <t>pstA1</t>
  </si>
  <si>
    <t>phosphate-transport integral membrane ABC transporter pstA1</t>
  </si>
  <si>
    <t>BCG_3100c</t>
  </si>
  <si>
    <t>BCG_1742c</t>
  </si>
  <si>
    <t>cycA</t>
  </si>
  <si>
    <t>D-serine/alanine/glycine transporter protein cycA</t>
  </si>
  <si>
    <t>BCG_0009</t>
  </si>
  <si>
    <t>ppiA_1</t>
  </si>
  <si>
    <t>iron-regulated peptidyl-prolyl cis-trans isomerase A ppiA</t>
  </si>
  <si>
    <t>BCG_1445</t>
  </si>
  <si>
    <t>carB</t>
  </si>
  <si>
    <t>carbamoyl phosphate synthase large subunit</t>
  </si>
  <si>
    <t>BCG_0428</t>
  </si>
  <si>
    <t>metZ</t>
  </si>
  <si>
    <t>O-succinylhomoserine sulfhydrylase</t>
  </si>
  <si>
    <t>BCG_2174c</t>
  </si>
  <si>
    <t>murF</t>
  </si>
  <si>
    <t>UDP-N-acetylmuramoylalanyl-D-glutamyl-2,6- diaminopimelate-D-alanyl-D-alanyl ligase MurF</t>
  </si>
  <si>
    <t>BCG_3590</t>
  </si>
  <si>
    <t>BCG_1227</t>
  </si>
  <si>
    <t>typA</t>
  </si>
  <si>
    <t>GTP-binding translation elongation factor typA</t>
  </si>
  <si>
    <t>BCG_2140</t>
  </si>
  <si>
    <t>BCG_3321</t>
  </si>
  <si>
    <t>BCG_1476</t>
  </si>
  <si>
    <t>ribA2</t>
  </si>
  <si>
    <t>bifunctional 3,4-dihydroxy-2-butanone 4-phosphate synthase/GTP cyclohydrolase II protein</t>
  </si>
  <si>
    <t>BCG_1892c</t>
  </si>
  <si>
    <t>BCG_1906c</t>
  </si>
  <si>
    <t>BCG_3410</t>
  </si>
  <si>
    <t>metC</t>
  </si>
  <si>
    <t>O-acetylhomoserine aminocarboxypropyltransferase</t>
  </si>
  <si>
    <t>BCG_0629</t>
  </si>
  <si>
    <t>BCG_1370</t>
  </si>
  <si>
    <t>atpD</t>
  </si>
  <si>
    <t>F0F1 ATP synthase subunit beta</t>
  </si>
  <si>
    <t>BCG_3181</t>
  </si>
  <si>
    <t>nuoN</t>
  </si>
  <si>
    <t>NADH dehydrogenase subunit N</t>
  </si>
  <si>
    <t>BCG_2798</t>
  </si>
  <si>
    <t>aldb</t>
  </si>
  <si>
    <t>BCG_0107c</t>
  </si>
  <si>
    <t>BCG_1045c</t>
  </si>
  <si>
    <t>BCG_1775c</t>
  </si>
  <si>
    <t>nitrate reductase NarX</t>
  </si>
  <si>
    <t>BCG_0784</t>
  </si>
  <si>
    <t>mapA</t>
  </si>
  <si>
    <t>BCG_2223</t>
  </si>
  <si>
    <t>cobT</t>
  </si>
  <si>
    <t>nicotinate-nucleotide--dimethylbenzimidazole phosphoribosyltransferase</t>
  </si>
  <si>
    <t>BCG_1720</t>
  </si>
  <si>
    <t>coiled-coil structural protein</t>
  </si>
  <si>
    <t>BCG_2367c</t>
  </si>
  <si>
    <t>dgt</t>
  </si>
  <si>
    <t>deoxyguanosinetriphosphate triphosphohydrolase-like protein</t>
  </si>
  <si>
    <t>BCG_3124c</t>
  </si>
  <si>
    <t>BCG_0197</t>
  </si>
  <si>
    <t>BCG_3825</t>
  </si>
  <si>
    <t>BCG_0380</t>
  </si>
  <si>
    <t>iniB</t>
  </si>
  <si>
    <t>isoniazid inductible gene protein iniB</t>
  </si>
  <si>
    <t>BCG_3541</t>
  </si>
  <si>
    <t>PPE60</t>
  </si>
  <si>
    <t>BCG_2716</t>
  </si>
  <si>
    <t>sigA</t>
  </si>
  <si>
    <t>RNA polymerase sigma factor</t>
  </si>
  <si>
    <t>BCG_0117</t>
  </si>
  <si>
    <t>hycD</t>
  </si>
  <si>
    <t>formate hydrogenlyase hycD (FHL)</t>
  </si>
  <si>
    <t>BCG_1115</t>
  </si>
  <si>
    <t>BCG_0482</t>
  </si>
  <si>
    <t>BCG_1874c</t>
  </si>
  <si>
    <t>BCG_2340c</t>
  </si>
  <si>
    <t>BCG_3147c</t>
  </si>
  <si>
    <t>PPE49a</t>
  </si>
  <si>
    <t>BCG_3218</t>
  </si>
  <si>
    <t>BCG_1017c</t>
  </si>
  <si>
    <t>BCG_1172</t>
  </si>
  <si>
    <t>GTP-dependent nucleic acid-binding protein EngD</t>
  </si>
  <si>
    <t>BCG_3571</t>
  </si>
  <si>
    <t>PE_PGRS53</t>
  </si>
  <si>
    <t>BCG_3596</t>
  </si>
  <si>
    <t>PPE61</t>
  </si>
  <si>
    <t>BCG_3754</t>
  </si>
  <si>
    <t>BCG_0199</t>
  </si>
  <si>
    <t>BCG_2109c</t>
  </si>
  <si>
    <t>pepE</t>
  </si>
  <si>
    <t>dipeptidase PepE</t>
  </si>
  <si>
    <t>BCG_3178</t>
  </si>
  <si>
    <t>NADH dehydrogenase subunit K</t>
  </si>
  <si>
    <t>BCG_3899</t>
  </si>
  <si>
    <t>BCG_0098c</t>
  </si>
  <si>
    <t>BCG_0701</t>
  </si>
  <si>
    <t>rplL</t>
  </si>
  <si>
    <t>50S ribosomal protein L7/L12</t>
  </si>
  <si>
    <t>BCG_2550</t>
  </si>
  <si>
    <t>BCG_3419c</t>
  </si>
  <si>
    <t>BCG_3610</t>
  </si>
  <si>
    <t>fadA5</t>
  </si>
  <si>
    <t>BCG_2952</t>
  </si>
  <si>
    <t>BCG_0024c</t>
  </si>
  <si>
    <t>parA_2</t>
  </si>
  <si>
    <t>chromosome partitioning protein parA</t>
  </si>
  <si>
    <t>BCG_1667</t>
  </si>
  <si>
    <t>polA</t>
  </si>
  <si>
    <t>DNA polymerase I</t>
  </si>
  <si>
    <t>BCG_2435c</t>
  </si>
  <si>
    <t>BCG_0321</t>
  </si>
  <si>
    <t>BCG_3007c</t>
  </si>
  <si>
    <t>hupB</t>
  </si>
  <si>
    <t>DNA-binding protein HU hupB</t>
  </si>
  <si>
    <t>BCG_1394</t>
  </si>
  <si>
    <t>BCG_2283</t>
  </si>
  <si>
    <t>cyp124</t>
  </si>
  <si>
    <t>cytochrome P450 124 CYP124</t>
  </si>
  <si>
    <t>BCG_1458c</t>
  </si>
  <si>
    <t>BCG_1743c</t>
  </si>
  <si>
    <t>PPE22</t>
  </si>
  <si>
    <t>BCG_1825</t>
  </si>
  <si>
    <t>esxN</t>
  </si>
  <si>
    <t>ESAT-6 like protein 5</t>
  </si>
  <si>
    <t>BCG_1252</t>
  </si>
  <si>
    <t>BCG_0601</t>
  </si>
  <si>
    <t>BCG_2986c</t>
  </si>
  <si>
    <t>coaD</t>
  </si>
  <si>
    <t>phosphopantetheine adenylyltransferase</t>
  </si>
  <si>
    <t>BCG_3513c</t>
  </si>
  <si>
    <t>BCG_3902</t>
  </si>
  <si>
    <t>BCG_2860c</t>
  </si>
  <si>
    <t>BCG_0392</t>
  </si>
  <si>
    <t>hspR</t>
  </si>
  <si>
    <t>heat shock protein transcriptional regulator HspR</t>
  </si>
  <si>
    <t>BCG_3225c</t>
  </si>
  <si>
    <t>transmembrane cation transporter</t>
  </si>
  <si>
    <t>BCG_1072c</t>
  </si>
  <si>
    <t>rplY</t>
  </si>
  <si>
    <t>50S ribosomal protein L25</t>
  </si>
  <si>
    <t>BCG_1226</t>
  </si>
  <si>
    <t>narI</t>
  </si>
  <si>
    <t>respiratory nitrate reductase (gamma chain) narI</t>
  </si>
  <si>
    <t>BCG_1368</t>
  </si>
  <si>
    <t>atpA</t>
  </si>
  <si>
    <t>F0F1 ATP synthase subunit alpha</t>
  </si>
  <si>
    <t>BCG_3017c</t>
  </si>
  <si>
    <t>serA1</t>
  </si>
  <si>
    <t>D-3-phosphoglycerate dehydrogenase</t>
  </si>
  <si>
    <t>BCG_0007</t>
  </si>
  <si>
    <t>BCG_3780</t>
  </si>
  <si>
    <t>fatty acid synthase</t>
  </si>
  <si>
    <t>BCG_0531</t>
  </si>
  <si>
    <t>senX3</t>
  </si>
  <si>
    <t>two component sensor histidine kinase senX3</t>
  </si>
  <si>
    <t>BCG_3326</t>
  </si>
  <si>
    <t>nei_1</t>
  </si>
  <si>
    <t>endonuclease VIII nei</t>
  </si>
  <si>
    <t>BCG_3743</t>
  </si>
  <si>
    <t>lyase</t>
  </si>
  <si>
    <t>BCG_3841</t>
  </si>
  <si>
    <t>transmembrane protein alanine and leucine rich</t>
  </si>
  <si>
    <t>BCG_1314</t>
  </si>
  <si>
    <t>BCG_1638</t>
  </si>
  <si>
    <t>hisC1</t>
  </si>
  <si>
    <t>histidinol-phosphate aminotransferase</t>
  </si>
  <si>
    <t>BCG_1398</t>
  </si>
  <si>
    <t>cysM</t>
  </si>
  <si>
    <t>cysteine synthase b cysM</t>
  </si>
  <si>
    <t>BCG_0096</t>
  </si>
  <si>
    <t>BCG_2676</t>
  </si>
  <si>
    <t>BCG_3671c</t>
  </si>
  <si>
    <t>folB</t>
  </si>
  <si>
    <t>dihydroneopterin aldolase folB</t>
  </si>
  <si>
    <t>BCG_1587</t>
  </si>
  <si>
    <t>BCG_1681</t>
  </si>
  <si>
    <t>rpmI</t>
  </si>
  <si>
    <t>50S ribosomal protein L35</t>
  </si>
  <si>
    <t>BCG_2674</t>
  </si>
  <si>
    <t>BCG_3097c</t>
  </si>
  <si>
    <t>BCG_2769c</t>
  </si>
  <si>
    <t>dapA</t>
  </si>
  <si>
    <t>dihydrodipicolinate synthase</t>
  </si>
  <si>
    <t>BCG_0485c</t>
  </si>
  <si>
    <t>BCG_0274c</t>
  </si>
  <si>
    <t>BCG_2431c</t>
  </si>
  <si>
    <t>BCG_2144</t>
  </si>
  <si>
    <t>ansP1</t>
  </si>
  <si>
    <t>L-asparagine permease ansP1</t>
  </si>
  <si>
    <t>BCG_2723</t>
  </si>
  <si>
    <t>sigB</t>
  </si>
  <si>
    <t>RNA polymerase sigma factor SigB</t>
  </si>
  <si>
    <t>BCG_3320c</t>
  </si>
  <si>
    <t>BCG_1154</t>
  </si>
  <si>
    <t>desA2</t>
  </si>
  <si>
    <t>acyl-ACP desaturase</t>
  </si>
  <si>
    <t>BCG_0989</t>
  </si>
  <si>
    <t>pstC1</t>
  </si>
  <si>
    <t>BCG_1519c</t>
  </si>
  <si>
    <t>unidentified antibiotic-transport ATP-binding protein ABC transporter</t>
  </si>
  <si>
    <t>BCG_2297c</t>
  </si>
  <si>
    <t>BCG_3678c</t>
  </si>
  <si>
    <t>BCG_1042</t>
  </si>
  <si>
    <t>adhesion component transport transmembrane protein</t>
  </si>
  <si>
    <t>BCG_1353</t>
  </si>
  <si>
    <t>lysA</t>
  </si>
  <si>
    <t>diaminopimelate decarboxylase lysA</t>
  </si>
  <si>
    <t>BCG_0053</t>
  </si>
  <si>
    <t>BCG_3932</t>
  </si>
  <si>
    <t>BCG_0422c</t>
  </si>
  <si>
    <t>clpB</t>
  </si>
  <si>
    <t>endopeptidase ATP binding protein subunit B</t>
  </si>
  <si>
    <t>BCG_1737</t>
  </si>
  <si>
    <t>pyrG</t>
  </si>
  <si>
    <t>CTP synthetase</t>
  </si>
  <si>
    <t>BCG_0839</t>
  </si>
  <si>
    <t>BCG_0877c</t>
  </si>
  <si>
    <t>desA1</t>
  </si>
  <si>
    <t>BCG_1812c</t>
  </si>
  <si>
    <t>BCG_3269c</t>
  </si>
  <si>
    <t>secA1</t>
  </si>
  <si>
    <t>BCG_1641</t>
  </si>
  <si>
    <t>hisA</t>
  </si>
  <si>
    <t>phosphoribosyl isomerase A</t>
  </si>
  <si>
    <t>BCG_2767</t>
  </si>
  <si>
    <t>BCG_2634c</t>
  </si>
  <si>
    <t>BCG_3291</t>
  </si>
  <si>
    <t>fbiB</t>
  </si>
  <si>
    <t>F420-0--gamma-glutamyl ligase</t>
  </si>
  <si>
    <t>BCG_1666c</t>
  </si>
  <si>
    <t>BCG_1241</t>
  </si>
  <si>
    <t>N-succinyldiaminopimelate aminotransferase</t>
  </si>
  <si>
    <t>BCG_2686</t>
  </si>
  <si>
    <t>BCG_3886c</t>
  </si>
  <si>
    <t>mmpL8</t>
  </si>
  <si>
    <t>integral membrane transport protein mmpL8</t>
  </si>
  <si>
    <t>BCG_0226c</t>
  </si>
  <si>
    <t>ilvD</t>
  </si>
  <si>
    <t>dihydroxy-acid dehydratase</t>
  </si>
  <si>
    <t>BCG_2924c</t>
  </si>
  <si>
    <t>lepB</t>
  </si>
  <si>
    <t>signal peptidase I lepB</t>
  </si>
  <si>
    <t>BCG_1384c</t>
  </si>
  <si>
    <t>BCG_0532</t>
  </si>
  <si>
    <t>regX3</t>
  </si>
  <si>
    <t>two component sensory transduction protein RegX3</t>
  </si>
  <si>
    <t>BCG_0570</t>
  </si>
  <si>
    <t>ccdA</t>
  </si>
  <si>
    <t>cytochrome c-type biogenesis protein ccdA</t>
  </si>
  <si>
    <t>BCG_0386</t>
  </si>
  <si>
    <t>BCG_3570</t>
  </si>
  <si>
    <t>fadD17</t>
  </si>
  <si>
    <t>BCG_2772c</t>
  </si>
  <si>
    <t>hsdM</t>
  </si>
  <si>
    <t>type I restriction/modification system DNA methylase hsdM</t>
  </si>
  <si>
    <t>BCG_2284c</t>
  </si>
  <si>
    <t>BCG_2758c</t>
  </si>
  <si>
    <t>BCG_2873</t>
  </si>
  <si>
    <t>PE_PGRS48</t>
  </si>
  <si>
    <t>BCG_0216c</t>
  </si>
  <si>
    <t>lprO</t>
  </si>
  <si>
    <t>lipoprotein lprO</t>
  </si>
  <si>
    <t>BCG_3071c</t>
  </si>
  <si>
    <t>BCG_2658</t>
  </si>
  <si>
    <t>BCG_1409c</t>
  </si>
  <si>
    <t>BCG_3010</t>
  </si>
  <si>
    <t>BCG_1411</t>
  </si>
  <si>
    <t>BCG_3635c</t>
  </si>
  <si>
    <t>BCG_3290</t>
  </si>
  <si>
    <t>fbiA</t>
  </si>
  <si>
    <t>LPPG:FO 2-phospho-L-lactate transferase</t>
  </si>
  <si>
    <t>BCG_1275c</t>
  </si>
  <si>
    <t>BCG_0100c</t>
  </si>
  <si>
    <t>sdaA</t>
  </si>
  <si>
    <t>l-serine dehydratase sdaA</t>
  </si>
  <si>
    <t>BCG_3796</t>
  </si>
  <si>
    <t>AraC family transcriptional regulator</t>
  </si>
  <si>
    <t>BCG_0930c</t>
  </si>
  <si>
    <t>PPE13</t>
  </si>
  <si>
    <t>BCG_2264</t>
  </si>
  <si>
    <t>accD6</t>
  </si>
  <si>
    <t>acetyl/propionyl CoA carboxylase subunit beta</t>
  </si>
  <si>
    <t>BCG_0206</t>
  </si>
  <si>
    <t>mce1A</t>
  </si>
  <si>
    <t>MCE-family protein mce1A</t>
  </si>
  <si>
    <t>BCG_3861c</t>
  </si>
  <si>
    <t>accD4</t>
  </si>
  <si>
    <t>propionyl-CoA carboxylase beta chain 4 accD4</t>
  </si>
  <si>
    <t>BCG_1498</t>
  </si>
  <si>
    <t>pgk</t>
  </si>
  <si>
    <t>phosphoglycerate kinase</t>
  </si>
  <si>
    <t>BCG_2269</t>
  </si>
  <si>
    <t>flavoprotein</t>
  </si>
  <si>
    <t>BCG_3857</t>
  </si>
  <si>
    <t>embB</t>
  </si>
  <si>
    <t>integral membrane indolylacetylinositol arabinosyltransferase embB</t>
  </si>
  <si>
    <t>BCG_3588</t>
  </si>
  <si>
    <t>BCG_1665c</t>
  </si>
  <si>
    <t>BCG_3680c</t>
  </si>
  <si>
    <t>BCG_0276</t>
  </si>
  <si>
    <t>BCG_1393</t>
  </si>
  <si>
    <t>clpS</t>
  </si>
  <si>
    <t>ATP-dependent Clp protease adaptor protein ClpS</t>
  </si>
  <si>
    <t>BCG_3479c</t>
  </si>
  <si>
    <t>choD</t>
  </si>
  <si>
    <t>cholesterol oxidase precursor choD</t>
  </si>
  <si>
    <t>BCG_1425c</t>
  </si>
  <si>
    <t>BCG_2731c</t>
  </si>
  <si>
    <t>nrdR</t>
  </si>
  <si>
    <t>transcriptional regulator NrdR</t>
  </si>
  <si>
    <t>BCG_3640c</t>
  </si>
  <si>
    <t>LacI family transcriptional regulator</t>
  </si>
  <si>
    <t>BCG_2164c</t>
  </si>
  <si>
    <t>BCG_0320</t>
  </si>
  <si>
    <t>PPE3</t>
  </si>
  <si>
    <t>BCG_1483</t>
  </si>
  <si>
    <t>BCG_0717</t>
  </si>
  <si>
    <t>rpoC</t>
  </si>
  <si>
    <t>DNA-directed RNA polymerase subunit beta'</t>
  </si>
  <si>
    <t>BCG_0594c</t>
  </si>
  <si>
    <t>BCG_0006</t>
  </si>
  <si>
    <t>gyrA_1</t>
  </si>
  <si>
    <t>DNA gyrase subunit A</t>
  </si>
  <si>
    <t>BCG_2845c</t>
  </si>
  <si>
    <t>BCG_1633</t>
  </si>
  <si>
    <t>nadB</t>
  </si>
  <si>
    <t>L-aspartate oxidase</t>
  </si>
  <si>
    <t>BCG_2974</t>
  </si>
  <si>
    <t>BCG_2781c</t>
  </si>
  <si>
    <t>thyA</t>
  </si>
  <si>
    <t>thymidylate synthase</t>
  </si>
  <si>
    <t>BCG_2394c</t>
  </si>
  <si>
    <t>peptide synthetase mbtE</t>
  </si>
  <si>
    <t>BCG_1297</t>
  </si>
  <si>
    <t>sugB</t>
  </si>
  <si>
    <t>sugar-transport integral membrane protein ABC transporter sugB</t>
  </si>
  <si>
    <t>BCG_2208c</t>
  </si>
  <si>
    <t>trpD</t>
  </si>
  <si>
    <t>anthranilate phosphoribosyltransferase</t>
  </si>
  <si>
    <t>BCG_3058c</t>
  </si>
  <si>
    <t>BCG_0553</t>
  </si>
  <si>
    <t>hemC</t>
  </si>
  <si>
    <t>porphobilinogen deaminase</t>
  </si>
  <si>
    <t>BCG_1976</t>
  </si>
  <si>
    <t>oxygenase</t>
  </si>
  <si>
    <t>BCG_3624c</t>
  </si>
  <si>
    <t>fadE30</t>
  </si>
  <si>
    <t>acyl-CoA dehydrogenase fadE30</t>
  </si>
  <si>
    <t>BCG_0234</t>
  </si>
  <si>
    <t>BCG_2543c</t>
  </si>
  <si>
    <t>BCG_3609c</t>
  </si>
  <si>
    <t>cyp125</t>
  </si>
  <si>
    <t>cytochrome P450 125 cyp125</t>
  </si>
  <si>
    <t>BCG_3733</t>
  </si>
  <si>
    <t>BCG_2958</t>
  </si>
  <si>
    <t>drrA</t>
  </si>
  <si>
    <t>daunorubicin-DIM-transport ATP-binding protein ABC transporter drrA</t>
  </si>
  <si>
    <t>BCG_0372</t>
  </si>
  <si>
    <t>BCG_2149</t>
  </si>
  <si>
    <t>BCG_0200</t>
  </si>
  <si>
    <t>TB18.5</t>
  </si>
  <si>
    <t>BCG_0209</t>
  </si>
  <si>
    <t>mce1D</t>
  </si>
  <si>
    <t>MCE-family protein mce1D</t>
  </si>
  <si>
    <t>BCG_2979c</t>
  </si>
  <si>
    <t>BCG_3223</t>
  </si>
  <si>
    <t>glutaredoxin protein</t>
  </si>
  <si>
    <t>BCG_1813</t>
  </si>
  <si>
    <t>BCG_0166c</t>
  </si>
  <si>
    <t>fgd2</t>
  </si>
  <si>
    <t>F420-dependent glucose-6-phosphate dehydrogenase</t>
  </si>
  <si>
    <t>BCG_1919c</t>
  </si>
  <si>
    <t>BCG_3636</t>
  </si>
  <si>
    <t>hmp</t>
  </si>
  <si>
    <t>hemoglobine-related protein hmp</t>
  </si>
  <si>
    <t>BCG_1924</t>
  </si>
  <si>
    <t>BCG_1292c</t>
  </si>
  <si>
    <t>BCG_0329</t>
  </si>
  <si>
    <t>BCG_1964</t>
  </si>
  <si>
    <t>fadD31</t>
  </si>
  <si>
    <t>fatty-acid--CoA ligase</t>
  </si>
  <si>
    <t>BCG_2348</t>
  </si>
  <si>
    <t>BCG_1153</t>
  </si>
  <si>
    <t>BCG_2866c</t>
  </si>
  <si>
    <t>efpA</t>
  </si>
  <si>
    <t>integral membrane efflux protein efpA</t>
  </si>
  <si>
    <t>BCG_0737</t>
  </si>
  <si>
    <t>ferredoxin reductase</t>
  </si>
  <si>
    <t>BCG_1465</t>
  </si>
  <si>
    <t>BCG_2976c</t>
  </si>
  <si>
    <t>BCG_0898c</t>
  </si>
  <si>
    <t>oxidase</t>
  </si>
  <si>
    <t>BCG_1854c</t>
  </si>
  <si>
    <t>BCG_2263</t>
  </si>
  <si>
    <t>kasB</t>
  </si>
  <si>
    <t>BCG_2239c</t>
  </si>
  <si>
    <t>glnA2</t>
  </si>
  <si>
    <t>glutamine synthetase glnA2</t>
  </si>
  <si>
    <t>BCG_1355</t>
  </si>
  <si>
    <t>thrC</t>
  </si>
  <si>
    <t>threonine synthase</t>
  </si>
  <si>
    <t>BCG_2209</t>
  </si>
  <si>
    <t>ctaE</t>
  </si>
  <si>
    <t>cytochrome C oxidase (subunit III) ctaE</t>
  </si>
  <si>
    <t>BCG_0114</t>
  </si>
  <si>
    <t>BCG_3568</t>
  </si>
  <si>
    <t>fadE26</t>
  </si>
  <si>
    <t>acyl-CoA dehydrogenase fadE26</t>
  </si>
  <si>
    <t>BCG_1670c</t>
  </si>
  <si>
    <t>BCG_2489c</t>
  </si>
  <si>
    <t>BCG_0269</t>
  </si>
  <si>
    <t>BCG_3896</t>
  </si>
  <si>
    <t>BCG_3328c</t>
  </si>
  <si>
    <t>atsB</t>
  </si>
  <si>
    <t>arylsulfatase atsB</t>
  </si>
  <si>
    <t>BCG_2801c</t>
  </si>
  <si>
    <t>gpsI</t>
  </si>
  <si>
    <t>polynucleotide phosphorylase</t>
  </si>
  <si>
    <t>BCG_3862c</t>
  </si>
  <si>
    <t>pks13</t>
  </si>
  <si>
    <t>BCG_3569</t>
  </si>
  <si>
    <t>fadE27</t>
  </si>
  <si>
    <t>acyl-CoA dehydrogenase fadE27</t>
  </si>
  <si>
    <t>BCG_2419c</t>
  </si>
  <si>
    <t>lppR</t>
  </si>
  <si>
    <t>lipoprotein lppR</t>
  </si>
  <si>
    <t>BCG_2191</t>
  </si>
  <si>
    <t>pknL</t>
  </si>
  <si>
    <t>transmembrane serine/threonine-protein kinase L pknL</t>
  </si>
  <si>
    <t>BCG_2812c</t>
  </si>
  <si>
    <t>BCG_1123</t>
  </si>
  <si>
    <t>BCG_3867c</t>
  </si>
  <si>
    <t>BCG_0822</t>
  </si>
  <si>
    <t>BCG_2837c</t>
  </si>
  <si>
    <t>BCG_3644c</t>
  </si>
  <si>
    <t>tRNA/rRNA methyltransferase</t>
  </si>
  <si>
    <t>BCG_2800c</t>
  </si>
  <si>
    <t>pepR</t>
  </si>
  <si>
    <t>zinc protease pepR</t>
  </si>
  <si>
    <t>BCG_2707c</t>
  </si>
  <si>
    <t>BCG_3247c</t>
  </si>
  <si>
    <t>BCG_0757</t>
  </si>
  <si>
    <t>rpsC</t>
  </si>
  <si>
    <t>30S ribosomal protein S3</t>
  </si>
  <si>
    <t>BCG_3768c</t>
  </si>
  <si>
    <t>asd</t>
  </si>
  <si>
    <t>aspartate-semialdehyde dehydrogenase</t>
  </si>
  <si>
    <t>BCG_1692</t>
  </si>
  <si>
    <t>argJ</t>
  </si>
  <si>
    <t>bifunctional ornithine acetyltransferase/N-acetylglutamate synthase</t>
  </si>
  <si>
    <t>BCG_1359</t>
  </si>
  <si>
    <t>prfA</t>
  </si>
  <si>
    <t>peptide chain release factor 1</t>
  </si>
  <si>
    <t>BCG_1634</t>
  </si>
  <si>
    <t>nadC</t>
  </si>
  <si>
    <t>nicotinate-nucleotide pyrophosphorylase</t>
  </si>
  <si>
    <t>BCG_2923c</t>
  </si>
  <si>
    <t>rnhB</t>
  </si>
  <si>
    <t>ribonuclease HII</t>
  </si>
  <si>
    <t>BCG_1921c</t>
  </si>
  <si>
    <t>rpfC</t>
  </si>
  <si>
    <t>resuscitation-promoting factor rpfC</t>
  </si>
  <si>
    <t>BCG_3177</t>
  </si>
  <si>
    <t>nuoJ</t>
  </si>
  <si>
    <t>NADH dehydrogenase subunit J</t>
  </si>
  <si>
    <t>BCG_2997c</t>
  </si>
  <si>
    <t>ung</t>
  </si>
  <si>
    <t>uracil-DNA glycosylase</t>
  </si>
  <si>
    <t>BCG_1372</t>
  </si>
  <si>
    <t>BCG_3234</t>
  </si>
  <si>
    <t>BCG_1043</t>
  </si>
  <si>
    <t>BCG_3472c</t>
  </si>
  <si>
    <t>BCG_2406</t>
  </si>
  <si>
    <t>phosphoadenosine phosphosulfate reductase</t>
  </si>
  <si>
    <t>BCG_2483</t>
  </si>
  <si>
    <t>lipP</t>
  </si>
  <si>
    <t>esterase/lipase lipP</t>
  </si>
  <si>
    <t>BCG_0348</t>
  </si>
  <si>
    <t>BCG_2193c</t>
  </si>
  <si>
    <t>aroG</t>
  </si>
  <si>
    <t>3-deoxy-D-arabinoheptulosonate-7-phosphate synthase</t>
  </si>
  <si>
    <t>BCG_0377c</t>
  </si>
  <si>
    <t>iron-sulfur-binding reductase</t>
  </si>
  <si>
    <t>BCG_2211</t>
  </si>
  <si>
    <t>qcrA</t>
  </si>
  <si>
    <t>Rieske iron-sulfur protein QcrA</t>
  </si>
  <si>
    <t>BCG_3175</t>
  </si>
  <si>
    <t>nuoH</t>
  </si>
  <si>
    <t>NADH dehydrogenase subunit H</t>
  </si>
  <si>
    <t>BCG_3920c</t>
  </si>
  <si>
    <t>BCG_3709</t>
  </si>
  <si>
    <t>BCG_0911</t>
  </si>
  <si>
    <t>fadA</t>
  </si>
  <si>
    <t>BCG_0280c</t>
  </si>
  <si>
    <t>BCG_0330</t>
  </si>
  <si>
    <t>BCG_0489c</t>
  </si>
  <si>
    <t>transmembrane transport protein mmpL4</t>
  </si>
  <si>
    <t>BCG_0453c</t>
  </si>
  <si>
    <t>thiE</t>
  </si>
  <si>
    <t>thiamine-phosphate pyrophosphorylase</t>
  </si>
  <si>
    <t>BCG_0762</t>
  </si>
  <si>
    <t>BCG_2230c</t>
  </si>
  <si>
    <t>ephD</t>
  </si>
  <si>
    <t>BCG_2485c</t>
  </si>
  <si>
    <t>rpiB</t>
  </si>
  <si>
    <t>ribose-5-phosphate isomerase B</t>
  </si>
  <si>
    <t>BCG_2401</t>
  </si>
  <si>
    <t>BCG_1895</t>
  </si>
  <si>
    <t>modC</t>
  </si>
  <si>
    <t>molybdenum-transport ATP-binding protein ABC transporter modC</t>
  </si>
  <si>
    <t>BCG_0750</t>
  </si>
  <si>
    <t>rpsJ</t>
  </si>
  <si>
    <t>30S ribosomal protein S10</t>
  </si>
  <si>
    <t>BCG_2953</t>
  </si>
  <si>
    <t>phenolpthiocerol synthesis type-I polyketide synthase ppsA</t>
  </si>
  <si>
    <t>BCG_0507</t>
  </si>
  <si>
    <t>isocitrate lyase icl</t>
  </si>
  <si>
    <t>BCG_2496c</t>
  </si>
  <si>
    <t>gdh</t>
  </si>
  <si>
    <t>NAD-dependent glutamate dehydrogenase gdh</t>
  </si>
  <si>
    <t>BCG_3719</t>
  </si>
  <si>
    <t>BCG_3940c</t>
  </si>
  <si>
    <t>BCG_2559c</t>
  </si>
  <si>
    <t>aroD</t>
  </si>
  <si>
    <t>3-dehydroquinate dehydratase</t>
  </si>
  <si>
    <t>BCG_0227</t>
  </si>
  <si>
    <t>BCG_0560</t>
  </si>
  <si>
    <t>membrane acyltransferase</t>
  </si>
  <si>
    <t>BCG_3576c</t>
  </si>
  <si>
    <t>fadD18</t>
  </si>
  <si>
    <t>fatty-acid-CoA ligase fadD18</t>
  </si>
  <si>
    <t>BCG_2087c</t>
  </si>
  <si>
    <t>blaC</t>
  </si>
  <si>
    <t>BCG_0835</t>
  </si>
  <si>
    <t>BCG_0159</t>
  </si>
  <si>
    <t>pepA</t>
  </si>
  <si>
    <t>serine protease pepA</t>
  </si>
  <si>
    <t>BCG_1130</t>
  </si>
  <si>
    <t>BCG_2308</t>
  </si>
  <si>
    <t>sseB</t>
  </si>
  <si>
    <t>thiosulfate sulfurtransferase SseB</t>
  </si>
  <si>
    <t>BCG_1367</t>
  </si>
  <si>
    <t>atpH</t>
  </si>
  <si>
    <t>F0F1 ATP synthase subunit delta</t>
  </si>
  <si>
    <t>BCG_2957</t>
  </si>
  <si>
    <t>ppsE</t>
  </si>
  <si>
    <t>phenolpthiocerol synthesis type-I polyketide synthase ppsE</t>
  </si>
  <si>
    <t>BCG_2380c</t>
  </si>
  <si>
    <t>BCG_0492</t>
  </si>
  <si>
    <t>PPE11</t>
  </si>
  <si>
    <t>BCG_0282c</t>
  </si>
  <si>
    <t>fadE5</t>
  </si>
  <si>
    <t>acyl-CoA dehydrogenase fadE5</t>
  </si>
  <si>
    <t>BCG_1840</t>
  </si>
  <si>
    <t>PPE31</t>
  </si>
  <si>
    <t>BCG_3197c</t>
  </si>
  <si>
    <t>BCG_0326</t>
  </si>
  <si>
    <t>BCG_2407</t>
  </si>
  <si>
    <t>BCG_3085c</t>
  </si>
  <si>
    <t>BCG_2938</t>
  </si>
  <si>
    <t>BCG_3675</t>
  </si>
  <si>
    <t>BCG_1566</t>
  </si>
  <si>
    <t>BCG_2399</t>
  </si>
  <si>
    <t>acetyl hydrolase mbtJ</t>
  </si>
  <si>
    <t>BCG_1369</t>
  </si>
  <si>
    <t>atpG</t>
  </si>
  <si>
    <t>F0F1 ATP synthase subunit gamma</t>
  </si>
  <si>
    <t>BCG_1693</t>
  </si>
  <si>
    <t>argB</t>
  </si>
  <si>
    <t>acetylglutamate kinase</t>
  </si>
  <si>
    <t>BCG_3618</t>
  </si>
  <si>
    <t>fdxB</t>
  </si>
  <si>
    <t>electron transfer protein fdxB</t>
  </si>
  <si>
    <t>BCG_2761c</t>
  </si>
  <si>
    <t>BCG_3836</t>
  </si>
  <si>
    <t>echA21</t>
  </si>
  <si>
    <t>BCG_3281c</t>
  </si>
  <si>
    <t>alkB</t>
  </si>
  <si>
    <t>transmembrane alkane 1-monooxygenase alkB</t>
  </si>
  <si>
    <t>BCG_0776c</t>
  </si>
  <si>
    <t>BCG_1357</t>
  </si>
  <si>
    <t>rho</t>
  </si>
  <si>
    <t>transcription termination factor Rho</t>
  </si>
  <si>
    <t>BCG_2968c</t>
  </si>
  <si>
    <t>pks1</t>
  </si>
  <si>
    <t>polyketide synthase pks1</t>
  </si>
  <si>
    <t>BCG_3319c</t>
  </si>
  <si>
    <t>lat</t>
  </si>
  <si>
    <t>L-lysine aminotransferase</t>
  </si>
  <si>
    <t>BCG_0912</t>
  </si>
  <si>
    <t>fadB</t>
  </si>
  <si>
    <t>fatty oxidation protein fadB</t>
  </si>
  <si>
    <t>BCG_3174</t>
  </si>
  <si>
    <t>nuoG</t>
  </si>
  <si>
    <t>NADH dehydrogenase subunit G</t>
  </si>
  <si>
    <t>BCG_2398</t>
  </si>
  <si>
    <t>bifunctional salicyl-AMP ligase/salicyl-S-arcp synthetase</t>
  </si>
  <si>
    <t>BCG_0230c</t>
  </si>
  <si>
    <t>BCG_2799c</t>
  </si>
  <si>
    <t>alanine rich oxidoreductase</t>
  </si>
  <si>
    <t>BCG_1410</t>
  </si>
  <si>
    <t>BCG_2212</t>
  </si>
  <si>
    <t>qcrB</t>
  </si>
  <si>
    <t>ubiquinol-cytochrome C reductase QcrB (cytochrome B subunit)</t>
  </si>
  <si>
    <t>BCG_0331</t>
  </si>
  <si>
    <t>BCG_3648c</t>
  </si>
  <si>
    <t>transcription factor</t>
  </si>
  <si>
    <t>BCG_1459c</t>
  </si>
  <si>
    <t>BCG_1691</t>
  </si>
  <si>
    <t>argC</t>
  </si>
  <si>
    <t>N-acetyl-gamma-glutamyl-phosphate reductase</t>
  </si>
  <si>
    <t>BCG_2393c</t>
  </si>
  <si>
    <t>peptide synthetase mbtF</t>
  </si>
  <si>
    <t>BCG_3904</t>
  </si>
  <si>
    <t>bacterioferritin bfrB</t>
  </si>
  <si>
    <t>BCG_2396c</t>
  </si>
  <si>
    <t>BCG_1649</t>
  </si>
  <si>
    <t>trpC</t>
  </si>
  <si>
    <t>indole-3-glycerol-phosphate synthase</t>
  </si>
  <si>
    <t>BCG_2608c</t>
  </si>
  <si>
    <t>BCG_2395c</t>
  </si>
  <si>
    <t>BCG_3078c</t>
  </si>
  <si>
    <t>BCG_1192</t>
  </si>
  <si>
    <t>gltA1</t>
  </si>
  <si>
    <t>citrate synthase</t>
  </si>
  <si>
    <t>BCG_1642</t>
  </si>
  <si>
    <t>impA</t>
  </si>
  <si>
    <t>inositol-monophosphatase impA</t>
  </si>
  <si>
    <t>BCG_3221c</t>
  </si>
  <si>
    <t>whiB7</t>
  </si>
  <si>
    <t>transcriptional regulatory protein whiB-like whiB7</t>
  </si>
  <si>
    <t>BCG_0389</t>
  </si>
  <si>
    <t>dnaK</t>
  </si>
  <si>
    <t>molecular chaperone DnaK</t>
  </si>
  <si>
    <t>BCG_3299</t>
  </si>
  <si>
    <t>metal cation-transporting P-type atpase C ctpC</t>
  </si>
  <si>
    <t>BCG_3220</t>
  </si>
  <si>
    <t>BCG_0289c</t>
  </si>
  <si>
    <t>heat shock protein hsp</t>
  </si>
  <si>
    <t>BCG_0323</t>
  </si>
  <si>
    <t>BCG_0324</t>
  </si>
  <si>
    <t>BCG_2400c</t>
  </si>
  <si>
    <t>salicylate synthase MbtI</t>
  </si>
  <si>
    <t>BCG_2809c</t>
  </si>
  <si>
    <t>BCG_1191</t>
  </si>
  <si>
    <t>BCG_0139</t>
  </si>
  <si>
    <t>BCG_1866</t>
  </si>
  <si>
    <t>BCG_2397c</t>
  </si>
  <si>
    <t>phenyloxazoline synthase mbtB</t>
  </si>
  <si>
    <t>BCG_0322</t>
  </si>
  <si>
    <t>BCG_1466c</t>
  </si>
  <si>
    <t>BCG_2545c</t>
  </si>
  <si>
    <t>fatty acid synthase fas</t>
  </si>
  <si>
    <t>AVERAGE</t>
  </si>
  <si>
    <t xml:space="preserve"> CP003248 623143..624708</t>
  </si>
  <si>
    <t>Rv1988</t>
  </si>
  <si>
    <t>erm(37)</t>
  </si>
  <si>
    <t>Rv3197a</t>
  </si>
  <si>
    <t>Possibly involved in cAMP synthesis [catalytic activity: ATP = 3',5'-cyclic AMP + diphosphate]. Activity is PH-dependent. Inhibited by polyphosphates.</t>
  </si>
  <si>
    <t>Thought to play an essential role in regulation of cellular metabolism by catalysing the synthesis of a second messenger, camp [catalytic activity: ATP = 3',5'-cyclic AMP + pyrophosphate].</t>
  </si>
  <si>
    <t>Thought to play an essential role in regulation of cellular metabolism by catalysing the synthesis of a second messenger, cAMP. May be involved in virulence [catalytic activity: ATP = 3',5'-cyclic AMP + pyrophosphate].</t>
  </si>
  <si>
    <t>Unknown. Inhibited by polyphosphates.</t>
  </si>
  <si>
    <t>Involved in cAMP synthesis [catalytic activity: ATP = 3',5'-cyclic AMP + diphosphate]. Inhibited by polyphosphates.</t>
  </si>
  <si>
    <t>Possibly involved in cAMP synthesis [catalytic activity: ATP = 3',5'-cyclic AMP + diphosphate]</t>
  </si>
  <si>
    <t>Probable transcriptional regulatory protein (probably LuxR/UhpA-family)</t>
  </si>
  <si>
    <t>espR</t>
  </si>
  <si>
    <t>che1</t>
  </si>
  <si>
    <t>Gene name</t>
  </si>
  <si>
    <t>Type</t>
  </si>
  <si>
    <t>Function</t>
  </si>
  <si>
    <t>Comments</t>
  </si>
  <si>
    <t>Functional category</t>
  </si>
  <si>
    <t>Proteomics</t>
  </si>
  <si>
    <t>Mutation</t>
  </si>
  <si>
    <t>Regulon</t>
  </si>
  <si>
    <t>thrV</t>
  </si>
  <si>
    <t>MTB000009</t>
  </si>
  <si>
    <t>tRNA</t>
  </si>
  <si>
    <t>tRNA-Thr (TGT)</t>
  </si>
  <si>
    <t>thrV, tRNA-Thr, anticodon tgt, length = 72</t>
  </si>
  <si>
    <t>serV</t>
  </si>
  <si>
    <t>MTB000046</t>
  </si>
  <si>
    <t>tRNA-Ser (GGA)</t>
  </si>
  <si>
    <t>serV, tRNA-Ser, anticodon gga, length = 86</t>
  </si>
  <si>
    <t>CDS</t>
  </si>
  <si>
    <t>Plays an important role in the initiation and regulation of chromosomal replication. Binds to the origin of replication; it binds specifically double-stranded DNA at a 9 bp consensus (DNAA box): 5'-TTATC(C/A)A(C/A)A-3'. DNAA binds to ATP and to acidic phospholipids. DNAA protein binds the origin of replication (oriC), ATP and ADP, and exhibited weak ATPase activity.</t>
  </si>
  <si>
    <t>Chromosomal replication initiator protein DnaA</t>
  </si>
  <si>
    <t>Rv0001, (MT0001, MTV029.01, P49993), len: 507 aa. dnaA, chromosomal replication initiator protein (see citations below), equivalent to other Mycobacterial chromosomal replication initiator proteins. Also highly similar to others except in N-terminus e.g. Q9ZH75|DNAA_STRCH chromosomal replication initiator protein from Streptomyces chrysomallus (624 aa). Contains PS00017 ATP/GTP-binding site motif A (P-loop) and PS01008 DnaA protein signature. Belongs to the DnaA family. Note that the first base of this gene has been taken as base 1 of the Mycobacterium tuberculosis H37Rv genomic sequence.</t>
  </si>
  <si>
    <t>dnaN</t>
  </si>
  <si>
    <t>DNA polymerase III is a complex, multichain enzyme responsible for most of the replicative synthesis in bacteria. This DNA polymerase also exhibits 3' to 5' exonuclease activity. The beta chain is required for initiation of replication once it is clamped onto DNA, it slides freely (bidirectional and ATP-independent) along duplex DNA [catalytic activity: N deoxynucleoside triphosphate = N diphosphate + {DNA}N].</t>
  </si>
  <si>
    <t>DNA polymerase III (beta chain) DnaN (DNA nucleotidyltransferase)</t>
  </si>
  <si>
    <t>Rv0002, (MTV029.02, MTCY10H4.0), len: 402 aa. DnaN, DNA polymerase III (beta chain) (see citations below), equivalent to other Mycobacterial DNA polymerases III beta chain. Also highly similar to others e.g. P27903|DP3B_STRCO DNA polymerase III beta chain from Streptomyces coelicolor (376 aa). Overlaps and extends CDS in neighbouring cosmid MTCY10H4.01.</t>
  </si>
  <si>
    <t>The RECF protein is involved in DNA metabolism and recombination; it is required for DNA replication and normal sos inducibility. RECF binds preferentially to single-stranded, linear DNA. It also seems to bind ATP.</t>
  </si>
  <si>
    <t>DNA replication and repair protein RecF (single-strand DNA binding protein)</t>
  </si>
  <si>
    <t>Rv0003, (MTCY10H4.01), len: 385 aa. RecF, DNA replication and repair protein (see citations below), equivalent to other mycobacterial DNA replication and repair proteins. Also highly similar to many others. Contains PS00017 ATP/GTP-binding site motif A (P-loop), PS00617 RecF protein signature 1, and PS00618 RecF protein signature 2. Belongs to the RecF family.</t>
  </si>
  <si>
    <t>Function unknown</t>
  </si>
  <si>
    <t>Conserved hypothetical protein</t>
  </si>
  <si>
    <t>Rv0004, (MTCY10H4.02), len: 187 aa. Conserved hypothetical protein (see Salazar et al., 1996). Belongs to superfamily DUF721; this family contains several actinomycete proteins of unknown function.</t>
  </si>
  <si>
    <t>DNA gyrase negatively supercoils closed circular double-stranded DNA in an ATP-dependent manner and also catalyzes the interconversion of other topological isomers of double-stranded DNA rings, including catenanes and knotted rings [catalytic activity: ATP-dependent breakage, passage and rejoining of double-stranded DNA].</t>
  </si>
  <si>
    <t>DNA gyrase (subunit B) GyrB (DNA topoisomerase (ATP-hydrolysing)) (DNA topoisomerase II) (type II DNA topoisomerase)</t>
  </si>
  <si>
    <t>Rv0005, (MTCY10H4.03), len: 675 aa. GyrB, DNA gyrase subunit B (see citations below). Contains PS00177 DNA topoisomerase II signature. Belongs to the type II topoisomerase family. Start changed since first submission (-39 aa).</t>
  </si>
  <si>
    <t>gyrA</t>
  </si>
  <si>
    <t>DNA gyrase (subunit A) GyrA (DNA topoisomerase (ATP-hydrolysing)) (DNA topoisomerase II) (type II DNA topoisomerase)</t>
  </si>
  <si>
    <t>Rv0006, (MTCY10H4.04), len: 838 aa. GyrA, DNA gyrase subunit A (see citations below). Contains PS00018 EF-hand calcium-binding domain.</t>
  </si>
  <si>
    <t>Unknown</t>
  </si>
  <si>
    <t>Possible conserved membrane protein</t>
  </si>
  <si>
    <t>Rv0007, (MTCY10H4.05), len: 304 aa. Possible conserved membrane protein. A core mycobacterial gene; conserved in mycobacterial strains (See Marmiesse et al., 2004).</t>
  </si>
  <si>
    <t>Possible membrane protein</t>
  </si>
  <si>
    <t>Rv0008c, (MTCY10H4.07c), len: 145 aa. Possible membrane protein.</t>
  </si>
  <si>
    <t>PPIases accelerate the folding of proteins [catalytic activity: cis-trans isomerization of proline imidic peptide bonds in oligopeptides].</t>
  </si>
  <si>
    <t>Probable iron-regulated peptidyl-prolyl cis-trans isomerase A PpiA (PPIase A) (rotamase A)</t>
  </si>
  <si>
    <t>Rv0009, (MTCY10H4.08), len: 182 aa. Probable ppiA (alternate gene name: cfp22), iron-regulated peptidyl-prolyl cis-trans isomerase A. Belongs to the cyclophilin-type PPIase family. Alternative start codon has been suggested.</t>
  </si>
  <si>
    <t>Probable conserved membrane protein</t>
  </si>
  <si>
    <t>Rv0010c, (MTCY10H4.10c), len: 141 aa. Probable conserved membrane protein. Belongs to superfamily DUF2581, conserved in the Actinomycetales. A core mycobacterial gene; conserved in mycobacterial strains (See Marmiesse et al., 2004).</t>
  </si>
  <si>
    <t>Probable conserved transmembrane protein</t>
  </si>
  <si>
    <t>Rv0011c, (MTCY10H4.11c), len: 93 aa. Probable conserved transmembrane protein. Belongs to uncharacterized protein family UPF0233. A core mycobacterial gene; conserved in mycobacterial strains (See Marmiesse et al., 2004).</t>
  </si>
  <si>
    <t>Rv0012, (MTCY10H4.12), len: 262 aa. Probable conserved membrane protein. Belongs to superfamily DUF881. Contains probable N-terminal signal sequence.</t>
  </si>
  <si>
    <t>trpG</t>
  </si>
  <si>
    <t>Possibly involved in biosynthesis of tryptophan (at the first step). Supposed tetramer of two components I and two components II: component I (Rv1609|trpE) catalyzes the formation of anthranilate using ammonia rather than glutamine, whereas component II (Rv0013|trpG) provides glutamine amidotransferase activity. Possibly participates in the tryptophan-dependent indole-3-acetic acid production [catalytic activity: chorismate + L-glutamine = anthranilate + pyruvate + L-glutamate].</t>
  </si>
  <si>
    <t>Possible anthranilate synthase component II TrpG (glutamine amidotransferase)</t>
  </si>
  <si>
    <t>Rv0013, (MTCY10H4.13), len: 232 aa. Possible trpG, anthranilate synthase component II (glutamine amidotransferase). Contains PS00606 Beta-ketoacyl synthases active site; and PS00442 Glutamine amidotransferases class-I active site. Similarity to other type-1 glutamine amidotransferase domains. Note that previously known as pabA.</t>
  </si>
  <si>
    <t>Involved in signal transduction (via phosphorylation). Thought to regulate cell division/differentiation. Can phosphorylate the peptide substrate myelin basic protein (MBP) [catalytic activity: ATP + a protein = ADP + a phosphoprotein].</t>
  </si>
  <si>
    <t>Transmembrane serine/threonine-protein kinase B PknB (protein kinase B) (STPK B)</t>
  </si>
  <si>
    <t>Rv0014c, (MTCY10H4.14c), len: 626 aa. PknB, transmembrane serine/threonine-protein kinase (see citations below). Contains PS00107 Protein kinases ATP-binding region signature, and PS00108 Serine/Threonine protein kinases active-site signature. Contains Hank's kinase subdomain. Belongs to the Ser/Thr family of protein kinases. Experimental studies show evidence of auto-phosphorylation on serine/threonine residues. PknB has been shown to be a substrate for PstP and its kinase activity is affected by PstP-mediated dephosphorylation. PknB and PstP (Rv0018c) may act as a functional pair in vivo to control mycobacterial cell growth.</t>
  </si>
  <si>
    <t>Involved in signal transduction (via phosphorylation). Thought to regulate morphological changes associated with cell division/differentiation process. Phosphorylates at serine and threonine residues [catalytic activity: ATP + a protein = ADP + a phosphoprotein].</t>
  </si>
  <si>
    <t>Transmembrane serine/threonine-protein kinase A PknA (protein kinase A) (STPK A)</t>
  </si>
  <si>
    <t>Rv0015c, (MTCY10H4.15c), len: 431 aa. PknA, transmembrane serine/threonine-protein kinase, magnesium/manganese dependent (see citations below). Contains PS00108 Serine/Threonine protein kinases active-site signature. Contains Hank's kinase subdomain. Belongs to the Ser/Thr family of protein kinases. It has been shown that sodium orthovanadate inhibits the activity of the enzyme in vitro.</t>
  </si>
  <si>
    <t>Involved in peptidoglycan synthesis (at the final stages). Cell wall formation; PBPA is supposed to be responsible for the determination of the rod shape of the cell. It synthesizes cross-linked peptidoglycan from lipid intermediates.</t>
  </si>
  <si>
    <t>Probable penicillin-binding protein PbpA</t>
  </si>
  <si>
    <t>Rv0016c, (MTCY10H4.16c), len: 491 aa. Probable pbpA, penicillin-binding protein, similar to many.</t>
  </si>
  <si>
    <t>This is a septum-peptidoglycan biosynthetic protein, involved in cell wall formation. Plays a role in the stabilization of the FTSZ ring during cell division.</t>
  </si>
  <si>
    <t>Probable cell division protein RodA</t>
  </si>
  <si>
    <t>Rv0017c, (MTCY10H4.17c), len: 469 aa. Probable rodA (alternate gene name: ftsW), cell division protein, integral membrane protein. Belongs to the FTSW/RODA/SPOVE family.</t>
  </si>
  <si>
    <t>Involved in regulation (using dephosphorylation of a specific phosphorylated substrate).</t>
  </si>
  <si>
    <t>Phosphoserine/threonine phosphatase PstP</t>
  </si>
  <si>
    <t>Rv0018c, (MTCY10H4.18c), len: 514 aa. PstP, phosphoserine/threonine phosphatase. Experimental studies have shown that PstP specifically dephosporylates model phospho-Ser/Thr substrates and it is likely that PknB (Rv0014c) and PstP may act as a functional pair in vivo to control mycobacterial cell growth (See Boitel et al., 2003).</t>
  </si>
  <si>
    <t>fhaB</t>
  </si>
  <si>
    <t>Signal transduction</t>
  </si>
  <si>
    <t>Conserved protein with FHA domain, FhaB</t>
  </si>
  <si>
    <t>Rv0019c, (MTCY10H4.19c), len: 155 aa. FhaB, conserved protein with forkhead-associated domain (IPR000253), probably involved in signal transduction.</t>
  </si>
  <si>
    <t>fhaA</t>
  </si>
  <si>
    <t>Conserved protein with FHA domain, FhaA</t>
  </si>
  <si>
    <t>Rv0020c, (MTCY10H4.20c), len: 527 aa. FhaA, TB39.8, conserved protein with forkhead-associated domain (IPR000253) at C-terminus, may be involved in signal transduction. Alternative start codon in position 24979 has been suggested (see citation below). A core mycobacterial gene; conserved in mycobacterial strains (See Marmiesse et al., 2004).</t>
  </si>
  <si>
    <t>Rv0021c, (MTCY10H4.21c), len: 322 aa. Conserved hypothetical protein, similar to various proteins.</t>
  </si>
  <si>
    <t>whiB5</t>
  </si>
  <si>
    <t>Rv0022c</t>
  </si>
  <si>
    <t>Involved in transcriptional mechanism.</t>
  </si>
  <si>
    <t>Probable transcriptional regulatory protein WhiB-like WhiB5</t>
  </si>
  <si>
    <t>Rv0022c, (MTCY10H4.22c), len: 139 aa. Probable whiB5 (alternate gene name: whmG), WhiB-like regulatory protein (see citations below), similar to WhiB paralogue of Streptomyces coelicolor, wblE gene product (85 aa).</t>
  </si>
  <si>
    <t>Possibly involved in transcriptional mechanism.</t>
  </si>
  <si>
    <t>Possible transcriptional regulatory protein</t>
  </si>
  <si>
    <t>Rv0023, (MTCY10H4.23), len: 256 aa. Possible transcriptional regulator. Contains probable helix-turn helix motif from aa 19 to 40 (Score 1615, +4.69 SD).</t>
  </si>
  <si>
    <t>Unknown. The P60 protein is a major extracellular protein may be involved in the invasion of host cells.</t>
  </si>
  <si>
    <t>Putative secreted protein P60-related protein</t>
  </si>
  <si>
    <t>Rv0024, (MTCY10H4.24), len: 281 aa. Putative secreted protein, p60 homologue, similar to many. Similar to Mycobacterium tuberculosis proteins Rv1477, Rv1478, Rv1566c, Rv2190c. Could belong to the E. coli NLPC / listeria P60 family.</t>
  </si>
  <si>
    <t>Rv0025, (MTCY10H4.25), len: 120 aa. Conserved hypothetical protein, showing some similarity to other proteins from Mycobacterium tuberculosis e.g. Rv0739 (268 aa), FASTA score: (37.6% identity in 101 aa overlap), and Rv0026 FASTA score: (35.4% identity in 113 aa overlap); etc.</t>
  </si>
  <si>
    <t>Rv0026, (MTCY10H4.26), len: 448 aa. Conserved hypothetical protein, showing some similarity to other proteins from Mycobacterium tuberculosis: Rv0025 FASTA score: (35.4% identity in 113 aa overlap) and Rv0739 (268 aa), FASTA score: (32.4% identity in 142 aa overlap).</t>
  </si>
  <si>
    <t>Rv0027</t>
  </si>
  <si>
    <t>Rv0027, (MTCY10H4.27), len: 105 aa. Conserved hypothetical unknown protein.</t>
  </si>
  <si>
    <t>Rv0028</t>
  </si>
  <si>
    <t>Rv0028, (MTCY10H4.28), len: 101 aa. Conserved hypothetical unknown protein.</t>
  </si>
  <si>
    <t>Rv0029, (MTCY10H4.29), len: 365 aa. Conserved hypothetical protein, showing some similarity to other proteins from Mycobacterium tuberculosis e.g. C-terminal region of Rv2082; Rv3899c.</t>
  </si>
  <si>
    <t>Rv0030, (MTCY10H4.30), len: 109 aa. Conserved hypothetical unknown protein.</t>
  </si>
  <si>
    <t>Rv0031</t>
  </si>
  <si>
    <t>Normally, required for the transposition of an insertion element.</t>
  </si>
  <si>
    <t>Possible remnant of a transposase</t>
  </si>
  <si>
    <t>Rv0031, (MTCY10H4.31), len: 70 aa. Possible remnant of a transposase, showing partial similarity to mycobacterial transposases in a short overlap, e.g. Rv2791c|MTV002_57 (459 aa), FASTA score: (72.2% identity in 36 aa overlap); Rv2885c, Rv2978c, Rv3827c, etc.</t>
  </si>
  <si>
    <t>bioF2</t>
  </si>
  <si>
    <t>Rv0032</t>
  </si>
  <si>
    <t>Could be involved in biotin biosynthesis (at the first step) [catalytic activity: 6-carboxyhexanoyl-CoA + L-alanine = 8-amino-7-oxononanoate + CoA + CO2].</t>
  </si>
  <si>
    <t>Possible 8-amino-7-oxononanoate synthase BioF2 (AONS) (8-amino-7-ketopelargonate synthase) (7-keto-8-amino-pelargonic acid synthetase) (7-KAP synthetase) (L-alanine--pimelyl CoA ligase)</t>
  </si>
  <si>
    <t>Rv0032, (MTCY10H4.32), len: 771 aa. Probable bioF2, 8-amino-7-oxononanoate synthase, with its C-terminal similar to others. Contains PS00599 Aminotransferases class-II pyridoxal-phosphate attachment site. Belongs to class-II of pyridoxal-phosphate-dependent aminotransferases.</t>
  </si>
  <si>
    <t>acpA</t>
  </si>
  <si>
    <t>Rv0033</t>
  </si>
  <si>
    <t>Key component in de novo fatty acid biosynthesis. This protein is supposed to be the carrier of the growing fatty acid chain in fatty acid biosynthesis.</t>
  </si>
  <si>
    <t>Probable acyl carrier protein AcpA (ACP)</t>
  </si>
  <si>
    <t>Rv0033, (MTCY10H4.33), len: 87 aa. Probable acpA (alternate gene name: acpP), acyl carrier protein, similar to others. Also similar to proteins of Mycobacterium tuberculosis Rv1344 and Rv2244 (31.5% identity in 73 aa overlap).</t>
  </si>
  <si>
    <t>Rv0034</t>
  </si>
  <si>
    <t>Rv0034, (MTCY10H4.34), len: 131 aa. Conserved hypothetical protein, showing weak similarity to AE001980|AE001980_7 hypothetical protein from Deinococcus radiodurans (120 aa), FASTA scores: opt: 141, E(): 0.0028, (29.3% identity in 123 aa overlap).</t>
  </si>
  <si>
    <t>Function unknown, but involved in lipid degradation.</t>
  </si>
  <si>
    <t>Probable fatty-acid-CoA ligase FadD34 (fatty-acid-CoA synthetase) (fatty-acid-CoA synthase)</t>
  </si>
  <si>
    <t>Rv0035, (MTCY10H4.35), len: 562 aa. Probable fadD34, fatty-acid-CoA synthetase, similar to many.</t>
  </si>
  <si>
    <t>Conserved protein</t>
  </si>
  <si>
    <t>Rv0036c, (MTCY10H4.36c), len: 257 aa. Conserved protein, highly similar to CAB95889.1|AL359988 conserved hypothetical protein from Streptomyces (276 aa). Also some similarity to Rv3099c|MTCY164_10 (283 aa), FASTA scores: E(): 3.3e-05, (25.9% identity in 205 aa overlap).</t>
  </si>
  <si>
    <t>Unknown; possibly involved in transport of macrolide across the membrane.</t>
  </si>
  <si>
    <t>Probable conserved integral membrane protein</t>
  </si>
  <si>
    <t>Rv0037c, (MTCY10H4.37c), len: 441 aa. Probable conserved integral membrane protein, member of major facilitator superfamily (MFS) possibly involved in transport of macrolide.</t>
  </si>
  <si>
    <t>Rv0038, (MTCY10H4.38), len: 202 aa. Conserved protein, similar to many.</t>
  </si>
  <si>
    <t>Possible conserved transmembrane protein</t>
  </si>
  <si>
    <t>Rv0039c, (MTCY21D4.02c, MTCY10H4.39c), len: 115 aa. Possible conserved transmembrane protein. A core mycobacterial gene; conserved in mycobacterial strains (See Marmiesse et al., 2004).</t>
  </si>
  <si>
    <t>Secreted proline rich protein Mtc28 (proline rich 28 kDa antigen)</t>
  </si>
  <si>
    <t>Rv0040c, (MTCY21D4.03c), len: 310 aa. Mtc28, secreted proline rich 28 kDa antigen protein (has hydrophobic stretch at N-terminus) (see citation below). A core mycobacterial gene; conserved in mycobacterial strains (See Marmiesse et al., 2004).</t>
  </si>
  <si>
    <t>Involved in translation mechanism [catalytic activity: ATP + L-leucine + tRNA(LEU) = AMP + diphosphate + L-leucyl-tRNA(LEU)].</t>
  </si>
  <si>
    <t>Probable leucyl-tRNA synthetase LeuS (leucine--tRNA ligase) (LEURS)</t>
  </si>
  <si>
    <t>Rv0041, (MTCY21D4.04), len: 969 aa. Probable leucyl-tRNA synthetase, similar to many. Contains PS00178 Aminoacyl-transfer RNA synthetases class-I signature. Belongs to class-I aminoacyl-tRNA synthetase family.</t>
  </si>
  <si>
    <t>Possible transcriptional regulatory protein (probably MarR-family)</t>
  </si>
  <si>
    <t>Rv0042c, (MTCY21D4.05c), len: 208 aa. Possible transcriptional regulatory protein, MarR-family. Some similarity to Mycobacterium tuberculosis proteins Rv2327, Rv0880, and Rv1404.</t>
  </si>
  <si>
    <t>Probable transcriptional regulatory protein (probably GntR-family)</t>
  </si>
  <si>
    <t>Rv0043c, (MTCY21D4.06c), len: 244 aa. Probable transcriptional regulator, GntR family, similar to others.</t>
  </si>
  <si>
    <t>Function unknown; probably involved in cellular metabolism.</t>
  </si>
  <si>
    <t>Possible oxidoreductase</t>
  </si>
  <si>
    <t>Rv0044c, (MTCY21D4.07c), len: 264 aa. Possible oxidoreductase, highly similar to AAD32732.1|MmcI|AF127374| F420-dependent H4MPT reductase from Streptomyces lavendulae (264 aa). Also similar to Mycobacterium tuberculosis proteins e.g. Rv1855c, Rv0953c, Rv0791c, Rv0132c, etc.</t>
  </si>
  <si>
    <t>Function unknown; probably involved in lipid biosynthesis.</t>
  </si>
  <si>
    <t>Possible hydrolase</t>
  </si>
  <si>
    <t>Rv0045c, (MTCY21D4.08c), len: 298 aa. Possible hydrolase, showing similarity with others. Also similar to Mycobacterium tuberculosis proteins Rv3473c, Rv1123c, Rv1938, Rv3617, Rv3670, etc.</t>
  </si>
  <si>
    <t>Involved in phosphatidylinositol (PI) biosynthetic pathway [catalytic activity: D-glucose 6-phosphate = 1L-myo-inositol 1-phosphate].</t>
  </si>
  <si>
    <t>myo-inositol-1-phosphate synthase Ino1 (inositol 1-phosphate synthetase) (D-glucose 6-phosphate cycloaldolase) (glucose 6-phosphate cyclase) (glucocycloaldolase)</t>
  </si>
  <si>
    <t>Rv0046c, (MTCY21D4.09c), len: 367 aa. Ino1 (alternate gene name: tbINO), myo-inositol-1-phosphate synthase (see citations below).</t>
  </si>
  <si>
    <t>Rv0047c, (MTCY21D4.10c), len: 180 aa. Conserved protein, similar to many.</t>
  </si>
  <si>
    <t>Rv0048c, MTCY21D4.11c, len: 289 aa. Possible membrane protein.</t>
  </si>
  <si>
    <t>Rv0049, (MTCY21D4.12), len: 137 aa. Conserved hypothetical protein. A core mycobacterial gene; conserved in mycobacterial strains (See Marmiesse et al., 2004).</t>
  </si>
  <si>
    <t>Involved in peptidoglycan synthesis (at the final stages), cell wall formation. Synthesis of cross-linked peptidoglycan from the lipid intermediates. The enzyme has a penicillin-insensitive transglycosylase N-terminal domain (formation of linear glycan strands) and a penicillin-sensitive transpeptidase C-terminal domain (cross-linking of the peptide subunits).</t>
  </si>
  <si>
    <t>Probable bifunctional penicillin-binding protein 1A/1B PonA1 (murein polymerase) (PBP1): penicillin-insensitive transglycosylase (peptidoglycan TGASE) + penicillin-sensitive transpeptidase (DD-transpeptidase)</t>
  </si>
  <si>
    <t>Rv0050, (MTCY21D4.13), len: 678 aa. Probable ponA1, penicillin-binding protein (class A), bienzymatic protein with transglycosylase and transpeptidase activities (see Graham &amp; Clark-Curtiss 1999), highly similar to many (see Billman-Jacobe et al., 1999). Belongs to the transglycosylase family in the N-terminal section, and to the transpeptidase family in the C-terminal section.</t>
  </si>
  <si>
    <t>Rv0051, (MTCY21D4.14), len:560 aa. Predicted to be in the GT-C superfamily of glycosyltransferases (See Liu and Mushegian, 2003). Probable conserved transmembrane protein.</t>
  </si>
  <si>
    <t>Rv0052, (MTCY21D4.15), len: 187 aa. Conserved protein, similar to others including Rv1930c from Mycobacterium tuberculosis (174 aa). May be a membrane protein.</t>
  </si>
  <si>
    <t>Binds together with S18 to 16S ribosomal RNA.</t>
  </si>
  <si>
    <t>30S ribosomal protein S6 RpsF</t>
  </si>
  <si>
    <t>Rv0053, (MTCY21D4.16), len: 96 aa. rpsF, 30S ribosomal protein S6, highly similar to many. Contains PS01048 Ribosomal protein S6 signature. Belongs to the S6P family of ribosomal proteins.</t>
  </si>
  <si>
    <t>This protein is essential for replication of the chromosome. It is also involved in DNA recombination and repair.</t>
  </si>
  <si>
    <t>Single-strand binding protein Ssb (helix-destabilizing protein)</t>
  </si>
  <si>
    <t>Rv0054, (MTCY21D4.17), len: 164 aa. ssb, single-strand binding protein (see Mizrahi &amp; Andersen 1998), highly similar to others. Belongs to the SSB family.</t>
  </si>
  <si>
    <t>rpsR1</t>
  </si>
  <si>
    <t>Rv0055</t>
  </si>
  <si>
    <t>This protein has been implicated in aminoacyl-transfer RNA binding. It appears to be situated at the decoding site of messenger RNA.</t>
  </si>
  <si>
    <t>30S ribosomal protein S18-1 RpsR1</t>
  </si>
  <si>
    <t>Rv0055, (MTCY21D4.18), len: 84 aa. rpsR1, 30S ribosomal protein S18-1. Belongs to the S18P family of ribosomal proteins. Note that previously known as rpsR.</t>
  </si>
  <si>
    <t>Binds to the 23S rRNA.</t>
  </si>
  <si>
    <t>50S ribosomal protein L9 RplI</t>
  </si>
  <si>
    <t>Rv0056, (MTCY21D4.19), len: 152 aa. rplI, 50S ribosomal protein L9. Contains PS00651 Ribosomal protein L9 signature. Belongs to the L9P family of ribosomal proteins.</t>
  </si>
  <si>
    <t>Hypothetical protein</t>
  </si>
  <si>
    <t>Rv0057, (MTCY21D4.20), len: 173 aa. Hypothetical unknown protein.</t>
  </si>
  <si>
    <t>Participates in initiation and elongation during chromosome replication; it exhibits DNA-dependent ATPase activity. The intein is an endonuclease (potential).</t>
  </si>
  <si>
    <t>Probable replicative DNA helicase DnaB</t>
  </si>
  <si>
    <t>Rv0058, (MTV030.01, MTCY21D4.21), len: 874 aa. Probable dnaB, replicative DNA helicase. Contains an intein (position 61630..62838) similar to, and in the same position as, those in Sycnechocystis and Rhodothermus marinus (see citation below) and C-terminal extein (position 62839..63015) similar to many dnaB proteins. This protein undergoes a protein self splicing that involves a post-translational excision of the intervening region (intein) followed by peptide ligation. Belongs to the helicase family, DNAB subfamily. In the intein section; belongs to the homing endonuclease family.</t>
  </si>
  <si>
    <t>Rv0059, (MTV030.02), len: 230 aa. Hypothetical unknown protein.</t>
  </si>
  <si>
    <t>Rv0060, (MTV030.03), len: 352 aa. Conserved hypothetical protein.</t>
  </si>
  <si>
    <t>Rv0061c</t>
  </si>
  <si>
    <t>Rv0061c, len: 112 aa. Conserved hypothetical protein supported by RNA-seq data. Similar to MMAR_3839, 76% identity in 112 aa overlap. Replaces questionable ORF Rv0061 (MTV030.04).</t>
  </si>
  <si>
    <t>The biological conversion of cellulose to glucose generally requires three types of hydrolytic enzymes: (1) endoglucanases which cut internal beta-1,4-glucosidic bonds; (2) exocellobiohydrolases that cut the dissaccharide cellobiose from the nonreducing end of the cellulose polymer chain; (3) beta-1,4-glucosidases which hydrolyze the cellobiose and other short cello-oligosaccharides to glucose [catalytic activity:endohydrolysis of 1,4-beta-D-glucosidic linkages in cellulose].</t>
  </si>
  <si>
    <t>Possible cellulase CelA1 (endoglucanase) (endo-1,4-beta-glucanase) (FI-cmcase) (carboxymethyl cellulase)</t>
  </si>
  <si>
    <t>Rv0062, (MTV030.05), len: 380 aa. Possible celA1, cellulase, similar to many. Seems to belong to cellulase family B (family 6 of glycosyl hydrolases). Note that previously known as celA.</t>
  </si>
  <si>
    <t>Rv0063, (MTV030.06), len: 479 aa. Possible oxidoreductase, similar to many. Similar to Mycobacterium tuberculosis proteins e.g. Rv3107c, Rv1257c, etc. Contains PS00862 Oxygen oxidoreductases covalent FAD-binding site.</t>
  </si>
  <si>
    <t>Rv0064, (MTV030.07), len: 979 aa. Probable conserved transmembrane protein, similar to many. Contains probable coiled-coil domain from aa 948 to 976.</t>
  </si>
  <si>
    <t>vapB1</t>
  </si>
  <si>
    <t>Rv0064A</t>
  </si>
  <si>
    <t>Possible antitoxin VapB1</t>
  </si>
  <si>
    <t>Rv0064A, len: 79 aa. Possible vapB1, antitoxin, part of toxin-antitoxin (TA) operon with Rv0065 (See Arcus et al., 2005; Pandey and Gerdes, 2005). Weakly similar to others in Mycobacterium tuberculosis e.g. Rv0300 (73 aa), Rv1721c (75 aa)</t>
  </si>
  <si>
    <t>vapC1</t>
  </si>
  <si>
    <t>Possible toxin VapC1</t>
  </si>
  <si>
    <t>Rv0065, (MTV030.08), len: 133 aa. Possible vapC1, toxin, part of toxin-antitoxin (TA) operon with Rv0064A, contains PIN domain (See Arcus et al., 2005; Pandey and Gerdes, 2005). Similar to several others in Mycobacterium tuberculosis: Rv0960 (127 aa), Rv1720c (129 aa), and Rv0549c (137 aa).</t>
  </si>
  <si>
    <t>Involved in the KREBS cycle [catalytic activity: isocitrate + NADP+ = 2-oxoglutarate + CO(2) + NADPH].</t>
  </si>
  <si>
    <t>Probable isocitrate dehydrogenase [NADP] Icd2 (oxalosuccinate decarboxylase) (IDH) (NADP+-specific ICDH) (IDP)</t>
  </si>
  <si>
    <t>Rv0066c, (MTV030.09c), len: 745 aa. Probable icd2, isocitrate dehydrogenase NADP-dependent. Belongs to the monomeric-type family of IDH. Note that in H37Rv, Rv0066c is named icd2 and Rv3339c is icd1 while in CDC1551 and Erdman strains, Rv0066c is icd1 and Rv3339c is icd2.</t>
  </si>
  <si>
    <t>Possible transcriptional regulatory protein (possibly TetR-family)</t>
  </si>
  <si>
    <t>Rv0067c, (MTV030.10c), len: 189 aa. Possible transcriptional regulator, highly similar to many. Contains probable helix-turn-helix motif from aa 34 to 55 (Score 1523, +4.37 SD).</t>
  </si>
  <si>
    <t>Probable oxidoreductase</t>
  </si>
  <si>
    <t>Rv0068, (MTV030.11), len: 303 aa. Probable oxidoreductase, similar to many.</t>
  </si>
  <si>
    <t>Involved in gluconeogenesis from serine [catalytic activity: L-serine + H2O = pyruvate + NH3 + H2O].</t>
  </si>
  <si>
    <t>Probable L-serine dehydratase SdaA (L-serine deaminase) (SDH) (L-SD)</t>
  </si>
  <si>
    <t>Rv0069c, (MTV030.12c), len: 461 aa. Probable sdaA, L-serine dehydratase. Belongs to the iron-sulfur dependent L-serine dehydratase family. Cofactor: iron-sulfur (4FE-4S) (probable).</t>
  </si>
  <si>
    <t>glyA2</t>
  </si>
  <si>
    <t>Key enzyme in the biosynthesis of purines, lipids, other components. Interconversion of serine and glycine [catalytic activity: 5,10-methylenetetrahydrofolate + glycine + H2O = tetrahydrofolate + L-serine].</t>
  </si>
  <si>
    <t>Serine hydroxymethyltransferase GlyA2 (serine methylase 2) (SHMT 2)</t>
  </si>
  <si>
    <t>Rv0070c, (MTV030.13c), len: 425 aa. glyA2, serine hydroxymethyltransferase. Contains PS00096 Serine hydroxymethyltransferase pyridoxal-phosphate attachment site. Belongs to the ShmT family. Cofactor: pyridoxal phosphate.</t>
  </si>
  <si>
    <t>Possible maturase</t>
  </si>
  <si>
    <t>Rv0071, (MTV030.14), len: 235 aa. Possible maturase, similar to many proteins of the group II intron maturase family. Contains 5 VDP repeats at N-terminus, these are also found in two Streptococcus plasmid hypothetical proteins Q52246|X17092 and Q54942|X66468.</t>
  </si>
  <si>
    <t>Thought to be involved in active transport of glutamine across the membrane (import). Responsible for the translocation of the substrate across the membrane.</t>
  </si>
  <si>
    <t>Probable glutamine-transport transmembrane protein ABC transporter</t>
  </si>
  <si>
    <t>Rv0072, (MTV030.16), len: 349 aa. Probable glutamine-transport transmembrane protein ABC-transporter (see citation below). Note that supposed act with near ORF Rv0073|MTV030.17 ATP-binding protein ABC-transporter.</t>
  </si>
  <si>
    <t>Probable glutamine-transport ATP-binding protein ABC transporter</t>
  </si>
  <si>
    <t>Rv0073, (MTV030.17), len: 330 aa. Probable glutamine-transport ATP-binding protein ABC-transporter (see citation below), similar to many ATP-binding proteins. Contains PS00017 ATP/GTP-binding site motif A (P-loop), PS00211 ABC transporters family signature, and PS00889 Cyclic nucleotide-binding domain signature 2. Belongs to the ATP-binding transport protein family (ABC transporters). Note that supposed act with near ORF Rv0072|MTV030.16 transmembrane ABC-transporter.</t>
  </si>
  <si>
    <t>Rv0074, (MTV030.18), len: 411 aa. Conserved protein, similar to many.</t>
  </si>
  <si>
    <t>Probable aminotransferase</t>
  </si>
  <si>
    <t>Rv0075, (MTV030.19), len: 390 aa. Probable aminotransferase, similar to many class-II pyridoxal-phosphate-dependent aminotransferases (MALY/PATB subfamily). Also similar to other proteins from Mycobacterium tuberculosis e.g. Rv2294, Rv0858c, etc.</t>
  </si>
  <si>
    <t>Probable membrane protein</t>
  </si>
  <si>
    <t>Rv0076c, (MTV030.20c), len: 129 aa. Probable membrane protein, with membrane-spanning domain at C-terminus.</t>
  </si>
  <si>
    <t>Rv0077c</t>
  </si>
  <si>
    <t>Rv0077c, (MTV030.21c), len: 276 aa. Possible oxidoreductase, weakly similar to others from Streptomyces. Also similar to MTCY05A6_35 and MTCY1A11_10 from Mycobacterium tuberculosis. And shows some similarity in part with AAL17935.1|AY054120 putative epoxide hydrolase from Mycobacterium smegmatis (203 aa).</t>
  </si>
  <si>
    <t>Rv0078</t>
  </si>
  <si>
    <t>Probable transcriptional regulatory protein</t>
  </si>
  <si>
    <t>Rv0078, (MTV030.22), len: 201 aa. Probable transcriptional regulator. Contains probable helix-turn-helix motif from aa 35 to 56 (Score 1348, +3.78 SD).</t>
  </si>
  <si>
    <t>Rv0078A, len: 197 aa. Hypothetical unknown protein. This region is a possible MT-complex-specific genomic island (See Becq et al., 2007).</t>
  </si>
  <si>
    <t>Rv0078B</t>
  </si>
  <si>
    <t>Rv0078B, len: 68 aa. Conserved protein.</t>
  </si>
  <si>
    <t>Unknown protein</t>
  </si>
  <si>
    <t>Rv0079, (MTV030.23), len: 273 aa. Unknown protein. Predicted possible vaccine candidate (See Zvi et al., 2008).</t>
  </si>
  <si>
    <t>Rv0080, (MTV030.24), len: 152 aa. Conserved hypothetical protein. Belongs to pyridoxine 5'-phosphate (PNP) oxidase-like (PNPOx-like) superfamily.</t>
  </si>
  <si>
    <t>Rv0081, (MTV030.25), len: 114 aa. Probable transcriptional regulator, highly similar to others.</t>
  </si>
  <si>
    <t>Rv0082, (MTV030.26), len: 159 aa. Probable oxidoreductase, highly similar or similar to other various oxidoreductases. Nucleotide position 90144 in the genome sequence has been corrected, A:G resulting in Q74R.</t>
  </si>
  <si>
    <t>Rv0083, (MTV030.27, MTCY251.01), len: 640 aa. Probable oxidoreductase, showing some similarity to other various oxidoreductases. Nucleotide position 91071 in the genome sequence has been corrected, T:C resulting in I224I.</t>
  </si>
  <si>
    <t>Involved in hydrogen metabolism; FHL pathway.</t>
  </si>
  <si>
    <t>Possible formate hydrogenlyase HycD (FHL)</t>
  </si>
  <si>
    <t>Rv0084, (MTCY251.02), len: 316 aa. Possible hycD (alternate gene name: hevD), formate hydrogenlyase, integral membrane protein, similar to others. Belongs to the complex I subunit 1 family.</t>
  </si>
  <si>
    <t>Involved in hydrogen metabolism.</t>
  </si>
  <si>
    <t>Possible hydrogenase HycP</t>
  </si>
  <si>
    <t>Rv0085, (MTCY251.03), len: 220 aa. Possible hycP, hydrogenase, integral membrane protein. Belongs to NADH-ubiquinone/plastoquinone oxidoreductase chain 4L superfamily.</t>
  </si>
  <si>
    <t>Possibly involved in hydrogen metabolism.</t>
  </si>
  <si>
    <t>Possible hydrogenase HycQ</t>
  </si>
  <si>
    <t>Rv0086, (MTCY251.04), len: 488 aa. Possible hycQ, hydrogenase, integral membrane protein. Belongs to the NADH-Ubiquinone/plastoquinone (complex I) superfamily.</t>
  </si>
  <si>
    <t>Possible formate hydrogenase HycE (FHL)</t>
  </si>
  <si>
    <t>Rv0087, (MTCY251.05), len: 492 aa. Possible hycE (alternate gene name: hevE), formate hydrogenlyase, similar to others. Belongs to the complex I 49 kDa subunit family.</t>
  </si>
  <si>
    <t>Possible polyketide cyclase/dehydrase</t>
  </si>
  <si>
    <t>Rv0088, (MTCY251.06), len: 224 aa. Possible polyketide cyclase/dehydrase. Belongs to the SRPBCC ligand-binding domain superfamily. Predicted to be an outer membrane protein (See Song et al., 2008).</t>
  </si>
  <si>
    <t>Thought to cause methylation.</t>
  </si>
  <si>
    <t>Possible methyltransferase/methylase</t>
  </si>
  <si>
    <t>Rv0089, (MTCY251.07), len: 197 aa. Possible methyltransferase, showing some weak similarity to others. Also some similarity with many biotin biosynthesis proteins. Belongs to the methyltransferase superfamily.</t>
  </si>
  <si>
    <t>Rv0090</t>
  </si>
  <si>
    <t>Rv0090, (MTCY251.08), len: 256 aa. Possible membrane protein. Contains IPR014511 Protein of unknown function DUF2068, transmembrane, subgroup.</t>
  </si>
  <si>
    <t>Responsible for cleavage of the glycosidic bond in both 5'-methylthioadenosine (MTA) and S-adenosylhomocysteine (SAH) [catalytic activity 1: methylthioadenosine + H2O = adenine + 5-methylthio-D-ribose] [catalytic activity 2: S-adenosyl-L-homocysteine + H2O = adenine + S-D-ribosyl-L-homocysteine].</t>
  </si>
  <si>
    <t>Probable bifunctional MTA/SAH nucleosidase Mtn: 5'-methylthioadenosine nucleosidase (methylthioadenosine methylthioribohydrolase) + S-adenosylhomocysteine nucleosidase (S-adenosyl-L-homocysteine homocysteinylribohydrolase)</t>
  </si>
  <si>
    <t>Rv0091, (MTCY251.10), len: 255 aa. Probable mtn (alternate gene name: pfs), methylthioadenosine/S-Adenosylhomocysteine nucleosidase (MTA/SAH nucleosidase), including 5'-methylthioadenosine nucleosidase and S-adenosylhomocysteine nucleosidase, similar to others. Belongs to the MTN family.</t>
  </si>
  <si>
    <t>Cation-transporting ATPase; possibly catalyzes the transport of a cation (possibly copper) with the hydrolyse of ATP [catalytic activity: ATP + H(2)O + cation(in) = ADP + phosphate + cation(out)].</t>
  </si>
  <si>
    <t>Cation transporter P-type ATPase a CtpA</t>
  </si>
  <si>
    <t>Rv0092, (MTCY251.11), len: 761 aa. CtpA, cation-transporting P-type ATPase a (transmembrane protein), highly similar to many. Contains PS01047 Heavy-metal-associated domain, and PS00154 E1-E2 ATPases phosphorylation site. Belongs to the cation transport ATPases family (E1-E2 ATPases), subfamily IB.</t>
  </si>
  <si>
    <t>Rv0093c, (MTCY251.12c), len: 282 aa. Probable conserved membrane protein, equivalent only to CAC30943.1|AL583924 probable integral membrane protein from Mycobacterium leprae (237 aa). A core mycobacterial gene; conserved in mycobacterial strains (See Marmiesse et al., 2004).</t>
  </si>
  <si>
    <t>Rv0094c</t>
  </si>
  <si>
    <t>Rv0094c, (MTCY251.13c), len: 317 aa. Member of 13E12 repeat family, showing some similarity to U15187|MLU15187_7 from Mycobacterium leprae (94 aa), FASTA score: (49.4% identity in 79 aa overlap).</t>
  </si>
  <si>
    <t>Rv0095c</t>
  </si>
  <si>
    <t>Rv0095c, (MTCY251.14c), len: 136 aa. Member of 13E12 repeat, also partially similar to AF0418|AF041819_8 from Mycobacterium bovis BCG (222 aa), FASTA score: (89.6% identity in 96 aa overlap).</t>
  </si>
  <si>
    <t>PPE1</t>
  </si>
  <si>
    <t>Rv0096</t>
  </si>
  <si>
    <t>PPE family protein PPE1</t>
  </si>
  <si>
    <t>Rv0096, (MTCY251.15), len: 463 aa. PPE1, Member of the Mycobacterium tuberculosis PPE family, similar to many. A core mycobacterial gene; conserved in mycobacterial strains (See Marmiesse et al., 2004).</t>
  </si>
  <si>
    <t>Rv0097, (MTCY251.16), len: 289 aa. Possible oxidoreductase, equivalent to NP_302343.1|NC_002677 putative oxidoreductase from Mycobacterium leprae (289 aa). Also highly similar to BAB69377.1|AB070955 putative oxidoreductase from Streptomyces avermitilis (296 aa). Contains PS00077 Cytochrome c oxidase subunit I, copper B binding region signature.</t>
  </si>
  <si>
    <t>fcoT</t>
  </si>
  <si>
    <t>Involved in fatty acid metabolism</t>
  </si>
  <si>
    <t>Probable fatty acyl CoA thioesterase type III FcoT</t>
  </si>
  <si>
    <t>Rv0098, (MTCY251.17), len: 183 aa. FcoT, long-chain fatty acyl CoA thioesterase type III (See Wang et al., 2007), equivalent to CAC30948.1|AL583924 from Mycobacterium leprae (183 aa). A core mycobacterial gene; conserved in mycobacterial strains (See Marmiesse et al., 2004).</t>
  </si>
  <si>
    <t>Function unknown, but involvement in lipid degradation.</t>
  </si>
  <si>
    <t>Possible fatty-acid-CoA ligase FadD10 (fatty-acid-CoA synthetase) (fatty-acid-CoA synthase)</t>
  </si>
  <si>
    <t>Rv0099, (MTCY251.18), len: 540 aa. Possible fadD10, fatty-acid-CoA synthetase, similar to many. Contains PS00455 putative AMP-binding domain signature. Contains IPR000873 AMP-dependent synthetase/ligase domain. Belongs to the ATP-dependent AMP-binding enzyme family.</t>
  </si>
  <si>
    <t>Rv0100, (MTCY251.19), len: 78 aa. Conserved hypothetical protein, equivalent only to CAC30950.1|AL583924 conserved hypothetical protein from Mycobacterium leprae (78 aa). A core mycobacterial gene; conserved in mycobacterial strains (See Marmiesse et al., 2004).</t>
  </si>
  <si>
    <t>Involved in lipid metabolism.</t>
  </si>
  <si>
    <t>Probable peptide synthetase Nrp (peptide synthase)</t>
  </si>
  <si>
    <t>Rv0101, (MTCY251.20), len: 2512 aa. Probable nrp, peptide synthetase, similar to others e.g. AAD44234.1|AF143772_40|PstB peptide synthetase from Mycobacterium avium (2552 aa); 7476034|S77657 cyclic peptide synthetase from Mycobacterium leprae (1401 aa), FASTA scores: opt: 4268, E(): 0, (65.7% identity in 1091 aa overlap); part of CAB55600.1|AJ238027 peptide synthetase from Mycobacterium smegmatis (5990). Also similar to e.g. AAD56240.1|AF184977_1|AF184977 DhbF protein from Bacillus subtilis (2378 aa); SRF1_BACSU|P27206 surfactin synthetase subunit 1 (3587 aa), FASTA scores: opt: 1708, E(): 0, (30.6% identity in 1633 aa overlap): etc. Contains PS00017 ATP/GTP-binding site motif A (P-loop), 2 x PS00455 Putative AMP-binding domain signature, and PS00012 Phosphopantetheine attachment site. Belongs to the ATP-dependent AMP-binding enzyme family. Thought to be not involved in mycobactin biosynthesis (see citation below).</t>
  </si>
  <si>
    <t>Rv0102, (MTCY251.21), len: 661 aa. Probable conserved integral membrane protein, highly similar to P53525|Y102_MYCLE|ML1998|NP_302349.1|NC_002677 possible membrane protein from Mycobacterium leprae (659 aa), FASTA scores: opt: 3107, E(): 0, (70.2% identity in 662 aa overlap). Also similar to others e.g. CAC01497.1|AL391017 putative integral membrane protein from Streptomyces coelicolor (316 aa); etc. Contains PS00343 Gram-positive cocci surface proteins 'anchoring' hexapeptide.</t>
  </si>
  <si>
    <t>Cation-transporting ATPase; possibly catalyzes the transport of a cation (possibly coopper) with the hydrolyse of ATP [catalytic activity: ATP + H(2)O + cation(in) = ADP + orthophosphate + cation(out)].</t>
  </si>
  <si>
    <t>Probable cation-transporter P-type ATPase B CtpB</t>
  </si>
  <si>
    <t>Rv0103c, (MTCY251.22c), len: 752 aa. Probable ctpB, cation-transporting P-type ATPase B (transmembrane protein), equivalent to CTPB_MYCLE|P46840 cation-transporting P-type ATPase B from Mycobacterium leprae (750 aa), FASTA scores: opt: 3615, E(): 0, (76.5% identity in 752 aa overlap). Also highly similar to others e.g. CAB96031.1|AL360055 putative metal transporter ATPase from Streptomyces coelicolor (753 aa); NP_241423.1|NC_002570 copper-transporting ATPase from Bacillus halodurans (806 aa); etc. Also highly similar to Z46257|MLACEA_7 aceA gene for isocitrate L from Mycobacterium leprae (750 aa), FASTA scores: opt: 3615, E():0, (76.5% identity in 752 aa overlap). And similar to MTCY251.11 from Mycobacterium tuberculosis, FASTA score: (68.3% identity in 742 aa overlap). Contains PS01047 Heavy-metal-associated domain, PS00154 E1-E2 ATPases phosphorylation site. Belongs to the cation transport ATPases family (E1-E2 ATPases), subfamily IB.</t>
  </si>
  <si>
    <t>Rv0104, (MTCY251.23), len: 504 aa. Conserved hypothetical protein, showing weak similarity with other cAMP-dependent protein kinases e.g. AAC37564.1|M65066 cAMP-dependent protein kinase RI-beta regulatory subunit from Homo sapiens (380 aa); etc.</t>
  </si>
  <si>
    <t>Possibly involved in a translation mechanism.</t>
  </si>
  <si>
    <t>50S ribosomal protein L28-1 RpmB1</t>
  </si>
  <si>
    <t>Rv0105c, (MTCY251.24c), len: 94 aa. rpmB1, 50S ribosomal protein L28-1, highly similar to others e.g. Q9X8K8|R28B_STRCO 50S ribosomal protein L28-2 from Streptomyces coelicolor (78 aa); RL28_ECOLI|P02428 50s ribosomal protein l28 from Escherichia coli (77 aa), FASTA scores: opt: 167, E(): 6.2e-06, (40.7% identity in 59 aa overlap); etc. Also similar to MTCY63A_2 from Mycobacterium tuberculosis. Belongs to the L28P family of ribosomal proteins.</t>
  </si>
  <si>
    <t>Rv0106, (MTCY251.25), len: 398 aa. Conserved hypothetical protein, similar to others e.g. AL049841|SCE9_33 from Streptomyces coelicolor (370 aa), FASTA scores: opt: 282, E(): 2.5e-11, (32.0% identity in 381 aa overlap); etc. Some similarity to P94400 homologue to nitrile hydratase region from Bacillus subtilis (397 aa), FASTA scores: opt: 226, E(): 5.4e-08, (26.4% identity in 405 aa overlap). Also similar to COBW_PSEDE|P29937 FASTA score: (25.3% identity in 186 aa overlap); and P47K_PSECL|P31521 47 kDa protein (p47k) (419 aa), FASTA score: (25.9% identity in 401 aa overlap).</t>
  </si>
  <si>
    <t>Cation-transporting ATPase; possibly catalyzes the transport of a cation (possibly magnesium) with the hydrolyse of ATP [catalytic activity: ATP + H(2)O + cation(in) = ADP + phosphate + cation(out)].</t>
  </si>
  <si>
    <t>Probable cation-transporter ATPase I CtpI</t>
  </si>
  <si>
    <t>Rv0107c, (MTCY251.26c, MTV031.01c), len: 1632 aa. Probable ctpI, cation-transporting ATPase I P-type, highly similar to NP_302704.1|NC_002677 probable cation transport ATPase from Mycobacterium leprae (1609 aa); and similar to others e.g. CAB69720.1|AL137166 putative transport ATPase from Streptomyces coelicolor (1472 aa); ATA1_SYNY|P37367 cation-transporting ATPase pma1 from Synechocystis sp. (915 aa), FASTA scores: opt: 603, E(): 6.6e-29, (32.4% identity in 710 aa overlap); etc. Also similar to MTCY39.21c and MTCY22G10.22c from Mycobacterium tuberculosis, FASTA score: (34.4% identity in 796 aa overlap). Contains PS00154 E1-E2 ATPases phosphorylation site. Belongs to the cation transport ATPases family (E1-E2 ATPases).</t>
  </si>
  <si>
    <t>Rv0108c, (MTV031.02c), len: 69 aa. Hypothetical unknown protein.</t>
  </si>
  <si>
    <t>PE-PGRS family protein PE_PGRS1</t>
  </si>
  <si>
    <t>Rv0109, (MTV031.03c), len: 496 aa. PE_PGRS1, Member of the M. tuberculosis PE family, PGRS subfamily of gly-rich proteins (see Brennan and Delogu, 2002), highly similar to many e.g. Q50615|Y0DP_MYCTU hypothetical glycine-rich 40.8 kDa protein from Mycobacterium tuberculosis (498 aa), FASTA scores: opt: 1772, E(): 0, (57.3% identity in 513 aa overlap); etc.</t>
  </si>
  <si>
    <t>Rv0110</t>
  </si>
  <si>
    <t>Rv0110, (MTV031.04), len: 249 aa. Probable conserved integral membrane protein, similar to many e.g. AL079308|SCH69_25 from Streptomyces coelicolor (297 aa), FASTA scores: opt: 552, E(): 6.1e-29, (45.4% identity in 251 aa overlap); P54493|YQGP_BACSU hypothetical 56.4 KD protein from Bacillus subtilis (507 aa), FASTA scores: opt: 320, E(): 4e-15, (32.4% identity in 210 aa overlap); etc.</t>
  </si>
  <si>
    <t>Possible transmembrane acyltransferase</t>
  </si>
  <si>
    <t>Rv0111, (MTV031.05), len: 685 aa. Possible transmembrane acyltransferase, equivalent to AA22904.1|AL035300 putative acyltransferase from Mycobacterium leprae (696 aa). Also similar to others e.g. C69975 acyltransferase homolog yrhL from Bacillus subtilis (634 aa), FASTA scores: opt: 520, E(): 4e-22, (36.4% identity in 382 aa overlap). Very similar to Mycobacterium tuberculosis proteins Rv0228, Rv1254, Rv1565c, etc.</t>
  </si>
  <si>
    <t>Possibly involved in synthesis of a-band common antigen lipopolysaccharide. First of the three steps in the biosynthesis of GDP-fucose from GDP-mannose [catalytic activity: GDP-mannose = GDP-4-dehydro-6-deoxy-D-mannose + H2O].</t>
  </si>
  <si>
    <t>Possible GDP-mannose 4,6-dehydratase Gca (GDP-D-mannose dehydratase)</t>
  </si>
  <si>
    <t>Rv0112, (MTV031.06), len: 318 aa. Possible gca, GDP-mannose 4,6-dehydratase, similar to others e g. U18320|PAU18320_1 GDP-D-mann from Pseudomonas aeruginosa (323 aa), FASTA scores: opt: 415, E(): 4.4e-21, (27.0% identity in 318 aa overlap). Similar to Rv3634c, Rv3784, etc from Mycobacterium tuberculosis. Contains PS00061 Short-chain dehydrogenases/reductases family signature. Seems to belong to the GDP-mannose 4,6-dehydratase family. Cofactor: NAD(+). This region is a possible MT-complex-specific genomic island (See Becq et al., 2007).</t>
  </si>
  <si>
    <t>Involved in biosynthesis of nucleotide-activated glycero-manno-heptose: synthesis of glyceromannoheptose 7-phosphate (inner core lipopolysaccharide biosynthesis) [catalytic activity: D-sedoheptulose 7-phosphate = D-glycero-alpha,beta-D-manno-heptose 7-phosphate].</t>
  </si>
  <si>
    <t>Probable sedoheptulose-7-phosphate isomerase GmhA (phosphoheptose isomerase)</t>
  </si>
  <si>
    <t>Rv0113, (MTV031.07), len: 196 aa. Probable gmhA (alternate gene name: lpcA), sedoheptulose-7-phosphate isomerase (see citation below), similar to many e.g. AE0005|HPAE000596_11 from Helicobacter pylori (192 aa), FASTA scores: opt: 451, E(): 1.9e-24, (45.1% identity in 162 aa overlap). Belongs to the sis family, LPCA subfamily. This region is a possible MT-complex-specific genomic island (See Becq et al., 2007).</t>
  </si>
  <si>
    <t>gmhB</t>
  </si>
  <si>
    <t>Rv0114</t>
  </si>
  <si>
    <t>Involved in biosynthesis of nucleotide-activated glycero-manno-heptose. Involved in two pathways, D-alpha-D pathway [catalytic activity: D-glycero-alpha-D-manno-heptose 1,7-biphosphate = D-glycero-alpha-D-manno-heptose 1-phosphate] and L-beta-D pathway [catalytic activity: D-glycero-beta-D-manno-heptose 1,7-biphosphate = D-glycero-beta-D-manno-heptose 1-phosphate].</t>
  </si>
  <si>
    <t>Possible D-alpha,beta-D-heptose-1,7-biphosphate phosphatase GmhB (D-glycero-D-manno-heptose 7-phosphate kinase)</t>
  </si>
  <si>
    <t>Rv0114, (MTV031.08), len: 190 aa. Possible gmhB, D-alpha,beta-D-heptose-1,7-biphosphate phosphatase (see citation below), similar to several hypothetical proteins and phosphatases e.g. HIS7_ECOLI|P06987 imidazoleglycerol-phosphate dehydratase (355 aa), FASTA scores: opt: 250, E(): 3.6e-11, (34.0 % identity in 141 aa overlap). This region is a possible MT-complex-specific genomic island (See Becq et al., 2007).</t>
  </si>
  <si>
    <t>hddA</t>
  </si>
  <si>
    <t>Involved in biosynthesis of nucleotide-activated glycero-manno-heptose (D-alpha-D pathway) [catalytic activity: D-glycero-alpha,beta-D-manno-heptose 7-phosphate + ATP = D-glycero-alpha-D-manno-heptose 1,7-biphosphate].</t>
  </si>
  <si>
    <t>Possible D-alpha-D-heptose-7-phosphate kinase HddA</t>
  </si>
  <si>
    <t>Rv0115, (MTV031.09), len: 386 aa. Possible hddA, D-alpha-D-heptose-7-phosphate kinase (see citation below), similar to several hypothetical proteins and sugar kinases e.g. AAK27850.1|AF324836_3 D-glycero-D-manno-heptose 7-phosphate kinase from Aneurinibacillus thermoaerophilus (341 aa); AAK80995.1|AE007802_11 Sugar kinase from Clostridium acetobutylicum (364 aa). This region is a possible MT-complex-specific genomic island (See Becq et al., 2007).</t>
  </si>
  <si>
    <t>Involved in peptidoglycan synthesis. Catalyzes the formation of 3-&gt;3 crosslinks between peptidoglycan subunits.</t>
  </si>
  <si>
    <t>Probable L,D-transpeptidase LdtA</t>
  </si>
  <si>
    <t>Rv0116c, (MTV031.10c), len: 251 aa. Probable ldtA, L,D-transpeptidase, showing similarity to several hypothetical mycobacterial proteins e.g. Rv1433 from Mycobacterium tuberculosis (271 aa); and Q49706|B1496_F2_81|U00013 from Mycobacterium leprae (271 aa); to the C-terminal regions of others like Rv0192 from Mycobacterium tuberculosis (366 aa), FASTA scores: opt: 451, E(): 1.7e-21, (46.7% identity in 270 aa overlap); and Rv0192|Z97050|MTCI28_32 from Mycobacterium tuberculosis cosmid (366 aa), FASTA scores: opt: 699, E(): 0, (45.7% identity in 221 aa overlap). Predicted to be an outer membrane protein (See Song et al., 2008).</t>
  </si>
  <si>
    <t>Could effect functions of OXYR during evolution.</t>
  </si>
  <si>
    <t>Oxidative stress response regulatory protein OxyS</t>
  </si>
  <si>
    <t>Rv0117, (MTV031.11), len: 314 aa. OxyS, oxidative stress response protein regulatory protein, LysR family (see citation below). Similar to many transcription regulators and OxyR, the oxidative stress response protein of many bacteria. Contains LysR family signature at N-terminus. Also contains helix-turn-helix motif at aa 16-37 (Score 1543, +4.44 SD). Belongs to the LysR family of transcriptional regulators. OXYR is required for the induction of a regulon of hydrogen peroxide inducible genes such as catalase, glutathione-reductase, etc.</t>
  </si>
  <si>
    <t>Involved in catabolism of oxalic acid [catalytic activity: oxalyl-CoA = formyl-CoA + CO2].</t>
  </si>
  <si>
    <t>Probable oxalyl-CoA decarboxylase OxcA</t>
  </si>
  <si>
    <t>Rv0118c, (MTV031.12c), Len: 582 aa. Probable oxcA, oxalyl-CoA decarboxylase, highly similar to many e.g. P78093|OXC_ECOLI|7449483|B65011|YFDU|B2373|Z3637|ECS325 probable oxalyl-CoA decarboxylase from Escherichia coli (564 aa); M77128|OXAOXA_1 oxalyl-CoA decarboxylase from Oxalobacter formigenes (568 aa), FASTA scores: opt: 2124, E():0, (55.6% identity in 568 aa overlap). Also similar to mycobacterial IlvB proteins e.g. MLCB1788.46c unknown TPP-requiring enzyme from Mycobacterium leprae (548 aa); and AL0086|MLCB1788_19 from Mycobacterium leprae (548 aa), FASTA scores: opt: 831, E(): 0, (33.9% identity in 567 aa overlap).</t>
  </si>
  <si>
    <t>Probable fatty-acid-CoA ligase FadD7 (fatty-acid-CoA synthetase) (fatty-acid-CoA synthase)</t>
  </si>
  <si>
    <t>Rv0119, (MTV031.13-MTCI418B.01), len: 525 aa. Probable fadD7, fatty-acid-CoA synthetase, similar to 4-coumarate:CoA ligase of many organisms e.g. U39405|PTU39405_1 4-coumarate:CoA ligase from Pinus taedaxylem (537 aa), FASTA scores: opt: 483, E(): 8.3e-22, (28.2% identity in 440 aa overlap). Contains PS00455 Putative AMP-binding domain signature.</t>
  </si>
  <si>
    <t>fusA2</t>
  </si>
  <si>
    <t>Involved in translation mechanism. This protein may promote the GTP-dependent translocation of the nascent protein chain from the A-site to the P-site of the ribosome.</t>
  </si>
  <si>
    <t>Probable elongation factor G FusA2 (EF-G)</t>
  </si>
  <si>
    <t>Rv0120c, (MTCI418B.02c), len: 714 aa. Probable fusA2 (alternate gene name: fus2), elongation factor G, highly similar to others e.g. EFG_ECOLI|P02996 elongation factor G (ef-g) from Escherichia coli (703 aa), FASTA scores: opt: 1049, E(): 0, (32.5% identity in 717 aa overlap). Also similar to fusA1|MTCY210.01 from Mycobacterium tuberculosis FASTA score: (39.1% identity in 299 aa overlap); and P30767|EFG_MYCLE elongation factor G (EF-G) from Mycobacterium leprae (701 aa), FASTA score: (31.7% identity in 710 aa overlap). Contains PS00017 ATP/GTP-binding site motif A (P-loop). Belongs to the GTP-binding elongation factor family, EF-G/EF-2 subfamily.</t>
  </si>
  <si>
    <t>Rv0121c, (MTCI418B.03c), len: 144 aa. Conserved protein, showing some similarity with others proteins from Mycobacterium tuberculosis e.g. Rv1155, Rv1875, Rv2074, etc.</t>
  </si>
  <si>
    <t>Rv0122</t>
  </si>
  <si>
    <t>Rv0122, (MTCI418B.04), len: 122 aa. Hypothetical unknown protein.</t>
  </si>
  <si>
    <t>Rv0123</t>
  </si>
  <si>
    <t>Rv0123, (MTCI418B.05), len: 122 aa. Unknown protein.</t>
  </si>
  <si>
    <t>PE-PGRS family protein PE_PGRS2</t>
  </si>
  <si>
    <t>Rv0124, (MTCI418B.06), len: 487 aa. PE_PGRS2, Member of the Mycobacterium tuberculosis PE family, PGRS subfamily of gly-rich proteins (see Brennan and Delogu, 2002), highly similar to many e.g. Y0DP_MYCTU|Q50615 from Mycobacterium tuberculosis (498 aa), FASTA scores: opt: 1730, E(): 0, (60.7% identity in 504 aa overlap).</t>
  </si>
  <si>
    <t>Function unknown; possibly hydrolyzes peptides and/or proteins (seems to cleave preferentially after serine residues).</t>
  </si>
  <si>
    <t>Probable serine protease PepA (serine proteinase) (MTB32A)</t>
  </si>
  <si>
    <t>Rv0125, (MTCI418B.07, MTB32A), len: 355 aa. Probable pepA (alternate gene name: mtb32a), serine protease (see Skeiky et al., 1999), highly similar to other proteases e.g. HHOB_ECOLI|P31137 protease hhob precursor (355 aa), FASTA scores: opt: 400, E(): 3.8e-14, (32.4% identity in 346 aa overlap). Also similar to Q50320 34 kDa protein precursor from Mycobacterium tuberculosis (361 aa), FASTA scores: opt: 1689, E(): 0, (70.7% identity in 362 aa overlap). Contains PS00135 Serine proteases, trypsin family, serine active site. Has a putative signal sequence at the N-terminus. Belongs to the serine protease family. Conserved in M. tuberculosis, M. leprae, M. bovis and M. avium paratuberculosis; predicted to be essential for in vivo survival and pathogenicity (See Ribeiro-Guimaraes and Pessolani, 2007).</t>
  </si>
  <si>
    <t>Involved in trehalose biosynthesis (protective effect). Converts maltose to trehalose. Mycobacteria can produce trehalose from glucose 6-phosphate and UDP-glucose (the OtsA-OtsB pathway) from glycogen-like alpha(1--&gt;4)-linked glucose polymers (the TreY-TreZ pathway) and from maltose (the TreS pathway).</t>
  </si>
  <si>
    <t>Trehalose synthase TreS</t>
  </si>
  <si>
    <t>Rv0126, (MTCI418B.08), len: 601 aa. TreS, trehalose synthase (see citation below), highly similar to others e.g. CAA04601.2|AJ001205 putative trehalose synthase from Streptomyces coelicolor (566 aa); S71450|1536814|BAA11303.1|D78198 trehalose synthase maltose-specific from Pimelobacter sp. strain R48 (573 aa). Also similar to MAL1_DROME|P07191 possible maltase precursor (508 aa), FASTA scores: opt: 807, E(): 0, (33.7% identity in 504 aa overlap); and similar to proteins associated with amino-acid transport e.g. Q64319 rat protein which stimulates transport of cystine and dibasic and neutral amino acids (683 aa), FASTA scores: opt: 839, E(): 0, (32.0% identity in 531 aa overlap). Also similar to several other Mycobacterium tuberculosis proteins e.g. Rv2471 FASTA score: (31.7% identity in 164 aa overlap).</t>
  </si>
  <si>
    <t>mak</t>
  </si>
  <si>
    <t>Catalyzes the transfer of a phosphate group from ATP to maltose to produce maltose-1-phosphate [catalytic activity: ATP + maltose = ADP + maltose-1-phosphate]</t>
  </si>
  <si>
    <t>Maltokinase Mak</t>
  </si>
  <si>
    <t>Rv0127, (MTCI418B.09, MTCI5.01), len: 455 aa. Mak, maltokinase; highly similar to various proteins e.g. AJ0012|SCJ001205_4 hypothetical protein from Streptomyces coelicolor A3(2) (464 aa), FASTA scores: opt: 412, E(): 1.1e-19, (40.6% identity in 485 aa overlap); AJ0012|SCJ001206_5 hypothetical protein from Streptomyces coelicolor A3(2) (453 aa), FASTA scores: opt: 403, E(): 4.3 e-19, (36.5% identity in 455 aa overlap).</t>
  </si>
  <si>
    <t>Rv0128, (MTCI5.02), len: 259 aa. Probable conserved transmembrane protein, with some similarity to Rv3064c and other bacterial proteins e.g. AAK85977.1|AE007957|AGR_C_254p from Agrobacterium tumefaciens (206 aa).</t>
  </si>
  <si>
    <t>Proteins of the antigen 85 complex are responsible for the high affinity of mycobacteria to fibronectin. Possesses a mycolyltransferase activity required for the biogenesis of trehalose dimycolate (cord factor), a dominant structure necessary for maintaining cell wall integrity.</t>
  </si>
  <si>
    <t>Secreted antigen 85-C FbpC (85C) (antigen 85 complex C) (AG58C) (mycolyl transferase 85C) (fibronectin-binding protein C)</t>
  </si>
  <si>
    <t>Rv0129c, (MT0137, MTCI5.03c), len: 340 aa. FbpC (alternate gene names: mpt45, 85C, fbpC2), secreted antigen 85c (fibronectin-binding protein C) (mycolyl transferase 85C) (see citations below), also highly similar to other Mycobacterial antigen precursors e.g. A85C_MYCLE|Q05862 antigen 85-c precursor (85c) from Mycobacterium leprae (333 aa), FASTA scores: opt: 1937, E(): 0, (81.4% identity in 333 aa overlap); etc.</t>
  </si>
  <si>
    <t>htdZ</t>
  </si>
  <si>
    <t>Rv0130</t>
  </si>
  <si>
    <t>Probable 3-hydroxyl-thioester dehydratase</t>
  </si>
  <si>
    <t>Rv0130, (MTCI5.04), len: 151 aa. Probable htdZ, 3-hydroxyl-thioester dehydratase. Forms single hot-dog fold, features R-specific hydratase motif, substrate unknown, forms homodimer. Shows structural similarity to six others in Mycobacterium tuberculosis (see Castell et al (2005) below). Similar to others e.g. AL096811|SCI30A_19 from Streptomyces coelicolor (153 aa), FASTA scores: opt: 639, E(): 0, (60.8% identity in 148 aa overlap).</t>
  </si>
  <si>
    <t>Probable acyl-CoA dehydrogenase FadE1</t>
  </si>
  <si>
    <t>Rv0131c, (MTCI5.05c), len: 447 aa. Probable fadE1, acyl-CoA dehydrogenase, similar to many e.g. ACDS_HUMAN|P16219 acyl-CoA dehydrogenase short-chain specific precursor (412 aa), FASTA scores: opt: 522, E(): 1.4e-23, (30.1% identity in 425 aa overlap). Also highly similar to MTCI5_28 from Mycobacterium tuberculosis.</t>
  </si>
  <si>
    <t>Catalyzes oxidation of glucose-6-phosphate to 6-phosphogluconolactone using coenzyme F420 (an *-hydroxy-5-deazaflavin derivative) as the electron acceptor.</t>
  </si>
  <si>
    <t>Putative F420-dependent glucose-6-phosphate dehydrogenase Fgd2</t>
  </si>
  <si>
    <t>Rv0132c, (MTCI5.06c), len: 360 aa. Putative fgd2, F420-dependent glucose-6-phosphate dehydrogenase, highly similar to many from Mycobacteria e.g. AAD38167|g5031431 from Mycobacterium chelonae. Also similar to MJ1534|Q58929 N5,N10-methylene tetrahydromethanopterin reductase from methanococcus jannaschii (342 aa), FASTA scores: opt: 285, E(): 7.9e-11, (28.4% identity in 292 aa overlap). And also similar to Rv0953c, Rv0791c, etc from Mycobacterium tuberculosis. Contains PS00013 Prokaryotic membrane lipoprotein lipid attachment site.</t>
  </si>
  <si>
    <t>Acetylation, substrate unknown</t>
  </si>
  <si>
    <t>GCN5-related N-acetyltransferase</t>
  </si>
  <si>
    <t>Rv0133, (MTCI5.07), len: 201 aa. Probable acetyltransferase. Contains GNAT (Gcn5-related N-acetyltransferase) domain in C-terminal part. See Vetting et al. 2005. Highly similar to others e.g. PUAC_STRLP|P13249 puromycyn N-acetyltransferase (199 aa), FASTA scores: opt: 341, E(): 1.8e-16, (33.3% identity in 201 aa overlap).</t>
  </si>
  <si>
    <t>ephF</t>
  </si>
  <si>
    <t>Rv0134</t>
  </si>
  <si>
    <t>Thought to be involved in detoxification reactions following oxidative damage to lipids [catalytic activity: an epoxide + H(2)O = a glycol].</t>
  </si>
  <si>
    <t>Possible epoxide hydrolase EphF (epoxide hydratase) (arene-oxide hydratase)</t>
  </si>
  <si>
    <t>Rv0134, (MTCI5.08), len: 300 aa. Possible ephE, epoxide hydrolase (see citation below), similar to others e.g. Q39856 epoxide hydrolase (341 aa), FASTA scores: opt: 369, E(): 4.6e-17, (27.2% identity in 335 aa overlap); etc. Also similar to MTCY09F9.26c from Mycobacterium tuberculosis (29.5% identity in 346 aa overlap).</t>
  </si>
  <si>
    <t>Could be involved in transcriptional mechanism.</t>
  </si>
  <si>
    <t>Rv0135c, (MTCI5.09c), len: 201 aa. Possible transcriptional regulator, weakly similar to others e.g. P32398|YHGD_BACSU hypothetical transcriptional regulator from Bacillus subtilis (191 aa), FASTA scores: opt: 145, E(): 0.0012, (21.0% identity in 162 aa overlap).</t>
  </si>
  <si>
    <t>Cytochromes P450 are a group of heme-thiolate monooxygenases. They oxidize a variety of structurally unrelated compounds, including steroids, fatty acids, and xenobiotics.</t>
  </si>
  <si>
    <t>Probable cytochrome P450 138 Cyp138</t>
  </si>
  <si>
    <t>Rv0136, (MT0144, MTCI5.10), len: 441 aa. Probable cyp138, cytochrome P450 138, similar to others e.g. SLR0574|Q59990 from synechocystis SP. (444 aa), FASTA scores: opt: 315, E(): 1e-13, (25.7% identity in 416 aa overlap); etc. Also similar to MTV039_6 from Mycobacterium tuberculosis (472 aa), FASTA score: (38.2% identity in 442 aa overlap). Contains PS00017 ATP/GTP-binding site motif A (P-loop); and PS00086 Cytochrome P450 cysteine heme-iron ligand signature. Belongs to the cytochrome P450 family.</t>
  </si>
  <si>
    <t>Has an important function as a repair enzyme for proteins that have been inactivated by oxidation. Catalyzes the reversible oxidation-reduction of methionine sulfoxide in proteins to methionine [catalytic activity: protein L-methionine + oxidized thioredoxin + H2O = protein-L-methionine-(S)-S-oxide + reduced thioredoxin].</t>
  </si>
  <si>
    <t>Probable peptide methionine sulfoxide reductase MsrA (protein-methionine-S-oxide reductase) (peptide met(O) reductase)</t>
  </si>
  <si>
    <t>Rv0137c, (MTCI5.11c), len: 182 aa. Probable msrA, peptide methionine sulfoxide reductase (See St. John et al., 2001), equivalent to CAC32179.1|AL583926 putative peptide methionine sulfoxide from Mycobacterium leprae (177 aa). Highly similar to others e.g. CAC18703.1|AL451182 putative peptide methionine sulfoxide reductase from Streptomyces coelicolor (172 aa); PMSR_SCHPO|Q09859 putative peptide methionine sulfoxide reductase from Streptomyces (187 aa), FASTA scores: opt: 468, E(): 9.9e-26, (45.6% identity in 158 aa overlap); etc. Belongs to the MsrA family.</t>
  </si>
  <si>
    <t>Rv0138, (MTCI5.12), len: 167 aa. Conserved hypothetical protein, showing weak similarity to Q10827|YT10_MYCTU hypothetical 17.0 KDA protein from Mycobacterium tuberculosis (147 aa), FASTA scores: opt: 131, E(): 0.047, (31.15% identity in 106 aa overlap).</t>
  </si>
  <si>
    <t>Rv0139, (MTCI5.13), len: 340 aa. Possible oxidoreductase, similar to others e.g. O34285|HPNA HPNA protein from Zymomonas mobilis (337 aa), FASTA scores: opt: 507, E (): 5.8e-27, (31.1% identity in 328 aa overlap); TRE_STRGR|P29782 dtdp-glucose 4,6-dehydratase (328 aa), FASTA scores: opt: 254, E(): 2.6e-10, (29.0% identity in 307 aa overlap).</t>
  </si>
  <si>
    <t>Rv0140, (MTCI5.14), len: 126 aa. Conserved protein, similar to others e.g. P74567|D90916_48 hypothetical 20.8 KDP protein from Synechocystis sp. (180 aa), FASTA scores: opt: 229, E(): 4.7e-10, (36.1% identity in 108 aa overlap). Also similar to Rv1056 and Rv1670 from Mycobacterium tuberculosis.</t>
  </si>
  <si>
    <t>Rv0141c, (MTCI5.15c), len: 136 aa. Unknown protein.</t>
  </si>
  <si>
    <t>Rv0142</t>
  </si>
  <si>
    <t>Rv0142, (MTCI5.16), len: 308 aa. Conserved hypothetical protein, similar, except in N-terminus, to AB88922.1|AL353862 hypothetical protein SCE34.20 from Streptomyces coelicolor (326 aa).</t>
  </si>
  <si>
    <t>Unknown; possibly ion channel involved in transport of chloride across the membrane.</t>
  </si>
  <si>
    <t>Rv0143c, (MTCI5.17c), len: 492 aa. Probable conserved transmembrane protein, CIC family possibly involved in transport of chloride, similar to others and hypothetical proteins e.g. O28857 putative chloride channel from Archaeoglobus fulgidus (589 aa), FASTA scores: opt: 966, E(): 0, (37.7% identity in 453 aa overlap); YADQ_ECOLI|P37019 hypothetical 46.0 kDa protein (436 aa), FASTA scores: opt: 452, E(): 2.4e-20, (28.0% identity in 460 aa overlap).</t>
  </si>
  <si>
    <t>Probable transcriptional regulatory protein (possibly TetR-family)</t>
  </si>
  <si>
    <t>Rv0144, (MTCI5.18), len: 280 aa. Probable transcriptional regulator, possibly TetR family. Has region similar to others e.g. Q59431|UIDR_ECOLI|GUSR|B1618|Z2623|ECS2326 UID operon repressor (GUS operon) from Escherichia coli strains K12 and O157:H7 (196 aa), FASTA scores: opt: 214, E(): 1.1e-06, (26.0% identity in 196 aa overlap). Contains probable helix-turn helix motif from aa 109-130 (Score 1463, +4.17 SD). Could belong to the TetR/AcrR family of transcriptional regulators.</t>
  </si>
  <si>
    <t>Possible methyltransferase</t>
  </si>
  <si>
    <t>Possible S-adenosylmethionine-dependent methyltransferase</t>
  </si>
  <si>
    <t>Rv0145, (MTCI5.19), len: 317 aa. Possible S-adenosylmethionine-dependent methyltransferase (see Grana et al., 2007), highly similar to many e.g. CAC32172.1|AL583926 conserved hypothetical protein from Mycobacterium leprae (310 aa); and several Mycobacterium tuberculosis proteins e.g. Rv0726c, Rv0731c, etc.</t>
  </si>
  <si>
    <t>Rv0146, (MTCI5.20), len: 310 aa. Possible S-adenosylmethionine-dependent methyltransferase (see Grana et al., 2007), highly similar to others e.g. AC30975.1|AL583924 conserved hypothetical protein from Mycobacterium leprae (304 aa); and several Mycobacterium tuberculosis proteins e.g. Rv0726c, Rv0731c, etc.</t>
  </si>
  <si>
    <t>Function unknown; probably involved in cellular metabolism [catalytic activity: an aldehyde + NAD+ + H2O = an acid + NADH].</t>
  </si>
  <si>
    <t>Probable aldehyde dehydrogenase (NAD+) dependent</t>
  </si>
  <si>
    <t>Rv0147, (MTCI5.21), len: 506 aa. Probable aldehyde dehydrogenase (NAD+) dependent, similar to others e.g. DHAP_RAT|P11883 aldehyde dehydrogenase (dimeric NADP-preferring) (452 aa), FASTA scores: opt: 1291, E(): 0, (43.9% identity in 453 aa overlap). Also similar to several Mycobacterium tuberculosis aldehyde dehydrogenases e.g. Rv0768, Rv2858c, etc. Contains PS00687 aldehyde dehydrogenases glutamic acid active site, and PS00070 aldehyde dehydrogenases cysteine active site. Belongs to the aldehyde dehydrogenases family.</t>
  </si>
  <si>
    <t>Function unknown; possibly involved in cellular metabolism.</t>
  </si>
  <si>
    <t>Probable short-chain type dehydrogenase/reductase</t>
  </si>
  <si>
    <t>Rv0148, (MTCI5.22), len: 286 aa. Probable short-chain dehydrogenase, similar to others, in particular Estradiol 17 beta-dehydrogenases, e.g. DHB4_MOUSE|P51660 estradiol 17 beta-dehydrogenase 4 (735 aa), FASTA scores: opt: 952, E(): 0, (52.5% identity in 276 aa overlap). Contains PS00061 Short-chain alcohol dehydrogenase family signature. Belongs to the short-chain dehydrogenases/reductases (SDR) family.</t>
  </si>
  <si>
    <t>Possibly binds NADP and acts through a one-electron transfer process. Quinones are supposed to be the best substrates. May act in the detoxification of xenobiotics [catalytic activity: NADPH + quinone = NADP+ + semiquinone]</t>
  </si>
  <si>
    <t>Possible quinone oxidoreductase (NADPH:quinone oxidoreductase) (zeta-crystallin)</t>
  </si>
  <si>
    <t>Rv0149, (MTCI5.23), len: 322 aa. Possible quinone oxidoreductase, similar to others oxidoreductases e.g. Q08257 quinone oxidoreductase (329 aa), FASTA scores: opt: 397, E(): 3.2e-18, (28.4% identity in 328 aa overlap); SCHCOADH_4 from Streptomyces coelicolor. Also similar to many proteins from Mycobacterium tuberculosis. Contains PS01162 Quinone oxidoreductase / zeta-crystallin signature. Belongs to the zinc-containing alcohol dehydrogenase family, quinone oxidoreductase subfamily.</t>
  </si>
  <si>
    <t>Rv0150c, (MTCI5.24c), len: 95 aa. Conserved hypothetical protein, showing some similarity with C-terminus of O53949|Rv1800|MTV049.22 PPE-family protein from Mycobacterium tuberculosis (655 aa), FASTA score: (36.5% identity in 104 aa overlap).</t>
  </si>
  <si>
    <t>PE family protein PE1</t>
  </si>
  <si>
    <t>Rv0151c, (MTCI5.25c), len: 588 aa. PE1, Member of the Mycobacterium tuberculosis PE family (see citation below), with N-terminal region similar to others e.g. MTV032_2 PE_PGRS family from Mycobacterium tuberculosis (468 aa), FASTA scores: opt: 1125, E(): 0, (46.3% identity in 456 aa overlap); MTCY493_24 from Mycobacterium tuberculosis FASTA score: (42.5% identity in 558 aa overlap). Also similar to upstream ORF MTCI5.26c FASTA score: (54.7% identity in 464 aa overlap). Also shows similarity to C-terminal part of some PPE family proteins e.g. MTV049_21 from Mycobacterium tuberculosis FASTA score: (41.5% identity in 591 aa overlap).</t>
  </si>
  <si>
    <t>PE family protein PE2</t>
  </si>
  <si>
    <t>Rv0152c, (MTCI5.26c), len: 525 aa. PE2, Member of the Mycobacterium tuberculosis PE family (see citation below), similar to ORF downstream Z92770|MTCI5_25 (588 aa), FASTA scores: opt: 1492, E(): 0, (54.7% identity in 464 aa overlap); and to many other PE family type members. Predicted to be an outer membrane protein (See Song et al., 2008).</t>
  </si>
  <si>
    <t>Involved in signal transduction (via dephosphorylation). Can dephosphorylate in vitro the phosphotyrosine residue of myelin basic protein (MBP) at pH 7.0. Could be involved in virulence by interfering with phosphotyrosine-mediated signals in macrophages. Also able to dephosphorylate phosphoserine/threonine peptides and phosphoinositide substrates. [catalytic activity: protein tyrosine phosphate + H(2)O = protein tyrosine + phosphate]</t>
  </si>
  <si>
    <t>Phosphotyrosine protein phosphatase PTPB (protein-tyrosine-phosphatase) (PTPase)</t>
  </si>
  <si>
    <t>Rv0153c, (MTCI5.27c), len: 276 aa. PtbB (alternate gene name: MPtpB), protein-tyrosine-phosphatase (see citation below), showing some similarity to several protein-tyrosine phosphatases, polyketide synthase and aminotransferase e.g. Q05918|IPHP_NOSCO|IPH protein-tyrosine-phosphatase precursor from Nostoc commune (294 aa), FASTA scores: opt: 150, E(): 0.0096, (26.8% identity in 269 aa overlap); etc. Supposedly a secreted protein. Potent and selective inhibitor is an isoxazole compound (See Seollner et al., 2007).</t>
  </si>
  <si>
    <t>Probable acyl-CoA dehydrogenase FadE2</t>
  </si>
  <si>
    <t>Rv0154c, (MTCI5.28c), len: 403 aa. Probable fadE2, acyl-CoA dehydrogenase, similar to many e.g. C-terminal region of O01590 acyl-CoA dehydrogenase (974 aa), FASTA scores: opt: 1150, E(): 0, (50.0% identity in 402 aa overlap); ACDS_MEGEL|Q06319 acyl-CoA dehydrogenase (short-chain) (383 aa), FASTA score: (35.0% identity in 306 aa overlap). Could belong to the acyl-CoA dehydrogenases family.</t>
  </si>
  <si>
    <t>The transhydrogenation between NADH and NADP is coupled to respiration and ATP hydrolysis and functions as a proton pump across the membrane [catalytic activity: NADPH + NAD+ = NADP+ + NADH].</t>
  </si>
  <si>
    <t>Probable NAD(P) transhydrogenase (subunit alpha) PntAa [first part; catalytic part] (pyridine nucleotide transhydrogenase subunit alpha) (nicotinamide nucleotide transhydrogenase subunit alpha)</t>
  </si>
  <si>
    <t>Rv0155, (MTCI5.29), len: 366 aa. Probable pntAa, first part of NAD(P) transhydrogenase subunit alpha, similar to N-terminus of others e.g. PNTA_ECOLI|P07001|P76888|B1603 NAD (P) transhydrogenase subunit alpha from Escherichia coli strain K12 (510 aa), FASTA scores: opt: 921, E(): 0, (42.1% identity in 361 aa overlap); proton-translocating nicotinamide nucleotide transhydrogenase subunit PNTAA.</t>
  </si>
  <si>
    <t>Probable NAD(P) transhydrogenase (subunit alpha) PntAb [second part; integral membrane protein] (pyridine nucleotide transhydrogenase subunit alpha) (nicotinamide nucleotide transhydrogenase subunit alpha)</t>
  </si>
  <si>
    <t>Rv0156, (MTCI5.30), len: 110 aa. Probable pntAb, second part of NAD(P) transhydrogenase subunit alpha, integral membrane protein, similar to C-terminus of others e.g. Q59764 nicotinamide nucleotide transhydrogenase subunit PNTAB (139 aa), FASTA scores: opt: 247, E(): 1.9e-11, (45.5% identity in 88 aa overlap).</t>
  </si>
  <si>
    <t>Probable NAD(P) transhydrogenase (subunit beta) PntB [integral membrane protein] (pyridine nucleotide transhydrogenase subunit beta) (nicotinamide nucleotide transhydrogenase subunit beta)</t>
  </si>
  <si>
    <t>Rv0157, (MTCI5.31), len: 475 aa. Probable pntB, pyridine nucleotide transhydrogenase (nicotinamide nucleotide transhydrogenase) subunit beta, integral membrane protein, similar to others e.g. Q59763 proton-translocating nicotinamide nucleotide transhydrogenase subunit beta from hodospirillum rubrum (464 aa), FASTA scores: opt: 1344, E(): 0, (46.4% identity in 472 aa overlap); P07002|PNTB_ECOLI|P76890|PNTB|B1602|Z2597|ECS2308 NAD(P) transhydrogenase subunit beta from Escherichia coli strains K12 and O157:H7 (462 aa).</t>
  </si>
  <si>
    <t>Rv0157A</t>
  </si>
  <si>
    <t>Rv0157A, len: 42 aa. Conserved protein, showing similarity to C-terminal part (aa 186-220) of O53976|Rv1975|MTV051.13 conserved hypothetical protein from Mycobacterium tuberculosis (221 aa), FASTA scores: opt: 173, E(): 3e-06, (62.5% identity in 40 aa overlap).</t>
  </si>
  <si>
    <t>Rv0158, (MTV032.01), len: 214 aa. Probable transcriptional regulator, possibly TetR family, showing weak similarity to various transcriptional activators and repressors e.g. P32398|YIXD_BACSU|YHGD hypothetical transcriptional regulatory protein from Bacillus subtilis (191 aa), FASTA scores: opt:172, E(): 2.4e-05, (23.0% identity in 191 aa overlap). Contains helix-turn-helix motif at aa 32-53 (Score 1296, +3.60 SD). Could belong to the TetR/AcrR family of transcriptional regulators.</t>
  </si>
  <si>
    <t>PE family protein PE3</t>
  </si>
  <si>
    <t>Rv0159c, (MTV032.02c), len: 468 aa. PE3, Member of the Mycobacterium tuberculosis PE family (see citation below), similar to many other PE proteins e.g. O06828 from Mycobacterium tuberculosis (528 aa), FASTA scores: opt: 1163, E(): 0, (45.8% identity in 467 aa overlap). Also highly similar to upstream MTV032_3, and to MTCI5_25, MTCI5_26, MTV049_ 21, MTCY1A10_26, etc.</t>
  </si>
  <si>
    <t>PE family protein PE4</t>
  </si>
  <si>
    <t>Rv0160c, (MTV032.03c), len: 502 aa. PE4, Member of the Mycobacterium tuberculosis PE family (see citation below), similar to many other PE proteins e.g. Z92770|MTCI5_26c from Mycobacterium tuberculosis (525 aa), FASTA scores: opt: 816, E(): 0, (41.4% identity in 367 aa overlap); C-terminal region of O06801|RV1768|MTCY28.34 from Mycobacterium tuberculosis (618 aa), FASTA scores: opt: 417, E(): 6.7e-18, (53.5% identity in 142 aa overlap). Also highly similar to downstream ORF MTV032_2.</t>
  </si>
  <si>
    <t>Rv0161, (MTCI28.01, MTV032.04), len: 449 aa. Possible oxidoreductase, similar to hypothetical proteins and various oxidoreductases e.g. AIP2_YEAST|P46681 actin interacting protein 2 (530 aa), FASTA scores: opt: 356, E (): 0, (33.3% identity in 357 aa overlap); DLD1_YEAST|P32891 d-lactate dehydrogenase (cytochrome) (587 aa), FASTA scores: opt: 311, E(): 2.5e-20, (27.9% identity in 366 aa overlap). Also similar to other Mycobacteria proteins e.g. MTCY339.30c from Mycobacterium tuberculosis FASTA score: (29.4% identity in 357 aa overlap); MLCL622.30c from Mycobacterium tuberculosis (449 aa).</t>
  </si>
  <si>
    <t>Dehydrogeneses a alcohol (OXIDO-reduction) [catalytic activity: an alcohol + NAD+ = an aldehyde or ketone + NADH].</t>
  </si>
  <si>
    <t>Probable zinc-type alcohol dehydrogenase (E subunit) AdhE1</t>
  </si>
  <si>
    <t>Rv0162c, (MTCI28.02c), len: 383 aa. Probable adhE1, zinc-type alcohol dehydrogenase, similar to others e.g. ADH_MACMU|P28469 alcohol dehydrogenase alpha chain (374 aa), FASTA scores: opt: 619, E(): 0, (34.7% identity in 363 aa overlap). Also similar to other alcohol dehydrogenases from Mycobacterium tuberculosis e.g. MTCY369.06c FASTA score: (34.0% identity in 365 aa overlap), MTV022_9 FASTA score: (35.0% identity in 371 aa overlap). Contains PS00059 Zinc-containing alcohol dehydrogenases signature. Belongs to the zinc-containing alcohol dehydrogenase family, class-I subfamily. Cofactor: zinc.</t>
  </si>
  <si>
    <t>Rv0163, (MTCI28.03), len: 151 aa. Conserved protein, similar to others e.g. Q44017 hypothetical 16.6 KDA protein in GBD 5'region (ORF6)from Alcaligenes eutrophus (145 aa), FASTA scores: opt: 155, E(): 0.0002, (26.6% identity in 139 aa overlap). Also weak similarity with MTV008.31c|Rv2475c|B70867 from Mycobacterium tuberculosis (138 aa).</t>
  </si>
  <si>
    <t>Conserved protein TB18.5</t>
  </si>
  <si>
    <t>Rv0164, (MTCI28.04), len: 161 aa. TB18.5, conserved protein, equivalent to CAB08818.1|Z95398 hypothetical protein from Mycobacterium leprae (156 aa) FASTA scores: opt: 762, E(): 0, (76.3% identity in 152 aa overlap). Some similarity to Rv2185c, Rv0854, Rv0857 from Mycobacterium tuberculosis. Alternative start codon has been suggested. 3' part corrected since first submission (-24 aa). A core mycobacterial gene; conserved in mycobacterial strains (See Marmiesse et al., 2004). Predicted to be an outer membrane protein (See Song et al., 2008).</t>
  </si>
  <si>
    <t>mce1R</t>
  </si>
  <si>
    <t>Involved in transcriptional mechanism</t>
  </si>
  <si>
    <t>Probable transcriptional regulatory protein Mce1R (probably GntR-family)</t>
  </si>
  <si>
    <t>Rv0165c, (MTCI28.05c), len: 223 aa. Probable mce1R, transcriptional regulator, GntR family (See Casali et al., 2006), showing some similarity to several e.g. NTRA_CHELE|P54988 nta operon transcriptional regulator (231 aa), FASTA scores: opt: 154, E(): 0.00058, (32.0% identity in 125 aa overlap); P46833|GNTR_BACLI gluconate operon transcriptional repressor from Bacillus licheniformis (243 aa); GNTR_BACSU gluconate operon repressor from Bacillus subtilis (243 aa). Also similar to Rv0043c from Mycobacterium tuberculosis. Seems to belong to the GntR family of transcriptional regulators. Start changed since first submission (-41 aa).</t>
  </si>
  <si>
    <t>Probable fatty-acid-CoA ligase FadD5 (fatty-acid-CoA synthetase) (fatty-acid-CoA synthase)</t>
  </si>
  <si>
    <t>Rv0166, (MTCI28.06), len: 554 aa. Probable fadD5, fatty-acid-CoA synthetase, similar to many eg LCFA_ECOLI|P29212 long-chain-fatty-acid--CoA ligase (561 aa), FASTA scores: opt: 612, E(): 0, (29.4% identity in 534 aa overlap). Also similar to many other fatty-acid-CoA ligases from Mycobacterium tuberculosis e.g. MTCY07A7.11c FASTA score: (35.3% identity in 487 aa overlap), MTV013_10, MTY25D10_30, etc. Contains PS00455 putative AMP-binding domain signature.</t>
  </si>
  <si>
    <t>Conserved integral membrane protein YrbE1A</t>
  </si>
  <si>
    <t>Rv0167, (MTCI28.07), len: 265 aa. YrbE1A, unknown integral membrane protein, part of mce1 operon and member of YrbE family (see citations below), highly similar to Mycobacterium tuberculosis proteins O07791|Rv0587|MTCY19H5.35|yrbE2A (265 aa); O53965|Rv1964|MTV051.02|yrbE3A (265 aa); etc. Also highly similar or similar to conserved hypothetical integral membrane proteins of yrbEA type, e.g. NP_302654.1|NC_002677 conserved membrane protein from Mycobacterium leprae (267 aa); P45030|YRBE_HAEIN|HI1086 hypothetical protein from Haemophilus influenzae (261 aa), FASTA scores: opt: 328, E(): 1.8e-15, (26.6% identity in 244 aa overlap); etc.</t>
  </si>
  <si>
    <t>Conserved integral membrane protein YrbE1B</t>
  </si>
  <si>
    <t>Rv0168, (MTCI28.08), len: 289 aa. YrbE1B, unknown integral membrane protein, part of mce1 operon and member of YrbE family (see citations below), highly similar to Mycobacterium tuberculosis proteins O07790|Rv0588|MTCY19H5.34|yrbE2B (295 aa); O53966|Rv1965|MTV051.03|yrbE3B (271 aa); etc. Also highly similar to conserved hypothetical integral membrane proteins of the yrbEB type, e.g. NP_302655.1|NC_002677 conserved membrane protein from Mycobacterium leprae (289 aa); P45030|YRBE_HAEIN|HI1086 hypothetical protein from Haemophilus influenzae (261 aa), FASTA scores: opt: 223, E(): 7.6e-07, (23.7% identity in 257 aa overlap); etc.</t>
  </si>
  <si>
    <t>Unknown, but thought to be involved in host cell invasion (entry and survival inside macrophages).</t>
  </si>
  <si>
    <t>Mce-family protein Mce1A</t>
  </si>
  <si>
    <t>Rv0169, (MTCI28.09), len: 454 aa. Mce1A; belongs to 24-membered Mycobacterium tuberculosis Mce protein family (see citations below), highly similar to Mycobacterium tuberculosis proteins O07789|MCE2|Rv0589|MTCY19H5.33c|mce2A (404 aa); O53967|MCE3|Rv1966|MTV051.04|mce3A (425 aa); etc. Also highly similar to others e.g. AAD52105.1|AF113402_1|AF113402 mycobacterial cell entry protein from Mycobacterium bovis BCG (454 aa); NP_302656.1|NC_002677 putative cell invasion protein from Mycobacterium leprae (441 aa); AAA92845.1|U26018 mce gene product from Mycobacterium avium (88 aa) (similarity on C-terminus); CAC12798.1|AL445327 putative secreted protein from Streptomyces coelicolor (418 aa); etc. Note that equivalent, but longer 22 aa, to P72013|CAA50257.1|X70901 Mcep protein from Mycobacterium tuberculosis (432 aa). Contains a very hydrophobic region around residues 20-35. Note that previously known as mce1. A core mycobacterial gene; conserved in mycobacterial strains (See Marmiesse et al., 2004). Predicted to be an outer membrane protein (See Song et al., 2008).</t>
  </si>
  <si>
    <t>Unknown, but thought to be involved in host cell invasion.</t>
  </si>
  <si>
    <t>Mce-family protein Mce1B</t>
  </si>
  <si>
    <t>Rv0170, (MTCI28.10), len: 346 aa. Mce1B (alternate gene name: mceD); belongs to 24-membered Mycobacterium tuberculosis Mce protein family (see citations below), highly similar to Mycobacterium tuberculosis proteins O07788|Rv0590|MTCY19H5.32c|mce2B (275 aa); O53968|Rv1967|MTV051.05|mce3B (342 aa); etc. Also highly similar to others e.g. NP_302657.1|NC_002677 putative secreted protein from Mycobacterium leprae (346 aa); CAC12797.1|AL445327 putative secreted protein from Streptomyces coelicolor (354 aa); etc. Contains hydrophobic region in N-terminal 30 residues. In Escherichia coli, N-terminal part is functional and directs export of a leaderless beta-lactamase into the periplasm (see Chubb et al., 1998). Predicted to be an outer membrane protein (See Song et al., 2008).</t>
  </si>
  <si>
    <t>Mce-family protein Mce1C</t>
  </si>
  <si>
    <t>Rv0171, (MTCI28.11), len: 515 aa. Mce1C; belongs to 24-membered Mycobacterium tuberculosis Mce protein family (see citations below), highly similar to Mycobacterium tuberculosis proteins O07787|Rv0591|MTCY19H5.31|mce2C (481 aa); O53969|Rv1968|MTV051.06|mce3C (410 aa); etc. Also highly similar to others e.g. NP_302658.1|NC_002677 putative secreted protein from Mycobacterium leprae (519 aa); CAC12796.1|AL445327 putative secreted protein from Streptomyces coelicolor (351 aa); etc. Weakly similar to downstream ORF Rv0172|MTCI28.12|mce1D (530 aa), FASTA score: (24.6% identity in 552 aa overlap). Contains possible signal sequence and highly proline-rich C-terminus. Predicted to be an outer membrane protein (See Song et al., 2008).</t>
  </si>
  <si>
    <t>Mce-family protein Mce1D</t>
  </si>
  <si>
    <t>Rv0172, (MTCI28.12), len: 530 aa. Mce1D; belongs to 24-membered Mycobacterium tuberculosis Mce protein family (see citations below), highly similar to Mycobacterium tuberculosis proteins O07786|Rv0592|MTCY19H5.30c|mce2D (508 aa); O53970|Rv1969|MTV051.07|mce3D (423 aa); etc. Also highly similar to others e.g. NP_302659.1|NC_002677 putative secreted protein from Mycobacterium leprae (531 aa); CAC12795.1|AL445327 putative secreted protein from Streptomyces coelicolor (337 aa); etc. Hydrophobic region at N-terminus. Predicted to be an outer membrane protein (See Song et al., 2008).</t>
  </si>
  <si>
    <t>Possible Mce-family lipoprotein LprK (Mce-family lipoprotein Mce1E)</t>
  </si>
  <si>
    <t>Rv0173, (MTCI28.13), len: 390 aa. Possible lprK (alternate gene name: mce1E), lipoprotein which belongs to 24-membered Mycobacterium tuberculosis Mce protein family (see citations below), highly similar to Mycobacterium tuberculosis proteins O07785|LPRL|Rv0593|MTCY19H5.29|mce2E (402 aa); O53971|LPRM|Rv1970|MTV051.08|mce3E (377 aa); etc. Also highly similar to others e.g. NP_302660.1|NC_002677 putative lipoprotein from Mycobacterium leprae (392 aa); CAC12794.1|AL445327 putative secreted protein from Streptomyces coelicolor (413 aa); etc. Contains PS00013 prokaryotic membrane lipoprotein lipid attachment site.</t>
  </si>
  <si>
    <t>Unknown, but thought involved in host cell invasion.</t>
  </si>
  <si>
    <t>Mce-family protein Mce1F</t>
  </si>
  <si>
    <t>Rv0174, (MTCI28.14), len: 515 aa. Mce1F; belongs to 24-membered Mycobacterium tuberculosis Mce protein family (see citations below), similar to Mycobacterium tuberculosis proteins O07784|Rv0594|MTCY19H5.28c|mce2F (516 aa); O53972|Rv1971|MTV051.09|mce3F (437 aa); etc. Also highly similar to others e.g. NP_302661.1|NC_002677 putative secreted protein from Mycobacterium leprae (516 aa); AAF74993.1|AF143400_1|AF143400|996A027a protein from Mycobacterium avium (80 aa) (similarity on C-terminus); CAC12793.1|AL445327 putative secreted protein from Streptomyces coelicolor (433 aa); etc. Has hydrophobic stretch, possibly a signal peptide at the N-terminus. Predicted to be an outer membrane protein (See Song et al., 2008).</t>
  </si>
  <si>
    <t>Probable conserved Mce associated membrane protein</t>
  </si>
  <si>
    <t>Rv0175, (MTCI28.15), len: 213 aa. Probable conserved Mce-associated membrane protein, equivalent, but longer in N-terminus, to CAC32127.1|AL583926 possible membrane protein from Mycobacterium leprae (182 aa). Also similar to mce-associated proteins from Mycobacterium tuberculosis e.g. Rv1363c, Rv0177, Rv1973, etc. Contains two 12 residue direct repeats at N-terminus. A core mycobacterial gene; conserved in mycobacterial strains (See Marmiesse et al., 2004).</t>
  </si>
  <si>
    <t>Probable conserved Mce associated transmembrane protein</t>
  </si>
  <si>
    <t>Rv0176, (MTCI28.16), len: 322 aa. Probable conserved Mce-associated transmembrane protein. Contains short region of similarity to PRA_MYCLE|P41484 proline-rich antigen (36 kDa antigen) from Mycobacterium leprae (249 aa) (outside the proline-rich region), FASTA scores: opt: 165, E(): 2.9e-05, (40.0% identity in 65 aa overlap). Also similar to mce-associated proteins from Mycobacterium tuberculosis e.g. Rv1363c, Rv0177, Rv3493c, etc. A core mycobacterial gene; conserved in mycobacterial strains (See Marmiesse et al., 2004).</t>
  </si>
  <si>
    <t>Probable conserved Mce associated protein</t>
  </si>
  <si>
    <t>Rv0177, (MTCI28.17), len: 184 aa. Probable conserved Mce-associated protein, equivalent to CAC32129.1|AL583926 conserved membrane protein from Mycobacterium leprae (184 aa). Also similar to mce-associated proteins from Mycobacterium tuberculosis e.g. Rv1363c, Rv1973, Rv3493c, etc. A core mycobacterial gene; conserved in mycobacterial strains (See Marmiesse et al., 2004).</t>
  </si>
  <si>
    <t>Rv0178, (MTCI28.18), len: 244 aa. Probable conserved Mce-associated membrane protein, highly similar in C-terminus to CAC32130.1|AL583926 putative secreted protein from Mycobacterium leprae (184 aa). Also similar to mce-associated proteins from Mycobacterium tuberculosis e.g. Rv1363c, Rv0177, Rv1973, etc. Note that there is a 10 aa overlap with the upstream ORF. A core mycobacterial gene; conserved in mycobacterial strains (See Marmiesse et al., 2004).</t>
  </si>
  <si>
    <t>Possible lipoprotein LprO</t>
  </si>
  <si>
    <t>Rv0179c, (MTCI28.19c), len: 369 aa. Possible lprO, lipoprotein (visibly not conserved). Contains possible N-terminal signal sequence and PS00013 Prokaryotic membrane lipoprotein lipid attachment site.</t>
  </si>
  <si>
    <t>Rv0180c, (MTCI28.20c), len: 452 aa. Probable conserved transmembrane protein, equivalent to CAC32132.1|AL583926 probable conserved membrane protein from Mycobacterium leprae (465 aa). Shows some similarity with others membrane proteins e.g. AL096849|SCI11_29 from Streptomyces coelicolor (354 aa), FASTA scores: opt: 190, E(): 0.00067, (25.9% identity in 409 aa overlap).</t>
  </si>
  <si>
    <t>Rv0181c, (MTCI28.21c), len: 244 aa. Conserved hypothetical protein, highly similar to other hypothetical proteins e.g. YHHW_ECOLI|P46852 hypothetical 26.3 kd protein from Escherichia coli (231 aa), FASTA scores: opt: 479, E(): 1.2e-29, (37.3% identity in 233 aa overlap); P73623|SLL1773 hypothetical 25.7 kDa protein from Synechocystis sp. strain PCC 6803 (232 aa), FASTA score: (39.1% identity in 233 aa overlap).</t>
  </si>
  <si>
    <t>The sigma factor is an initiation factor that promotes attachment of the RNA polymerase to specific initiation sites and then is released.</t>
  </si>
  <si>
    <t>Probable alternative RNA polymerase sigma factor SigG (RNA polymerase ECF type sigma factor)</t>
  </si>
  <si>
    <t>Rv0182c, (MTCI28.22c), len: 370 aa (start site uncertain; first of several possibles was chosen, but note that this overlaps the upstream ORF). Probable sigG, alternative RNA polymerase sigma subunit (see citations below), similar to many e.g. Q45585|SIGW_BACSU RNA polymerase sigma factor from Bacillus subtilis (187 aa). Also similar to nine other ECF sigma factors from Mycobacterium tuberculosis e.g. Rv1221, Rv0735, etc. Contains PS01063 Sigma-70 factors ECF subfamily signature and probable helix-turn helix motif from aa 205-226 (Score 1181, +3.21 SD). Belongs to the sigma-70 factor family, ECF subfamily.</t>
  </si>
  <si>
    <t>Possible lysophospholipase</t>
  </si>
  <si>
    <t>Rv0183, (MTCI28.23), len: 279 aa. Possible lysophospholipase, similar to several (especially eukaryotic enzymes, weaker with Escherichia coli), e.g. U67963|HSU67963_1 Human lysophospholipase homolog from Homo sapiens (313 aa), FASTA scores: opt: 569, E(): 2.6e-29, (37.1% identity in 259 aa overlap); P07000|PLDB_ECOLI lysophospholipase L2 from Escherichia coli (165 aa), FASTA scores: opt: 219, E(): 0.00012. Start changed based on similarity to AE001997_8 from Deinococcus radiodurans (282 aa), FASTA scores: opt: 510, E(): 1.4e-25, (34.8% identity in 282 aa overlap). Also shows some similarity to epoxide hydrolases from Mycobacterium tuberculosis e.g. Rv1938 FASTA score: (30.7% identity in 114 aa overlap); and O07214|YR15_MYCTU|Rv2715|MT2788|MTCY05A6.36 (341 aa).</t>
  </si>
  <si>
    <t>Rv0184, (MTCI28.24), len: 249 aa. Conserved hypothetical protein, equivalent to CAC32136.1|AL583926 conserved hypothetical protein from Mycobacterium leprae (249 aa); and C-terminus highly similar to CAB08793.1|Z95398 conserved hypothetical protein from Mycobacterium leprae (145 aa), FASTA scores: E(): 0, (75.2 identity in 145 aa overlap). Also similar to 049841|SCE9_39|T36358 hypothetical protein from Streptomyces coelicolor (418 aa), FASTA scores: opt: 231, E(): 8.1e-08, (30.4% identity in 270 aa overlap). A core mycobacterial gene; conserved in mycobacterial strains (See Marmiesse et al., 2004).</t>
  </si>
  <si>
    <t>Function unknown; probably involved in a cellular metabolism.</t>
  </si>
  <si>
    <t>Rv0185, (MTCI28.25a), len: 169 aa. Conserved hypothetical protein, equivalent to CAB08794.1|Z95398|MLCL622_2 from Mycobacterium leprae (168 aa), FASTA scores: opt: 861, E(): 0, (76.4% identity in 165 aa overlap). Contains PS00142 Neutral zinc metallopeptidases, zinc-binding region signature. A core mycobacterial gene; conserved in mycobacterial strains (See Marmiesse et al., 2004).</t>
  </si>
  <si>
    <t>Possibly involved in degradation [catalytic activity: hydrolysis of terminal, non-reducing beta-D-glucose residues with release of beta-D-glucose].</t>
  </si>
  <si>
    <t>Probable beta-glucosidase BglS (gentiobiase) (cellobiase) (beta-D-glucoside glucohydrolase)</t>
  </si>
  <si>
    <t>Rv0186, (MTCI28.25b), len: 691 aa. Probable bglS, beta-glucosidase, highly similar to many e.g. BGLS_AGRTU|P27034 beta-glucosidase from Agrobacterium tumefaciens (818 aa), FASTA scores: opt: 643, E(): 0, (32.5% identity in 842 aa overlap). Seems to belong to family 3 of glycosyl hydrolases.</t>
  </si>
  <si>
    <t>mymT</t>
  </si>
  <si>
    <t>Rv0186A</t>
  </si>
  <si>
    <t>Coordinates Cu(I) ions into a Cu(I)-thiolate core, protects cell from copper toxicity</t>
  </si>
  <si>
    <t>Metallothionein, MymT</t>
  </si>
  <si>
    <t>Rv0186A, len: 53 aa. MymT, metallothionein, equivalent to MAV_4993|A0QMH5 hypothetical protein from Mycobacterium avium (strain 104) (51 aa), and MAP_3626c|Q73TU2 hypothetical protein from Mycobacterium avium subsp. paratuberculosis (51 aa), FASTA scores: opt: 312, E(): 4.6e-17, (81.2% identity in 48 aa overlap).</t>
  </si>
  <si>
    <t>Thought to be involved in transfer of methyl group.</t>
  </si>
  <si>
    <t>Probable O-methyltransferase</t>
  </si>
  <si>
    <t>Rv0187, (MTCI28.26), len: 220 aa. Probable O-methyltransferase, similar to many e.g. AB93458.1|AL357591 putative O-methyltransferase from Streptomyces coelicolor (223 aa); MDMC_STRMY|Q00719 O-methyltransferase from Streptomyces mycarofaciens (221 aa), FASTA scores: opt: 327, E(): 2.4e-17, (35.9% identity in 192 aa overlap). Also similar to Rv1703c, Rv1220c from Mycobacterium tuberculosis.</t>
  </si>
  <si>
    <t>Rv0188, (MTCI28.27), len: 143 aa. Probable conserved transmembrane protein, similar to T35347|4835334|CAB42956.1|AL049863|SC5H1_31 probable membrane protein from Streptomyces coelicolor (147 aa), FASTA scores: opt: 326, E(): 6.5e-15, (36.2% identity in 141 aa overlap); N-terminus of P80185|MTRC_METTH tetrahydromethanopterin S-methyltransferase subunit C from Methanobacterium thermoautotrophicum strain Marburg/DSM 2133 (266 aa), FASTA scores: opt: 125, E(): 0.033, (31.6% identity in 98 aa overlap). Also similar to Rv3635 from Mycobacterium tuberculosis.</t>
  </si>
  <si>
    <t>Involved in valine and isoleucine biosynthesis (at the fourth step) [catalytic activity: 2,3-dihydroxy-3-methylbutanoate = 3-methyl-2- oxobutanoate + H(2)O].</t>
  </si>
  <si>
    <t>Probable dihydroxy-acid dehydratase IlvD (dad)</t>
  </si>
  <si>
    <t>Rv0189c, (MTCI28.28c), len: 575 aa. Probable ilvD, dihydroxy-acid dehydratase, similar to many e.g. ILVD_LACLA|Q02139 dihydroxy-acid dehydratase (dad) from Lactococcus lactis (subsp. lactis) (Streptococcus lactis) (570 aa), FASTA scores: opt: 1605, E(): 0, (46.0% identity in 561 aa overlap). Also similar to ML2608|MLCL622.06c|O06069|ILVD_MYCLE dihydroxy-acid dehydratase from Mycobacterium leprae (564 aa). Contains PS00886 Dihydroxy-acid and 6-phosphogluconate dehydratases signature 1. Belongs to the ILVD / EDD family. Cofactor: binds 1 4FE-4S cluster (potential).</t>
  </si>
  <si>
    <t>Rv0190, (MTCI28.29), len: 96 aa. Conserved protein, highly similar to several hypothetical proteins e.g. SYCSLRA_35|Q55554|SLL0176 hypothetical 18.9 kDa protein from Synechocystis (167 aa), FASTA scores: opt: 237, E(): 5.8e-16, (39.4% identity in 94 aa overlap). Also highly similar to Z95398|MLCL622_7|O06070 from Mycobacterium leprae (135 aa), FASTA score: (82.6% identity in 92 aa overlap). Also similar to hypothetical proteins from Mycobacterium tuberculosis e.g. Rv0967, Rv0030, Rv1766 (42.5% identity in 80 aa overlap).</t>
  </si>
  <si>
    <t>Unknown; possibly involved in transport of drug across the membrane.</t>
  </si>
  <si>
    <t>Rv0191, (MTCI28.30), len: 413 aa. Probable conserved integral membrane protein, member of major facilitator superfamily (MFS) possibly involved in transport of drug, similar to several hypothetical proteins e.g. YDEA_ECOLI|P31122 hypothetical 42.5 kd protein from Escherichia coli (396 aa), FASTA scores: opt: 475, E(): 4.2e-33, (29.7% identity in 381 aa overlap); and to several chloramphenicol resistance proteins e.g. CMLR_STRLI|P31141 chloramphenicol resistance protein from Streptomyces lividans (392 aa), FASTA scores: opt: 394, E(): 6.7e-12, (28.2% identity in 383 aa overlap). Also similar to SVU09991_1 from Mycobacterium tuberculosis.</t>
  </si>
  <si>
    <t>Rv0192, (MTCI28.31), len: 366 aa. Conserved hypothetical protein. Has Gly- Arg-rich region followed by highly Pro-rich repetitive region near N-terminus. Similar in C-terminus to other hypothetical proteins e.g. Q49706|B1496_F2_81|U00013 from Mycobacterium leprae (271 aa), FASTA scores: opt: 375, E(): 3.2e-24, (36.1% identity in 255 aa overlap); YV09_MYCTU|Q11149|cY20G9.09 hypothetical 47.9 kDa protein from Mycobacterium tuberculosis (451 aa), FASTA scores: opt: 330, E(): 3.2e-13, (35.1% identity in 271 aa overlap). Also similar to Rv0116c, Rv1433, Rv2518c, Rv0483 from Mycobacterium tuberculosis.</t>
  </si>
  <si>
    <t>Rv0192A</t>
  </si>
  <si>
    <t>Conserved secreted protein</t>
  </si>
  <si>
    <t>Rv0192A, len: 100 aa. Probable N-terminal part of Rv0192, which is member of family P5.17 with Rv0116c, Rv1433, Rv2518c, Rv0483. These are all predicted to be exported/membrane proteins. Rv0192A has typical N-terminal signal peptide which is functional and was identified by PhoA fusion screens: O52054 PGB14T-O1 precursor (fragment 45 AA) (see Chubb et al., 1998). Since Rv0192 misses a signal peptide this suggests that there is a frameshift in the region of the overlap with Rv0192 but none found on reinspection of sequence.</t>
  </si>
  <si>
    <t>Rv0193c, (MTV033.01c-MTCI28.32), len: 615 aa. Hypothetical unknown protein.</t>
  </si>
  <si>
    <t>Thought to be involved in active transport of drugs across the membrane (export): multidrug resistance by an export mechanism. Responsible for energy coupling to the transport system and for the translocation of the substrate across the membrane.</t>
  </si>
  <si>
    <t>Probable transmembrane multidrug efflux pump</t>
  </si>
  <si>
    <t>Rv0194, (MTV033.02), len: 1194 aa. Probable multidrug efflux pump (See Danilchanka et al., 2008), highly similar to many e.g. U62129|STU62129_2|T30293 ABC transport protein homolog from Salmonella typhi (1218 aa), FASTA scores: opt: 1116, E(): 0, (36.3% identity in 1209 aa overlap); CAB66302.1|AL136519 ABC transporter protein ATP-binding component from Streptomyces coelicolor (1243 aa); I84547 mdl protein from Escherichia coli (1143 aa); etc. Also similar to MTCY50_9 and MTCY50_10 from Mycobacterium tuberculosis, FASTA score: (33.8% identity in 574 aa overlap). Contains two PS00017 ATP/GTP-binding site motif A (P-loop) and one PS00211 ABC transporters family signature. Belongs to the ATP-binding transport protein family (ABC transporters). Alternative start possible at 1823 but no RBS.</t>
  </si>
  <si>
    <t>Possibly sensor part of a two component regulatory system.</t>
  </si>
  <si>
    <t>Possible two component transcriptional regulatory protein (probably LuxR-family)</t>
  </si>
  <si>
    <t>Rv0195, (MTV033.03), len: 211 aa. Possible two-component response regulator, luxR family, similar to many e.g. U00008|ECOHU49_15 regulatory protein narP from Escherichia coli strain K12 (225 aa), FASTA scores: opt: 232, E(): 7.3e-09, (29.2% identity in 219 aa overlap). Start chosen by similarity. Contains probable helix-turn-helix motif at aa 166-187 (Score 1164, +3.15 SD).</t>
  </si>
  <si>
    <t>Rv0196</t>
  </si>
  <si>
    <t>Rv0196, (MTV033.04), len: 194 aa. Possible transcriptional regulatory protein, similar to two Bacillus subtilis regulators: P42105|YXAF_BACSU hypothetical 21.0 kDa protein (191 aa), FASTA scores: opt: 323, E(): 2.1e-15, (30.9% identity in 181 aa overlap); and Z99105|BSUB0002_9 negative regulator of the lincomycin operon (188 aa), FASTA scores: opt: 255, E(): 1e-10, (25.9 identity in 185 aa overlap).</t>
  </si>
  <si>
    <t>Rv0197, (MTV033.05), len: 762 aa. Possible oxidoreductase, similar to others e.g. 9948789|AAG06102.1|AE004699_7|B83307 probable molybdopterin oxidoreductase from Pseudomonas aeruginosa strain PAO1 (769 aa); 5441785|CAB46809.1|AL096811|T36812 probable dehydrogenase from Streptomyces coelicolor (747 aa), FASTA scores: opt: 617, E(): 9.8e-30, (29.9% identity in 762 aa overlap); BAB04334.1|AP001509 assimilatory nitrate reductase (catalytic subunit) from Bacillus halodurans (743 aa); etc.</t>
  </si>
  <si>
    <t>zmp1</t>
  </si>
  <si>
    <t>Function unknown; hydrolyzes peptides and/or proteins.</t>
  </si>
  <si>
    <t>Probable zinc metalloprotease Zmp1</t>
  </si>
  <si>
    <t>Rv0198c, (MTV033.06c), len: 663 aa. Probable zmp1, zinc metalloprotease, equivalent to Z95398|MLCL622.12c from Mycobacterium leprae (667 aa), FASTA scores: opt: 3710, E(): 0, (80.8 % identity in 667 aa overlap). Also similar to many other metalloproteases e.g. members of the eukaryotic neprilysin family: P08473|NEP_HUMAN neprilysin (749 aa), FASTA scores: opt: 872, E(): 0, (31.1% identity in 692 aa overlap); Q07744|PEPO_LACLA neutral endopeptidase from Lactococcus lactis (626 aa), FASTA scores: opt: 862, E(): 0, (30.0% identity in 654 aa overlap). Contains PS00142 Neutral zinc metallopeptidases, zinc-binding region signature. Belongs to peptidase family M13 (zinc metalloprotease); also known as the neprilysin subfamily.</t>
  </si>
  <si>
    <t>Rv0199, (MTV033.07), len: 219 aa. Probable conserved membrane protein, equivalent to Z95398|MLCL622.13 from Mycobacterium leprae (224 aa), FASTA scores: opt: 920, E(): 0, (67.7% identity in 220 aa overlap). Also some similarity to Mce-associated membrane proteins from Mycobacterium tuberculosis e.g. Rv0178, Rv0175, etc. A core mycobacterial gene; conserved in mycobacterial strains (See Marmiesse et al., 2004).</t>
  </si>
  <si>
    <t>Rv0200, (MTV033.08), len: 229 aa. Possible conserved transmembrane protein, equivalent to Z95398|MLCL622.14 from Mycobacterium leprae (229 aa), FASTA scores: opt: 1147, E(): 0, (74.7% identity in 229 aa overlap). Also some similarity to Rv1973 from Mycobacterium tuberculosis (160 aa); and Rv1362c|Z75555|MTCY02B10_26 (220 aa), FASTA scores: opt: 134, E(): 0.063, (25.8% identity in 159 aa overlap). A core mycobacterial gene; conserved in mycobacterial strains (See Marmiesse et al., 2004).</t>
  </si>
  <si>
    <t>Rv0201c, (MTV033.09c), len: 167 aa. Conserved protein, equivalent to Z95398|MLCL622.15c from Mycobacterium leprae (170 aa), FASTA scores: opt: 646, E(): 0, (63.9% identity in 158 aa overlap). A core mycobacterial gene; conserved in mycobacterial strains (See Marmiesse et al., 2004).</t>
  </si>
  <si>
    <t>Unknown. Thought to be involved in fatty acid transport.</t>
  </si>
  <si>
    <t>Probable conserved transmembrane transport protein MmpL11</t>
  </si>
  <si>
    <t>Rv0202c, (MTV033.10c), len: 966 aa. Probable mmpL11, conserved transmembrane transport protein (see citation below), equivalent to Z95398|MLCL622.16c from Mycobacterium leprae (1014 aa), FASTA scores: opt: 4076, E(): 0, (72.8% identity in 1017 aa overlap). Member of RND superfamily, similar to several putative transport proteins e.g. P96687 from Bacillus subtilis (724 aa), FASTA scores: opt: 594, E(): 9.1e-29, (26.9% identity in 717 aa overlap); etc. Belongs to the MmpL family.</t>
  </si>
  <si>
    <t>Possible exported protein</t>
  </si>
  <si>
    <t>Rv0203, (MTV033.11), len: 136 aa. Possible exported protein (has hydrophobic stretch near N-terminus). Some similarity to part of U02459|LDU02459_1 hypothetical protein from Leishmania donovani (741 aa), FASTA score: opt: 111, E(): 9.1, (30.0% identity in 90 aa overlap).</t>
  </si>
  <si>
    <t>Rv0204c, (MTV033.12c), len: 412 aa. Probable conserved transmembrane protein (see citation below), equivalent, but has C-terminal extension, to Z95398|MLCL622.17c from Mycobacterium leprae (367 aa), FASTA scores: opt: 2002, E(): 0, (82.4% identity in 374 aa overlap). Some similarity to Rv0585c from Mycobacterium tuberculosis. Nucleotide position 242299 in the genome sequence has been corrected, C:G resulting in V306L.</t>
  </si>
  <si>
    <t>Rv0205, (MTV033.13), len: 367 aa. Possible conserved transmembrane protein, similar to hypothetical proteins from many bacteria e.g. AL0209|SC4H8_6 from Streptomyces coelicolor (402 aa), FASTA scores: opt: 436, E(): 1.7e-21, (27.2% identity in 349 aa overlap); Z99117|BSUB0014_221 from Bacillus subtilis (353 aa), FASTA scores: opt: 394, E(): 8.6e-19, (28.7% identity in 324 aa overla).</t>
  </si>
  <si>
    <t>Possible conserved transmembrane transport protein MmpL3</t>
  </si>
  <si>
    <t>Rv0206c, (MTV033.14c, MTCY08D5.01c), len: 944 aa. Possible mmpL3, conserved transmembrane transport protein (see Tekaia et al., 1999), equivalent to Z95398|MLCL622.18c from Mycobacterium leprae (955 aa), FASTA scores: opt: 806, E(): 1.8e-21, (57.2% identity in 243 aa overlap). Member of RND superfamily, similar to others. Belongs to the MmpL family.</t>
  </si>
  <si>
    <t>Rv0207c, (MTCY08D5.02c), len: 242 aa. Conserved hypothetical protein, equivalent to Z95398|MLCL622_19 from Mycobacterium leprae (261 aa), FASTA scores: E(): 0, (60.8 identity in 199 aa overlap). A core mycobacterial gene; conserved in mycobacterial strains (See Marmiesse et al., 2004).</t>
  </si>
  <si>
    <t>Causes methylation</t>
  </si>
  <si>
    <t>Hypothetical methlytransferase (methylase)</t>
  </si>
  <si>
    <t>Rv0208c, (MTCY08D5.03c), len: 263 aa. Hypothetical methyltransferase, equivalent to Z95398|MLCL622_20 from Mycobacterium leprae (279 aa), FASTA score: (64.2% identity in 246 aa overlaps). Also similar to others e.g. 10178368|CAC08407.1|AL392177|Q9F305|MT04_STRCO|SCD17A.03c hypothetical methlytransferase from Streptomyces coelicolor (271 aa). Could start at aa 7.</t>
  </si>
  <si>
    <t>Rv0209, (MTCY08D5.04), len: 361 aa. Hypothetical unknown protein.</t>
  </si>
  <si>
    <t>Rv0210, (MTCY08D5.05), len: 492 aa. Hypothetical unknown protein. Possibly membrane protein; has hydrophobic stretches around aa 333 - 381.</t>
  </si>
  <si>
    <t>Rate-limiting gluconeogenic enzyme [catalytic activity: GTP + oxaloacetate = GDP + phosphoenolpyruvate + CO2].</t>
  </si>
  <si>
    <t>Probable iron-regulated phosphoenolpyruvate carboxykinase [GTP] PckA (phosphoenolpyruvate carboxylase) (PEPCK)(pep carboxykinase)</t>
  </si>
  <si>
    <t>Rv0211, (MTCY08D5.06), len: 606 aa. Probable pckA (alternate gene names: pckG and pck1), iron-regulated phosphoenolpyruvate carboxykinase [GTP], equivalent to Z95398|MLCL622_21 probable phosphoenolpyruvate carboxykinase from Mycobacterium leprae (609 aa), FASTA score: (86.1% identity in 605 aa overlap). Also highly similar to others e.g. PPCK_NEOFR|P22130 phosphoenolpyruvate carboxykinase [GTP] (608 aa), FASTA scores: opt: 2287, E(): 0, (55.9% identity in 598 aa overlap). Contains PS00505 Phosphoenolpyruvate carboxykinase (GTP) signature. Belongs to the phosphoenolpyruvate carboxykinase [GTP] family.</t>
  </si>
  <si>
    <t>Possible transcriptional regulatory protein NadR (probably AsnC-family)</t>
  </si>
  <si>
    <t>Rv0212c, (MTCY08D5.07c), len: 323 aa. Possible nadR (alternate gene name: nadI), transcriptional regulator, similar to others e.g. NADR_ECOLI|P27278 transcriptional regulator from Escherichia coli (410 aa), FASTA scores: opt: 377, E (): 1e-17, (31.1% identity in 347 aa overlap). Contains PS00017 ATP/GTP-binding site motif A (P-loop).</t>
  </si>
  <si>
    <t>Possible methyltransferase (methylase)</t>
  </si>
  <si>
    <t>Rv0213c, (MTCY08D5.08c), len: 437 aa. Possible methyltransferase, weakly similar to others methyltransferases e.g. AF127374_30|LINA from Streptomyces lavendulae (611 aa), FASTA scores: opt: 400, E(): 8.1e-19, (27.3% identity in 388 aa overlap); Q50258 fortimicin kl1 methyltransferase (553 aa), FASTA scores: opt: 267, E(): 1.2e-13, (29.3% identity in 351 aa overlap).</t>
  </si>
  <si>
    <t>Probable fatty-acid-CoA ligase FadD4 (fatty-acid-CoA synthetase) (fatty-acid-CoA synthase)</t>
  </si>
  <si>
    <t>Rv0214, (MTCY08D5.09), len: 537 aa. Probable fadD4, fatty-acid-CoA synthetase, similar to many e.g. 4CL_PINTA|P41636 4-coumarate--CoA ligase (537 aa), FASTA scores: opt: 622, E(): 1e-31, (30.0% identity in 514 aa overlap). Also similar to others from Mycobacterium tuberculosis e.g. MTCY6A4.14 FASTA score: (30.7% identity in 501 aa overlap); MTCY493_27, MTCY07A7_11, MTCI28_6. Contains PS00455 putative AMP-binding domain signature.</t>
  </si>
  <si>
    <t>Probable acyl-CoA dehydrogenase FadE3</t>
  </si>
  <si>
    <t>Rv0215c, (MTCY08D5.10c), len: 357 aa. Probable fadE3, acyl- dehydrogenase, similar to many e.g. ACDB_BACSU|P45857 acyl-CoA dehydrogenase from B. subtilis (379 aa), FASTA scores: opt: 812, E(): 0, (39.5% identity in 354 aa overlap).</t>
  </si>
  <si>
    <t>Double hotdog hydratase</t>
  </si>
  <si>
    <t>Rv0216, (MTCY08D5.11), len: 337 aa. Double hotdog R-specific hydratase of unknown function, shows no activity for crotonyl-CoA, equivalent to Z95398|MLCL622_22 from Mycobacterium leprae (339 aa), FASTA scores: E(): 0, (73.7 identity in 338 aa overlap). Shows structural similarity to six others in Mycobacterium tuberculosis (see Castell et al (2005) below). A core mycobacterial gene; conserved in mycobacterial strains (See Marmiesse et al., 2004).</t>
  </si>
  <si>
    <t>Function unknown; lipolytic enzyme probably involved in cellular metabolism.</t>
  </si>
  <si>
    <t>Possible esterase LipW</t>
  </si>
  <si>
    <t>Rv0217c, (MTCY08D5.12c), len: 302 aa. Possible esterase, showing similarity with others e.g. EST_ACICA|P18773 esterase (303 aa), FASTA scores: opt: 320, E(): 3.2e-13, (29.2% identity in 274 aa overlap).</t>
  </si>
  <si>
    <t>Rv0218, (MTCY08D5.13), len: 442 aa. Probable conserved transmembrane protein, some similarity with sulfite oxidases e.g. SUOX_HUMAN|P51687 sulfite oxidase precursor (488 aa), FASTA scores: opt: 153, E(): 0.0087, (28.6% identity in 161 aa overlap); and with some nitrate reductases e.g. NIA_FUSOX|P39863 nitrate reductase (NADPH) (905 aa), FASTA scores: opt: 143, E(): 0.06, (29.3% identity in 92 aa overlap). Also similar to BSUB0017_86 from Mycobacterium tuberculosis.</t>
  </si>
  <si>
    <t>Rv0219</t>
  </si>
  <si>
    <t>Rv0219, (MTCY08D5.14), len: 182 aa. Probable conserved transmembrane protein, showing similarity with CAB76992.1|AL159178 putative lipoprotein from Streptomyces coelicolor (163 aa).</t>
  </si>
  <si>
    <t>Probable esterase LipC</t>
  </si>
  <si>
    <t>Rv0220, (MTCY08D5.15), len: 403 aa. Probable esterase, similar to others proteins and esterases from various organisms and Mycobacterium tuberculosis e.g. Q50681 (431 aa), FASTA scores: opt: 841, E(): 0, (38.2% identity in 408 aa overlap); Rv1426c, Rv1399c, etc. Contains PS00122 Carboxylesterases type-B serine active site.</t>
  </si>
  <si>
    <t>May be involved in synthesis of triacylglycerol</t>
  </si>
  <si>
    <t>Possible triacylglycerol synthase (diacylglycerol acyltransferase)</t>
  </si>
  <si>
    <t>Rv0221, (MTCY08D5.16), len: 469 aa. Possible triacylglycerol synthase (See Daniel et al., 2004), similar to other proteins from Mycobacterium tuberculosis e.g. Q50680|Rv2285|MT2343|MTCY339.25c 47.7 kDa protein (445 aa), FASTA scores: opt: 455, E(): 8.1e-23, (26.7% identity in 461 aa overlap); Rv3740c, Rv3734c, etc.</t>
  </si>
  <si>
    <t>echA1</t>
  </si>
  <si>
    <t>Rv0222</t>
  </si>
  <si>
    <t>Could possibly oxidize fatty acids using specific components [catalytic activity: (3S)-3-hydroxyacyl-CoA = trans-2(or 3)-enoyl-CoA + H(2)O].</t>
  </si>
  <si>
    <t>Probable enoyl-CoA hydratase EchA1 (enoyl hydrase) (unsaturated acyl-CoA hydratase) (crotonase)</t>
  </si>
  <si>
    <t>Rv0222, (MTCY08D5.17), len: 262 aa. Probable echA1, enoyl-CoA hydratase, similar to others e.g. AAC77915.1|AF063588 enoyl CoA hydratase from Rhodococcus fascians (275 aa); etc.</t>
  </si>
  <si>
    <t>Thought to oxidize a wide variety of aliphatic and aromatic aldehydes.</t>
  </si>
  <si>
    <t>Probable aldehyde dehydrogenase</t>
  </si>
  <si>
    <t>Rv0223c, (MTCY08D5.18), len: 487 aa. Probable aldehyde dehydrogenase, similar to others e.g. A75608|6460525|AAF12231.1|AE001862_57 aldehyde dehydrogenase from Deinococcus radiodurans strain R1 (495 aa); Q47943 L-sorbosone dehydrogenase NAD(P) dependent from Gluconobacter oxydans (498 aa), FASTA scores: opt: 1157, E (): 0, (42.1% identity in 482 aa overlap); etc. Also similar to Rv0768, Rv2858c, etc from Mycobacterium tuberculosis. Contains PS00687 Aldehyde dehydrogenases glutamic acid active site; and PS00070 Aldehyde dehydrogenases cysteine active site. Belongs to the aldehyde dehydrogenases family.</t>
  </si>
  <si>
    <t>Rv0224c, (MTCY08D5.19c), len: 254 aa. Possible methyltransferase, showing weak similarity with other methyltransferases e.g. P74388 sterol-C-methyltransferase (318 aa), FASTA scores: opt: 190, E(): 3.6e-05, (33.3% identity in 114 aa overlap). Equivalent to AL022486|MLCB1883_1 from Mycobacterium leprae (269 aa), FASTA scores: opt: 1456, E(): 0, (82.9% identity in 252 aa overlap). Also some similarity with MTCY21B4.22c from Mycobacterium tuberculosis FASTA score: (30.1% identity in 136 aa overlap).</t>
  </si>
  <si>
    <t>Possibly involved in LPS biosynthesis.</t>
  </si>
  <si>
    <t>Possible conserved protein</t>
  </si>
  <si>
    <t>Rv0225, (MTCY08D5.20), len: 384 aa. Possible conserved protein involved in LPS biosynthesis, similar to O26275 LPS biosynthesis RFBU related protein (382 aa), FASTA scores: opt: 426, E(): 1.2e-20, (28.2% identity in 394 aa overlap). Some similarity with Rv3032 from Mycobacterium tuberculosis FASTA score: (31.6% identity in 228 aa overlap). Predicted to be an outer membrane protein (See Song et al., 2008).</t>
  </si>
  <si>
    <t>Rv0226c, (MTCY08D5.21c), len: 576 aa. Probable conserved transmembrane protein, equivalent, except in N-terminal part, to AC32114.1|AL583926 conserved membrane protein from Mycobacterium leprae (600 aa), FASTA scores: opt: 2086, E(): 0, (70.3% identity in 579 aa overlap). Also similar to AL021411|SC7H1_20 from Streptomyces coelicolor (483 aa), FASTA scores: opt: 180, E(): 0.00028, (26.5 identity in 388 aa overlap). A core mycobacterial gene; conserved in mycobacterial strains (See Marmiesse et al., 2004).</t>
  </si>
  <si>
    <t>Rv0227c, (MTCY08D5.22c), len: 421 aa. Possible conserved membrane protein, equivalent to AL022486|MLCB1883_4 from Mycobacterium leprae (448 aa), FASTA scores: opt: 2148, E(): 0, (76.6% identity in 423 aa overlap). A core mycobacterial gene; conserved in mycobacterial strains (See Marmiesse et al., 2004).</t>
  </si>
  <si>
    <t>Probable integral membrane acyltransferase</t>
  </si>
  <si>
    <t>Rv0228, (MTCY08D5.23), len: 407 aa. Probable integral membrane acyltransferase, equivalent to 3063875|CAA18555.1|AL022486|T44870 acyltransferase from Mycobacterium leprae (384 aa), FASTA scores: opt: 2004, E(): 0, (79.3% identity in 381 aa overlap). Also similar to others e.g. Q11064 probable acyltransferase CY50.28C (383 aa), FASTA scores: opt: 372, E(): 2.6e-16, (35.9% identity in 359 aa overlap); Q00718|MDMB_STRMY acyltransferase. Very similar to Rv0111, Rv1254, etc from Mycobacterium tuberculosis.</t>
  </si>
  <si>
    <t>Possible conserved membrane protein with PIN domain</t>
  </si>
  <si>
    <t>Rv0229c, (MTCY08D5.24c), len: 226 aa. Possible conserved membrane protein with PIN domain in C-terminal half, similar to several others from Mycobacterium tuberculosis. Has some similarity with Rv2757c|D70880 from Mycobacterium tuberculosis (138 aa). (See Arcus et al., 2005). FASTA scores: E(): 1e-15, (45.3% identity in 137 aa overlap), and Rv0301, Rv2546, etc. Also some similarity with Q48177 virulence associated protein C (132 aa), FASTA scores: opt: 101, E(): 0.6, (24.3% identity in 136 aa overlap). Contains PS00626 Regulator of chromosome condensation (RCC1) signature 2.</t>
  </si>
  <si>
    <t>Enzymatic activity unknown [catalytic activity: aryl dialkyl phosphate + H2O = dialkyl phosphate + an aryl alcohol].</t>
  </si>
  <si>
    <t>Probable phosphotriesterase Php (parathion hydrolase) (PTE) (aryldialkylphosphatase) (paraoxonase) (a-esterase) (aryltriphosphatase) (paraoxon hydrolase)</t>
  </si>
  <si>
    <t>Rv0230c, (MTCY08D5.26c), len: 326 aa. Probable php, phosphotriesterase, similar to others e.g. AAK42653.1|AE006849 putative aryldialkylphosphatase (phosphotriesterase) (paraoxonase) from Sulfolobus solfataricus (314 aa); PHP_ECOLI|P45548 phosphotriesterase homology protein from Escherichia coli (292 aa), FASTA scores: opt: 408, E(): 7.1e-20, (31.1% identity in 305 aa overlap); OPD_FLASP|P16648 parathion hydrolase precursor (365 aa), FASTA scores: opt: 319, E(): 5.1e-14, (34.5% identity in 333 aa overlap); etc. Belongs to the phosphotriesterase family. Cofactor: contains 2 moles of zinc per subunit.</t>
  </si>
  <si>
    <t>Probable acyl-CoA dehydrogenase FadE4</t>
  </si>
  <si>
    <t>Rv0231, (MTCY08D5.27), len: 568 aa. Probable fadE4, acyl-CoA dehydrogenase, similar to many e.g. O29752 acyl-CoA dehydrogenase (ACD-3) from Archaeoglobus fulgidus (576 aa), FASTA scores: opt: 1788, E(): 0, (51.0% identity in 577 aa overlap); ACDB_BACSU|P45857 acyl-CoA dehydrogenase from Bacillus subtilis (379 aa), FASTA scores: opt: 232, E(): 2.2e- 08, (21.6% identity in 291 aa overlap).</t>
  </si>
  <si>
    <t>Probable transcriptional regulatory protein (probably TetR/AcrR-family)</t>
  </si>
  <si>
    <t>Rv0232, (MTCY08D5.28), len: 229 aa. Probable transcriptional regulatory protein, TetR/AcrR family, similar to others e.g. YIXD_BACSU|P32398 hypothetical transcriptional regulator (191 aa), FASTA scores: opt: 149, E(): 0.0014, (21.5% identity in 158 aa overlap). Also similar to MTV030_11 from Mycobacterium tuberculosis. Contains PS01081 Bacterial regulatory proteins, TetR family signature, and probable helix-turn helix motif from aa 33-54 (Score 1142, +3.08 SD). Belongs to the TetR/AcrR family of transcriptional regulators.</t>
  </si>
  <si>
    <t>Involved in the DNA replication pathway (first reaction). Provides the precursors necessary for DNA synthesis [catalytic activity: 2'-deoxyribonucleoside diphosphate + oxidized thioredoxin + H2O = ribonucleoside diphosphate + reduced thioredoxin].</t>
  </si>
  <si>
    <t>Ribonucleoside-diphosphate reductase (beta chain) NrdB (ribonucleotide reductase small chain)</t>
  </si>
  <si>
    <t>Rv0233, (MTCY08D5.29), len: 314 aa. nrdB (alternate gene name: rnrS) ribonucleoside-diphosphate reductase, beta chain, similar to others e.g. RIR2_SCHPO|P36603 ribonucleoside-diphosphate reductase (391 aa), FASTA scores: opt: 168, E(): 0.00018, (26.1% identity in 199 aa overlap); etc. Belongs to the ribonucleoside diphosphate reductase small chain family. Cofactor: iron, manganese</t>
  </si>
  <si>
    <t>Involved in 4-aminobutyrate (GABA) degradation pathway [catalytic activity: succinate semialdehyde + NAD(P)(+) + H(2)O = succinate + NAD(P)H].</t>
  </si>
  <si>
    <t>Succinate-semialdehyde dehydrogenase [NADP+] dependent (SSDH) GabD1</t>
  </si>
  <si>
    <t>Rv0234c, (MTCY08D5.30c), len: 511 aa. gabD1, succinate-semialdehyde dehydrogenase [NADP+] dependent, equivalent to AL022486|MLCB1883_6 probable aldehyde dehydrogenase from Mycobacterium leprae (457 aa), FASTA scores: opt: 2617, E(): 0, (85.7% identity in 455 aa overlap). Also highly similar to Q55585|GABD|SLR0370 probable succinate-semialdehyde dehydrogenase from Synechocystis sp. strain PCC 6803 (454 aa), FASTA scores: opt: 1676, E(): 0, (55.8% identity in 455 aa overlap); and similar to others e.g. GABD_ECOLI|P25526 succinate-semialdehyde dehydrogenase from Escherichia coli (482 aa), FASTA scores: opt: 929, E(): 0, (36.5% identity in 452 aa overlap); etc. Note that similar to other cytosolic aldehyde dehydrogenases with EC number: 1.2.1.3. Also similar to Rv0768|aldA semialdehyde dehydrogenase from Mycobacterium tuberculosis (489 aa); and gabD2|Rv1731|MTCY04C12.16 possible succinate-semialdehyde dehydrogenase [NADP+] dependent from Mycobacterium tuberculosis (518 aa). Contains PS00070 aldehyde dehydrogenases cysteine active site. Belongs to the aldehyde dehydrogenases family. Could start at different site by homology. Note that previously known as gabD2.</t>
  </si>
  <si>
    <t>Rv0235c, (MTCY08D5.31c), len: 482 aa. Probable conserved transmembrane protein, highly similar to AL133278|CAB61913.1|SCM11_2 putative integral membrane protein from Streptomyces coelicolor (470 aa), FASTA scores: opt: 2116, E(): 0, (61.8% identity in 474 aa overlap); and similar to hypothetical proteins from other organisms e.g. Q13392|384D8_7 hypothetical protein (579 aa), FASTA scores: opt: 355, E(): 6.9e-17, (28.5% identity in 569 aa overlap).</t>
  </si>
  <si>
    <t>Small secreted protein</t>
  </si>
  <si>
    <t>Rv0236A, len: 57 aa. Small secreted protein. A core mycobacterial gene; conserved in mycobacterial strains (See Marmiesse et al., 2004).</t>
  </si>
  <si>
    <t>aftD</t>
  </si>
  <si>
    <t>Involved in the biosynthesis of the mycobacterial cell wall arabinan</t>
  </si>
  <si>
    <t>Possible arabinofuranosyltransferase AftD</t>
  </si>
  <si>
    <t>Rv0236c, (MTV034.01c, MTV034.02c, MTCY08D5.32c), len: 1400 aa. Possible aftD, arabinofuranosyltransferase (See Skovierova et al., 2009). Predicted to be in the GT-C superfamily of glycosyltransferases (See Liu and Mushegian, 2003). Probable conserved transmembrane protein, equivalent to AL022486|CAC32102.1|MLCB1883_7 possible integral membrane protein from Mycobacterium leprae (1440 aa), FASTA scores: opt: 7491, E(): 0, (78.8% identity in 1397 aa overlap). A core mycobacterial gene; conserved in mycobacterial strains (See Marmiesse et al., 2004).</t>
  </si>
  <si>
    <t>Probable conserved lipoprotein LpqI</t>
  </si>
  <si>
    <t>Rv0237, (MTV034.03), len: 388 aa. Probable lpQI, conserved lipoprotein, equivalent to AL022486|MLCB1883_8|T44873 probable secreted hydrolase from Mycobacterium leprae (387 aa), FASTA scores: opt: 1831, E(): 0, (73.3% identity in 390 aa overlap). Also similar to other lipoproteins and various hydrolases e.g. P40406|2126897|YBBD_BACSU|I39839 hypothetical 70.6 KDA lipoprotein from Bacillus subtilis (642 aa); P48823|HEXA_ALTSO beta-hexosaminidase a precursor from alteromonas SP. (598 aa), FASTA scores: opt: 415, E(): 5.8e-17, (31.2% identity in 343 aa overlap); PCC6803|P74340 beta-glucosidase from Synechocystis sp. (538 aa), FASTA scores: opt: 414, E(): 6.1e-17, (30.6 identity in 320 aa overlap). Contains signal sequence and appropriately positioned PS00013 Prokaryotic membrane lipoprotein lipid attachment site.</t>
  </si>
  <si>
    <t>Possible transcriptional regulatory protein (probably TetR-family)</t>
  </si>
  <si>
    <t>Rv0238, (MTV034.04), len: 204 aa. Possible transcriptional regulatory protein, TetR family, equivalent to AL022486|MLCB1883_9|T44874 probable transcription regulator from Mycobacterium leprae (208 aa), FASTA scores: opt: 1029, E(): 0, (80.9% identity in 199 aa overlap). Also similar to others e.g. CAB77290.1|AL160312 putative TetR-family regulatory protein from Streptomyces coelicolor (240 aa). Also similar to Mycobacterium tuberculosis proteins Z95120|Rv3208 (228 aa), FASTA scores: opt: 266, E(): 8.3e-12, (28.1% identity in 196 aa overlap); and Rv1019 (197 aa).</t>
  </si>
  <si>
    <t>vapB24</t>
  </si>
  <si>
    <t>Possible antitoxin VapB24</t>
  </si>
  <si>
    <t>Rv0239, (MTV034.05), len: 77 aa. Possible vapB24, antitoxin, part of toxin-antitoxin (TA) operon with Rv0240. Weakly similar to others e.g. Rv1839c|Z83859|MTCY359_34 from Mycobacterium tuberculosis (87 aa). See Arcus et al. 2005. FASTA scores: opt: 88, E(): 5, (40.0% identity in 45 aa overlap).</t>
  </si>
  <si>
    <t>vapC24</t>
  </si>
  <si>
    <t>Possible toxin VapC24. Contains PIN domain.</t>
  </si>
  <si>
    <t>Rv0240, (MTV034.06), len: 145 aa. Possible vapC24, toxin, part of toxin-antitoxin (TA) operon with Rv0239, contains PIN domain, weak similarity with Rv3697c from Mycobacterium tuberculosis (145 aa). See Arcus et al. 2005. FASTA scores: opt: 145, E(): 7.6e-05, (28.0% identity in 143 aa overlap).</t>
  </si>
  <si>
    <t>htdX</t>
  </si>
  <si>
    <t>Involved in fatty acid synthesis type II (fas-II)</t>
  </si>
  <si>
    <t>Probable 3-hydroxyacyl-thioester dehydratase HtdX</t>
  </si>
  <si>
    <t>Rv0241c, (MTV034.07c), len: 280 aa. Probable htdX, 3-hydroxyacyl-thioester dehydratase (See Gurvitz et al., 2009), highly similar to MLCB1883.17c|T44876063881|CAA18566.1|AL022486 hypothetical protein from Mycobacterium leprae (280 aa), FASTA scores: opt: 1564, E(): 0, (81.8% identity in 280 aa overlap); and CAC32097.1|AL583926 conserved hypothetical protein from Mycobacterium leprae (300 aa). Shows structural similarity to six others in Mycobacterium tuberculosis (see Castell et al (2005) below). Also similar to proteins from other organisms e.g. CAB77291.1|AL160312 putative dehydratase from Streptomyces coelicolor (291 aa); part of BAA92930.1|AB032743 fatty acid synthetase beta subunit from Pichia angusta (2060 aa). Predicted to be an outer membrane protein (See Song et al., 2008).</t>
  </si>
  <si>
    <t>fabG4</t>
  </si>
  <si>
    <t>Involved in the fatty acid biosynthesis pathway (first reduction step) [catalytic activity: (3R)-3-hydroxyacyl-[acyl-carrier protein] + NADP+ = 3-oxoacyl-[acyl-carrier protein] + NADPH].</t>
  </si>
  <si>
    <t>Probable 3-oxoacyl-[acyl-carrier protein] reductase FabG4 (3-ketoacyl-acyl carrier protein reductase)</t>
  </si>
  <si>
    <t>Rv0242c, (MTV034.08c), len: 454 aa. Probable fabG4, 3-oxoacyl-[acyl-carrier protein] reductase, equivalent to 3063883|CAA18568.1|AL022486|MLCB1883_13|T44878 3-oxoacyl-[acyl-carrier protein] reductase homolog from Mycobacterium leprae (454 aa), FASTA scores: opt: 2486, E(): 0, (84.8% identity in 454 aa overlap). C-terminal part highly similar to many FabG proteins e.g. U39441|VHU3944 1_2 from Vibrio harveyi (244 aa), FASTA scores: opt: 562, E(): 3.4e-28, (40.2% identity in 241 aa overlap); U91631|PAU91631_3 from Pseudomonas aeruginosa (247 aa), FASTA scores: opt: 584, E(): 1.5e-29, (44.4% identity in 241 aa overlap). Has N-terminal extension of ~200 aa and C-terminal part contains PS00061 Short-chain dehydrogenases/reductases family signature. Belongs to the short-chain dehydrogenases/reductases (SDR) family.</t>
  </si>
  <si>
    <t>Function unknown, but involved in lipid degradation [catalytic activity: acyl-CoA + acetyl-CoA = CoA + 3-oxoacyl-CoA].</t>
  </si>
  <si>
    <t>Probable acetyl-CoA acyltransferase FadA2 (3-ketoacyl-CoA thiolase) (beta-ketothiolase)</t>
  </si>
  <si>
    <t>Rv0243, (MTV034.09), len: 440 aa. Probable fadA2, acetyl-CoA acyltransferase (3-acyl-CoA thiolase), equivalent, but shorter 17 aa, to AL022486|MLCB1883_14T44879 acetyltransferase from Mycobacterium leprae (457 aa), FASTA scores: opt: 250 7, E(): 0, (87.6% identity in 435 aa overlap). Also highly similar to many e.g. G83046|PA478 probable acyl-CoA thiolase from Pseudomonas aeruginosa (425 aa); AB77293.1|AL160312 putative ketoacyl CoA thiolase from Streptomyces coelicolor (428 aa); P76503|7449731|YFCY_ECOLI|D65007|B2342 probable 3-ketoacyl-CoA thiolase (acetyl-CoA acyltransferase) (beta-ketothiolase) from Escherichia coli strain K-12 (436 aa), FASTA scores: opt: 914, E(): 0, (38.2% identity in 434 aa overlap); P55084|ECHB_HUMAN mitochondrial trifunctonal enzyme (474 aa), FASTA scores: opt: 881, E(): 0, (37.7 identity in 451 aa overlap). Contains PS00099 Thiolases active site. Belongs to the thiolase family.</t>
  </si>
  <si>
    <t>Probable acyl-CoA dehydrogenase FadE5</t>
  </si>
  <si>
    <t>Rv0244c, (MTV034.10c), len: 611 aa. Probable fadE5, acyl-CoA dehydrogenase, equivalent to AL022486|MLCB1883_15 from Mycobacterium leprae (611 aa), FASTA scores: opt: 3598, E(): 0, (89.4% identity in 611 aa overlap). Also highly similar to AL0211|MTV007.14 from Mycobacterium tuberculosis (609 aa), FASTA scores: opt: 2576, E(): 0, (64.6% identity in 611 aa overlap); and to various other bacterial proteins described as putative acyl-CoA dehydrogenases e.g. AE0010|AE001025_6 from Archaeoglobus fulgidus (387 aa), FASTA scores: opt: 229, E(): 6.8e-08, (29.8% identity in 409 aa overlap); etc.</t>
  </si>
  <si>
    <t>Rv0245, (MTV034.11), len: 162 aa. Possible oxidoreductase, equivalent to AL022486|MLCB1883_17|T44882 probable oxidoreductase from Mycobacterium leprae (162 aa), FASTA scores: opt: 860, E(): 0, (83.4% identity in 157 aa overlap). Also similar to several hypothetical proteins and various oxidoreductases e.g. AAK24246.1|AE005898 NADH:riboflavin 5'-phosphate oxidoreductase from Caulobacter crescentus (174 aa); Q02058|DIM6_STRCO|CAA45048.1 actinorhodin polyketide dimerase from streptomyces coelicolor (177 aa), FASTA scores: opt: 308, E(): 3. 2e-15, (37.8% identity in 143 aa overlap). Also similar to Z84498|Rv1939|MTCY09F9.25c from Mycobacterium tuberculosis (171 aa), FASTA scores: opt: 517, E(): 3.5e-30, (49.4% identity in 158 aa overlap).</t>
  </si>
  <si>
    <t>Rv0246, (MTV034.12), len: 436 aa (start uncertain). Probable conserved integral membrane protein, similar to Rv2209|1237062|CAA94252.1|Z70283|Q10398|YM09_MYCTU from Mycobacterium tuberculosis (512 aa), FASTA scores: opt: 712, E(): 0, (33.2% identity in 422 aa overlap).</t>
  </si>
  <si>
    <t>Involved in interconversion of fumarate and succinate (aerobic respiration) [catalytic activity: succinate + acceptor = fumarate + reduced acceptor].</t>
  </si>
  <si>
    <t>Probable succinate dehydrogenase [iron-sulfur subunit] (succinic dehydrogenase)</t>
  </si>
  <si>
    <t>Rv0247c, (MTV034.13c), len: 248 aa. Probable succinate dehydrogenase, iron-sulfur subunit, highly similar to CAC44313.1|AL596043 putative succinate dehydrogenase iron-sulfur subunit from Streptomyces coelicolor (259 aa); and similar to iron-sulphur protein subunits of fumarate reductase or succinate dehydrogenases from many bacteria e.g. NP_147618.1|7521083|B72691 fumarate reductase iron-sulfur protein from Aeropyrum pernix (305 aa); NP_069516.1|2649932|AAB90556.1|AE001057 succinate dehydrogenase iron-sulfur subunit B (sdhB) from Archaeoglobus fulgidus (236 aa); etc. Also similar to Q10761|FRDB_MYCTU|7431693|F70762 fumarate reductase iron-sulfur protein from Mycobacterium tuberculosis (247 aa), FASTA scores: opt: 358, E():1e-16, (31.3% identity in 214 aa overlap). Contains PS00197 2Fe-2S ferredoxins, iron-sulfur binding region signature. Note that succinate dehydrogenase forms generally part of an enzyme complex containing four subunits: a flavoprotein (Rv0248c ?), an iron-sulfur (Rv0247c ?), and two hydrophobic anchor proteins (Rv0249c ?).</t>
  </si>
  <si>
    <t>Rv0248c, (MTV034.14c), len: 646 aa. Probable succinate dehydrogenase, flavoprotein subunit, highly similar to flavoprotein subunit of various succinate dehydrogenases e.g. M88696|RIRSDHA_1 flavoprotein from Rickettsia prowazekii (596 aa), FASTA scores: opt: 651, E(): 0, (34.6 % identity in 598 aa overlap). Also similar to truncated U00022_17 flavoprotein from Mycobacterium leprae (401 aa), FASTA scores: opt: 677, E(): 0, (39.0% identity in 423 aa overlap). Note that succinate dehydrogenase forms generally part of an enzyme complex containing four subunits: a flavoprotein (Rv0248c ?), an iron-sulfur (Rv0247c ?), and two hydrophobic anchor proteins (Rv0249c ?).</t>
  </si>
  <si>
    <t>Could be involved in interconversion of fumarate and succinate (aerobic respiration). This hydrophobic component may be required to anchor the catalytic components of the succinate dehydrogenase complex to the cytoplasmic membrane.</t>
  </si>
  <si>
    <t>Probable succinate dehydrogenase [membrane anchor subunit] (succinic dehydrogenase)</t>
  </si>
  <si>
    <t>Rv0249c, (MTV034.15c), len: 273 aa. Probable succinate dehydrogenase, membrane-anchor subunit for succinate dehydrogenase encoded by Rv0247c and Rv0248c. Highly similar to AC44315.1|AL596043 putative integral membrane protein from Streptomyces coelicolor (278 aa). Note that succinate dehydrogenase forms generally part of an enzyme complex containing four subunits: a flavoprotein (Rv0248c ?), an iron-sulfur (Rv0247c ?), and two hydrophobic anchor proteins (Rv0249c ?).</t>
  </si>
  <si>
    <t>Function unknown. Possibly down-regulated by HSPR|Rv0353.</t>
  </si>
  <si>
    <t>Rv0250c, (MTV034.16c), len: 97 aa. Conserved protein, equivalent to MLCB1883.27c|T44883|3063888|CAA18576.1|AL022486 hypothetical protein from Mycobacterium leprae (98 aa), FASTA scores: opt: 478, E(): 4.4e-28, (72.6% identity in 95 aa overlap). Also similar to C-terminus of AC44316.1|AL596043|SCBAC31E11.05c hypothetical protein from Streptomyces coelicolor (146 aa). A core mycobacterial gene; conserved in mycobacterial strains (See Marmiesse et al., 2004).</t>
  </si>
  <si>
    <t>Thought to be involved in the initiation step of translation at high temperature. Bound to 30S ribosomal subunit. Possibly a molecular chaperone. Seems to be regulated positively by SIGE|Rv1221 and negatively by HSPR|Rv0353.</t>
  </si>
  <si>
    <t>Heat shock protein Hsp (heat-stress-induced ribosome-binding protein A)</t>
  </si>
  <si>
    <t>Rv0251c, (MTV034.17c), len: 159 aa. Hsp (alternate gene name: hsp20, hrpA, acr2), heat-stress-induced ribosome-binding protein A (see citations below). Highly similar to AAD39038.1|AF072875_1|AF072875 putative HSP20 from Mycobacterium smegmatis (145 aa), FASTA scores: opt: 479, E(): 2.3e-24, (59.9% identity in 157 aa overlap); and similar to many bacterial and eukaryotic hsp proteins e.g. P12811|HS2C_CHLRE chloroplast heat shock 22KD protein from chlamydomonas reinhardtii (157 aa), FASTA scores: opt: 184, E(): 1.2e-05, (32.4% identity in 142 aa overlap). Also similar to PCC6803 Spore protein sp21 from Synechocystis sp. (146 aa), FASTA scores: opt: 213, E(): 1.2e-07, (30.3 identity in 145 aa overlap). Also similar to P30223|14KD_MYCTU 14 KDA antigen (16 KDA antigen) 19K major membrane protein (HSP 16.3) from Mycobacterium tuberculosis (144 aa). Belongs to the small heat shock protein (HSP20) family.</t>
  </si>
  <si>
    <t>Involved in nitrate assimilation (denitrification) (at the second step). This enzyme is a FAD flavoprotein that also contains a siroheme and one 2FE-2S iron-sulfur center [catalytic activity: 3 NAD(P)H + nitrite = 3 NAD(P)+ + NH4OH + H2O.]</t>
  </si>
  <si>
    <t>Probable nitrite reductase [NAD(P)H] large subunit [FAD flavoprotein] NirB</t>
  </si>
  <si>
    <t>Rv0252, (MTV034.18), len: 853 aa. Probable nirB (alternate gene name: nasB), nitrite reductase [NAD(P)H] large subunit, flavoprotein containing siroheme and a 2FE-2S iron-sulfur centre. Highly similar to many others bacterial enzymes e.g. P08201|NIRB_ECOLI nitrite reductase (NAD(P)H) large subunit from Escherichia coli strain K12 (847 aa), FASTA scores: opt: 2775, E(): 0, (49.8% identity in 840 aa overlap); Q06458|NIRB_KLEPN nitrite reductase (NAD(P)H) large subunit (957 aa), FASTA scores: opt: 2902, E(): 0, (54.2% identity in 827 aa overlap). Contains PS00365 Nitrite and sulfite reductases iron-sulfur/siroheme-binding site. Homodimer which associates with NIRD|Rv0253. Cofactors: FAD; Iron; Siroheme.</t>
  </si>
  <si>
    <t>nirD</t>
  </si>
  <si>
    <t>Rv0253</t>
  </si>
  <si>
    <t>Involved in nitrate assimilation (denitrification); required for activity of the reductase [catalytic activity: 3 NAD(P)H + nitrite = 3 NAD(P)+ + NH4OH + H2O.]</t>
  </si>
  <si>
    <t>Probable nitrite reductase [NAD(P)H] small subunit NirD</t>
  </si>
  <si>
    <t>Rv0253, (MTV034.19), len: 118 aa. Probable nirD, nitrite reductase [NAD(P)H] small subunit, similar to others e.g. P23675|NIRD_ECOLI|B3366|Z4727|ECS4217 from Escherichia coli strains K12 and O157:H7 (108 aa), FASTA scores: opt: 271, E():1.7e-12, (41.9% identity in 105 aa overlap). Associates with NIRB|Rv0252.</t>
  </si>
  <si>
    <t>Involved in cobalamin biosynthesis.</t>
  </si>
  <si>
    <t>Probable bifunctional cobalamin biosynthesis protein CobU: cobinamide kinase + cobinamide phosphate guanylyltransferase</t>
  </si>
  <si>
    <t>Rv0254c, (MTV034.20), len: 174 aa. Probable cobU, cobalamin biosynthesis protein including a cobinamide kinase and cobinamide phosphate guanylyltransferase. Highly similar to many e.g. Q05599|COBU_SALTY cobinamide kinase / cobinamide phosphate guanylyltransferase from Salmonella typhimurium (181 aa), FASTA scores: opt: 308, E(): 1.1e-14, (38.7% identity in 181 aa overlap); P46886|COBU_ECOLI|B1993|Z3153|ECS2788 Bifunctional cobalamin biosynthesis protein cobU from Escherichia coli strains K12 and O157:H7 (181 aa); part of AL096872|SC5F7_10 from Streptomyces coelicolor (397 aa), FASTA scores: opt: 445, E(): 3.6e-23, (46.0% identity in 176 aa overlap); etc. Contains PS00017 ATP/GTP-binding site motif A (P-loop).</t>
  </si>
  <si>
    <t>Involved in cobalamin biosynthesis</t>
  </si>
  <si>
    <t>Probable cobyric acid synthase CobQ1</t>
  </si>
  <si>
    <t>Rv0255c, (MTV034.21c), len: 494 aa. Probable cobQ1, cobyric acid synthase, similar to many e.g. Z46611|RCBLUGNS_8 cobyric acid synthase from R.capsulatus (483 aa), FASTA scores: opt: 1239, E(): 0, (47.1% identity in 493 aa overlap); P29932|COBQ_PSEDE cobyric acid synthase from Pseudomonas denitrificans (484 aa), FASTA scores: opt: 1168, E():0, (44.9% identity in 490 aa overlap); etc. Belongs to the COBB/COBQ family, COBQ subfamily. Note that previously known as cobQ.</t>
  </si>
  <si>
    <t>PPE family protein PPE2</t>
  </si>
  <si>
    <t>Rv0256c, (MTV034.22c), len: 556 aa. PPE2, Member of the M. tuberculosis PPE family, similar to many e.g. Rv0280, Rv0286, etc. Equivalent to Z98756|MLCB2492.30 from Mycobacterium leprae (572 aa), FASTA scores: opt: 1837, E(): 0, (62.9% identity in 461 aa overlap). A core mycobacterial gene; conserved in mycobacterial strains (See Marmiesse et al., 2004).</t>
  </si>
  <si>
    <t>Rv0257</t>
  </si>
  <si>
    <t>Rv0257, len: 124 aa. Hypothetical protein, orthologue of ML1828A conserved hypothetical protein from Mycobacterium leprae. Replaced Rv0257c (older annotation). A core mycobacterial gene; conserved in mycobacterial strains (See Marmiesse et al., 2004). Predicted to be an outer membrane protein (See Song et al., 2008).</t>
  </si>
  <si>
    <t>Rv0258c, (MTCY06A4.02c), len: 151 aa (alternative start possible). Conserved hypothetical protein, showing some similarity to Rv1685c|MTCI125_6 from Mycobacterium tuberculosis (207 aa), FASTA scores: E(): 9.3e-07, (32.1% identity in 140 aa overlap). Also some similarity with AL049819|SCE7_13|T36295 probable transcription regulator from Streptomyces coelicolor (204 aa), FASTA scores: opt: 158, E(): 0.00052, (27.0% identity in 111 aa overlap).</t>
  </si>
  <si>
    <t>Rv0259c, (MTCY06A4.03c), len: 247 aa. Conserved hypothetical protein, showing some similarity to Rv2393|Z81368|MTCY253_28 from Mycobacterium tuberculosis (281 aa), FASTA scores: E(): 9.5e-16, (33.6 % identity in 235 aa overlap). Also some similarity with CAC33938.1|AL589708 putative secreted protein from Streptomyces coelicolor (248 aa).</t>
  </si>
  <si>
    <t>Rv0260c, (MTCY0A4.04c), len: 381 aa. Possible two-component response regulator, highly similar to CAB72204.1|AL138851 putative transcriptional regulator from Streptomyces coelicolor (395 aa); and similar to O34394|D69851|YJJA conserved hypothetical protein from Bacillus subtilis (270 aa), FASTA scores: opt: 312, E(): 7.4e-14, (25.8% identity in 267 aa overlap). Also some similarity to regulatory proteins at C-terminal region e.g. CUTR_STRLI|Q03756 transcriptional regulatory protein (217 aa), FASTA scores: opt: 138, E(): 0.02, (30.6% identity in 111 aa overlap).</t>
  </si>
  <si>
    <t>Involved in excretion of nitrite produced by the dissimilatory reduction of nitrate. Responsible for the translocation of the substrate across the membrane.</t>
  </si>
  <si>
    <t>Probable integral membrane nitrite extrusion protein NarK3 (nitrite facilitator)</t>
  </si>
  <si>
    <t>Rv0261c, (MTCY06A4.05c), len: 469 aa. Probable nirK3, nitrite extrusion protein, integral membrane protein possibly member of major facilitator superfamily (MFS), equivalent to AAB41700.1|U72744 nitrite extrusion protein from Mycobacterium fortuitum (471 aa); and 2342627|CAB11406.1|Z98741|T44908 nitrite extrusion protein homolog from Mycobacterium leprae (517 aa; longer in N-terminus). Also similar to other nitrite extrusion proteins e.g. NARK_ECOLI|P10903|B1223 nitrite extrusion protein 1 from Escherichia coli strain K12 (463 aa), FASTA scores: opt: 755, E(): 0, (35.0% identity in 466 aa overlap). Belongs to the nark/NASA family of transporters.</t>
  </si>
  <si>
    <t>Confers resistance to aminoglycosides (gentamicin, tobramycin, dibekacin, netilmicin, and 6'-N-ethylnetilmicin).</t>
  </si>
  <si>
    <t>Aminoglycoside 2'-N-acetyltransferase Aac (Aac(2')-IC)</t>
  </si>
  <si>
    <t>Rv0262c, (MTCY06A4.06c), len: 181 aa. Aac, aminoglycoside 2'-N-acetyltransferase (aac(2')-IC) (see citation below), highly similar to NP_302635.1|NC_002677 aminoglycoside 2'-N-acetyltransferase from Mycobacterium leprae (182 aa); Q49157|AAC2_MYCFO|AAC aminoglycoside 2'-N-acetyltransferase from Mycobacterium fortuitum (195 aa), Contains GNAT (Gcn5-related N-acetyltransferase) domain. See Vetting et al. 2005. FASTA scores: opt: 884, E(): 0, (69.1% identity in 181 aa overlap); and P94968|AAC2_MYCSM|AAC aminoglycoside 2'-N-acetyltransferase from Mycobacterium smegmatis (210 aa) (see also citation below). Also similar to Q52424|AAC2_PROST aminoglycoside 2'-N-acetyltransferase from Providencia stuartii (178 aa). Belongs to the AAC(2')-I family of acetyltransferases. Note that previously known as aac(2')-IC.</t>
  </si>
  <si>
    <t>Rv0263c, (MTCY06A4.07c), len: 300 aa. Conserved hypothetical protein, equivalent to NP_302634.1|NC_002677 conserved hypothetical protein from Mycobacterium leprae (305 aa). Also similar to others e.g. AL121596|SC51A_21 hypothetical protein from Streptomyces coelicolor (285 aa), FASTA scores: opt: 714, E(): 0, (45.3% identity in 289 aa overlap); NP_233164.1|NC_002506 conserved hypothetical protein from Vibrio cholerae (309 aa); NP_406216.1|NC_003143 conserved hypothetical protein from Yersinia pestis (316 aa); YH30_HAEIN|P44298|hi1730 hypothetical protein from Haemophilus influenzae (309 aa), FASTA scores: opt: 430, E(): 3e-20, (29.6% identity in 284 aa overlap); etc. Also similar to carboxylases eg NP_415240.1|NC_000913|P75745|YBGK_ECOLI putative carboxylase from Escherichia coli strain K12 (310 aa), FASTA score: (34.6% identity in 286 aa overlap); NP_459698.1|NC_003197 putative carboxylase from Salmonella typhimurium (310 aa); and to middle part of NP_420636.1|NC_002696 urea amidolyase-related protein from Caulobacter crescentus (1207 aa).</t>
  </si>
  <si>
    <t>Rv0264c, (MTCY06A4.08c), len: 210 aa. Conserved hypothetical protein, equivalent to CAC32080.1|AL583926 conserved hypothetical protein from Mycobacterium leprae (222 aa). Also similar to others hypothetical proteins e.g. AL121596|SC51A_20 from Streptomyces coelicolor (252 aa), FASTA scores: opt: 420, E(): 2.7e-20, (41.7% identity in 204 aa overlap); P75744|YBGJ_ECOLI hypothetical 23.9 KD protein from Escherichia coli (218 aa), FASTA scores: E(): 2.1e-14, (35.7% identity in 182 aa overlap); YH31_HAEIN|P44299|hi173 hypothetical protein from Haemophilus influenzae (213 aa), FASTA scores: opt: 252, E(): 8.3e-10, (31.1% identity in 183 aa overlap).</t>
  </si>
  <si>
    <t>Thought to be involved in iron transport across the membrane (import).</t>
  </si>
  <si>
    <t>Probable periplasmic iron-transport lipoprotein</t>
  </si>
  <si>
    <t>Rv0265c, (MTCY06A4.09c), len: 330 aa. Probable iron-transport lipoprotein, most similar to T36412|5763945|CAB53324.1|AL109974 probable iron-siderophore binding lipoprotein from Streptomyces coelicolor (350 aa); and (N-terminus may be incorrect) to T14166|3560508|AAC82551.1|AF027770 fxuD protein from Mycobacterium smegmatis (420 aa), FASTA scores: opt: 385, E(): 1.5e-16, (32.3% identity in 232 aa overlap). Also similar to AAB97475.1|U02617 DtxR/iron regulated lipoprotein precursor from Corynebacterium diphtheriae (355 aa); FECB_ECOLI|P15028 iron(III) dicitrate-binding periplasmic protein (300 aa), FASTA scores: opt: 191, E(): 2.3e-05, (26.5% identity in 196 aa overlap). Contains PS00013 Prokaryotic membrane lipoprotein lipid attachment site. Note that previously known as fecB2.</t>
  </si>
  <si>
    <t>Catalyzes the cleavage of 5-oxo-L-proline to form L-glutamate coupled to the hydrolysis of ATP to ADP and inorganic phosphate [catalytic activity: ATP + 5-oxo-L-proline + 2 H2O = ADP + phosphate + L-glutamate].</t>
  </si>
  <si>
    <t>Probable 5-oxoprolinase OplA (5-oxo-L-prolinase) (pyroglutamase) (5-OPASE)</t>
  </si>
  <si>
    <t>Rv0266c, (MTCY06A4.10c), len: 1209 aa. Probable oplA, 5-oxoprolinase, highly similar to others or to hypothetical proteins e.g. AAK24340.1|AE005906 hydantoinase/oxoprolinase from Caulobacter crescentus (1196 aa); NP_103129.1|14022305|BAB48915.1|AP002997 5-oxoprolinase from Mesorhizobium loti (1210 aa); CAC48426.1|AL603642 conserved hypothetical protein from Sinorhizobium meliloti (1205 aa); S77037|slr0697|1006579|BAA10729.1|D6400 hypothetical protein from Synechocystis sp. strain PCC 6803 (1252 aa), FASTA scores: opt: 2016, E(): 0, (51.4% identity in 1247 aa overlap); P97608|OPLA_RAT|T42756|11278797 5-oxoprolinase (5-oxo-L-prolinase) (pyroglutamase) (5-OPASE) from Rattus norvegicus (1288 aa); etc. Belongs to the oxoprolinase family.</t>
  </si>
  <si>
    <t>Probable integral membrane nitrite extrusion protein NarU (nitrite facilitator)</t>
  </si>
  <si>
    <t>Rv0267, (MTCY06A4.11), len: 463 aa. Probable narU, nitrite extrusion protein, integral membrane protein possibly member of major facilitator superfamily (MFS), similar to other nitrite extrusion proteins e.g. NARU_ECOLI|P37758 nitrite extrusion protein 2 from Escherichia coli (462 aa), FASTA scores: opt: 630, E(): 4.4e-33, (38.9% identity in 463 aa overlap); and NARK_ECOLI|P10903|B1223 nitrite extrusion protein 1 from Escherichia coli strain K12 (463 aa), FASTA scores: opt: 607, E(): 1.3e-31, (42.0% identity in 457 aa overlap). Also similar to Rv0261c, Rv2329c, Rv1737c, and to MLCB22_25 from Mycobacterium leprae (517 aa), FASTA score: (35.1 identity in 459 aa overlap). Belongs to the nark/NASA family of transporters.</t>
  </si>
  <si>
    <t>Rv0268c, (MTCY06A4.12c), len: 169 aa. Hypothetical unknown protein.</t>
  </si>
  <si>
    <t>Rv0269c, (MTCY06A4.13c), len: 397 aa. Conserved hypothetical protein, highly similar to AL079355|SC4C6_19 hypothetical protein from Streptomyces coelicolor (341 aa), FASTA scores: opt: 1019, E(): 0, (46.5% identity in 344 aa overlap), and similar to other proteins e.g. CAC49016.1|AL603644 putative ATP-dependent DNA ligase protein from Sinorhizobium meliloti (636 aa); O34398 YKOU protein from Bacillus subtilis (611 aa), FASTA score: (27.2% identity in 283 aa overlap). Also similar to proteins from Mycobacterium tuberculosis e.g. Rv3062, Rv3731 (both DNA ligases), and Rv0938, Rv3730c.</t>
  </si>
  <si>
    <t>Probable fatty-acid-CoA ligase FadD2 (fatty-acid-CoA synthetase) (fatty-acid-CoA synthase)</t>
  </si>
  <si>
    <t>Rv0270, (MTCY06A4.14), len: 560 aa. Probable fadD2, fatty-acid-CoA synthetase, similar to many e.g. LCFA_ECOLI|P29212 long-chain-fatty-acid--CoA ligase from Escherichia coli (561 aa), FASTA scores: opt: 544, E(): 2.9e-26, (27.7% identity in 535 aa overlap). Also similar to others from Mycobacterium tuberculosis e.g. MTCY493_2, MTCY8D5_9, MTCY6G11_8, etc. Contains PS00455 Putative AMP-binding domain signature.</t>
  </si>
  <si>
    <t>Probable acyl-CoA dehydrogenase FadE6</t>
  </si>
  <si>
    <t>Rv0271c, (MTCY06A4.15c), len: 731 aa. Probable fadE6, acyl-CoA dehydrogenase, with C-terminal half similar to many e.g. ACDS_HUMAN|P16219 acyl-CoA dehydrogenase (short-chain) from Homo sapiens (412 aa), FASTA scores: opt: 339, E(): 1.3e-13, (28.1% identity in 288 aa overlap).</t>
  </si>
  <si>
    <t>Rv0272c, (MTCY06A4.16c), len: 377 aa. Unknown protein.</t>
  </si>
  <si>
    <t>Rv0273c, (MTV035.01c), len: 206 aa (start uncertain). Possible transcriptional regulator, showing some similarity to hypothetical regulators from Mycobacterium tuberculosis e.g. P96222|Rv3855|MTCY01A6.13c (216 aa); O08377|Rv1534|MTCY07A7A.03 (225 aa), FASTA scores: opt: 123, E(): 3.2e-06, (28.5% identity in 172 aa overlap).</t>
  </si>
  <si>
    <t>Rv0274, (MTV035.02), len: 193 aa. Conserved protein, highly similar to AAK25058.1|AE005973 conserved hypothetical protein from Caulobacter crescentus (174 aa). Shows also some similarity to others hypothetical proteins e.g. AJ002571|BSAJ2571_7 from Bacillus subtilis (316 aa), FASTA scores: opt: 138, E(): 0.033, (27.1% identity in 133 aa overlap). Previous hits with Q56415|M85195 fosfomycin-resistance protein from serratia marcescens (141 aa), FASTA scores: opt: 82, E(): 1.1e -08, (29.1% identity in 151 aa overlap). Contains PS00082 Extradiol ring-cleavage dioxygenases signature near C-terminus. May belong to the vicinal-oxygen-chelate (VOC) superfamily of metalloenzymes (See Rawat et al., 2003).</t>
  </si>
  <si>
    <t>Rv0275c, (MTV035.03c), len: 241 aa. Possible transcriptional regulator, TetR family, similar to others e.g. Q9RJE7|SCF81.04c putative TetR-family transcriptional regulator from Streptomyces coelicolor (219 aa); Q9FBI8|SCP8.33c putative TetR-family transcriptional regulator from Streptomyces coelicolor (213 aa); Q9I2Q9|PA1836 probable transcriptional regulator from Pseudomonas aeruginosa (193 aa); etc. Also shows some similarity with Rv0825c from Mycobacterium tuberculosis (213 aa), FASTA scores: opt: 230, E(): 2.7e-07, (32.6% identity in 190 aa overlap). Seems to belong to the TetR/AcrR family of transcriptional regulators (M. tuberculosis regulatory protein family with many TetR orthologues).</t>
  </si>
  <si>
    <t>Rv0276</t>
  </si>
  <si>
    <t>Rv0276, (MTV035.04), len: 306 aa. Conserved hypothetical protein, similar to Rv2237|Z70692|MTCY427.18 from Mycobacterium tuberculosis (296 aa), FASTA scores: opt: 874, E(): 0, (49.6% identity in 282 aa overlap).</t>
  </si>
  <si>
    <t>vapB25</t>
  </si>
  <si>
    <t>Rv0277A</t>
  </si>
  <si>
    <t>CDS (pseudogene)</t>
  </si>
  <si>
    <t>Possible antitoxin VapB25</t>
  </si>
  <si>
    <t>Rv0277A, len: 85 aa. Possible vapB25, antitoxin, part of toxin-antitoxin (TA) operon with Rv0277c, see Arcus et al. 2005. Has in-frame stop codon so may not be expressed. Very similar to others in Mycobacterium tuberculosis e.g. Rv0748 (85 aa). Fasta score E(): 4e-24; 88.2% identity in 85 aa overlap</t>
  </si>
  <si>
    <t>vapC25</t>
  </si>
  <si>
    <t>Possible toxin VapC25. Contains PIN domain.</t>
  </si>
  <si>
    <t>Rv0277c, (MTV035.05c), len: 142 aa. Possible vapC25, toxin, part of toxin-antitoxin (TA) operon with Rv0277A, contains PIN domain, see Arcus et al. 2005. Highly similar to others e.g. Rv0749|H70824|2911023|CAA17516.1|AL021958 conserved hypothetical protein from Mycobacterium tuberculosis (142 aa); and Rv2530c, etc.</t>
  </si>
  <si>
    <t>PE-PGRS family protein PE_PGRS3</t>
  </si>
  <si>
    <t>Rv0278c, (MTV035.06c), len: 957 aa. PE_PGRS3, Member of the Mycobacterium tuberculosis PE family (see citation below), PGRS subfamily of gly-rich proteins, similar to many e.g. Z95890|MTCY28_25|Rv1759c from Mycobacterium tuberculosis (914 aa), FASTA scores: opt: 3849, E(): 0, (67.8% identity in 903 aa overlap). Contains PS00583 pfkB family of carbohydrate kinases signature 1.</t>
  </si>
  <si>
    <t>PE_PGRS4</t>
  </si>
  <si>
    <t>Rv0279c</t>
  </si>
  <si>
    <t>PE-PGRS family protein PE_PGRS4</t>
  </si>
  <si>
    <t>Rv0279c, (MTV035.07c), len: 837 aa. PE_PGRS4, Member of the Mycobacterium tuberculosis PE family, PGRS subfamily of gly-rich proteins (see Brennan and Delogu, 2002), similar to many e.g. Z95890|MTCY28_25|Rv0278c from Mycobacterium tuberculosis (914 aa), FASTA scores: opt: 2677, E(): 0, (64.5% identity in 926 aa overlap).</t>
  </si>
  <si>
    <t>PPE family protein PPE3</t>
  </si>
  <si>
    <t>Rv0280, (MTV035.08), len: 536 aa. PPE3, Member of the Mycobacterium tuberculosis PPE family, similar to others e.g. Z80108|MTCY21B4_4|Rv0453 from Mycobacterium tuberculosis (539 aa), FASTA scores: opt: 1131, E(): 0, (51.7% identity in 540 aa overlap).</t>
  </si>
  <si>
    <t>Rv0281, (MTV035.09), len: 302 aa. Possible S-adenosylmethionine-dependent methyltransferase (see Grana et al., 2007), member of Mycobacterium tuberculosis protein family that includes Rv0726c, Rv0731c, Rv3399, Rv1729c, etc. MTCY31_23 (325 aa), FASTA scores: opt: 1386, E(): 0, (69. 1% identity in 301 aa overlap). Contains possible N-terminal signal sequence.</t>
  </si>
  <si>
    <t>ESX conserved component EccA3. ESX-3 type VII secretion system protein.</t>
  </si>
  <si>
    <t>Rv0282, (MTV035.10), len: 631 aa. eccA3, esx conserved component, ESX-3 type VII secretion system protein, similar to Y14967|MLCB628.18c hypothetical protein from Mycobacterium leprae (573 aa), FASTA scores: opt: 916, E(): 0, (38.7% identity in 568 aa overlap). Also similar to Mycobacterium tuberculosis proteins e.g. Z94121|MTY15F10.26 (619 aa), FASTA scores: opt: 743, E(): 0, (29.9% identity in 612 aa overlap). Member of CFXQ, CBXP family - 9 members in Mycobacterium tuberculosis. Contains PS00017 ATP/GTP-binding site motif A (P-loop).</t>
  </si>
  <si>
    <t>ESX conserved component EccB3. ESX-3 type VII secretion system protein. Possible membrane protein.</t>
  </si>
  <si>
    <t>Rv0283, (MTV035.11), len: 538 aa. eccB3, esx conserved component, ESX-3 type VII secretion system protein, possible membrane protein, similar to several hypothetical mycobacterial proteins e.g. Z94121|MTY15F10_16|Rv3895c from Mycobacterium tuberculosis (495 aa), FASTA scores: opt: 698, E(): 0, (37.6% identity in 492 aa overlap); Rv1782; Rv3450c; Rv3869; and Y14967|MLCB628_16|MLCB628.17c from Mycobacterium leprae (481 aa), FASTA scores: opt: 672, E(): 1.5e-31, (37.2% identity in 506 aa overlap). Contains PS00017 ATP/GTP-binding site motif A (P-loop). A core mycobacterial gene; conserved in mycobacterial strains (See Marmiesse et al., 2004).</t>
  </si>
  <si>
    <t>ESX conserved component EccC3. ESX-3 type VII secretion system protein. Possible membrane protein.</t>
  </si>
  <si>
    <t>Rv0284, (MTV035.12), len: 1330 aa. eccC3, esx conserved component, ESX-3 type VII secretion system protein, possible membrane protein, similar to products of two adjacent Mycobacterium leprae genes, MLCB628.16c (744 aa) and MLCB628.15c (597 aa); and throughout its length to several large Mycobacterium tuberculosis proteins: Rv3447c, Rv3870, Rv1784, etc. Y14967|MLCB628_ 15 (744 aa), FASTA scores: opt: 942, E(): 0, (33.8% identity in 730 aa overlap); Y14967|MLCB628_14 (597 aa), FASTA scores: opt: 613, E(): 3.1e-30, (31.7% identity in 615 aa overlap); Z94121|MTY15F10_17 (1396 aa), FASTA scores: opt: 652, E(): 2.2e-32, (35.4% identity in 1321 aa overlap); Z95389|MTCY77_19 (1236 aa), FASTA scores: opt 652, E(): 2.2e-32, (35.4% identity in 1321 aa overlap). Contains three PS00017 ATP/GTP-binding site motif A (P-loop).</t>
  </si>
  <si>
    <t>PE family protein PE5</t>
  </si>
  <si>
    <t>Rv0285, (MTV035.13), len: 102 aa. PE5, Member of the Mycobacterium tuberculosis PE family (see Brennan &amp; Delogu 2002), similar to others e.g. AL0212|MTV012_37 from Mycobacterium tuberculosis (105 aa), FASTA scores: opt: 497, E(): 2.6e-24, (80.4% identity in 102 aa overlap); Z80108|MTCY21B4.03 from Mycobacterium tuberculosis (102 aa), FASTA scores: opt: 413, E(): 3.7e-19, (66.7% identity in 102 aa overlap); etc. A core mycobacterial gene; conserved in mycobacterial strains (See Marmiesse et al., 2004).</t>
  </si>
  <si>
    <t>PPE family protein PPE4</t>
  </si>
  <si>
    <t>Rv0286, (MTV035.14), len: 513 aa. PPE4, Member of the Mycobacterium tuberculosis PPE family, similar to others e.g. AL0212|MTV012_32 from Mycobacterium tuberculosis (434 aa), FASTA scores: opt: 958, E(): 0, (43.5% identity in 522 aa overlap).</t>
  </si>
  <si>
    <t>ESAT-6 like protein EsxG (conserved protein TB9.8)</t>
  </si>
  <si>
    <t>Rv0287, (MTV035.15), len: 97 aa. EsxG, ESAT-6 like protein. PE-family related protein; distant member of the Mycobacterium tuberculosis PE family, similar to Rv3020c|AL0212|MTV012.34 (97 aa), FASTA scores: opt: 564, E(): 0, (91.8% identity in 97 aa overlap). Contains probable helix-turn-helix motif at aa 14-35 (Score 144, +4.11 SD). Seems to belong to the ESAT6 family (see Gey Van Pittius et al., 2001). Note that previously known as TB9.8.</t>
  </si>
  <si>
    <t>Function unknown. May be involved in virulence.</t>
  </si>
  <si>
    <t>Low molecular weight protein antigen 7 EsxH (10 kDa antigen) (CFP-7) (protein TB10.4)</t>
  </si>
  <si>
    <t>Rv0288, (MT0301, MTV035.16), len: 96 aa. EsxH, low molecular weight protein antigen 7 (10 kDa antigen) (CFP-7) (Protein TB10.4) (see citations below), ala-rich protein; member of mycobacterial protein family containing ESAT-6, very similar to MTV012_33 from Mycobacterium tuberculosis (96 aa), FASTA scores: opt: 566, E(): 0, (84.4% identity in 96 aa overlap). Alternative start codon possible position 351878 (see Rosenkrands et al., 2000). Belongs to the ESAT6 family (see Skjot et al., 2000; 2002; Gey Van Pittius et al., 2001). Note that previously known as cfp7 (alternate gene name: TB10.4). A core mycobacterial gene; conserved in mycobacterial strains (See Marmiesse et al., 2004). Predicted possible vaccine candidate (See Zvi et al., 2008).</t>
  </si>
  <si>
    <t>ESX-3 secretion-associated protein EspG3</t>
  </si>
  <si>
    <t>Rv0289, (MTV035.17), len: 295 aa. EspG3, ESX-3 secretion-associated protein, equivalent to CAC32061.1|AL583926 possible DNA-binding protein from Mycobacterium leprae (289 aa); and showing some similarity to Rv3866|G70656|CAB06238.1|Z94121|MTCY15F10.23 from Mycobacterium tuberculosis (276 aa), FASTA scores: opt: 149, E(): 0.0035, (27.7% identity in 289 aa overlap). A core mycobacterial gene; conserved in mycobacterial strains (See Marmiesse et al., 2004).</t>
  </si>
  <si>
    <t>ESX conserved component EccD3. ESX-3 type VII secretion system protein. Probable transmembrane protein.</t>
  </si>
  <si>
    <t>Rv0290, (MTV035.18), len: 472 aa. EccD3, esx conserved component, ESX-3 type VII secretion system protein, probable transmembrane protein, similar to several others in mycobacteria e.g. Z95389|MTCY77_20|Rv3887c from Mycobacterium tuberculosis (467 aa), FASTA scores: opt: 429, E(): 5.1e-19, (28. 6% identity in 479 aa overlap); Rv3877; Rv1795; Rv3448; and Y14967|MLCB628_9|MLCB628.10c from Mycobacterium leprae (480 aa), FASTA scores: opt: 269, E(): 3.1e-09, (26.0% identity in 503 aa overlap).</t>
  </si>
  <si>
    <t>Thought to have proteolytic activity.</t>
  </si>
  <si>
    <t>Probable membrane-anchored mycosin MycP3 (serine protease) (subtilisin-like protease) (subtilase-like) (mycosin-3)</t>
  </si>
  <si>
    <t>Rv0291, (MTV035.19), len: 461 aa. Probable mycP3, membrane-anchored serine protease (mycosin) (see Brown et al., 2000), similar to several others in mycobacteria e.g. Z94121|MTY15F10_28|Rv1796 from Mycobacterium tuberculosis (446 aa), FASTA scores: opt: 1168, E(): 0, (44.6% identity in 453 aa overlap); Rv3886c; Rv3883c; Rv3449; and Y14967|MLCB628_4|MLCB628.04 from Mycobacterium leprae (446 aa), FASTA scores: opt: 1159, E(): 0, (43.5 identity in 446 aa overlap). Has signal sequence and hydrophobic stretch at C-terminus, followed by short positively charged segment, that seems to act as a membrane anchor. Contains PS00137 Serine proteases, subtilase family, histidine active site signature. Belongs to peptidase family S8 (also known as the subtilase family), pyrolysin subfamily. Conserved in M. tuberculosis, M. leprae, M. bovis and M. avium paratuberculosis; predicted to be essential for in vivo survival and pathogenicity (See Ribeiro-Guimaraes and Pessolani, 2007).</t>
  </si>
  <si>
    <t>eccE3</t>
  </si>
  <si>
    <t>ESX conserved component EccE3. ESX-3 type VII secretion system protein. Probable transmembrane protein.</t>
  </si>
  <si>
    <t>Rv0292, (MTV035.20), len: 331 aa. EccE3, esx conserved component, ESX-3 type VII secretion system protein, probable transmembrane protein (has two hydrophobic segments at N-terminal end), equivalent to CAC32058.1|AL583926 conserved membrane protein from Mycobacterium leprae (339 aa). A core mycobacterial gene; conserved in mycobacterial strains (See Marmiesse et al., 2004).</t>
  </si>
  <si>
    <t>Rv0293c, (MTV035.21c), len: 400 aa. Conserved protein, similar in C-terminal part to Rv2627c|B70573|MTCY01A10.05|CAB08637.1|Z95387 conserved hypothetical protein from Mycobacterium tuberculosis (413 aa), FASTA scores: opt: 394, E(): 2.1e-17, (31.1% identity in 299 aa overlap).</t>
  </si>
  <si>
    <t>Possibly catalyzes the S-adenosylmethionine monomethyl esterification of trans-aconitate at high affinity and of cis-aconitate, isocitrate, and citrate at lower velocities and affinities.</t>
  </si>
  <si>
    <t>Probable trans-aconitate methyltransferase Tam</t>
  </si>
  <si>
    <t>Rv0294, (MTV035.22), len: 261 aa. Probable tam, trans-aconitate methyltransferase, similar to others e.g. P76145|TAM_ECOLI|7465793|B64906|B1519 trans-aconitate methyltransferase from Escherichia coli strain K12 (252 aa), FASTA scores: opt: 649, E(): 0, (39.3 identity in 252 aa overlap). Belongs to the methyltransferase superfamily.</t>
  </si>
  <si>
    <t>Rv0295c, (MTV035.23c), len: 267 aa. Conserved protein, showing weak similarity with CAC46877.1|AL591790 conserved hypothetical protein from Sinorhizobium meliloti (213 aa); and NP_104818.1|14023999|BAB50604.1|AP00300 Protein with weak similarity to NodH from Mesorhizobium loti (257 aa). Predicted to be an outer membrane protein (See Song et al., 2008).</t>
  </si>
  <si>
    <t>Probable sulfatase</t>
  </si>
  <si>
    <t>Rv0296c, (MTCY63.01c, MTV035.24c), len: 465 aa. Probable sulfatase, possibly an aryl-/steryl-sulfatase or a sulfamidase (sulfohydrolase) (sulphamidase). Similar to various hydrolases e.g. AAG41945.1|AF304053_1|AF304053 heparan N-sulfatase from Mus musculus (502 aa); NP_061292.1|6851181|AAF29460.1|AF153827_1|AF153827 N-sulfoglucosamine sulfohydrolase (sulfamidase) (sulphamidase) from Mus musculus (502 aa); AAG17206.1|AF217203_1|AF217203 heparan sulfate sulfamidase from Canis familiaris (507 aa); P08842|STS_HUMAN|1360652 steryl-sulfatase precursor (steroid sulfatase) (steryl-sulfate sulfohydrolase) (arylsulfatase C) (ASC) from Homo sapiens (583 aa); ARSB_FELCA|P33727 arylsulfatase B precursor (535 aa), FASTA scores: opt: 231, E(): 1.7e-08, (30.3% identity in 261 aa overlap). Also similarity with 4 others sulfatases in Mycobacterium tuberculosis. Contains sulfatases signature 1 (PS00523). Note that previously known as atsG.</t>
  </si>
  <si>
    <t>PE_PGRS5</t>
  </si>
  <si>
    <t>Rv0297</t>
  </si>
  <si>
    <t>PE-PGRS family protein PE_PGRS5</t>
  </si>
  <si>
    <t>Rv0297, (MTCY63.02), len: 591 aa. PE_PGRS5, Member of the Mycobacterium tuberculosis PE family, PGRS subfamily of gly-rich proteins (see citation below), highly similar to others e.g. Y03A_MYCTU|Q10637 from Mycobacterium tuberculosis (603 aa), FASTA scores: opt: 1884, E(): 0, (53.7% identity in 635 aa overlap). This region is a possible MT-complex-specific genomic island (See Becq et al., 2007).</t>
  </si>
  <si>
    <t>Rv0298, (MTCY63.03), len: 75 aa. Hypothetical unknown protein. This region is a possible MT-complex-specific genomic island (See Becq et al., 2007).</t>
  </si>
  <si>
    <t>Rv0299, (MTCY63.04), len: 100 aa. Hypothetical unknown protein. Equivalent to AAK44536.1 from Mycobacterium tuberculosis strain CDC1551 (49 aa) but longer 51 aa. This region is a possible MT-complex-specific genomic island (See Becq et al., 2007).</t>
  </si>
  <si>
    <t>vapB2</t>
  </si>
  <si>
    <t>Possible antitoxin VapB2</t>
  </si>
  <si>
    <t>Rv0300, (MTCY63.05), len: 73 aa. Possible vapB2, antitoxin, part of toxin-antitoxin (TA) operon with Rv0301 (See Arcus et al., 2005; Pandey and Gerdes, 2005). Weak similarity with others e.g. Rv3697c from Mycobacterium tuberculosis (145 aa), Rv1721c|MTCY04C12.06c|Z81360|MTCY4C12_4 conserved hypothetical protein from Mycobacterium tuberculosis (75 aa), FASTA scores: opt: 84, E(): 8.3, (39.5% identity in 38 aa overlap). This region is a possible MT-complex-specific genomic island (See Becq et al., 2007).</t>
  </si>
  <si>
    <t>vapC2</t>
  </si>
  <si>
    <t>Possible toxin VapC2</t>
  </si>
  <si>
    <t>Rv0301, (MTCY63.06), len: 141 aa. Possible vapC2, toxin, part of toxin-antitoxin (TA) operon with Rv0300, contains PIN domain (See Arcus et al., 2005; Pandey and Gerdes, 2005). Similar to others in Mycobacterium tuberculosis e.g. Rv2757c, Rv0229c, Rv2546, etc. This region is a possible MT-complex-specific genomic island (See Becq et al., 2007).</t>
  </si>
  <si>
    <t>Rv0302, (MTCY63.07), len: 210 aa. Probable transcription regulatory protein, TetR family (see citation below), with its N-terminus similar to N-terminus of several repressors and regulatory proteins of TetR/AcrR family e.g. ACRR_ECOLI|P34000 potential acraB operon repressor from Escherichia coli (215 aa), FASTA scores: opt: 172, E(): 3.1e-05, (22.7% identity in 194 aa overlap). Also similar in N-terminus to N-terminus of MTCY07A7.24 hypothetical regulator from Mycobacterium tuberculosis FASTA score: (38.7% identity in 62 aa overlap). Contains probable helix-turn helix motif from aa 35-56 (Score 1728, +5.07 SD). This region is a possible MT-complex-specific genomic island (See Becq et al., 2007).</t>
  </si>
  <si>
    <t>Probable dehydrogenase/reductase</t>
  </si>
  <si>
    <t>Rv0303, (MTCY63.08), len: 302 aa. Possible dehydrogenase/reductase, similar to various NADPH dehydrogenases and other NADPH oxidoreductases e.g. O48741|PORC_ARATH|7488284|T00897 protochlorophyllide reductase C chloroplast precursor (NADPH-protochlorophyllide oxidoreductase C) from Arabidopsis thaliana (401 aa); Q42850 NADPH dehydrogenase (395 aa), FASTA scores: opt: 347, E(): 3.8e-16, (35.4% identity in 319 aa overlap). This region is a possible MT-complex-specific genomic island (See Becq et al., 2007).</t>
  </si>
  <si>
    <t>PPE5</t>
  </si>
  <si>
    <t>PPE family protein PPE5</t>
  </si>
  <si>
    <t>Rv0304c, (MTCY63.9c), len: 2204 aa. PPE5, Member of the Mycobacterium tuberculosis PE family (PPE, MPTR), similar to others e.g. Z95324|MTY13E10_16 from Mycobacterium tuberculosis (1443 aa), FASTA scores: E(): 0, (50.6% identity in 1403 aa overlap); Y04H_MYCTU|Q10778 from Mycobacterium tuberculosis (734 aa), FASTA scores: opt: 989, E(): 0, (42.3% identity in 522 aa overlap). This region is a possible MT-complex-specific genomic island (See Becq et al., 2007).</t>
  </si>
  <si>
    <t>Rv0305c</t>
  </si>
  <si>
    <t>PPE family protein PPE6</t>
  </si>
  <si>
    <t>Rv0305c, (MTCY63.10c), len: 963 aa. PPE6, Member of the Mycobacterium tuberculosis PE family (PPE, MPTR), similar to others e.g. Y04H_MYCTU|Q10778 from Mycobacterium tuberculosis (734 aa), FASTA scores: opt: 1340, E(): 0, (40.9% identity in 815 aa overlap).</t>
  </si>
  <si>
    <t>Putative oxidoreductase</t>
  </si>
  <si>
    <t>Rv0306, (MTCY63.11), len: 223 aa. Putative oxidoreductase, highly similar to H83485|9947208|AAG04663.1|AE004557_4|AE004557 conserved hypothetical protein from Pseudomonas aeruginosa strain PAO1 (218 aa); and to other putative oxidoreductases e.g. middle part of CAB76073.1|AL157953 putative nitroreductase from Streptomyces coelicolor (1212 aa); Q52685|BLUB protein involved in cobalamin (vitamin B12) synthesis from Rhodobacter capsulatus (206 aa), FASTA scores: opt: 318, E(): 2e-15, (35.6% identity in 191 aa overlap).</t>
  </si>
  <si>
    <t>Rv0307c, (MTCY63.12c), len: 160 aa. Unknown protein.</t>
  </si>
  <si>
    <t>Rv0308, (MTCY63.13), len: 238 aa. Probable conserved integral membrane protein, with C-terminus highly similar to C-terminus of other integral membrane proteins or phosphatases e.g. AAK25788.1|AF336822_1|13430250|AAK25789.1|AF336823_1 putative phosphatase from Streptococcus pyogenes (201 aa); Q06074 hypothetical 24.9 kDa protein (216 aa), FASTA scores: opt: 209, E(): 2e-07, (27.9% identity in 140 aa overlap). Could be a phosphatase.</t>
  </si>
  <si>
    <t>Possible conserved exported protein</t>
  </si>
  <si>
    <t>Rv0309, (MTCY63.14), len: 218 aa. Possible conserved exported protein (has putative N-terminal signal sequence), equivalent to AC32053.1|AL583926 putative secreted protein from Mycobacterium leprae (218 aa). Also similar to others e.g. AB76092.1|AL157956 putative secreted protein from Streptomyces coelicolor (238 aa). Predicted to be an outer membrane protein (See Song et al., 2008).</t>
  </si>
  <si>
    <t>Rv0310c, (MTCY63.15c), len: 163 aa. Conserved protein, similar to some bile acid dehydratases e.g. P19412|BAIE_EUBSP|98749|D37844|1381566|AAC45413.1|U57489 bile acid-inducible operon protein E from Eubacterium sp (166 aa), FASTA scores: opt: 302, E(): 1e-11, (38.8% identity in 134 aa overlap); AAF22847.1|AF210152_4 bile acid 7a-dehydratase from Clostridium sp. (168 aa).</t>
  </si>
  <si>
    <t>Rv0311, (MTCY63.16), len: 409 aa. Unknown protein. Contains PS00881 Protein splicing signature.</t>
  </si>
  <si>
    <t>Conserved hypothetical proline and threonine rich protein</t>
  </si>
  <si>
    <t>Rv0312, (MTCY63.17), len: 620 aa. Conserved hypothetical protein with highly Pro-, Thr-rich C-terminus. Similar to Pro-,Thr-rich region in Rv2264c|AL021925|MTV022_14 from Mycobacterium tuberculosis (592 aa), FASTA scores: opt: 1075, E(): 0, (38.9% identity in 627 aa overlap). Also some similarity with Rv0350|dnaK from Mycobacterium tuberculosis. Possibly membrane protein; has hydrophobic stetch in its middle part.</t>
  </si>
  <si>
    <t>Rv0313, (MTCY63.18), len: 128 aa. Conserved protein, equivalent only to CAC32049.1|AL583926 conserved hypothetical protein from Mycobacterium leprae (130 aa). A core mycobacterial gene; conserved in mycobacterial strains (See Marmiesse et al., 2004).</t>
  </si>
  <si>
    <t>Rv0314c, (MTCY63.19c), len: 220 aa. Possible conserved membrane protein, with hydrophobic stretch from residues ~75-100. Similar in C-terminal part to Mycobacterium tuberculosis proteins Rv0679c and Rv0680c.</t>
  </si>
  <si>
    <t>Possibly hydrolyzes specific sugar (hydrolyzation of glycosidic bond) and could be involved in exopolysaccharide biosynthesis/degradation. Could also have a LYTIC activity against cell WALLS.</t>
  </si>
  <si>
    <t>Possible beta-1,3-glucanase precursor</t>
  </si>
  <si>
    <t>Rv0315, (MTCY63.20), len: 294 aa. Possible beta-1,3-glucanase precursor (has hydrophobic stretch in its N-terminal part), similar to others e.g. Q51333|AAC44371.1 beta-1,3-glucanase II a from Oerskovia xanthineolytica (306 aa), FASTA scores: opt: 76, E(): 3e-14, (34.1% identity in 302 aa overlap); and AAC38290.1|AF052745 beta-1,3-glucanase II from Oerskovia xanthineolytica (435 aa). Contains glycosyl hydrolases family 16 active site signature (PS01034).</t>
  </si>
  <si>
    <t>Could be involved in the catabolism of catechol to succinate- and acetyl-CoA in the beta-ketoadipate pathway (at the third step) [catalytic activity: 2,5-dihydro-5-oxofuran-2-acetate = 3,4-dihydro-5-oxofuran-2-acetate].</t>
  </si>
  <si>
    <t>Possible muconolactone isomerase</t>
  </si>
  <si>
    <t>Rv0316, (MTCY63.21), len: 204 aa. Possible muconolactone isomerase, showing weak similarity with some muconolactone isomerases e.g. O33947|CTC1_ACILW muconolactone delta-isomerase 1 (MIASE 1)(96 aa), FASTA scores: opt: 179, E(): 3.9e-05, (32.6% identity in 92 aa overlap).</t>
  </si>
  <si>
    <t>Glycerophosphoryl diester phosphodiesterase hydrolyzes deacylated phospholipids to G3P and the corresponding alcohols [catalytic activity: a glycerophosphodiester + H(2)O = an alcohol + SN-glycerol 3-phosphate].</t>
  </si>
  <si>
    <t>Possible glycerophosphoryl diester phosphodiesterase GlpQ2 (glycerophosphodiester phosphodiesterase)</t>
  </si>
  <si>
    <t>Rv0317c, (MTCY63.22c), len: 256 aa (start uncertain, chosen by homology). Possible glpQ2, glycerophosphoryl diester phosphodiesterase, similar to others e.g. E75317|6459876|AAF11631.1|AE002044_4 glycerophosphoryl diester phosphodiesterase from Deinococcus radiodurans (285 aa); P10908|UGPQ_ECOLI from Escherichia coli (247 aa), FASTA scores: opt: 220, E(): 5.2e-07, (28.0% identity in 250 aa overlap). Also similar to MTCY01A6.27 from Mycobacterium tuberculosis FASTA score: (27.5% identity in 247 aa overlap).</t>
  </si>
  <si>
    <t>Rv0318c, (MTCY63.23c), len: 264 aa. Probable conserved integral membrane protein, with some similarity to C-terminus of GUFA_MYXXA|Q06916 (254 aa), FASTA scores: opt: 157, E (): 0.0032, (28.3% identity in 198 aa overlap). Also similar to O26573 conserved protein from Methanobacterium thermoauto (259 aa), FASTA scores: opt: 173, E(): 5.2e-05, (32.7% identity in 214 aa overlap).</t>
  </si>
  <si>
    <t>Removes 5-oxoproline from various penultimate amino acid residues except L-proline [catalytic activity: 5-oxoprolyl-peptide + H2O = 5-oxoproline + peptide].</t>
  </si>
  <si>
    <t>Probable pyrrolidone-carboxylate peptidase Pcp (5-oxoprolyl-peptidase) (pyroglutamyl-peptidase I) (PGP-I) (pyrase)</t>
  </si>
  <si>
    <t>Rv0319, (MTCY63.24), len: 222 aa. Probable pcp, pyrrolidone-carboxylate peptidase, highly similar to others e.g. PCP_PSEFL|P42673 pyrrolidone-carboxylate peptidase from Pseudomonas fluorescens (213 aa), FASTA scores: opt: 478, E(): 7.5e-25, (40.2% identity in 219 aa overlap). Belongs to peptidase family C15 (thiol protease).</t>
  </si>
  <si>
    <t>Rv0320</t>
  </si>
  <si>
    <t>Rv0320, (MTCY63.25), len: 220 aa. Possible conserved exported protein, similar to some hypothetical proteins and to the middle part of a peptidase: NP_066789.1|10657900|AAG21739.1|AF116907 putative peptidase from Rhodococcus equi (546 aa). Also similar to Rv1728c|MTCY04C12.13c from Mycobacterium tuberculosis (256 aa), FASTA scores: opt: 497, E(): 1.2e-26, (41.8% identity in 225 aa overlap). Predicted to be an outer membrane protein (See Song et al., 2008).</t>
  </si>
  <si>
    <t>Involved in interconversion of dCTP and dUTP [catalytic activity: dCTP + H2O = dUTP + NH3].</t>
  </si>
  <si>
    <t>Probable deoxycytidine triphosphate deaminase Dcd (dCTP deaminase)</t>
  </si>
  <si>
    <t>Rv0321, (MTCY63.26), len: 190 aa. Probable dcd (alternate gene names: dus or paxA), deoxycytidine triphosphate deaminase, equivalent to CAC32024.1|AL583925 probable deoxycytidine triphosphate deaminase from Mycobacterium leprae (190 aa). Also highly similar to others e.g. Q9X8W0|DCD_STRCO|7480599|T36613|SCH35.46 deoxycytidine triphosphate deaminase from Streptomyces coelicolor (191 aa); DCD_ECOLI|P28248|DUS|PAXA|B2065 deoxycytidine triphosphate deaminase from Escherichia coli strain K12 (193 aa), FASTA scores: opt: 408, E(): 2.7e-21, (43.1% identity in 188 aa overlap); etc. Contains PS00017 ATP/GTP-binding site motif A (P-loop). Belongs to the dCTP deaminase family. The transcription of this CDS seems to be activated specifically in host granulomas (see citation below).</t>
  </si>
  <si>
    <t>Possibly involved in polysaccharide biosynthesis [catalytic activity: UDP-glucose + 2 NAD+ + H2O = UDP-glucuronate + 2 NADH].</t>
  </si>
  <si>
    <t>Probable UDP-glucose 6-dehydrogenase UdgA (UDP-GLC dehydrogenase) (UDP-GLCDH) (UDPGDH)</t>
  </si>
  <si>
    <t>Rv0322, (MTCY63.27), len: 443 aa. Probable udg (alternate gene name: rkpK), UDP-glucose 6-dehydrogenase , highly similar to others e.g. CAC44517.1|AL596138 putative UDP-glucose 6-dehydrogenase from Streptomyces coelicolor (447 aa); Q56812 UDP-glucose dehydrogenase from Xanthomonas campestris (445 aa), FASTA scores: opt: 713, E(): 0, (41.9% identity in 351 aa overlap); etc. Also similar to several GDP-mannose 6-dehydrogenase. Contains PS00017 ATP/GTP-binding site motif A (P-loop). Belongs to the UDP-glucose/GDP-mannose dehydrogenases family.</t>
  </si>
  <si>
    <t>Rv0323c, (MTCY63.28c), len: 223 aa. Conserved hypothetical protein, similar to others e.g. YPJG_BACSU|P42981 hypothetical 24.8 kDa protein from Bacillus subtilis (224 aa), FASTA scores: opt: 182, E(): 1.3e-05, (27.5% identity in 211 aa overlap). Also some similarity to MLU15183_8 from Mycobacterium tuberculosis FASTA score: (32.0% identity in 147 aa overlap). Alternative nucleotide at position 390828 (T-&gt;C; S142G) has been observed. This region is a possible MT-complex-specific genomic island (See Becq et al., 2007).</t>
  </si>
  <si>
    <t>Rv0324</t>
  </si>
  <si>
    <t>Possible transcriptional regulatory protein (possibly ArsR-family)</t>
  </si>
  <si>
    <t>Rv0324, (MTCY63.29), len: 226 aa. Possible transcriptional regulator, arsR family, with its N-terminus similar to the N-terminus of other DNA-binding proteins e.g. P30346|MERR_STRLI probable mercury resistance operon from Streptomyces lividans (125 aa), FASTA scores: opt: 154, E(): 0.002, (32.2% identity in 90 aa overlap), and its C-terminal part similar to hypothetical bacterial proteins e.g. P54510|YQHL_BACSU hypothetical 14.6 kDa protein from Bacillus subtilis (126 aa), FASTA scores: opt: 159, E(): 0.00097, (35.5% identity in 76 aa overlap). Most similar to AJ005575|SPE005575_2 ORF1 required for antibiotic production from Streptomyces peucetius (226 aa), FASTA scores: opt: 816, E(): 0, (60.7% identity in 211 aa overlap). Also similar in C-terminus to MTCY164.26 molybdopterin biosynthesis moeb protein from Mycobacterium tuberculosis FASTA score: (36.8% identity in 114 aa overlap). This region is a possible MT-complex-specific genomic island (See Becq et al., 2007).</t>
  </si>
  <si>
    <t>Rv0325</t>
  </si>
  <si>
    <t>Rv0325, (MTCY63.30), len: 74 aa. Hypothetical unknown protein. This region is a possible MT-complex-specific genomic island (See Becq et al., 2007).</t>
  </si>
  <si>
    <t>Rv0326, (MTCY63.31), len: 151 aa. Hypothetical unknown protein. This region is a possible MT-complex-specific genomic island (See Becq et al., 2007).</t>
  </si>
  <si>
    <t>Possible cytochrome P450 135A1 Cyp135A1</t>
  </si>
  <si>
    <t>Rv0327c, (MT0342, MTCY63.32c), len: 449 aa. Possible cyp135A1, cytochrome P450, similar to cytochrome P-450 monoxygenases and other cytochrome P-450 related enzymes e.g. FQ12609 putative P450 monooxygenase (506 aa), FASTA scores: opt: 276, E() : 1.7e-11, (27.9% identity in 433 aa overlap). Also similar to other Mycobacterium tuberculosis proteins e.g. MTV039.06|Rv0568 putative cytochrome P450 (472 aa); MTCI5.10 cytochrome p450 FASTA score: (30.4% identity in 434 aa overlap). Contains cytochrome P450 cysteine heme-iron ligand signature (PS00086). Belongs to the cytochrome P450 family. Alternative start possible at 33706 but no RBS. This region is a possible MT-complex-specific genomic island (See Becq et al., 2007).</t>
  </si>
  <si>
    <t>Possibly involved in a transcriptional mechanism.</t>
  </si>
  <si>
    <t>Possible transcriptional regulatory protein (possibly TetR/AcrR-family)</t>
  </si>
  <si>
    <t>Rv0328, (MTCY63.33), len: 200 aa. Possible transcription regulator, TetR/acrR family, similar in part to various hypothetical transcriptional regulators e.g. T36696|4726006|CAB41735.1|AL049731 probable regulatory protein from Streptomyces coelicolor (197 aa). Also some similarity with YX44_MYCTU|Q10829 hypothetical transcriptional regulator from Mycobacterium tuberculosis (195 aa), FASTA scores: opt: 154, E(): 0.00061, (26.7% identity in 202 aa overlap). Contains probable helix-turn helix motif from aa 27-48 (Score 1408, +3.98 SD). Seems to belong to the TetR/AcrR family of transcriptional regulators. This region is a possible MT-complex-specific genomic island (See Becq et al., 2007).</t>
  </si>
  <si>
    <t>Rv0329c</t>
  </si>
  <si>
    <t>Rv0329c, (MTCY63.34c), len: 208 aa. Conserved hypothetical protein, showing some similarity with others hypothetical proteins and methyltransferases e.g. MitM|AF127374_14 methyltransferase from Streptomyces lavendulae (283 aa), FASTA scores: opt: 242, E(): 1.8e-08, (37.2% identity in 145 aa overlap); Q48938 from Methanosarcina barkeri (262 aa), FASTA scores: opt: 194, E(): 3.6e-06, (31.1% identity in 119 aa overlap). This region is a possible MT-complex-specific genomic island (See Becq et al., 2007).</t>
  </si>
  <si>
    <t>Rv0330c, (MTCY63.35c), len: 246 aa. Hypothetical unknown protein. This region is a possible MT-complex-specific genomic island (See Becq et al., 2007).</t>
  </si>
  <si>
    <t>Possible dehydrogenase/reductase</t>
  </si>
  <si>
    <t>Rv0331, (MTCY63.36), len: 388 aa. Possible dehydrogenase/reductase, similar to various dehydrogenases/reductases e.g. NP_103779.1|14022957|BAB49565.1|AP002999 flavoprotein reductase from Mesorhizobium loti (377 aa); NP_147681.1 predicted NAD(FAD)-dependent dehydrogenase from Aeropyrum pernix (381 aa); DHSU_CHRVI|Q06530 sulfide dehydrogenase (431 aa), FASTA scores: opt: 347, E(): 6.8e-15, (25.6% identity in 348 aa overlap). This region is a possible MT-complex-specific genomic island (See Becq et al., 2007).</t>
  </si>
  <si>
    <t>Rv0332, (MTCY63.37), len: 261 aa. Conserved protein, similar to several conserved hypothetical proteins from Streptomyces coelicolor e.g. SC6A9.18c|AL031035|SC6A9_18|T35449 hypothetical protein (266 aa), FASTA scores: opt: 508, E(): 5.7e-27, (36.7% identity in 251 aa overlap).</t>
  </si>
  <si>
    <t>Rv0333, (MTCY63.38), len: 124 aa. Unknown protein.</t>
  </si>
  <si>
    <t>dTDP-L-rhamnose biosynthesis within the O antigen biosynthesis pathway of lipopolysaccharide biosynthesis [catalytic activity: dTTP + alpha-D-glucose 1-phosphate = diphosphate + dTDP-glucose].</t>
  </si>
  <si>
    <t>Alpha-D-glucose-1-phosphate thymidylyltransferase RmlA (dTDP-glucose synthase) (dTDP-glucose pyrophosphorylase)</t>
  </si>
  <si>
    <t>Rv0334, (MTCY279.01), len: 288 aa. RmlA (alternate gene name: rfbA), alpha-D-glucose-1-phosphate thymidylyl-transferase (see citations below), equivalent to CAC32020.1|AL583925 glucose-1-phosphate thymidyltransferase from Mycobacterium leprae (288 aa). Also highly similar to others e.g. AAG29804.1|AF235050 glucose-1-phosphate thymidylyltransferase from Streptomyces rishiriensis (296 aa); RBA1_ECOLI|P37744 glucose-1-phosphate thymidylyltransferase from Escherichia coli strain K12 (293 aa), FASTA scores: opt: 1199, E(): 0, (62.0% identity in 284 aa overlap). Belongs to the glucose-1-phosphate thymidylyltransferase family.</t>
  </si>
  <si>
    <t>PE6</t>
  </si>
  <si>
    <t>Rv0335c</t>
  </si>
  <si>
    <t>PE family protein PE6</t>
  </si>
  <si>
    <t>Rv0335c, (MTCY279.02c), len: 171 aa. PE6, Member of the Mycobacterium tuberculosis PE family (see Brennan &amp; Delogu 2002); contains short region of similarity to part of the unique N-terminus of the Mycobacterium tuberculosis PGRS family of Glycine-rich proteins e.g. Y03A_MYCTU|Q10637 hypothetical glycine-rich 49.6 kd protein (603 aa), FASTA scores: opt: 219, E(): 1.1e-08, (51.5% identity in 66 aa overlap).</t>
  </si>
  <si>
    <t>Rv0336</t>
  </si>
  <si>
    <t>Conserved 13E12 repeat family protein</t>
  </si>
  <si>
    <t>Rv0336, (MTCY279.03), len: 503 aa. Part of Mycobacterium tuberculosis 13E12 repeat family; almost identical to Rv0515|MTCY20G10.05 hypothetical protein from Mycobacterium tuberculosis FASTA scores: (99.8% identity in 503 aa overlap), possibly due to a recent gene duplication. Also similar to other Mycobacterium tuberculosis hypothetical proteins e.g. Rv1148c, Rv1945, etc.</t>
  </si>
  <si>
    <t>Generates oxaloacetate and L-glutamate from L-aspartate and 2-oxoglutarate [catalytic activity: L-aspartate + 2-oxoglutarate = oxaloacetate + L-glutamate].</t>
  </si>
  <si>
    <t>Probable aspartate aminotransferase AspC (transaminase A) (ASPAT)</t>
  </si>
  <si>
    <t>Rv0337c, (MTCY279.04c), len: 429 aa. Probable aspC, aspartate aminotransferase (transaminase A), equivalent to CAC32019.1|AL583925 probable aspartate aminotransferase from Mycobacterium leprae (437 aa). Also highly similar to many e.g. Q48143|U32823 aspartate aminotransferase (404 aa), FASTA scores: opt: 1646, E(): 0, (57.2% identity in 404 aa overlap). Also some similarity to Rv3565|MTCY06G11.12 from Mycobacterium tuberculosis FASTA score: (27.2% identity in 383 aa overlap). Belongs to class-I of pyridoxal-phosphate-dependent aminotransferases. Cofactor: pyridoxal phosphate.</t>
  </si>
  <si>
    <t>Probable iron-sulfur-binding reductase</t>
  </si>
  <si>
    <t>Rv0338c, (MTCY279.05c), len: 882 aa. Probable iron-sulphur-binding reductase, possibly membrane-bound, equivalent to CAC32018.1|AL583925 probable iron-sulphur-binding reductase from Mycobacterium leprae (880 aa). Also highly similar to others e.g. T36608|5019323|CAB44376.1|AL078610 probable iron-sulfur-binding reductase from Streptomyces coelicolor (760 aa), FASTA scores: opt: 1658, E(): 0, (49.9% identity in 772 aa overlap); BAB07521.1|AP001520 iron-sulphur-binding reductase from Bacillus halodurans (700 aa). Contains PS00070 Aldehyde dehydrogenases cysteine active site and two of PS00198 4Fe-4S ferredoxins, iron-sulfur binding region signature. First of several possible start sites chosen.</t>
  </si>
  <si>
    <t>Rv0339c, (MTCY279.06c), len: 832 aa. Possible transcriptional regulator, showing very weak similarity with parts of others. Contains PS00017 ATP/GTP-binding site motif A (P-loop); and probable helix-turn helix motif from aa 778-799 (Score 1041, +2.73 SD).</t>
  </si>
  <si>
    <t>Rv0340</t>
  </si>
  <si>
    <t>Rv0340, (MTCY279.07), len: 179 aa. Conserved protein; MEME-mast analysis shows similarity to product of downstream gene, Rv0341|iniB.</t>
  </si>
  <si>
    <t>Isoniazid inductible gene protein IniB</t>
  </si>
  <si>
    <t>Rv0341, (MTCY13E10.01), len: 479 aa. IniB, isoniazid-inducible gene, (see citations below). Protein very Gly-, Ala-rich, similar to cell wall proteins e.g. P27483|GRP_ARATH glycine-rich cell wall structural protein from A.thaliana (338 aa), FASTA scores: opt: 532, E(): 5.2e-13, (39.3% identity in 321 aa overlap). MEME-mast analysis shows similarity to product of upstream gene, Rv0340.</t>
  </si>
  <si>
    <t>Isoniazid inductible gene protein IniA</t>
  </si>
  <si>
    <t>Rv0342, iniA, (MTCY13E10.02), len: 640 aa. IniA, isoniazid-inducible gene, (see citations below). Shows slight similarity to some hypothetical bacterial proteins e.g. P40983|YOR6_THER hypothetical protein (402 aa), FASTA scores: opt: 242, E(): 1.4e-07, (22.3% identity in 349 aa overlap). Also some similarity to downstream ORF Rv0343|iniC. Possible transmembrane stretch around residue 490. Alternative start site exists at 410824. Contains a phosphopantetheine attachment site motif suggestive of an acyl carrier protein. Note that the iniA gene is also induced by the antibiotic ethambutol, an agent that inhibits cell wall biosynthesis by a mechanism that is distinct from isoniazid.</t>
  </si>
  <si>
    <t>Isoniazid inductible gene protein IniC</t>
  </si>
  <si>
    <t>Rv0343, (MTCY13E10.03), len: 493 aa. IniC, isoniazid-inducible gene, (see citations below). Shows slight similarity to P40983|YOR6_THER8 hypothetical protein (402 aa), FASTA scores: opt: 196, E(): 2.6e-05, (25.9% identity in 228 aa overlap). Also some similarity to upstream ORF Rv0342|iniA. Contains (PS00017) ATP/GTP-binding site motif A (P-loop). Note that the iniA gene is also induced by the antibiotic ethambutol, an agent that inhibits cell wall biosynthesis by a mechanism that is distinct from isoniazid.</t>
  </si>
  <si>
    <t>lpqJ</t>
  </si>
  <si>
    <t>Rv0344c</t>
  </si>
  <si>
    <t>Probable lipoprotein LpqJ</t>
  </si>
  <si>
    <t>Rv0344c, (MTCY13E10.04c), len: 186 aa. Probable lipoprotein, without homology. Has an appropriately positioned prokaryotic lipoprotein signature (PS00013).</t>
  </si>
  <si>
    <t>Rv0345, (MTCY13E10.05), len: 136 aa. Conserved hypothetical protein, similar to other hypothetical proteins e.g. AL13282 4|SCAH10_9 hypothetical protein from Streptomyces coelicolor (207 aa), FASTA scores: opt: 188, E(): 1.5e-05, (41.0% identity in 117 aa overlap).</t>
  </si>
  <si>
    <t>Thought to be involved in transport of L-asparagine across the membrane. Responsible for the translocation of the substrate across the membrane.</t>
  </si>
  <si>
    <t>Possible L-asparagine permease AnsP2 (L-asparagine transport protein)</t>
  </si>
  <si>
    <t>Rv0346c, (MTCY13E10.06c), len: 487 aa. Possible ansP2, L-asparagine permease, integral membrane protein belonging to family containing many amino acid permeases, highly similar to G467030|B2126_F2_85|NP_301937.1|NC_002677 probable L-asparagine permease from Mycobacterium leprae (498 aa); and NP_301938.1|NC_002677 probable L-asparagine permease from Mycobacterium leprae (505 aa). Also highly similar to others e.g. P77610|ANSP_ECOLI L-asparagine permease from Escherichia coli strain K-12 (499 aa). Also highly similar to ANSP1|Rv2127|MT2186|MTCY261_22|O33261 probable L-asparagine permease from Mycobacterium tuberculosis (489 aa), FASTA score: (72.1% identity in 473 aa overlap). And shows some similarity to MTCY3G12.14 from Mycobacterium tuberculosis. Belongs to the amino acid permease family (APC family). Note that previously known as aroP2.</t>
  </si>
  <si>
    <t>Rv0347, (MTCY13E10.07), len: 328 aa (alternative start possible). Probable conserved membrane protein, similar to Rv0831c|AL022004|MTV043_23 from Mycobacterium tuberculosis (271 aa), FASTA scores: E(): 9.6e-21, (33.1% identity in 266 aa overlap). This region is a possible MT-complex-specific genomic island (See Becq et al., 2007).</t>
  </si>
  <si>
    <t>Rv0348, (MTCY13E10.08), len: 217 aa. Possible transcriptional regulator, showing some similarity to O53334|RV3188|MTV014.32 conserved hypothetical protein from Mycobacterium tuberculosis (115 aa), FASTA score: (30.0% identity in 100 aa overlap). Contains probable helix-turn helix motif from aa 89-110 (Score 1407, +3.98 SD). This region is a possible MT-complex-specific genomic island (See Becq et al., 2007).</t>
  </si>
  <si>
    <t>Rv0349, (MTCY13E10.09), len: 219 aa. Hypothetical unknown protein. This region is a possible MT-complex-specific genomic island (See Becq et al., 2007).</t>
  </si>
  <si>
    <t>Acts as a chaperone. Involved in induction by stress conditions e.g. heat shock. Possibly has an ATPase activity. Seems to be regulated positively by sigh (Rv3223c product) and negatively by HSPR (Rv0353 product).</t>
  </si>
  <si>
    <t>Probable chaperone protein DnaK (heat shock protein 70) (heat shock 70 kDa protein) (HSP70)</t>
  </si>
  <si>
    <t>Rv0350, (MTCY13E10.10), len: 625 aa. Probable dnaK (alternate gene name: hsp70), 70 kDa heat shock protein (see citations below), equivalent to AAA25362.1|M95576|1924344A|738248 heat shock protein 70 from Mycobacterium leprae (621 aa); and DNAK_MYCPA|Q00488 (623 aa), FASTA scores: opt: 3678, E(): 0, (92.3% identity in 625 aa overlap). Also highly similar to others e.g. Q05558|DNAK_STRCO|453231|CAA54606.1|X77458 chaperone protein DNAK from Streptomyces coelicolor (618 aa). Has probably an ATPase activity. Note that this sequence differs from DNAK_MYCTU|P32723 (609 aa), due to a frameshift near the N-terminus. Belongs to the heat shock protein 70 family.</t>
  </si>
  <si>
    <t>Stimulates, jointly with DNAJ|Rv0352, the ATPase activity of DNAK|Rv0350. HELPS to release ADP from DNAK thus allowing DNAK to recycle more efficiently. Seems to be regulated negatively by HSPR (Rv0353 product).</t>
  </si>
  <si>
    <t>Probable GrpE protein (HSP-70 cofactor)</t>
  </si>
  <si>
    <t>Rv0351, (MTCY13E10.11), len: 235 aa. Probable grpE protein (HSP-70 cofactor), equivalent to CAC32012.1|AL583925 Hsp70 cofactor from Mycobacterium leprae (229 aa). Also highly similar to others eg Q05562|GRPE_STRCO|2127521|PN0643 GRPE protein from Streptomyces coelicolor (225 aa). Contains grpE protein signature (PS01071). Belongs to the GrpE family.</t>
  </si>
  <si>
    <t>Acts as a co-chaperone. Stimulates, jointly with GRPE|Rv0351, the ATPase activity of DNAK|Rv0350. Seems to be regulated negatively by HSPR (Rv0353 product).</t>
  </si>
  <si>
    <t>Probable chaperone protein DnaJ1</t>
  </si>
  <si>
    <t>Rv0352, (MTCY13E10.12), len: 395 aa. Probable dnaJ1, chaperone protein, equivalent to AAA25363.1|M95576 DNA J heatshock protein from Mycobacterium leprae (389 aa). Also highly similar to others. Contains both DnaJ signatures (PS00636, and PS00637). Belongs to the DNAJ family. Cofactor: binds two zinc ions per monomer. Note that sequence differs from DNAJ_MYCTU|P07881 due to a frameshift at the N-terminus. Note that previously known as dnaJ.</t>
  </si>
  <si>
    <t>Involved in transcriptional regulation (repression) of heat shock proteins e.g. DNAK|Rv0350, GRPE|Rv0351, DNAJ1|Rv0352. Binds to three inverted repeats (IR1-IR3) in the promoter region of the DNAK operon. Induction: by heat shock.</t>
  </si>
  <si>
    <t>Probable heat shock protein transcriptional repressor HspR (MerR family)</t>
  </si>
  <si>
    <t>Rv0353, (MTCY13E10.13), len: 126 aa. Probable hspR, heat shock regulatory protein (see Stewart et al., 2001), merR family, highly similar to others e.g. HspR|P40183 heat shock regulatory protein from Streptomyces coelicolor (151 aa), FASTA scores: E(): 4.9e-22, (55.7% identity in 140 aa overlap), that binds to three inverted repeats (IR1-IR3) in the promoter region of the dnaK operon. Has possible coiled coil region in C-terminal half. Belongs to the MerR family of transcriptional regulators.</t>
  </si>
  <si>
    <t>PPE7</t>
  </si>
  <si>
    <t>Rv0354c</t>
  </si>
  <si>
    <t>PPE family protein PPE7</t>
  </si>
  <si>
    <t>Rv0354c, (MTCY13E10.14c), len: 141 aa. PPE7, Member of the Mycobacterium tuberculosis PPE family, similar to others e.g. MTCY63_9 from Mycobacterium tuberculosis (2411 aa), FASTA scores: E(): 3.6e-11, (47.6% identity in 103 aa overlap). Possible continuation of ORF upstream, but no sequence error apparent.</t>
  </si>
  <si>
    <t>PPE family protein PPE8</t>
  </si>
  <si>
    <t>Rv0355c, (MTCY13E10.15c, MTCY13E10.16c, MTCY13E10.17c), len: 3300 aa. PPE8, Member of the Mycobacterium tuberculosis PPE family, similar to others e.g. AL009198|MTV004_5 from Mycobacterium tuberculosis (3716 aa), FASTA scores: opt: 2906, E(): 0, (40.9% identity in 3833 aa overlap); MTV004_3 FASTA scores: (39.0% identity in 3531 aa overlap); etc. Gene contains large number of clustered Major Polymorphic Tandem Repeats (MPTR). Related to MTCY13E10.16c, E(): 0; MTCY13E10.17c, E(): 0; MTCY48.17, E(): 0; MTCY98.0034c, E(): 0; MTCY03C7.23 E(): 0; MTCY98.0031c, E(): 0; MTCY31.06c, E(): 5.6e-17; MTCY359.33, E(): 2.3e-16. Nucleotide position 426909 in the genome sequence has been corrected, A:C resulting in W2591G.</t>
  </si>
  <si>
    <t>Rv0356c, (MTCY13E10.18c), len: 214 aa. Conserved protein, equivalent to AL023514|MLCB4_12 conserved hypothetical protein from Mycobacterium leprae (218 aa), FASTA scores: opt: 1067, E(): 0, (73.4% identity in 214 aa overlap). A core mycobacterial gene; conserved in mycobacterial strains (See Marmiesse et al., 2004).</t>
  </si>
  <si>
    <t>Involved in AMP biosynthesis (first committed step). Plays an important role in the de novo pathway of purine nucleotide biosynthesis [catalytic activity: GTP + imp + L-aspartate = GDP + phosphate + adenylosuccinate].</t>
  </si>
  <si>
    <t>Probable adenylosuccinate synthetase PurA (imp--aspartate ligase) (ADSS) (ampsase)</t>
  </si>
  <si>
    <t>Rv0357c, (MTCY13E10.19c), len: 432 aa. Probable purA, adenylosuccinate synthase, equivalent to AL023514|MLCB4_13 from adenylosuccinate synthetase Mycobacterium leprae (432 aa), FASTA scores: opt: 2555, E(): 0, (87.9% identity in 431 aa overlap). Also highly similar to many bacterial adenylosuccinates synthetases e.g. P12283|PURA_ECOLI adenylosuccinates synthetase from Escherichia coli (431 aa), FASTA scores: E(): 0, (51.1% identity in 425 aa overlap); etc. Belongs to the adenylosuccinate synthetase family.</t>
  </si>
  <si>
    <t>Rv0358</t>
  </si>
  <si>
    <t>Rv0358, (MTCY13E10.20), len: 215 aa. Conserved protein, highly similar to ML0281|AL023514|MLCB4_14 conserved hypothetical protein from Mycobacterium leprae (229 aa), FASTA scores: opt: 852, E(): 0, (62.9% identity in 229 aa overlap). A core mycobacterial gene; conserved in mycobacterial strains (See Marmiesse et al., 2004).</t>
  </si>
  <si>
    <t>Rv0359, (MTCY13E10.21), len: 259 aa. Probable conserved integral membrane protein, highly similar to hypothetical or other membrane proteins e.g. AL133220|SCC75A_6|T50569 probable membrane protein from Streptomyces coelicolor (265 aa), FASTA scores: opt: 642, E(): 0, (43.1% identity in 248 aa overlap); P70995 hypothetical 24.7 kDa protein from Bacillus subtilis (219 aa), FASTA scores: E(): 1.5e-12, (31.3% identity in 192 aa overlap). Contains neutral zinc metallopeptidases, zinc-binding region signature (PS00142).</t>
  </si>
  <si>
    <t>Rv0360c</t>
  </si>
  <si>
    <t>Rv0360c, (MTCY13E10.22c), len: 145 aa. Conserved protein, equivalent to AL023514|MLCB4_16|CAA18948.1|AL023514|MLCB4.27c hypothetical protein from Mycobacterium leprae (137 aa), FASTA scores: opt: 793, E(): 0, (85.4% identity in 137 aa overlap). And similar to AL049754|SCH10_25c|T36537 hypothetical protein from Streptomyces coelicolor (143 aa), FASTA scores: opt: 497, E(): 3.2e-27, (55.8% identity in 138 aa overlap).</t>
  </si>
  <si>
    <t>Rv0361, (MTCY13E10.23), len: 275 aa. Probable conserved membrane protein (has hydrophobic stretch from residues 132-156), equivalent to AL023514|MLCB4_17|AA18949.1|AL023514 putative membrane protein from Mycobacterium leprae (292 aa), FASTA scores: opt: 1044, E(): 0, (58.6% identity in 292 aa overlap). A core mycobacterial gene; conserved in mycobacterial strains (See Marmiesse et al., 2004).</t>
  </si>
  <si>
    <t>Thought to be involved in Mg2+ transport. Responsible for the translocation of the substrate across the membrane.</t>
  </si>
  <si>
    <t>Possible Mg2+ transport transmembrane protein MgtE</t>
  </si>
  <si>
    <t>Rv0362, (MTCY13E10.24), len: 460 aa. Possible mgtE, magnesium (Mg2+) transport transmembrane protein; C-terminal region is highly similar to MGTE|G780283 putative Mg2+ transporter from Providencia stuarti (314 aa), FASTA scores: E(): 0, (47.2% identity in 307 aa overlap) (N-terminus extends approx. 150 aa further upstream compared to P. stuarti ORF). Also similar in part to others e.g. AAK20879.1|AF334760_1|AF334760 putative Mg2+ transporter from Aeromonas hydrophila (455 aa); NP_231292.1|NC_002505 magnesium transporter from Vibrio cholerae (451 aa); NP_102305.1|NC_002678 Mg2+ transport protein from Mesorhizobium loti (454 aa); etc. Also similar to Rv1232c|MTV006.04c from Mycobacterium tuberculosis (435 aa). Extended hydrophobic segment spanning last 130 residues. Belongs to the MgtE family.</t>
  </si>
  <si>
    <t>Involved in glycolysis (at the sixth step) [catalytic activity: D-fructose 1,6-bisphosphate = glycerone phosphate + D-glyceraldehyde 3-phosphate].</t>
  </si>
  <si>
    <t>Probable fructose-bisphosphate aldolase Fba</t>
  </si>
  <si>
    <t>Rv0363c, (MTCY13E10.25c), len: 344 aa. Probable fba (alternate gene name: fda), fructose bisphosphate aldolase , equivalent to AL023514|MLCB4_18|O69600|ALF_MYCLE fructose-bisphosphate aldolase from Mycobacterium leprae (345 aa), FASTA scores: opt: 1995, E(): 0, (87.7% identity in 342 aa overlap). Also highly similar to others. Belongs to class II fructose-bisphosphate aldolase family. Cofactor: zinc.</t>
  </si>
  <si>
    <t>Rv0364, (MTCY13E10.26), len: 227 aa. Possible conserved transmembrane protein, equivalent to O69601|Y364_MYCLE|ML0287|CAA18951.1|AL023514|AL023514|MLCB4_19 hypothetical 24.3 KDA protein from Mycobacterium leprae (222 aa), FASTA scores: opt: 1027, E(): 0, (66.1% identity in 227 aa overlap). Shows strong similarity to DEDA_ECOLI|P09548 DedA protein protein from Escherichia coli FASTA scores: E(): 1.3e-28, (39.5% identity in 195 aa overlap). Similar also to Mycobacterium tuberculosis DedA protein Rv2637|MTCY441.0.</t>
  </si>
  <si>
    <t>Function unknown: may be involved in the ability to survive in macrophages.</t>
  </si>
  <si>
    <t>Rv0365c, (MTCY13E10.27c), len: 376 aa (start uncertain). Conserved protein (see citation below), very similar to G388212|CAA35191.1, a truncated ORF immediately upstream of the Corynebacterium glutamicum fda gene encoding fructose-1,6-biphosphate aldolase (304 aa), FASTA scores: E(): 7.1e-19, (42.2% identity in 296 aa overlap).</t>
  </si>
  <si>
    <t>Rv0366c</t>
  </si>
  <si>
    <t>Rv0366c, (MTV036.01c), len: 197 aa. Conserved hypothetical protein, showing weak similarity to HI1395|P44173|YD95_HAEIN hypothetical protein from Haemophilus influenzae (140 aa), FASTA scores: opt: 152, E(): 0.0015, (27.0% identity in 126 aa overlap). Contains PS00017 ATP/GTP-binding site motif A (P-loop) and PS00850 Glycine radical signature.</t>
  </si>
  <si>
    <t>Rv0367c, (MTV036.02c), len: 129 aa. Hypothetical unknown protein.</t>
  </si>
  <si>
    <t>Rv0368c, (MTV036.03c), len: 403 aa. Conserved hypothetical protein, showing some similarity to AJ224684|BJAJ4684_4 cooxS protein from Bradyrhizobium japonicum (422 aa), FASTA scores: opt: 341, E(): 4.3e-13, (27.4% identity in 387 aa overlap); Rv2425c|MTCY428_22 hypothetical protein from Mycobacterium tuberculosis FASTA score: (30.7% identity in 238 aa overlap). Contains PS00213 Lipocalin signature.</t>
  </si>
  <si>
    <t>Rv0369c</t>
  </si>
  <si>
    <t>Possible membrane oxidoreductase</t>
  </si>
  <si>
    <t>Rv0369c, (MTV036.04c), len: 171 aa. Possible membrane protein oxidoreductase, similar to ORF 4 of the Pseudomonas thermocarboxydovorans protein of cutA-cutB-cutC gene cluster: X77931|PTC2CUTAC_4 ORF4 from Pseudomonas thermocarboxydovorans (171 aa), FASTA scores: opt: 226, E(): 9.8e-08, (31.3% identity in 166 aa overlap). Also similar to MTV036.05, MTV036.08, MTV036.09, and MTV026.10.</t>
  </si>
  <si>
    <t>Rv0370c, (MTV036.05c), len: 298 aa. Possible oxidoreductase, similar to many hypothetical proteins, but also similar to ORF4|X82447|OCCOXMSL4_4 Protein of coxMSL gene cluster from Pseudomonas/Oligotropha carboxidovorans (295 aa), FASTA scores: opt: 851, E(): 0, (48.2% identity in 282 aa overlap); AJ224684|BJAJ4684_3 cooxS from Bradyrhizobium japonicum (302 aa), FASTA scores: opt: 881, E(): 0, (47.6% identity in 290 aa overlap). Also highly similar to MTCY428_21 from Mycobacterium tuberculosis. Contains PS00017 ATP/GTP-binding site motif A (P-loop).</t>
  </si>
  <si>
    <t>Rv0371c</t>
  </si>
  <si>
    <t>Rv0371c, (MTV036.06c), len: 197 aa. Conserved hypothetical protein, similar to other hypothetical proteins e.g. AL132824|SCAH10.09c|CAB60163.1|AL132824 hypothetical protein from Streptomyces coelicolor (207 aa), FASTA scores: opt: 247, E(): 4.5e-09, (32.3% identity in 195 aa overlap). Also weak similarity with YURE|D70017|Z99120|BSUB0017_134 hypothetical protein yurE from Bacillus subtilis (197 aa), FASTA scores: opt: 217, E(): 2.5e-08, (27.0% identity in 174 aa overlap).</t>
  </si>
  <si>
    <t>Rv0372c</t>
  </si>
  <si>
    <t>Rv0372c, (MTV036.07c), len: 251 aa. Conserved hypothetical protein, showing some similarity with CAB76248.1|X82447|COXF CoxF protein from Pseudomonas/Oligotropha carboxidovorans (280 aa); AJ224684|BJAJ4684_6 cooxS from Bradyrhizobium japonicum (176 aa), FASTA scores: opt: 186, E(): 1.6e-05, (41.1% identity in 95 aa overlap). Also similar to upstream ORF Rv0376c from Mycobacterium tuberculosis (380 aa), FASTA scores: E(): 6.8e-07, (31.0% identity in 277 aa overlap).</t>
  </si>
  <si>
    <t>Function unknown; probably involved in cellular metabolism [catalytic activity: CO + H(2)O + acceptor = CO(2) + reduced acceptor].</t>
  </si>
  <si>
    <t>Probable carbon monoxyde dehydrogenase (large chain)</t>
  </si>
  <si>
    <t>Rv0373c, (MTV036.08c), len: 799 aa. Probable carbon monoxide dehydrogenase, large chain, highly similar to others e.g. AAD00363.1| U80806|CUTL carbon monoxide dehydrogenase large subunit CutL protein from Hydrogenophaga pseudoflava (803 aa); S49124|509391|CAA54902.1|X77931|1094915|2107180C|CUTA carbon-monoxide dehydrogenase large chain (cut operon) from Pseudomonas thermocarboxydovorans (842 aa); C56279|809566|CAA57829.1|X82447|OCCOXMSL4_3|COXL carbon-monoxide dehydrogenase large chain (cluster coxMSL) from Pseudomonas/Oligotropha carboxydovorans (809 aa), FASTA scores: opt: 2484, E(): 0, (56.0% identity in 804 aa overlap); etc.</t>
  </si>
  <si>
    <t>Rv0374c</t>
  </si>
  <si>
    <t>Probable carbon monoxyde dehydrogenase (small chain)</t>
  </si>
  <si>
    <t>Rv0374c, (MTV036.09c), len: 159 aa. Probable carbon monoxide dehydrogenase, small chain, highly similar to others e.g. B56279|5822285|X82447|OCCOXMSL4_2|COXS carbon-monoxide dehydrogenase small chain from Pseudomonas/Oligotropha carboxydovorans (166 aa), FASTA scores: opt: 662, E(): 0, (59.3% identity in 150 aa overlap); CAA12063.1|AJ224684 putative carbon monoxide dehydrogenase small subunit from Bradyrhizobium japonicum (161 aa); S49123|509390|CAA54901.1|X77931|CUTC carbon-monoxide dehydrogenase small chain from Pseudomonas thermocarboxydovorans (163 aa); etc.</t>
  </si>
  <si>
    <t>Rv0375c</t>
  </si>
  <si>
    <t>Probable carbon monoxyde dehydrogenase (medium chain)</t>
  </si>
  <si>
    <t>Rv0375c, (MTV036.10c), len: 286 aa. Probable carbon monoxide dehydrogenase, medium chain, similar to others e.g. AAD00361.1|U80806|CUTM carbon monoxide dehydrogenase middle subunit from Hydrogenophaga pseudoflava (287 aa); S49122|509389|CAA54900.1|X77931|CUTB carbon-monoxide dehydrogenase medium chain from Pseudomonas thermocarboxydovorans (287 aa); A56279|809564|CAA57827.1|X82447|OCCOXMSL4_1|COXM|CODH carbon-monoxide dehydrogenase medium chain from Pseudomonas/Oligotropha carboxydovorans (288 aa), FASTA scores: opt: 594, E(): 0, (37.5% identity in 277 aa overlap); etc.</t>
  </si>
  <si>
    <t>Rv0376c</t>
  </si>
  <si>
    <t>Rv0376c, (MTV036.11c), len: 380 aa. Conserved hypothetical protein, highly similar to T35481|4008539|CAA22508.1|AL034492|SC6C5.10 hypothetical protein from Streptomyces coelicolor (395 aa); and AAK64260.1|AF373840_20 ORF377 hypothetical CoxI from Arthrobacter nicotinovorans (377 aa). And similar to other conserved hypothetical proteins e.g. NP_101963.1|14021136|BAB47749.1|AP002994 hypothetical protein from Mesorhizobium loti (245 aa). Note that C-terminus shows similarity with C-termini of CAB76248.1|X82447|COXF CoxF protein from Pseudomonas/Oligotropha carboxidovorans (280 aa); CAB76250.1|X82447|COXI CoxI protein from Pseudomonas/Oligotropha carboxidovorans (330 aa); and AJ224684|BJAJ4684_6 cooxS from Bradyrhizobium japonicum (176 aa), FASTA scores: E(): 1.9e-17, (47.1% identity in 138 aa overlap). Also some partial similarity with AJ224684|BJAJ4684_5 cooxS from Bradyrhizobium japonicum (107 aa), FASTA scores: opt: 321, E(): 4.2e-14, (53.3% identity in 92 aa overlap); E1184330|Z99120|YURF YURF protein from Bacillus subtilis (330 aa), FASTA scores: opt: 170, E(): 2.9e- 16, (27.5% identity in 345 aa overlap). Also similar to downstream ORF Rv0372c from Mycobacterium tuberculosis (251 aa), FASTA scores: E(): 2.1e-06, (30.7% identity in 277 aa overlap).</t>
  </si>
  <si>
    <t>Probable transcriptional regulatory protein (probably LysR-family)</t>
  </si>
  <si>
    <t>Rv0377, (MTV036.12), len: 321 aa. Probable transcription regulator, lysR family, showing similarity with many hypothetical transcriptional regulators lysR homolog e.g. P32484|YEIE_ECOLI|M89774 hypothetical transcriptional regulator from Escherichia coli (293 aa), FASTA scores: opt: 265, E(): 4.9e-11, (28.6% identity in 266 aa overlap). Also similar to Rv2282c from Mycobacterium tuberculosis. Contains PS00044 bacterial regulatory protein lysR family signature. Seems to belong to the LysR family of transcriptional regulators.</t>
  </si>
  <si>
    <t>Rv0378</t>
  </si>
  <si>
    <t>Conserved hypothetical glycine rich protein</t>
  </si>
  <si>
    <t>Rv0378, (MTV036.13), len: 73 aa. Conserved hypothetical gly-rich protein, showing some similarity to Mycobacterium tuberculosis PE_PGRS family; also similar to MTCY06H11_16|Z85982 hypothetical glycine-rich 88.5 KD protein (1011 aa), FASTA scores: opt: 237, E(): 0.0032, (58.7% identity in 63 aa overlap); MTV043_25.</t>
  </si>
  <si>
    <t>Thought to be involved in protein transport (export).</t>
  </si>
  <si>
    <t>Possible protein transport protein SecE2</t>
  </si>
  <si>
    <t>Rv0379, (MTV036.14), len: 71 aa. Possible secE2, protein transport protein, showing similarity with P27340|S61G_SULSO|SECE preprotein translocase SECE subunit (protein transport protein SEC61 gamma subunit homolog) from Sulfolobus acidocaldarius (65 aa), FASTA scores: opt: 79, E(): 4.7. (30.3% identity in 66 aa overlap); and hypothetical proteins e.g. Q9HPW4|VNG1446H hypothetical protein from Halobacterium sp. strain NRC-1 (77 aa); Q9I794|PA0038 hypothetical protein from Pseudomonas aeruginosa (71 aa); etc. Also highly similar to U85467|MTU85467_1 hypothetical Mycobacterium tuberculosis protein from a patient isolate (116 aa), FASTA scores: opt: 443, E(): 7.7e-29, (98.6% identity in 71 aa overlap). Note that for Rv0379|MTV036.14, a translation initiation region different to the one in U85467|MTU85467_1 was chosen. Could be a part of the prokaryotic protein translocation apparatus which comprise SECA|Rv3240c, SECD|Rv2587c, SECE|Rv0638, SECF|Rv2586c, SECG|Rv1440 and SECY|Rv0732.</t>
  </si>
  <si>
    <t>Possibly causes methylation of RNA.</t>
  </si>
  <si>
    <t>Possible RNA methyltransferase (RNA methylase)</t>
  </si>
  <si>
    <t>Rv0380c, (MTV036.15c), len: 183 aa. Possible RNA methyltransferase, equivalent to CAC32002.1|AL583925 possible RNA methyltransferase from Mycobacterium leprae (182 aa). Also some similarity with others methyltransferases e.g. P19396|TRMH_ECOLI|78514|JV0043 tRNA (guanosine-2'-O-)-methyltransferase (tRNA methyltransferase) from Escherichia coli (229 aa), FASTA scores: opt: 227, E(): 1.4e-09, (28.9% identity in 166 aa overlap). Also similar to Rv0881, Rv3579c, Rv1644 from Mycobacterium tuberculosis.</t>
  </si>
  <si>
    <t>Rv0381c, (MTV036.16c), len: 302 aa. Hypothetical unknown protein. Equivalent to AAK44616.1 from Mycobacterium tuberculosis strain CDC1551 (254 aa) but longer 48 aa.</t>
  </si>
  <si>
    <t>Involved in pyrimidine biosynthesis (at the fifth step) [catalytic activity: orotidine 5'-phosphate + diphosphate = orotate + 5-phospho-alpha-D-ribose 1-diphosphate].</t>
  </si>
  <si>
    <t>Probable orotate phosphoribosyltransferase PyrE (OPRT) (oprtase)</t>
  </si>
  <si>
    <t>Rv0382c, (MTV036.17c), len: 179 aa. Probable pyrE, orotate phosphoribosyltransferase, equivalent to CAC32004.1|AL583925 probable purine/pyrimidine phosphoribosyltransferase from Mycobacterium leprae (179 aa). Also highly similar to many others e.g. T36540|4753874|CAB42037.1|AL049754|SCH10.28c probable orotate phosphoribosyltransferase from Streptomyces coelicolor (182 aa); H69115|2622996|AAB86326.1|AE000938_10|MTH1860 probable orotate phosphoribosyltransferase from Methanobacterium thermoautotrophicum (180 aa), FASTA scores: opt: 389, E(): 2.7e-20, (40.7% identity in 172 aa overlap); O08359|PYRE_SULAC|2065444|CAA73352.1|Y12822 orotate phosphoribosyltransferase from Sulfolobus acidocaldarius (197 aa); etc. Note that also similar to other puridine 5'-monophosphate synthases (umpA genes; UMP synthases), generally in N-terminus that corresponds to orotate phosphoribosyltransferase activity. Contains PS00589 PTS HPR component serine phosphorylation site signature. Belongs to the purine/pyrimidine phosphoribosyltransferase family. Note that previously known as umpA. Nucleotide position 458282 in the genome sequence has been corrected, A:G resulting in Y33Y.</t>
  </si>
  <si>
    <t>Possible conserved secreted protein</t>
  </si>
  <si>
    <t>Rv0383c, (MTV036.18c), len: 284 aa. Possible conserved secreted protein, with hydrophobic stretch in N-terminus and Pro-rich C-terminus. Equivalent to CAC32006.1|AL583925 possible secreted protein from Mycobacterium leprae (286 aa). A core mycobacterial gene; conserved in mycobacterial strains (See Marmiesse et al., 2004).</t>
  </si>
  <si>
    <t>Thought to be an ATPase subunit of an intracellular ATP-dependent protease. Seems to be regulated positively by sigh (Rv3223c product) and negatively by HSPR (Rv0353 product).</t>
  </si>
  <si>
    <t>Probable endopeptidase ATP binding protein (chain B) ClpB (ClpB protein) (heat shock protein F84.1)</t>
  </si>
  <si>
    <t>Rv0384c, (MTV036.19c), len: 848 aa. Probable clpB (alternate gene name: htpM), endopeptidase ATP-binding protein, chain B, equivalent to AC32007.1|AL583925 heat shock protein from Mycobacterium leprae (848 aa). Also highly similar to others e.g. P53532|CLPB_CORGL|1163118|AAB49540.1|U43536|CGU43536_1 CLPB protein (heat-inducible expression) from Corynebacterium glutamicum (852 aa), FASTA scores: opt: 4113, E(): 0, (74.5% identity in 846 aa overlap); T36551|4753885|CAB42048.1|AL049754|clpB|SCOEDB|SCH10.39c probable ATP-dependent proteinase ATP-binding chain from Streptomyces coelicolor (853 aa); P03815|CLPB_ECOLI|1788943|AAC75641.1|AE000345 CLPB protein (heat shock protein F84.1) from Escherichia coli strains K12 and O157:H7 (857 aa); etc. Also similar to Rv3596c|ClpC from Mycobacterium tuberculosis. Contains PS00870 and PS00871 Chaperonins clpA/B signatures and two PS000017 ATP/GTP-binding site motives a (P-loop). Belongs to the CLPA/CLPB family. Contains probable coiled-coil domain from aa 411-503. Conserved in M. tuberculosis, M. leprae, M. bovis and M. avium paratuberculosis; predicted to be essential for in vivo survival and pathogenicity (See Ribeiro-Guimaraes and Pessolani, 2007).</t>
  </si>
  <si>
    <t>Probable monooxygenase</t>
  </si>
  <si>
    <t>Rv0385, (MTV036.20), len: 390 aa. Probable monooxygenase, similar to T37003|5738846|CAB52917.1|AL109949 probable flavohemoprotein from Streptomyces coelicolor (435 aa); and similar in part (C-termini) to various monooxygenases e.g. P19734|DMPP_PSESP|94993|F37831 phenol hydroxylase P5 protein (phenol 2-monooxygenase P5 component) from Pseudomonas putida (353 aa), FASTA scores: opt: 363, E(): 4.2e-16, (31.8% identity in 255 aa overlap); S47292|2120861|pir|S70085 phenol 2-monooxygenase chain mopP from Acinetobacter calcoaceticus (350 aa); P21394|XYLA_PSEPU|94933|B37316 xylene monooxygenase electron transfer component [includes: ferredoxin; ferredoxin--NAD(+) reductase] from Pseudomonas putida plasmid pWW0 (350 aa); AAC38360.1|AF043544|NtnMA|ntnA reductase component of 4-nitrotoluene monooxygenase from Pseudomonas sp. (328 aa); etc.</t>
  </si>
  <si>
    <t>Rv0386, (MTV036.21), len: 1085 aa. Probable regulatory protein, LuxR/uhpA family, highly similar to CAC30706.1|AL583923 possible transcriptional regulator from Mycobacterium leprae (1106 aa). Also similar in part to other regulatory proteins e.g. CAB95788.1|AL359949 putative multi-domain regulatory protein from Streptomyces coelicolor (780 aa); N-terminus of CAB92369.1|AL356612 putative AfsR-like regulatory protein from Streptomyces coelicolor (1114 aa); N-terminus of NP_107139.1|14026327|BAB52925.1|AP003009 transcriptional regulator from Mesorhizobium loti (952 aa); AFSR_STRCO|P25941 regulatory protein afsr from Streptomyces coelicolor (993 aa), FASTA scores: opt: 224, E() : 1.1e-06, (26.1% identity in 867 aa overlap); etc. Also similar to many putative Mycobacterium tuberculosis regulatory proteins e.g. AL0212|MTV008_44 (1137 aa), FASTA scores: opt: 3756, E(): 0, (56.7% identity in 1089 aa overlap). Contains PS00017 ATP/GTP-binding site motif A (P-loop), PS00622 Bacterial regulatory proteins, luxR family signature and probable helix-turn-helix motif at aa 1042-1063 (Score 1025, +2.68 S D). Belongs to the LuxR/UhpA family of transcriptional regulators.</t>
  </si>
  <si>
    <t>Rv0387c</t>
  </si>
  <si>
    <t>Rv0387c, (MTV036.22c), len: 244 aa. Conserved hypothetical protein, showing some similarity to MTCI237.20c, and M17282|HUMEL20_1 Human elastin gene, exon 1, Elastin (687 aa), FASTA scores: opt: 193, E(): 0.35, (34.4% identity in 189 aa overlap).</t>
  </si>
  <si>
    <t>PPE family protein PPE9</t>
  </si>
  <si>
    <t>Rv0388c, (MTV036.23c), len: 180 aa. PPE9, Member of the Mycobacterium tuberculosis PPE family, highly similar to others e.g. MTCY10G2_10|Z92539 from Mycobacterium tuberculosis (391 aa), FASTA scores: opt: 667, E(): 0, (58.3% identity in 180 aa overlap) but much shorter.</t>
  </si>
  <si>
    <t>Involved in third step (first of two transformylation reactions) in de novo purine biosynthesis. This is an alternative enzyme to the PURN|Rv0956 gar transformylase (5'-phosphoribosylglycinamide formyltransferase). Catalyzes two reactions: the first one is the production of beta-formyl glycinamide ribonucleotide (gar) from formate, ATP and beta gar; the second, a side reaction, is the production of acetyl phosphate and ADP from acetate and ATP [catalytic activity: formate + ATP + 5'-phospho-ribosylglycinamide = 5'-phosphoribosyl-N-formylglycinamide + ADP + pyrophosphate].</t>
  </si>
  <si>
    <t>Probable phosphoribosylglycinamide formyltransferase 2 PurT (GART 2) (gar transformylase 2) (5'-phosphoribosylglycinamide transformylase 2) (formate-dependent gar transformylase)</t>
  </si>
  <si>
    <t>Rv0389, (MTCY04D9.01, MTV036.24), len: 419 aa. Probable purT, phosphoribosylglycinamide formyltransferase 2, similar to others e.g. P33221|PURT_ECOLI|B1849 phosphoribosylglycinamide formyltransferase 2 from Escherichia coli strain K-12 (391 aa), FASTA scores: opt: 481, E(): 1.3e-22, (40.1% identity in 379 aa overlap); etc. Belongs to the PurK / PurT family. Cofactor: magnesium.</t>
  </si>
  <si>
    <t>Rv0390, (MTCY04D9.02), len: 140 aa. Conserved protein, equivalent to AL023514|MLCB4_11|CAA18942.1|AL023514 hypothetical protein from Mycobacterium leprae (147 aa), FASTA scores: opt: 778, E(): 0, (79.0% identity in 138 aa overlap). Also similar to hypothetical proteins from several Rickettsia species.</t>
  </si>
  <si>
    <t>Involved in methionine biosynthesis. Converts O-succinylhomoserine into homocysteine.</t>
  </si>
  <si>
    <t>Probable O-succinylhomoserine sulfhydrylase MetZ (OSH sulfhydrylase)</t>
  </si>
  <si>
    <t>Rv0391, (MTCY04D9.03), len: 406 aa. Probable metZ, O-succinylhomoserine sulfhydrylase, equivalent, but shorter 20 aa in N-terminus, to AA18941.1|AL023514 O-succinylhomoserine sulfhydrylase from Mycobacterium leprae (426 aa). Also highly similar to others e.g. METZ_PSEAE|P55218 o-succinylhomoserine sulfhydrylase from Pseudomonas aeruginosa (403 aa), FASTA scores: opt: 1175, E(): 0, (47.2% identity in 392 aa overlap); etc. Belongs to the trans-sulfuration enzymes family. Could also be a cystathionine gamma-synthase.</t>
  </si>
  <si>
    <t>Transfer of electrons from NADH to the respiratory chain. The immediate electron acceptor for the enzyme is believed to be ubiquinone. Does not couple the redox reaction to proton translocation [catalytic activity: NADH + acceptor = NAD+ + reduced acceptor].</t>
  </si>
  <si>
    <t>Probable membrane NADH dehydrogenase NdhA</t>
  </si>
  <si>
    <t>Rv0392c, (MTCY04D9.04c), len: 470 aa. Probable ndhA, membrane NADH dehydrogenase, equivalent to many e.g. AF038423|AF038423_1 NADH dehydrogenase from Mycobacterium smegmatis (457 aa), FASTA scores: opt: 1991, E(): 0, (67.9% identity in 458 aa overlap); MLCB1788_3 NADH dehydrogenase from Mycobacterium leprae (466 aa), FASTA score: (62.5% identity in 467 aa overlap). Also similar to others from several organisms e.g. P00393|DHNA_ECOLI|66211|581140|CAA23586.1|V00306 NADH dehydrogenase from Escherichia coli (434 aa); and Rv0392c|ndhB from Mycobacterium tuberculosis. Has hydrophobic stretch in C-terminus. Belongs to the NADH dehydrogenase family.</t>
  </si>
  <si>
    <t>Rv0393, (MTCY04D9.05), len: 441 aa. Member of Mycobacterium tuberculosis 13E12 repeat family of conserved proteins, similar to many e.g. Rv1148c, Rv1945, Rv3467, Rv0336|MTCY279_3 (503 aa), FASTA scores: E(): 0, (61.1% identity in 347 aa overlap).</t>
  </si>
  <si>
    <t>Possible secreted protein</t>
  </si>
  <si>
    <t>Rv0394c, (MTCY04D9.06c), len: 239 aa. Possible secreted protein, sharing no homology with other proteins. Has hydrophobic stretch at its N-terminus.</t>
  </si>
  <si>
    <t>Rv0395</t>
  </si>
  <si>
    <t>Rv0395, (MTCY04D9.07), len: 134 aa. Hypothetical unknown protein.</t>
  </si>
  <si>
    <t>Rv0396</t>
  </si>
  <si>
    <t>Rv0396, (MTCY04D9.08), len: 130 aa. Hypothetical unknown protein.</t>
  </si>
  <si>
    <t>Rv0397</t>
  </si>
  <si>
    <t>Rv0397, (MTCY04D9.09), len: 122 aa. Part of 13E12 repeat family of conserved Mycobacterium tuberculosis proteins, similar to downstream Rv0393|Z84725|MTCY4D9_5 conserved 13E12 repeat family protein (441 aa), FASTA scores: E(): 0, (87.7% identity in 122 aa overlap).</t>
  </si>
  <si>
    <t>Rv0397A</t>
  </si>
  <si>
    <t>Rv0397A, len: 82 aa. Conserved protein.</t>
  </si>
  <si>
    <t>Rv0398c</t>
  </si>
  <si>
    <t>Rv0398c, (MTCY04D9.10c), len: 213 aa. Possible secreted protein, sharing no homology with other proteins. Has potential signal sequence with hydrophobic stretch from aa 7-25.</t>
  </si>
  <si>
    <t>lpqK</t>
  </si>
  <si>
    <t>Rv0399c</t>
  </si>
  <si>
    <t>Possible conserved lipoprotein LpqK</t>
  </si>
  <si>
    <t>Rv0399c, (MTCY04D9.11c), len: 409 aa. Possible lpqK, conserved lipoprotein, showing some similarity to penicillin binding proteins and various peptidases e.g. DAC_STRSQ|P15555 d-alanyl-d-alanine carboxypeptidase protein (406 aa), FASTA scores: opt: 348, E(): 5.6e-16, (29.2% identity in 301 aa overlap). Also similar to other Mycobacterium tuberculosis PBPs and esterases. Has possible N-terminal signal sequence and appropriately positioned prokaryotic lipoprotein lipid attachment site (PS00013).</t>
  </si>
  <si>
    <t>Acyl-CoA dehydrogenase FadE7</t>
  </si>
  <si>
    <t>Rv0400c, (MTCY04D9.12c), len: 395 aa. Probable fadE7, acyl-CoA dehydrogenase, similar to many e.g. CAC12923.1|AL445403 putative acyl CoA dehydrogenase from Streptomyces coelicolor (397 aa); G624219 glutaryl-CoA dehydrogenase precursor (438 aa), FASTA scores: opt: 1161, E(): 0, (48.1% identity in 391 aa overlap); etc.</t>
  </si>
  <si>
    <t>Rv0401</t>
  </si>
  <si>
    <t>Rv0401, (MTCY04D9.14), len: 123 aa. Probable conserved transmembrane protein, equivalent to AL023514|MLCB4_9 putative integral membrane protein from Mycobacterium leprae (122 aa), FASTA scores: opt: 548, E(): 4.4e-32, (66.9% identity in 121 aa overlap). A core mycobacterial gene; conserved in mycobacterial strains (See Marmiesse et al., 2004).</t>
  </si>
  <si>
    <t>mmpL1</t>
  </si>
  <si>
    <t>Probable conserved transmembrane transport protein MmpL1</t>
  </si>
  <si>
    <t>Rv0402c, (MTCY04D9.15c), len: 958 aa. Probable mmpL1, conserved transmembrane transport protein (see Tekaia et al., 1999), member of RND superfamily, highly similar to other Mycobacterial proteins e.g. YV34_MYCTU|Q11171 hypothetical 106.2 kDa membrane protein from Mycobacterium tuberculosis (968 aa), FASTA scores: opt: 3551, E(): 0, (55.4% identity in 933aa overlap); YV34_MYCLE|P54881 hypothetical 105.2 kDa protein from Mycobacterium leprae (959 aa), FASTA scores: opt: 3615, E(): 0, (55.5% identity in 941 aa overlap); etc. Highly similar to many other mycobacterial MmpL proteins from Mycobacterium tuberculosis and Mycobacterium leprae e.g. Rv0450c, Rv0676c, Rv0507, etc. Belongs to the MmpL family.</t>
  </si>
  <si>
    <t>mmpS1</t>
  </si>
  <si>
    <t>Rv0403c</t>
  </si>
  <si>
    <t>Probable conserved membrane protein MmpS1</t>
  </si>
  <si>
    <t>Rv0403c, (MTCY04D9.16c), len: 142 aa. Probable mmpS1, conserved membrane protein (see citation below), highly similar to other Mycobacterial proteins e.g. YV33_MYCLE|P54880 hypothetical 16.9 kDa protein from Mycobacterium leprae (154 aa), FASTA scores: opt: 458, E(): 1.6e-26, (46.9% identity in 143 aa overlap); YV33_MYCTU|Q11170 hypothetical 15.9 kDa protein from Mycobacterium tuberculosis (147 aa), FASTA scores: opt: 362, E(): 1.1e-19, (42.1% identity in 140 aa overlap); etc. Also similar to other MmpS proteins from Mycobacterium tuberculosis e.g. Rv0677c, Rv0451c, etc. Belongs to the MmpS family. Predicted to be an outer membrane protein (See Song et al., 2008).</t>
  </si>
  <si>
    <t>Fatty-acid-AMP ligase FadD30 (fatty-acid-AMP synthetase) (fatty-acid-AMP synthase)</t>
  </si>
  <si>
    <t>Rv0404, (MTCY04D9.17-MTCY22G10.00), len: 585 aa. fadD30, fatty-acid-AMP synthetase, similar to many e.g. MBU75685_1|AAB52538.1|U75685 acyl-CoA synthase from Mycobacterium bovis (582 aa); MASC_MYCLE|P54200 masc protein from Mycobacterium leprae (372 aa), FASTA scores: opt: 888, E(): 0, (44.2% identity in 342 aa overlap). Also similar to Y06J_MYCTU|Q10976 hypothetical 67.9 kDa protein (626 aa), FASTA scores: opt: 1463, E(): 0, (42.4% identity in 568 aa overlap).</t>
  </si>
  <si>
    <t>pks6</t>
  </si>
  <si>
    <t>Polyketide synthase possibly involved in lipid synthesis.</t>
  </si>
  <si>
    <t>Probable membrane bound polyketide synthase Pks6</t>
  </si>
  <si>
    <t>Rv0405, (MTCY22G10.01), len: 1402 aa. Probable pks6, membrane-bound polyketide synthase (see citation below), highly similar to others e.g. CAC29643.1|AL583917 putative polyketide synthase from Mycobacterium leprae (2103 aa); Y06K_MYCTU|Q10977 probable polyketide synthase (1876 aa), FASTA scores: opt: 2303, E(): 0, (38.7% identity in 1232 aa overlap); etc. Contains PS00606 Beta-ketoacyl synthases active site, 2 x PS00017 ATP/GTP-binding site motif A (P-loop), and PS00012 Phosphopantetheine attachment site.</t>
  </si>
  <si>
    <t>Beta lactamase like protein</t>
  </si>
  <si>
    <t>Rv0406c, (MTCY22G10.02c), len: 272 aa. Beta-lactamase-like protein, equivalent to AAD38170.1|AF152397_1 beta-lactamase-like protein from Mycobacterium phlei (243 aa); AL023514|MLCB4_8 hypothetical protein from Mycobacterium leprae (251 aa), FASTA scores: opt: 1284, E(): 0, (74.9% identity in 243 aa overlap); and AAD38164.1|AF152394_2 beta-lactamase-like protein from Mycobacterium avium (247 aa), FASTA scores: opt: 1301, E(): 0, (74.2% identity in 244 aa overlap); etc. Also slight similarity to others beta-lactamases and hypothetical proteins e.g. P52700|BLA1_XANMA|628530|S45349 metallo-beta-lactamase L1 precursor (beta-lactamase, type II) (penicillinase) from Xanthomonas maltophilia (290 aa), FASTA scores: (34.4% identity in 96 aa overlap). Recombinant protein has beta lactamase activity (See Nampoothiri et al., 2008).</t>
  </si>
  <si>
    <t>F420-dependent glucose-6-phosphate dehydrogenase Fgd1</t>
  </si>
  <si>
    <t>Rv0407, (MTCY22G10.03), len: 336 aa. fgd1, F420-dependent glucose-6-phosphate dehydrogenase, equivalent to others from Mycobacteria e.g. AAD38165.1|AF152394_3 from Mycobacterium avium (336 aa), FASTA scores: opt: 2082, E(): 0, (89.9% identity in 336 aa overlap); AL023514|MLCB 4_7 from Mycobacterium leprae (336 aa), FASTA scores: opt: 2069, E(): 0, (89.0% identity in 336 aa overlap). Also similar to other dehydrogenases e.g. CAA77276.1|Y18730 F420-dependent alcohol dehydrogenase from Methanofollis liminatans (330 aa). Also similar to many proteins from Mycobacterium tuberculosis e.g. Rv0953c, Rv0791c, etc. Note that previously known as fgd.</t>
  </si>
  <si>
    <t>Involved at the last step (of two) in the conversion of acetate to acetyl-CoA [catalytic activity: acetyl-CoA + phosphate = CoA + acetyl phosphate].</t>
  </si>
  <si>
    <t>Probable phosphate acetyltransferase Pta (phosphotransacetylase)</t>
  </si>
  <si>
    <t>Rv0408, (MTCY22G10.04), len: 690 aa. Probable pta, phosphate acetyltransferase, highly similar to others e.g. PTA_ECOLI|P39184|11279789|JX0357|B2297 phosphate acetyltransferase from Escherichia coli strain K12 (713 aa), FASTA scores: opt: 1303, E(): 0, (38.0% identity in 718 aa overlap); etc. Belongs to the phosphate acetyltransferase and butyryltransferase family.</t>
  </si>
  <si>
    <t>Involved at the first step (of two) in the conversion of acetate to acetyl-CoA [catalytic activity: ATP + acetate = ADP + acetyl phosphate].</t>
  </si>
  <si>
    <t>Probable acetate kinase AckA (acetokinase)</t>
  </si>
  <si>
    <t>Rv0409, (MTCY22G10.05), len: 385 aa. Probable ackA, acetate kinase, highly similar to others e.g. ACKA_BACSU|P37877 acetate kinase from Bacillus subtilis (395 aa), FASTA scores: opt: 974, E(): 0, (43.5% identity in 393 aa overlap); etc. Contains PS01075 Acetate and butyrate kinases family signature 1, PS00758 ArgE / dapE / ACY1/ CPG2 / yscS family signature 1. Belongs to the acetokinase family.</t>
  </si>
  <si>
    <t>Involved in signal transduction (via phosphorylation). Thought to regulate amino-acid uptake and stationary-phase metabolism. Phosphorylates the peptide substrate myelin basic protein (MBP) at serine residues [catalytic activity: ATP + a protein = ADP + a phosphoprotein].</t>
  </si>
  <si>
    <t>Serine/threonine-protein kinase PknG (protein kinase G) (STPK G)</t>
  </si>
  <si>
    <t>Rv0410c, (MTCY22G10.06c), len: 750 aa. PknG, serine/threonine-protein kinase (see citations below), equivalent to PKNG_MYCLE|P57993|13092623|CAC29812.1|AL583918 probable serine/threonine-protein kinase from Mycobacterium leprae (767 aa). Also similar to others e.g. AB76890.1|AL159139 putative serine/threonine protein kinase from Streptomyces coelicolor (774 aa); etc. Contains PS00108 Serine/Threonine protein kinases active-site signature. Contains Hank's kinase subdomain. Belongs to the Ser/Thr family of protein kinases. Structure of PknG with inhibitor AX20017 reveals that the inhibitor-binding pocket is shaped by a unique set of amino acid side chains not found in any human kinase (See Scherr et al., 2007).</t>
  </si>
  <si>
    <t>Involved in active transport of glutamine across the membrane (import). Interacts with the glutamine-transport system.</t>
  </si>
  <si>
    <t>Probable glutamine-binding lipoprotein GlnH (GLNBP)</t>
  </si>
  <si>
    <t>Rv0411c, (MTCY22G10.07c), len: 328 aa. Probable glnH, glutamine-binding protein, membrane-bound lipoprotein (see citation below), equivalent to AL035159|MLCB1450_15|T44736|4154051|CAA22704.1 glutamine-binding protein homolog from Mycobacterium leprae (325 aa), FASTA scores: opt: 1747, E(): 0, (79.3% identity in 328 aa overlap). Also similar to others e.g. GLNH_BACST|P27676 glutamine-binding protein precursor from Bacillus stearothermophilus (262 aa), FASTA scores: opt: 493, E(): 7.5e-22, (37.8% identity in 193 aa overlap); etc. Contains PS00013 Prokaryotic membrane lipoprotein lipid attachment site, PS01039 Bacterial extracellular solute-binding proteins, family 3 signature. Belongs to the bacterial extracellular solute-binding protein family 3. Presumed attached to the membrane by a lipid anchor.</t>
  </si>
  <si>
    <t>Rv0412c, (MTCY22G10.08c), len: 439 aa. Possible conserved membrane protein, equivalent to AL035159|MLCB1450_16|T44737 probable membrane protein from Mycobacterium leprae (403 aa), FASTA scores: opt: 2027, E(): 0, (80.4% identity in 403 aa overlap). Also some similarity with CAB71201.1|AL138538 putative secreted protein from Streptomyces coelicolor (429 aa).</t>
  </si>
  <si>
    <t>Possibly involved in the go system responsible for removing an oxidatively damaged form of guanine (7,8-dihydro-8-oxoguanine) from DNA and the nucleotide pool. 8-oxo-dGTP is inserted opposite DA and DC residues of template DNA with almost equal efficiency thus leading to A.T to G.C transversions. MutT specifically degrades 8-oxo-dGTP to the monophosphate [catalytic activity: 8-oxo-dGTP + H2O = 8-oxo-dGMP + pyrophosphate].</t>
  </si>
  <si>
    <t>Possible mutator protein MutT3 (7,8-dihydro-8-oxoguanine-triphosphatase) (8-oxo-dGTPase) (dGTP pyrophosphohydrolase)</t>
  </si>
  <si>
    <t>Rv0413, (MTCY22G10.10), len: 217 aa. Possible mutT3, mutator protein (see citation below), showing some similarity with e.g. MUTT_PROVU|P32090 mutator mutt protein from Proteus vulgaris (112 aa), FASTA scores: opt: 151, E(): 0.0008, (40.7% identity in 59 aa overlap). Seems to belong to the NUDIX hydrolase family.</t>
  </si>
  <si>
    <t>Involved in thiamine biosynthesis. Condenses 4-methyl-5-(beta-hydroxyethyl)-thiazole monophosphate (THZ-P) and 4-amino-5-hydroxymethyl pyrimidine pyrophosphate (HMP-pp) to form thiamine monophosphate (TMP) [catalytic activity: 2-methyl-4-amino-5-hydroxymethylpyrimidine diphosphate + 4-4-methyl-5-(2-phosphonooxyethyl)-thiazole = diphosphate + thiamine monophosphate].</t>
  </si>
  <si>
    <t>Thiamine-phosphate pyrophosphorylase ThiE (TMP pyrophosphorylase) (TMP-PPASE) (thiamine-phosphate synthase)</t>
  </si>
  <si>
    <t>Rv0414c, (MTCY22G10.11c), len: 222 aa. thiE, thiamin phosphate pyrophosphorylase, equivalent to Q9ZBL5|AL035159|MLCB1450_17 probable thiamine-phosphate pyrophosphorylase from Mycobacterium leprae (235 aa), FASTA scores: opt: 1095, E(): 0, (78.0% identity in 223 aa overlap). Also similar to others e.g. T34974|5689976|CAB52013.1|AL109663 probable thiamin phosphate pyrophosphorylase from Streptomyces coelicolor (223 aa); THIE_ECOLI|P30137 thie protein from Escherichia coli strain K12 (211 aa), FASTA scores: opt: 275, E(): 7.8e-12, (37.8% identity in 196 aa overlap); etc. Belongs to the TMP-PPASE family.</t>
  </si>
  <si>
    <t>Possibly involved in thiamine biosynthesis.</t>
  </si>
  <si>
    <t>Possible thiamine biosynthesis oxidoreductase ThiO</t>
  </si>
  <si>
    <t>Rv0415, (MTCY22G10.12), len: 340 aa. Possible thiO, thiamine biosynthesis oxidoreductase, equivalent to T44739|4154054|CAA22708.1|AL035159|MLCB1450.24 hypothetical protein from Mycobacterium leprae (340 aa), FASTA scores: opt: 1867, E(): 0, (82.0% identity in 338 aa overlap). Shows some similarity to other thiO proteins e.g. THIO_RHIET|O34292 Putative thiamine biosynthesis oxidoreductase from Rhizobium etli plasmid pb (327 aa) (see citation below); AAG31046.1|AF264948_8|THIO putative amino acid oxidase flavoprotein ThiO from Erwinia amylovora (349 aa); NP_106392.1|14025578|BAB52178.1|AP003007|THIO thiamine biosynthesis oxidoreductase THIO from Mesorhizobium loti (333 aa); etc.</t>
  </si>
  <si>
    <t>thiS</t>
  </si>
  <si>
    <t>Rv0416</t>
  </si>
  <si>
    <t>Possible protein ThiS</t>
  </si>
  <si>
    <t>Rv0416, (MTCY22G10.13), len: 68 aa. Possible thiS protein, equivalent to T44740|4154055|CAA22709.1|AL035159|MLCB1450.25 hypothetical protein from Mycobacterium leprae (74 aa), FASTA scores: opt: 303, E(): 2e-18, (71.6% identity in 74 aa overlap). Shows weak similarity with O32583|THIS_ECOLI|THIG1|B3991.1 this protein from Escherichia coli strain K12 (66 aa), FASTA scores: opt: 103, E(): 0.052, (30.9% identity in 68 aa overlap). A core mycobacterial gene; conserved in mycobacterial strains (See Marmiesse et al., 2004).</t>
  </si>
  <si>
    <t>Involved in thiamine biosynthesis. Required for the synthesis of the thiazole moiety of thiamine.</t>
  </si>
  <si>
    <t>Probable thiamin biosynthesis protein ThiG (thiazole biosynthesis protein)</t>
  </si>
  <si>
    <t>Rv0417, (MTCY22G10.14), len: 252 aa. Probable thiG, thiamin biosynthesis protein, equivalent to AL035159|MLCB1450_20|T44741|THIG probable thiamin biosynthesis protein from Mycobacterium leprae (261 aa), FASTA scores: opt: 1380, E(): 0, (86.8% identity in 250 aa overlap). Also highly similar to others e.g. SCOEDB|SC6E10.03|T35490|THIG probable thiazole biosynthesis protein from Streptomyces coelicolor (264 aa); F82761|9105679|AAF83593.1|AE003919_4|XF0783|THIG thiamin biosynthesis protein thiG from Xylella fastidiosa (275 aa); P30139|THIG_ECOLI|7448315|B65206|409790|AAC43089.1|U00006 THIG protein thiamin biosynthesis protein from Escherichia coli strain K-12 (281 aa); etc. Belongs to the THIG family.</t>
  </si>
  <si>
    <t>Probable lipoprotein aminopeptidase LpqL</t>
  </si>
  <si>
    <t>Rv0418, (MTCCY22G10.15), len: 500 aa. Probable lpqL, lipoprotein aminopeptidase, similar to others e.g. B83278|9949035|AAG06327.1|AE004720_3|AE004720|PA2939 probable aminopeptidase from Pseudomonas aeruginosa (536 aa); P80561|APX_STRGR|SGAP|S66427 aminopeptidase from Streptomyces griseus (284 aa) (homology only with C-terminus of Rv0418); P37302|APE3_YEAST|1077010|A54134 aminopeptidase Y from Saccharomyces cerevisiae (537 aa); etc. Contains PS00013 Prokaryotic membrane lipoprotein lipid attachment site.</t>
  </si>
  <si>
    <t>Function unknown; possibly hydrolyzes peptides and/or proteins.</t>
  </si>
  <si>
    <t>Possible lipoprotein peptidase LpqM</t>
  </si>
  <si>
    <t>Rv0419, (MTCY22G10.16), len: 498 aa. Possible lpqM, lipoprotein peptidase ; has potential N-terminal signal peptide and contains PS00013 Prokaryotic membrane lipoprotein lipid attachment site, PS00142 Neutral zinc metallopeptidases, zinc-binding region signature.</t>
  </si>
  <si>
    <t>Possible transmembrane protein</t>
  </si>
  <si>
    <t>Rv0420c, (MTCY22G10.17c), len: 136 aa. Possible transmembrane protein; has potential transmembrane domains aa 53-99 and aa 100-122.</t>
  </si>
  <si>
    <t>Rv0421c, (MTCY22G10.18c), len: 209 aa. Conserved hypothetical protein, showing similarity with NP_103507.1|14022684|BAB49293.1|AP002998 hypothetical protein from Mesorhizobium loti (214 aa).</t>
  </si>
  <si>
    <t>Involved in thiamine biosynthesis. Catalyzes the phosphorylation of HMP-P to HMP-pp [catalytic activity: ATP + 4-amino-2-methyl-5-phosphomethylpyrimidine = ADP + 4-amino-2-methyl-5-diphosphomethylpyrimidine].</t>
  </si>
  <si>
    <t>Probable phosphomethylpyrimidine kinase ThiD (HMP-phosphate kinase) (HMP-P kinase)</t>
  </si>
  <si>
    <t>Rv0422c, (MTCY22G10.19c), len: 265 aa. Probable thiD, phosphomethylpyrimidine kinase, equivalent to AL035159|MLCB1450_21 phosphomethylpyrimidine kinase from Mycobacterium leprae (279 aa), FASTA scores: opt: 1386, E(): 0, (77.8% identity in 266 aa overlap). Also highly similar to others e.g. HIU32725_3|P44697|THID_HAEIN phosphomethylpyrimidine kinase from Haemophilus influenzae (269 aa), FASTA scores: opt: 605, E(): 0, (42.1% identity in 259 aa overlap). Belongs to the ThiD family.</t>
  </si>
  <si>
    <t>Involved in thiamine biosynthesis. Required for the synthesis of the hydromethylpyrimidine (HMP) moiety of thiamine (4-amino-2-methyl-5-hydroxymethylpyrimidine).</t>
  </si>
  <si>
    <t>Probable thiamine biosynthesis protein ThiC</t>
  </si>
  <si>
    <t>Rv0423c, (MTCY22G10.20c), len: 547 aa. Probable thiC, thiamin biosynthesis protein, equivalent to Q9ZBL0|THIC_MYCLE|11279601|T44743|AL035159|MLCB1450_22 thiamine biosynthesis protein from Mycobacterium leprae (547 aa), FASTA scores: opt: 3283, E(): 0, (90.1% identity in 547 aa overlap). Also highly similar to others e.g. P45740|THIC_BACSU thiamin biosynthesis protein from Bacillus subtilis (590 aa), FASTA scores: opt: 2295, E(): 0, (65.2% identity in 580 aa overlap); P30136|THIC_ECOLI THIC protein from Escherichia coli strain K12 (631 aa), FASTA scores: opt: 2141, E(): 0, (62.1% identity in 568 aa overlap); etc. Belongs to the ThiC family.</t>
  </si>
  <si>
    <t>Rv0424c, (MTCY22G10.21c), len: 91 aa. Hypothetical unknown protein.</t>
  </si>
  <si>
    <t>Metal cation-transporting ATPase; possibly catalyzes the transport of an undetermined metal cation with the hydrolysis of ATP [catalytic activity: ATP + H(2)O + undetermined metal cation(in) = ADP + phosphate + undetermined metal cation(out)].</t>
  </si>
  <si>
    <t>Possible metal cation transporting P-type ATPase CtpH</t>
  </si>
  <si>
    <t>Rv0425c, (MTCY22G10.22c), len: 1539 aa. Possible ctpH, metal cation-transporting P-type ATPase (transmembrane protein), showing some similarity with CAA17934.1|AL022118|13093871|CAC32203.1|AL583926 putative cation-transporting ATPase from Mycobacterium leprae (1609 aa). Also similar to others ATPases e.g. AE000873_1 cation-transporting P-ATPase from Methanobacterium thermoautotrop (844 aa), FASTA score: (30.5% identity in 827 aa overlap); AB69720.1|AL137166 putative transport ATPase from Streptomyces coelicolor (1472 aa); etc. C-terminal region similar to other ATPases from Mycobacterium tuberculosis e.g. Y05Q_MYCTU|Q10900 putative cation-transporting ATPase C (855 aa), FASTA scores: opt: 770, E(): 5.3e-32, (44.9% identity in 820 aa overlap). Nucleotide position 511518 in the genome sequence has been corrected, T:G resulting in I1268I.</t>
  </si>
  <si>
    <t>Rv0426c</t>
  </si>
  <si>
    <t>Rv0426c, (MTCY22G10.23c), len: 147 aa. Possible transmembrane protein; has potential transmembrane domains aa 19-41, and aa 61-83.</t>
  </si>
  <si>
    <t>Involved in base excision repair. Apurinic-apyrimidinic endonuclease. Supposed to remove the damaged DNA at cytosines and guanines by cleaving at the 3' side of the AP site by a beta-elimination reaction. Possibly exhibites 3'-5'-exonuclease, 3'-phosphomonoesterase, 3'-repair diesterase and ribonuclease H activities [catalytic activity: degradation of double-stranded DNA. It acts progressively in a 3'- to 5'-direction, releasing 5'-phosphomononucleotides].</t>
  </si>
  <si>
    <t>Probable exodeoxyribonuclease III protein XthA (exonuclease III) (EXO III) (AP endonuclease VI)</t>
  </si>
  <si>
    <t>Rv0427c, (MTCY22G10.24c), len: 291 aa. Probable xthA (alternate gene name: xth), exodeoxyribonuclease III protein (see citation below), similar to others e.g. EX3_ECOLI|P09030 exodeoxyribonuclease III from Escherichia Coli strain K12 (268 aa), FASTA scores: opt: 360, E(): 1.2e-17, (29.3% identity in 270 aa overlap); etc. Belongs to the AP/EXOA family of DNA repair enzymes.</t>
  </si>
  <si>
    <t>Rv0428c, (MTCY22G10.25c), len: 302 aa. Probable acetyltransferase. Contains GNAT (Gcn5-related N-acetyltransferase) domain in C-terminal part. See Vetting et al. 2005.</t>
  </si>
  <si>
    <t>Removes the formyl group from the N-terminal met of newly synthesized proteins [catalytic activity: N-formyl-L-methionine + H2O = formate + L-methionine].</t>
  </si>
  <si>
    <t>Probable polypeptide deformylase Def (PDF) (formylmethionine deformylase)</t>
  </si>
  <si>
    <t>Rv0429c, (MTCY22G10.26c), len: 197 aa. Probable def, polypeptide deformylase, equivalent to CAC30884.1|AL583923 polypeptide deformylase from Mycobacterium leprae (197 aa). Also similar to others e.g. DEF_ECOLI|P27251|95874|S23107 polypeptide deformylase from Escherichia coli (169 aa), FASTA scores: opt: 179, E(): 1.8e-05, (34.6% identity in 162 aa overlap); etc. Belongs to the polypeptide deformylase family. Cofactor: binds 1 zinc ion.</t>
  </si>
  <si>
    <t>Rv0430, (MTCY22G10.27), len: 102 aa. Conserved hypothetical protein, equivalent to AC30882.1|AL583923 conserved hypothetical protein from Mycobacterium leprae (102 aa). Also highly similar to CAB93047.1|SCD95A.20|AL357432 hypothetical protein from Streptomyces coelicolor (84 aa).</t>
  </si>
  <si>
    <t>Putative tuberculin related peptide</t>
  </si>
  <si>
    <t>Rv0431, (MTCY22G10.28), len: 164 aa. Putative tuberculin related peptide; almost identical to D00815|MSGAT103_1 AT103 from Mycobacterium tuberculosis (172 aa), FASTA score: (99.4% identity in 163 aa overlap). Highly similar to to CAC30881.1|AL583923 tuberculin related peptide (AT103) from Mycobacterium leprae (167 aa). Some similarity to G550415|HRPC (282 aa), FASTA scores: opt: 120, E(): 0.36, (33.3% identity in 111 aa overlap). Potential transmembrane domain at aa 19-37.</t>
  </si>
  <si>
    <t>Destroys radicals which are normally produced within the cells and are toxic to biological systems [catalytic activity: 2 superoxide + 2 H+ = O2 + H2O2].</t>
  </si>
  <si>
    <t>Periplasmic superoxide dismutase [Cu-Zn] SodC</t>
  </si>
  <si>
    <t>Rv0432, (MTCY22G10.29), len: 240 aa. sodC, periplasmic superoxide dismutase [Cu-Zn], equivalent to CAC30880.1|AL583923 superoxide dismutase precursor (Cu-Zn) from Mycobacterium leprae (240 aa); and AAK20038.1|AF326234_1 copper zinc superoxide dismutase from Mycobacterium avium subsp. paratuberculosis (226 aa). Also similar to others e.g. SODC_PHOLE|P00446 superoxide dismutase precursor (Cu-Zn) from Photobacterium leiognathi (173 aa), FASTA scores: opt: 214, E(): 5.2 e-06, (36.5% identity in 181 aa overlap). Contains PS00013 Prokaryotic membrane lipoprotein lipid attachment site. Belongs to the Cu-Zn superoxide dismutase family. Possibly localized in periplasm, membrane-bound.</t>
  </si>
  <si>
    <t>Rv0433, (MTCY22G10.30), len: 376 aa. Conserved hypothetical protein, similar to other hypothetical proteins e.g. P77213|YBDK_ECOLI hypothetical 41.7 KD protein from Escherichia coli strain K12 (372 aa), FASTA scores: opt: 555, E(): 2e-30, (28.2% identity in 365 aa overlap).</t>
  </si>
  <si>
    <t>Rv0434, (MTCY22G10.31), len: 217 aa. Conserved hypothetical protein, similar to AE002052_2 from Deinococcus radiodurans (213 aa), FASTA scores: opt: 258, E(): 4e-10, (31.9% identity in 213 aa overlap); SYCSLRB_122|Q55701 hypothetical 24.5 kDa protein from Synechocystis (214 aa), FASTA scores: opt: 156, E(): 0.00041, (28.4% identity in 204 aa overlap); MXABSGA_1|LON2_MYXXA|P36774 ATP-dependent protease la 2 from Myxococcus xanthus (826 aa), FASTA scores: opt: 160, E(): 0.00068, (28.4% identity in 197 aa overlap); etc.</t>
  </si>
  <si>
    <t>ATPase; possibly catalyzes the transport of undetermined substrate with hydrolyse of ATP [catalytic activity: ATP + H(2)O + undetermined substrate(in) = ADP + phosphate + undetermined substrate(out)].</t>
  </si>
  <si>
    <t>Putative conserved ATPase</t>
  </si>
  <si>
    <t>Rv0435c, (MTCY22G10.32c), len: 728 aa. Putative conserved ATPase, similar to others e.g. SAV_SULAC|Q07590 sav protein involved in cell division from sulfolobus acidocaldarius (780 aa), FASTA scores: opt: 897, E(): 0, (34.5% identity in 693 aa overlap); NP_148637.1|7435761|B72479 transitional endoplasmic reticulum ATPase from Aeropyrum pernix (699 aa); etc. Also similar to Rv3610c and Rv2115c from Mycobacterium tuberculosis. Contains PS00017 ATP/GTP-binding site motif A (P-loop), and PS00674 AAA-protein family signature.</t>
  </si>
  <si>
    <t>Involved in phospholipid biosynthesis. Generates phosphatidylserine [catalytic activity: CDP-diacylglycerol + L-serine = CMP + O-SN-phosphatidyl-L-serine].</t>
  </si>
  <si>
    <t>Probable CDP-diacylglycerol--serine O-phosphatidyltransferase PssA (PS synthase) (phosphatidylserine synthase)</t>
  </si>
  <si>
    <t>Rv0436c, (MTCY22G10.33c), len: 286 aa. Probable pssA, PS synthase (CDP-diacylglycerol--serine O-phosphatidyltransferase) (see citation below), integral membrane protein, equivalent to AL035159|MLCB1450_9|T44730 from Mycobacterium leprae (300 aa), FASTA scores: opt: 1506, E(): 0, (77.9% identity in 285 aa overlap). Also highly similar to others e.g. NP_108059.1|14027250|BAB54204.1|AP003012 phosphatidylserine synthase from Mesorhizobium loti (248 aa); PSS_BACSU|P39823 cdp-diacylglycerol--serine o-phosphatidyltransferase from Bacillus subtilis (177 aa), FASTA scores: opt: 277, E(): 9.9e-12, (33.3% identity in 183 aa overlap); etc. Contains PS00379 CDP-alcohol phosphatidyltransferases signature. Belongs to the CDP-alcohol phosphatidyltransferase class-I family.</t>
  </si>
  <si>
    <t>Function unknown, but involved in lipid metabolism [catalytic activity: phosphatidyl-L-serine = phosphatidylethanolamine + CO(2)].</t>
  </si>
  <si>
    <t>Possible phosphatidylserine decarboxylase Psd (PS decarboxylase)</t>
  </si>
  <si>
    <t>Rv0437c, (MTV037.01c), len: 231 aa (start uncertain). Possible psd, phosphatidylserine decarboxylase , equivalent to CAC29819.1|AL583918 conserved hypothetical protein from Mycobacterium leprae (243 aa); and highly similar to MLCB1450.11|T44729|4154044|CAA22695.1|AL035159 hypothetical protein from Mycobacterium leprae (202 aa), FASTA score: (74.6% identity in 197 aa overlap). Also similar to other phosphatidylserine decarboxylases e.g. NP_108058.1|14027249|BAB54203.1|AP003012 phosphatidylserine decarboxylase from Mesorhizobium loti (232 aa); AAK86872|g15156090|AGR_C_1963 phosphatidylserine decarboxylase from Agrobacterium tumefaciens (244 aa); AAG12422.1|AY005137|Psd phosphatidylserine decarboxylase from Chlorobium tepidum (216 aa); etc.</t>
  </si>
  <si>
    <t>Involved in molybdenum cofactor biosynthesis: involved in the biosynthesis of a demolybdo-cofactor (molybdopterin), necessary for molybdo-enzymes.</t>
  </si>
  <si>
    <t>Probable molybdopterin biosynthesis protein MoeA2</t>
  </si>
  <si>
    <t>Rv0438c, (MTV037.02c), len: 405 aa. Probable moeA2, molybdenum cofactor biosynthesis protein, highly similar to many e.g. Y10817|ANY10817_2 from A. nicotinovorans (429 aa), FASTA scores: opt: 786, E(): 0, (39.2% identity in 398 aa overlap); etc. Also similar to MOEA1|Rv0994|MTCI237.08|O05577 probable molybdopterin biosynthesis protein from Mycobacterium tuberculosis (426 aa), FASTA scores: opt: 667, E(): 2e-32, (36.5% identity in 425 aa overlap). Note that previously known as moeA3.</t>
  </si>
  <si>
    <t>Rv0439c, (MTV037.03c), len: 311 aa. Probable dehydrogenase/reductase, equivalent to AL035159|MLCB1450_6|T44727 probable oxidoreductase from Mycobacterium leprae (304 aa), FASTA scores: opt: 1360, E(): 0, (69.2% identity in 302 aa overlap). Also highly similar to various oxidoreductases, generally dehydrogenases/reductases e.g. PA5031|C83017|9951320|AAG08416.1|AE004916_5|AE004916 probable short chain dehydrogenase from Pseudomonas aeruginosa (309 aa); Q03326|OXIR_STRAT probable oxidoreductase from Streptomyces antibioticus (298 aa), FASTA scores: opt: 400, E(): 1.2e-18, (34.6% identity in 298 aa overlap); etc.</t>
  </si>
  <si>
    <t>Prevents misfolding and promotes the refolding and proper assembly of unfolded polypeptides generated under stress conditions.</t>
  </si>
  <si>
    <t>60 kDa chaperonin 2 GroEL2 (protein CPN60-2) (GroEL protein 2) (65 kDa antigen) (heat shock protein 65) (cell wall protein A) (antigen A)</t>
  </si>
  <si>
    <t>Rv0440, (MTV037.04), len: 540 aa. GroEL2 (alternate gene names: groL2, groEL-2, hsp65, hsp60), 60 kDa chaperonin 2 (see Shinnick 1987). Purified 65 kDa antigen can elicit a strong delayed-type hypersensitivity reaction in experimental animals infected with M. tuberculosis. This protein is one of the major immunoreactive proteins of the mycobacteria. This antigen contains epitopes that are common to various species of mycobacteria. Contains PS00296 Chaperonins cpn60 signature. Belongs to the chaperonin (HSP60) family. Phosphorylated in vitro by PknJ|Rv2088 (See Arora et al., 2010).</t>
  </si>
  <si>
    <t>Rv0441c, (MTV037.05c), len: 142 aa. Hypothetical unknown protein.</t>
  </si>
  <si>
    <t>PPE family protein PPE10</t>
  </si>
  <si>
    <t>Rv0442c, (MTV037.06c), len: 487 aa. PPE10, Member of the Mycobacterium tuberculosis PPE family, nearly identical to hypothetical protein from Mycobacterium tuberculosis (strain Erdman) and to AN5S46909_1 protein fragment from Mycobacterium bovis (302 aa); P42611|YHS6_MYCTU hypothetical 50.6 kDa protein (517 aa), FASTA scores: opt: 3144, E(): 0, (98.4 identity in 492 aa overlap); and S46909|S46909_1 (302 aa), FASTA scores: opt: 1897, E(): 0, (98.0% identity in 302 aa overlap). Nucleotide position 532097 in the genome sequence has been corrected, T:C resulting in K40E.</t>
  </si>
  <si>
    <t>Rv0443, (MTV037.07), len: 171 aa. Conserved protein, highly similar to AL049863|SC5H1_23|T35339 hypothetical protein from Streptomyces coelicolor (171 aa), FASTA scores: opt: 561, E(): 2.3e-32, (49.7% identity in 165 aa overlap); and CAC42482.1|AJ318385 hypothetical protein from Amycolatopsis mediterranei (163 aa).</t>
  </si>
  <si>
    <t>rskA</t>
  </si>
  <si>
    <t>Regulates negatively Rv0445c|SIGK</t>
  </si>
  <si>
    <t>Anti-sigma factor RskA (regulator of sigma K)</t>
  </si>
  <si>
    <t>Rv0444c, (MTV037.08c), len: 232 aa. RskA, regulator of SigK (See Said-Salim et al., 2006); C-terminus similar to P12752|Y24K_STRGR hypothetical 24.7 kDa protein from Streptomyces griseus (238 aa), FASTA scores: opt: 207, E(): 2.2e-05, (32.9% identity in 158 aa overlap). Cleaved by Rip|Rv2869c, in M. tuberculosis Erdman (See Sklar et al., 2010).</t>
  </si>
  <si>
    <t>Involved in transcription mechanism. The sigma factor is an initiation factor that promotes attachment of the RNA polymerase to specific initiation sites and then is released.</t>
  </si>
  <si>
    <t>Alternative RNA polymerase sigma factor SigK</t>
  </si>
  <si>
    <t>Rv0445c, (MTV037.09c), len: 187 aa. sigK, alternative RNA polymerase sigma factor (see citations below), highly similar to others e.g. 5531433|CAB50938.1|AL096849|T36745 probable RNA polymerase sigma factor from Streptomyces coelicolor (185 aa); NP_105607.1|14024791|BAB51393.1|AP003005 RNA polymerase sigma factor from Mesorhizobium loti (179 aa); 1654108|AAB17906.1|U11283|A58883 probable transcription initiation factor sigma E from Rhodobacter phaeroides (168 aa), FASTA scores: opt: 299, E(): 2e-14, (32.7% identity in 168 aa overlap); Q45585|SIGW_BACSU RNA polymerase sigma factor SIGW from Bacillus subtilis (187 aa), FASTA scores: opt: 213, E(): 2.9e-08, (26.8% identity in 179 aa overlap); etc.</t>
  </si>
  <si>
    <t>Rv0446c, (MTV037.10c), len: 256 aa. Possible conserved transmembrane protein, similar at N-terminus to U1740AF|U15183|MLU15183_40 from Mycobacterium leprae (117 aa), FASTA scores: opt: 175, E(): 2.5e-05, (62.5% identity in 40 aa overlap); and at C-terminus to AL021529|SC10A5_3 from Streptomyces coelicolor (226 aa), FASTA scores: opt: 207, E(): 9.8e-07, (34.2% identity in 114 aa overlap). Also similar to others hypothetical proteins e.g. AAK04680.1|AE006291_14|AE006291 hypothetical protein from Lactococcus lactis subsp. lactis (257 aa).</t>
  </si>
  <si>
    <t>Transfers a methylene group from S-adenosyl-L-methionine to the cis double bond of an unsaturated fatty acid chain resulting in the replacement of the double bond with a methylene bridge [catalytic activity: S-adenosyl-L-methionine + phospholipid olefinic fatty acid = S-adenosyl-L-homocysteine + phospholipid cyclopropane fatty acid].</t>
  </si>
  <si>
    <t>Probable cyclopropane-fatty-acyl-phospholipid synthase UfaA1 (cyclopropane fatty acid synthase) (CFA synthase)</t>
  </si>
  <si>
    <t>Rv0447c, (MTV037.11c), len: 427 aa (start uncertain). Probable ufaA1, cyclopropane-fatty-acyl-phospholipid synthase, similar to others e.g. NP_102178.1|14021351|BAB47964.1|AP002994 cyclopropane-fatty-acyl-phospholipid synthase from Mesorhizobium loti (378 aa); B82240|9655593|AAF94281.1|AE004192 cyclopropane-fatty-acyl-phospholipid synthase from Vibrio cholerae (432 aa); P30010|CFA_ECOLI cyclopropane-fatty-acyl-phospholipid synthase from Escherichia coli strain K-12 (382 aa); X55704|PPLPD_3 LPD-3 from P.putida (394 aa), FASTA scores: opt: 556, E(): 2.8e-30, (33.3% identity in 387 aa overlap); AE0005|HPAE000557_9 from Helicobacter pylori (389 aa), FASTA scores: opt: 539, E(): 3.9e-29, (34.3% identity in 382 aa overlap).</t>
  </si>
  <si>
    <t>Rv0448c, (MTV037.12c), len: 221 aa. Conserved hypothetical protein, similar to other hypothetical proteins e.g. Z74841|BOD5A2_1 from B. oleracea (283 aa), FASTA scores: opt: 257, E(): 1.4e-10, (32.0% identity in 197 aa overlap); etc. Some similarity to U15183|MLU15183_38 from Mycobacterium leprae (82 aa), FASTA scores: opt: 134, E(): 0.014, (71.0% identity in 31 aa overlap).</t>
  </si>
  <si>
    <t>Rv0449c, (MTV037.13c), len: 439 aa. Conserved hypothetical protein, some similarity with several hypothetical proteins and various enzymes e.g. AAK24569.1|AE005927 amine oxidase, flavin-containing from Caulobacter crescentus (454 aa); BAB02771.1|AB023036 mycolic acid methyl transferase-like protein from Arabidopsis thaliana (842 aa); BAB01742.1|AP000374 protein which contains similarity to cyclopropane fatty acid synthase from Arabidopsis thaliana (793 aa); etc. Has hydrophobic stretch at N-terminus.</t>
  </si>
  <si>
    <t>Probable conserved transmembrane transport protein MmpL4</t>
  </si>
  <si>
    <t>Rv0450c, (MTV037.14c), len: 967 aa. Probable mmpL4, conserved transmembrane transport protein (see citations below), member of RND superfamily, equivalent to U1740V|P54881|YV34_MYCLE hypothetical 105.2 kDa protein from Mycobacterium leprae (959 aa), FASTA scores: opt: 5051, E(): 0, (78.4% identity in 962 aa overlap). Also highly similar to other proteins from Mycobacterium tuberculosis e.g. Z83860|MTCY98.08 (962 aa), FASTA scores: opt: 3917, E(): 0, (61.3% identity in 950 aa overlap), MTCY20G9.34, etc. Contains PS00211 ABC transporters family signature. Belongs to the MmpL family.</t>
  </si>
  <si>
    <t>mmpS4</t>
  </si>
  <si>
    <t>Probable conserved membrane protein MmpS4</t>
  </si>
  <si>
    <t>Rv0451c, (MTV037.15c), len: 140 aa. Probable mmpS4, conserved membrane protein (see citations below), equivalent to U1740W|P54880|YV33_MYCLE hypothetical 16.9 kDa protein from Mycobacterium leprae (154 aa), FASTA scores: opt: 727, E(): 0, (75.9% identity in 137 aa overlap). Also similar to other Mycobacterial proteins e.g. Z84725|MTCY04D9.16c from Mycobacterium tuberculosis (142 aa), FASTA scores: opt: 451, E(): 3.2e-24, (50.0% identity in 138 aa overlap); etc. Belongs to the MmpS family. A core mycobacterial gene; conserved in mycobacterial strains (See Marmiesse et al., 2004). Predicted to be an outer membrane protein (See Song et al., 2008).</t>
  </si>
  <si>
    <t>Rv0452, (MTV037.16), len: 236 aa. Possible transcriptional regulator, similar to several putative TetR-family transcriptional regulators from Streptomyces coelicolor. Also similar in N-terminus to U1740Y|U15183|MLU15183_33 from Mycobacterium leprae (67 aa), FASTA score: (76.1% identity in 67 aa overlap). Contains probable helix-turn-helix motif at aa 44-65 (Score 1727, +5.07 SD).</t>
  </si>
  <si>
    <t>PPE family protein PPE11</t>
  </si>
  <si>
    <t>Rv0453, (MTV037.17), len: 518 aa. PPE11, Member of the Mycobacterium tuberculosis PPE family, similar to many e.g. AL0212|MTV012_32 from Mycobacterium tuberculosis (434 aa), FASTA scores: opt: 882, E(): 7e-31, (41.8% identity in 514 aa overlap).</t>
  </si>
  <si>
    <t>Rv0454, (MTV037.18), len: 116 aa (start uncertain). Conserved hypothetical protein, showing similarity with AAA63007.1|U15183 hypothetical protein from Mycobacterium leprae (115 aa), FASTA scores: opt: 151, E(): 0.0019, (31.5% identity in 89 aa overlap).</t>
  </si>
  <si>
    <t>Rv0455c, (MTV037.19c), len: 148 aa. Conserved protein, equivalent to CAC31896.1|AL583925 possible secreted protein from Mycobacterium leprae (153 aa). Has hydrophobic stretch at N-terminus. A core mycobacterial gene; conserved in mycobacterial strains (See Marmiesse et al., 2004). Predicted to be an outer membrane protein (See Song et al., 2008).</t>
  </si>
  <si>
    <t>mazF1</t>
  </si>
  <si>
    <t>Rv0456A</t>
  </si>
  <si>
    <t>Possible toxin MazF1</t>
  </si>
  <si>
    <t>Rv0456A, len: 93 aa. Possible mazF1, toxin, part of toxin-antitoxin (TA) operon with Rv0456B (See Pandey and Gerdes, 2005; Zhu et al., 2006); N-terminus highly similar to N-terminal part of P71650|Rv2801c|MT2869|MTCY16B7.42 conserved hypothetical protein from Mycobacterium tuberculosis (118 aa), FASTA scores: opt: 303, E(): 1e-14, (60.44% identity in 91 aa overlap). Also some similarity in part with other hypothetical proteins e.g. Q9PHH8|XFA0027 Plasmid maintenance protein from Xylella fastidiosa (108 aa), FASTA scores: opt: 169, E(): 3.9e-05, (50.820% identity in 61 aa overlap).</t>
  </si>
  <si>
    <t>mazE1</t>
  </si>
  <si>
    <t>Rv0456B</t>
  </si>
  <si>
    <t>Possible antitoxin MazE1</t>
  </si>
  <si>
    <t>Rv0456B, len: 57 aa. Possible mazE1, antitoxin, part of toxin-antitoxin (TA) operon with Rv0456A (See Pandey and Gerdes, 2005; Zhu et al., 2006).</t>
  </si>
  <si>
    <t>echA2</t>
  </si>
  <si>
    <t>Rv0456c</t>
  </si>
  <si>
    <t>enoyl-CoA hydratase EchA2 (enoyl hydrase) (unsaturated acyl-CoA hydratase) (crotonase)</t>
  </si>
  <si>
    <t>Rv0456c, (MTCI429A.02, MTV037.20c), len: 304 aa. Probable echA2, enoyl-CoA hydratase, similar to other enoyl-CoA hydratases e.g. Q13011 peroxisomal enoyl-CoA hydratase-like protein (328 aa), FASTA scores: opt: 209, E(): 5.3e-07, (31.7% identity in 142 aa overlap). Also similar to several other proteins from Mycobacterium tuberculosis e.g. MTCY09F9.29 FASTA score: (32.9% identity in 146 aa overlap); and MTI376.01c.</t>
  </si>
  <si>
    <t>Probable peptidase</t>
  </si>
  <si>
    <t>Rv0457c, (MTCI429A.01, MTV038.01c), len: 673 aa. Probable peptidase, similar to many e.g. NP_102851.1|14022026|BAB48637.1 probable endopeptidase from Mesorhizobium loti (687 aa); Y4NA_RHISN|P55577 probable peptidase (726 aa), FASTA scores: opt: 1126, E(): 0, (40.9% identity in 491 aa overlap). Also similar to Mycobacterium tuberculosis protein MTCY369.26 FASTA score: (33.8% identity in 299 aa overlap).</t>
  </si>
  <si>
    <t>Interconversion aldehyde and acid [catalytic activity: an aldehyde + NAD+ + H2O = an acid + NADH].</t>
  </si>
  <si>
    <t>Rv0458, (MTV038.02), len: 507 aa. Probable aldehyde dehydrogenase, highly similar to many, closest to P46369|THCA_RHOER EPTC-inducible aldehyde dehydrogenase from Rhodococcus erythropolis (506 aa), FASTA scores: opt: 2767, E(): 0, (79.7% identity in 507 aa overlap); AAC13641.1|AF029733 chloroacetaldehyde dehydrogenase from Xanthobacter autotrophicus (505 aa), FASTA scores: opt: 2563, E(): 0, (75.4% identity in 492 aa overlap); Q9RJZ6|DHAL_STRCO probable aldehyde dehydrogenase from Streptomyces coelicolor (507 aa). Also similar to other semialdehyde dehydrogenases in Mycobacterium tuberculosis e.g. Rv0768, Rv2858c. Belongs to the aldehyde dehydrogenases family.</t>
  </si>
  <si>
    <t>Rv0459, (MTV038.03), len: 163 aa. Conserved hypothetical protein, highly similar to other hypothetical proteins. Note that highly similar to products of unidentified ORFs in Xanthobacter autotrophicus, AF029733_2 (139 aa), and Rhodococcus erythropolis, REREUTP BC_1 (186 aa). Like MTV038.03, these ORF's are linked to aldehyde dehydrogenase genes. FASTA scores: AF0297|AF029733_2 (139 aa), opt: 439, E(): 6.2e-24, (50.0% identity in 126 aa overlap); and L24492|REREUTPBC_1 (186 aa), opt: 347, E(): 2.1e-17, (52.7% identity in 169 aa overlap). N-terminus also highly similar to AAA63041.1|U15183 ethanolamine permease (eutP) match from Mycobacterium leprae (53 aa).</t>
  </si>
  <si>
    <t>Conserved hydrophobic protein</t>
  </si>
  <si>
    <t>Rv0460, (MTV038.04), len: 79 aa. Conserved hydrophobic protein, highly similar AAA63024.1|U15183 hypothetical protein from Mycobacterium leprae (56 aa), FASTA scores: opt: 197, E(): 3.7e-09, (63.8% identity in 47 aa overlap).</t>
  </si>
  <si>
    <t>Probable transmembrane protein</t>
  </si>
  <si>
    <t>Rv0461, (MTV038.05), len: 174 aa (start uncertain). Probable transmembrane protein. Nucleotide position 552085 in the genome sequence has been corrected, A:G resulting in Q20Q.</t>
  </si>
  <si>
    <t>lpdC</t>
  </si>
  <si>
    <t>Involved in energy metabolism. Lipoamide dehydrogenase is the E3 component of pyruvate dehydrogenase and the alpha-ketoacid dehydrogenase complex [catalytic activity: dihydrolipoamide + NAD(+) = lipoamide + NADH]. Also involved in antioxidant defense; LPDC|Rv0462, DLAT|Rv2215, AHPD|Rv2429, and AHPC|Rv2428 constitute an NADH-dependent peroxidase and peroxynitrite reductase that provides protection against oxidative stress.</t>
  </si>
  <si>
    <t>Dihydrolipoamide dehydrogenase LpdC (lipoamide reductase (NADH)) (lipoyl dehydrogenase) (dihydrolipoyl dehydrogenase) (diaphorase)</t>
  </si>
  <si>
    <t>Rv0462, (MTV038.06), len: 464 aa. LpdC (alternate gene name: TB49.2, CIP50), dihydrolipoamide dehydrogenase (see Argyrou &amp; Blanchard 2001), equivalent to AAA63016.1|U15183 lipoamide dehydrogenase from Mycobacterium leprae (467 aa), FASTA scores: opt: 2583, E(): 0, (83.1% identity in 467 aa overlap). Also similar to to many e.g. P50970|DLDH_ZYMMO|X82291|ZMLPD_1 dihydrolipoamide dehydrogenase from Z.mobilis (466 aa), FASTA scores: opt: 1198, E(): 0, (42.4 % identity in 465 aa overlap); etc. Belongs to the pyridine nucleotide-disulfide oxidoreductases class-I. Binds to coronin-1 in BCG and M. tuberculosis - coronin-1 is retained on phagosomes and phagosome maturation is arrested (See Deghmane et al., 2007). LpdC|Rv0462 co-immunoprecipitates with DlaT|Rv2215 (in lpdC|Rv0462 mutant) and with BkdC|Rv2495c (in dlaT|Rv2215 mutant) (See Venugopal et al., 2011).</t>
  </si>
  <si>
    <t>Rv0463, (MTV038.07), len: 97 aa. Probable conserved transmembrane protein, highly similar to AAA63017.1|U15183 hypothetical protein from Mycobacterium leprae (101 aa), FASTA scores: opt: 364, E(): 4e-21, (57.9% identity in 95 aa overlap). A core mycobacterial gene; conserved in mycobacterial strains (See Marmiesse et al., 2004).</t>
  </si>
  <si>
    <t>Rv0464c, (MTV038.08c), len: 190 aa. Conserved protein, highly similar to CAC31982.1|AL583925 conserved hypothetical protein from Mycobacterium leprae (188 aa). Also some similarity with Rv1531|AL022000|MTV045_5|D70820 hypothetical protein from Mycobacterium tuberculosis (188 aa), FASTA scores: E(): 9.6e-10, (30.9% identity in 175 aa overlap). A core mycobacterial gene; conserved in mycobacterial strains (See Marmiesse et al., 2004).</t>
  </si>
  <si>
    <t>Rv0465c, (MTV038.09c), len: 474 aa. Probable transcriptional regulator, highly similar to AC44331.1|AL596102 putative DNA-binding protein from Streptomyces coelicolor (489 aa); and similar to several hypothetical proteins and others transcriptional regulators. Some similarity in N-terminal region (1-100 aa) with repressors e.g. P06153|RPC_BPPH1 immunity repressor protein (144 aa), FASTA scores: opt: 130, E(): 0.084,(27.0% identity in 100 aa overlap). Very similar to Rv1129c|Z95585|MTCY22G8.18c from Mycobacterium tuberculosis (486 aa), FASTA scores: opt: 1475, E(): 0, (47.4% identity in 468 aa overlap). Contains probable helix-turn-helix motif at aa 19-40 (1827, +5.41 SD).</t>
  </si>
  <si>
    <t>Rv0466, (MTV038.10), len: 264 aa. Conserved protein, equivalent to CAC31980.1|AL583925 conserved hypothetical protein from Mycobacterium leprae (264 aa). Similar to Rv2001|Z74025|MTCY39.17c hypothetical 28.7 KDA protein from Mycobacterium tuberculosis (250 aa), FASTA scores: opt: 592, E(): 0, (38.0% identity in 263 aa overlap). Some similarity to several thioesterases e.g. Q42561|ATACPTE17_1 acyl-(acyl carrier protein) thioester from A. thaliana (362 aa), FASTA scores: E(): 0.0092, (24.4% identity in 197 aa overlap).</t>
  </si>
  <si>
    <t>icl1</t>
  </si>
  <si>
    <t>Involved in glyoxylate bypass (at the first step), an alternative to the tricarboxylic acid cycle (in bacteria, plants, and fungi) [catalytic activity: isocitrate = succinate + glyoxylate]. Involved in the persistence in the host.</t>
  </si>
  <si>
    <t>Isocitrate lyase Icl (isocitrase) (isocitratase)</t>
  </si>
  <si>
    <t>Rv0467, (MTV038.11), len: 428 aa. Icl1, isocitrate lyase (see citations below), highly similar to many, closest to Z29367|RFISCILY_1 from R. fascians (429 aa), FASTA scores: opt: 2359, E(): 0, (80.7% identity in 429 aa overlap). Belongs to the isocitrate lyase family. Has 2-methyl-isocitrate lyase (MCL) activity in M. tuberculosis Erdman (See Munoz-Elias et al., 2006; Gould et al., 2006). Predicted possible vaccine candidate (See Zvi et al., 2008).</t>
  </si>
  <si>
    <t>Butyrate/butanol-producing pathway [catalytic activity: (S)-3-hydroxybutanoyl-CoA + NADP+ = 3-acetoacetyl-CoA + NADPH]</t>
  </si>
  <si>
    <t>3-hydroxybutyryl-CoA dehydrogenase FadB2 (beta-hydroxybutyryl-CoA dehydrogenase) (BHBD)</t>
  </si>
  <si>
    <t>Rv0468, (MTV038.12), len: 286 aa. fadB2, 3-hydroxybutyryl-CoA dehydrogenase, equivalent to CAC31978.1|AL583925 3-hydroxyacyl-CoA dehydrogenase from Mycobacterium leprae (287 aa). Also similar to many 3-hydroxybutyryl-CoA dehydrogenases e.g. U32229|BJU32229_1 beta-hydroxybutyryl coenzyme A dehydrogenase from Bradyrhizobium japonicum (293 aa), FASTA scores: opt: 771, E(): 0, (45.7% identity in 282 aa overlap). Belongs to the 3-hydroxyacyl-CoA dehydrogenase family.</t>
  </si>
  <si>
    <t>Involved in mycolic acid modification or synthesis.</t>
  </si>
  <si>
    <t>Possible mycolic acid synthase UmaA</t>
  </si>
  <si>
    <t>Rv0469, (MTV038.13), len: 286 aa. Possible umaA, mycolic acid synthase (see citations below), highly similar to CAC30854.1|AL583923 methyl mycolic acid synthase 1 from Mycobacterium leprae (286 aa); and CAC31976.1|AL583925 Mycolic acid synthase from Mycobacterium leprae (295 aa), FASTA scores: opt: 1402, E(): 0, (69.6% identity in 286 aa overlap). Also very similar to mycobacterial methyltransferases e.g. U77466|CmaD|MBU77466_1 (286 aa); MTCY20H10.26c|Z92772|MTY20H10_27 (296 aa); highly similar to CFA1_MYCTU|Q11195|U66108|MTU66108_1 cyclopropane-fatty-acyl-phospholipid synthase 1 (287 aa), FASTA scores: opt: 1360, E(): 0, (67.8% identity in 286 aa overlap) (see citation below); and very similar also to methoxy mycolic acid synthase 1 from Mycobacterium tuberculosis e.g. MTU66108_1 (286 aa). Note that previously known as umaA1.</t>
  </si>
  <si>
    <t>Rv0470A</t>
  </si>
  <si>
    <t>Rv0470A, len: 146 aa. Hypothetical unknown protein. GC plot suggests CDS for Cys-rich protein, could possibly be continuation of Rv0471c but no frameshift found to allow this. Sequence same in Mycobacterium bovis and Mycobacterium tuberculosis strain CDC1551. Weak hits to Cys-rich region (aa 258-314) of D63395|D63395_1 mRNA for NOTCH4 from Homo sapiens (1095 aa), FASTA scores: opt: 132, E(): 1.1, (39.35% identity in 61 aa overlap).</t>
  </si>
  <si>
    <t>Involved in the mycolic acid modification or synthesis; essential for the cyclopropanation function. Required for cording and mycolic acid cyclopropane ring synthesis in the cell wall.</t>
  </si>
  <si>
    <t>Mycolic acid synthase PcaA (cyclopropane synthase)</t>
  </si>
  <si>
    <t>Rv0470c, (MTV038.14), len: 287 aa. PcaA (previously known as umaA2), mycolic acid synthase (cyclopropane synthase) (see citations below), equivalent to CAC31976.1|AL583925 Mycolic acid synthase from Mycobacterium leprae (295 aa); and highly similar to S72886|B2168_F3_130|467038|AAA17222.1|U00018 hypothetical protein from Mycobacterium leprae (308 aa); Q11195|CFA1_MYCTU cyclopropane-fatty-acyl-phospholipid synthase 1 (cyclopropane mycolic acid synthase 1) (287 aa) (see Glickman et al., 2000); U27357|MTU27357_1 cyclopropane mycolic acid synthase from Mycobacterium tuberculosis (287 aa), FASTA scores: opt: 1415, E(): 0, (72.8% identity in 287 aa overlap); and related enzymes e.g. MTCY20H10.25c|Z92772|MTY20H10_26 (287 aa), FASTA scores: opt: 1387, E(): 0, (72.5% identity in 287 aa overlap).</t>
  </si>
  <si>
    <t>Rv0471c</t>
  </si>
  <si>
    <t>Rv0471c, (MTV038.15c), len: 162 aa. Hypothetical unknown protein.</t>
  </si>
  <si>
    <t>Rv0472c, (MTV038.16c), len: 234 aa. Probable regulatory protein, possibly TetR family, equivalent to CAC31974.1|AL583925 possible TetR-family transcriptional regulator from Mycobacterium leprae (233 aa). Also similar to CAC01492.1|AL391017 putative transcriptional regulatory protein from Streptomyces coelicolor (218 aa); and CAC01371.1|AL390975 putative TetR-family transcriptional regulator from Streptomyces coelicolor (228 aa). Also similar to AL0212|MTV012_65 from Mycobacterium tuberculosis (246 aa), FASTA scores: opt: 327, E(): 1.8e-15, (31.0% identity in 232 aa overlap); and Z95120|MTCY07D11.18c (228 aa), FASTA scores: opt: 190, E(): 4.4e-06, (23.1% identity in 186 aa overlap). Contains probable helix-turn-helix doimain at aa 45-66 (Score 1429, +4.05 SD).</t>
  </si>
  <si>
    <t>Rv0473, (MTV038.17), len: 456 aa. Possible conserved transmembrane protein, showing some similarity to hypothetical proteins e.g. NP_102800.1|14021975|BAB48586.1|AP002996 hypothetical protein from Mesorhizobium loti (431 aa); P39385|YJIN_ECOLI|YJIN|B4336 hypothetical 48.2 kDa protein (potential integral membrane protein) from Escherichia coli strain K12 (426 aa), FASTA scores: opt: 396, E(): 9.8e-19, (31.8 % identity in 424 aa overlap); etc. Nucleotide position 563577 in the genome sequence has been corrected, A:G resulting in K5R.</t>
  </si>
  <si>
    <t>Rv0474, (MTV038.18), len: 140 aa. Probable transcriptional regulator, highly similar to others e.g. CAC04034.1|AL391406 putative DNA-binding protein from Streptomyces coelicolor (141 aa); N-terminus of NP_104173.1|14023352|BAB49959.1|AP003000 transcriptional regulator from Mesorhizobium loti (219 aa); N-terminus of A83618|PA0225 probable transcription regulator from Pseudomonas aeruginosa (179 aa); SINR_BACSU|P06533 sinr protein from Bacillus subtilis (111 aa), FASTA scores: opt: 147, E(): 8.9e-06, (30.6% identity in 111 aa overlap). Also similar to other hypothetical proteins e.g. X66407|RRPHAS_1|ORF1 from Rhodococcus ruber (171 aa), FASTA scores: opt: 280, E(): 4.8e-12, (43.6% identity in 117 aa overlap). Also similar to Rv2745c from Mycobacterium tuberculosis. Contains probable helix-turn-helix domain at aa 35-56 (Score 1709, +5.01 SD).</t>
  </si>
  <si>
    <t>Required for extrapulmonary dissemination. Mediates adherence to epithelial cells by binding to sulfated glycoconjugates present at the surface of these cells; binds heparin, dextran sulfate, fucoidan and chondroitin sulfate. Promotes hemagglutination of erythrocytes of certain host species. Induces mycobacterial aggregation.</t>
  </si>
  <si>
    <t>Iron-regulated heparin binding hemagglutinin HbhA (adhesin)</t>
  </si>
  <si>
    <t>Rv0475, hbhA (MTCY20G9.01), len: 199 aa. HbhA, iron-regulated heparin-binding hemagglutinin (see citations below), equivalent to CAC31971.1|AL583925 possible hemagglutinin from Mycobacterium leprae (188 aa). Contains possible N-terminal signal sequence and K-a-rich region at C-terminus: subcellular location: surface associated. A core mycobacterial gene; conserved in mycobacterial strains (See Marmiesse et al., 2004).</t>
  </si>
  <si>
    <t>Rv0476, (MTCY20G9.02), len: 87 aa. Possible conserved transmembrane protein, equivalent to CAC31970.1|AL583925 conserved membrane protein from Mycobacterium leprae (95 aa). Also highly similar to CAC04036.1|AL391406 putative membrane protein from Streptomyces coelicolor (113 aa). Contains PS00606 Beta-ketoacyl synthases active site.</t>
  </si>
  <si>
    <t>Rv0477, (MTCY20G9.03), len: 148 aa. Possible conserved secreted protein, equivalent to CAC31969.1|AL583925 hypothetical protein from Mycobacterium leprae (123 aa). Also similar to G83406|PA1914 conserved hypothetical protein from Pseudomonas aeruginosa (408 aa). Contains possible N-terminal signal sequence. A core mycobacterial gene; conserved in mycobacterial strains (See Marmiesse et al., 2004).</t>
  </si>
  <si>
    <t>Involved in nucleotide and deoxyribonucleotide catabolism [catalytic activity: 2-deoxy-D-ribose 5-phosphate = D-glyceraldehyde 3-phosphate + acetaldehyde].</t>
  </si>
  <si>
    <t>Probable deoxyribose-phosphate aldolase DeoC (phosphodeoxyriboaldolase) (deoxyriboaldolase)</t>
  </si>
  <si>
    <t>Rv0478, (MTCY20G9.04), len: 224 aa. Probable deoC, deoxyribose-phosphate aldolase, equivalent to Q9CB45|DEOC_MYCLE deoxyribose-phosphate aldolase from Mycobacterium leprae (226 aa). Also highly similar to others e.g. DEOC_BACSU|P39121 from Bacillus subtilis (214 aa), FASTA scores: opt: 543, E(): 1.4e-26, (45.9% identity in 209 aa overlap); etc. Belongs to the DEOC/FBAB family of aldolases, DEOC subfamily.</t>
  </si>
  <si>
    <t>Rv0479c, (MTCY20G9.04c), len: 348 aa. Probable conserved membrane protein, equivalent to CAC31967.1|AL583925 possible secreted protein from Mycobacterium leprae (254 aa); and C-terminus highly similar to AAF74996.1|AF143402_1|AF143402 putative multicopper oxidase from Mycobacterium avium (149 aa). Contains hydrophobic domain in centre of protein. A core mycobacterial gene; conserved in mycobacterial strains (See Marmiesse et al., 2004).</t>
  </si>
  <si>
    <t>Function unknown; hydrolytic enzyme probably involved in cellular metabolism.</t>
  </si>
  <si>
    <t>Possible amidohydrolase</t>
  </si>
  <si>
    <t>Rv0480c, (MTCY20G9.06c), len: 280 aa. Possible amidohydrolase, highly similar to NP_302587.1|NC_002677|CAC31966.1|AL583925 putative hydrolase from Mycobacterium leprae (271 aa). Also similar to other hydrolases and hypothetical proteins e.g. NP_601985.1|NC_003450 Predicted amidohydrolase from Corynebacterium glutamicum (266 aa); NP_459623.1|NC_003197 putative hydrolase from Salmonella typhimurium LT2 (262 aa); AL096822|SCGD3_8|NP_627996.1|NC_003888 probable hydrolase from Streptomyces coelicolor (264 aa), FASTA scores: opt: 368, E(): 6.1e-15, (34.2% identity in 272 aa overlap); YAUB_SCHPO|Q10166 hypothetical 35.7 kDa protein c26a3.11 from S. pombe (322 aa), FASTA scores: opt: 338, E():1.4e-13, (30.3% identity in 277 aa overlap); etc. Start changed since first submission (-60 aa).</t>
  </si>
  <si>
    <t>Rv0481c, (MTCY20G9.07c), len: 174 aa. Hypothetical unknown protein.</t>
  </si>
  <si>
    <t>Involved in cell wall formation; peptidoglycan biosynthesis [catalytic activity: UDP-N-acetylmuramate + NADP+ = UDP-N-acetyl-3-O-(1-carboxyvinyl)-D-glucosamine + NADPH].</t>
  </si>
  <si>
    <t>Probable UDP-N-acetylenolpyruvoylglucosamine reductase MurB (UDP-N-acetylmuramate dehydrogenase)</t>
  </si>
  <si>
    <t>Rv0482, (MTCY20G9.08), len: 369 aa. Probable murB, UDP-N-acetylenolpyruvoylglucosamine reductase (see citation below), equivalent to CAC31964.1|AL583925 UDP-N-acetylenolpyruvoylglucosamine reductase from Mycobacterium leprae (367 aa). Also highly similar to others e.g. MURB_ECOLI|P08373 UDP-N-acetylenolpyruvoylglucosamine reductase from Escherichia coli (342 aa), FASTA scores: opt: 292, E(): 6.3e-12, (33.5% identity in 355 aa overlap); etc. Belongs to the MurB family. Cofactor: FAD.</t>
  </si>
  <si>
    <t>Probable conserved lipoprotein LprQ</t>
  </si>
  <si>
    <t>Rv0483, (MTCY20G9.09), len: 451 aa. Probable lprQ, conserved lipoprotein, equivalent to CAC31963.1|AL583925|ML2446 possible lipoprotein from Mycobacterium leprae (441 aa); appears longer than ML2446, so start may be further downstream. Shows also similarity with MLCL383_24|O07707 hypothetical 43.6 kDa protein from Mycobacterium leprae; and to Q49706|B1496_F2_81 (271 aa). Similar to others lipoproteins from other organisms. Also similar to several Mycobacterium tuberculosis hypothetical proteins e.g. Rv0116c, Rv0192, Rv1433, Rv2518c. Contains potential N-terminal signal sequence and appropriately positioned PS00013 prokaryotic membrane lipoprotein lipid attachment site.</t>
  </si>
  <si>
    <t>Probable short-chain type oxidoreductase</t>
  </si>
  <si>
    <t>Rv0484c, (MTCY20G9.10c), len: 251 aa. Probable short-chain oxidoreductase, highly similar to others e.g. T36118|4678912|CAB41284.1|AL049707 probable oxidoreductase from Streptomyces coelicolor (260 aa); YDFG_HAEIN|P45200|HI1430 hypothetical oxidoreductase (SDR family) from Haemophilus influenzae (252 aa), FASTA scores: opt: 496, E(): 7.9e-25, (35.0 % identity in 243 aa overlap); etc. Belongs to the short-chain dehydrogenases/reductases (SDR) family. Strong similarity, to bacterial YDFG homologs.</t>
  </si>
  <si>
    <t>Rv0485, (MTCY20G9.11), len: 438 aa. Possible transcriptional repressor, member of the NAGC/XYLR repressor family; similar to several e.g. D87820_3|O32446|D82254 NAGC N-acetylglucosamine repressor from Vibrio cholerae (404 aa), FASTA scores: opt: 378, E(): 1.2e-17, (26.9% identity in 350 aa overlap); NAGC_ECOLI|P15301 N-acetylglucosamine repressor from Escherichia coli (406 aa), FASTA scores: opt: 305, E(): 1.8e-12, (21.8% identity in 357 aa overlap); etc.</t>
  </si>
  <si>
    <t>mshA</t>
  </si>
  <si>
    <t>Involved in the first step of mycothiol biosynthesis</t>
  </si>
  <si>
    <t>Glycosyltransferase MshA</t>
  </si>
  <si>
    <t>Rv0486, (MTCY20G9.12), len: 480 aa. MshA, glycosyltransferase (see citations below), highly similar to P54138|Y486_MYCLE|ML2443 possible glycosyl transferase from Mycobacterium leprae (428 aa); and S72892|B2168_C2_201 probable hexosyltransferase from Mycobacterium leprae (409 aa), FASTA scores: opt: 2375, E(): 0, (86.4% identity in 413 aa overlap). Also highly similar to CAC04040.1|AL391406 putative transferase from Streptomyces coelicolor (496 aa); and similar to various transferases e.g. NP_437172.1|NC_003078 putative membrane-anchored glycosyltransferase protein from Sinorhizobium meliloti (416 aa); O26550|U67601_1 LPS biosynthesis related protein from Methanococcus jannaschii (411 aa), FASTA score: (25.3% identity in 387 aa overlap); etc. Also similar to CAC87824.1|AJ316594 putative sucrose-phosphate synthase from Nostoc punctiforme (422 aa). Contains a match to Pfam entry PF00534 glycosyl_transf_1 - Glycosyl transferases group 1.</t>
  </si>
  <si>
    <t>Rv0487, (MTCY20G9.13), len: 183 aa. Conserved hypothetical protein, highly similar to P54139|Y487_MYCLE|U00018_38|ML2442 hypothetical 20.8 KDA protein from Mycobacterium leprae (184 aa), FASTA scores: opt: 760, E(): 2.4 e-34, (73.0% identity in 159 aa overlap). Also highly similar to CAC04041.1|AL391406 conserved hypothetical protein from Streptomyces coelicolor (168 aa).</t>
  </si>
  <si>
    <t>Unknown; possibly involved in transport of lysine across the membrane.</t>
  </si>
  <si>
    <t>Rv0488, (MTCY20G9.14), len: 201 aa. Probable conserved integral membrane protein, LysE family possibly involved in transport of Lysine, similar to others and conserved hypothetical proteins e.g. AB93746.1|AL357613 putative membrane transport protein from Streptomyces coelicolor (204 aa); D83100|PA4365 probable transporter from Pseudomonas aeruginosa (200 aa); YGGA_ECOLI|P11667 hypothetical 21.7 kDa protein from Escherichia coli (197 aa), FASTA scores: opt: 382, E(): 1.1e-19, (39.1% identity in 179 aa overlap); CGLYSEG_2 C|P94633 lysine exporter protein (236 aa), FASTA scores: E(): 2.3e-07, (33.3% identity in 219 aa overlap). Also similar to Rv1986 from Mycobacterium tuberculosis.</t>
  </si>
  <si>
    <t>gpm1</t>
  </si>
  <si>
    <t>Involved in glycolysis [catalytic activity: 1,3-diphosphoglycerate + 3-phosphoglycerate = 2,3-diphosphoglycerate + 3-phosphoglycerate].</t>
  </si>
  <si>
    <t>Probable phosphoglycerate mutase 1 Gpm1 (phosphoglyceromutase) (PGAM) (BPG-dependent PGAM)</t>
  </si>
  <si>
    <t>Rv0489, (MTCY20G9.15), len: 249 aa. Probable gpm1, phosphoglycerate mutase 1, equivalent to P53531|PMGY_MYCLE phosphoglycerate mutase from Mycobacterium leprae (247 aa). Also highly similar to others e.g. PMG1_ECOLI|P31217 (249 aa), FASTA scores: opt: 805, E(): 0, (51.4% identity in 245 aa overlap); etc. Contains PS00175 Phosphoglycerate mutase family phosphohistidine signature, and PS00017 ATP/GTP-binding site motif A (P-loop). Belongs to the phosphoglycerate mutase family. Note that previously known as gpm.</t>
  </si>
  <si>
    <t>Sensor part of a two component regulatory system. Probably forms part of a two-component regulatory system SENX3/REGX3; phosphorylates REGX3.</t>
  </si>
  <si>
    <t>Putative two component sensor histidine kinase SenX3</t>
  </si>
  <si>
    <t>Rv0490, (MTCY20G9.16), len: 410 aa. Putative senX3, two-component sensor histidine kinase, transmembrane protein (see citations below), equivalent to O07129|SEX3_MYCBO sensor-like histidine kinase SENX3 from Mycobacterium bovis BCG (410 aa), FASTA scores: E(): 0, (99.5% identity in 410 aa overlap); and highly similar to P54883|SEX3_MYCLE|SENX3 sensor-like histidine kinase from Mycobacterium leprae (443 aa), FASTA score: (83.8% identity in 408 aa overlap). Also highly similar, except in N-terminus, to CAC31957.1|AL583925 probable two-component system sensor histidine kinase from Mycobacterium leprae (441 aa). Also highly similar to sensor kinase proteins from other organisms e.g. CAB77323.1|AL160331 putative sensor kinase protein from Streptomyces coelicolor (426 aa).</t>
  </si>
  <si>
    <t>Transcriptional regulatory protein part of the two component regulatory system REGX3/SENX3.</t>
  </si>
  <si>
    <t>Two component sensory transduction protein RegX3 (transcriptional regulatory protein) (probably LuxR-family)</t>
  </si>
  <si>
    <t>Rv0491, (MTCY20G9.17), len: 227 aa. RegX3, response regulator protein (sensory transduction protein) (see citations below), equivalent to O07130|RGX3_MYCBO|REGX3 sensory transduction protein from Mycobacterium bovis BCG (227 aa); AAG09797.1|AF258346_2|AF258346|REGX3 response regulator from Mycobacterium smegmatis (228 aa); equivalent to P54884|RGX3_MYCLE|REGX3 sensory transduction protein from Mycobacterium leprae (198 aa), FASTA scores : E(): 0, (95.4% identity in 197 aa overlap). Also highly similar to other response regulators e.g. AAG43239.1|AF123314_2 |AF123314 putative response regulator from Corynebacterium glutamicum (232 aa).</t>
  </si>
  <si>
    <t>Rv0492A</t>
  </si>
  <si>
    <t>Rv0492A, len: 109 aa. Hypothetical unknown protein. GC plot suggests CDS.</t>
  </si>
  <si>
    <t>Probable oxidoreductase GMC-type</t>
  </si>
  <si>
    <t>Rv0492c, (MT0511/MT0512, MTCY20G9.18c), len: 629 aa. Probable oxidoreductase GMC type, similar to others except in N-terminus e.g. P55582|AE000087_5|Y4NJ_RHISN hypothetical GMC-type oxidoreductase from Rhizobium sp. (505 aa), FASTA scores: opt: 873, E():0, (34.3% identity in 502 aa overlap); YTH2_RHOER|P46371 hypothetical 53.0 kDa GMC-type oxidoreductase from Rhodococcus erythropolis (493 aa), FASTA score: (25.7% identity in 521 aa overlap); YTH2_RHOSO|P46371 hypothetical 53.0 kDa gmc-type oxidoreductase from Rhodococcus erythropolis (493 aa), FASTA score: (25.7% identity in 521 aa overlap); NP_085596.1|NC_002679 probable oxidoreductase from Mesorhizobium loti (507 aa); NP_285451.1|NC_001264 GMC oxidoreductase from Deinococcus radiodurans (722 aa); NP_249055.1|NC_002516 probable oxidoreductase from Pseudomonas aeruginosa (531 aa); etc. Contains PS00198 4Fe-4S ferredoxins, iron-sulfur binding region signature, and PS00624 GMC oxidoreductases signature 2. Belongs to the GMC oxidoreductases family. Cofactor: FAD (by similarity). Note that start changed since first submission (previously 684 aa).</t>
  </si>
  <si>
    <t>Rv0493c, (MTCY20G9.19), len: 329 aa. Conserved protein, showing some similarity to U00018_33|B2168_F2_93 from Mycobacterium leprae (167 aa), FASTA scores: opt: 166, E(): 0.00077, (35.9% identity in 131 aa overlap).</t>
  </si>
  <si>
    <t>Rv0494</t>
  </si>
  <si>
    <t>Rv0494, (MTCY20G9.20), len: 242 aa. Probable transcriptional regulator, GntR family, with C-terminal part highly similar to S72893|B2168_C2_205 hypothetical protein from Mycobacterium leprae (105 aa). Also similar to other transcription regulators e.g. PDHR_ECOLI|P06957 pyruvate dehydrogenase complex repressor PDHR or GENA from Escherichia coli (254 aa), FASTA scores: opt: 284, E(): 1.2e-11, (32.6% identity in 224 aa overlap); etc. Contains PS00043 Bacterial regulatory proteins, gntR family signature, and probable helix-turn helix motif from aa 50-71 (Score 1229, +3.37 SD).</t>
  </si>
  <si>
    <t>Rv0495c, (MTCY20G9.21c), len: 296 aa. Conserved hypothetical protein, highly similar to S72915|B2168_F1_37 hypothetical protein from Mycobacterium leprae (323 aa), FASTA scores: opt: 1615, E(): 0, (82.7% identity in 271 aa overlap); and P54579|Y495_MYCLE|ML243|13094009|CAC31952.1|AL583925 conserved hypothetical protein from Mycobacterium leprae (277 aa). Also highly similar to Q9X8H2|Y716_STRCO|SCE7.16 hypothetical protein from Streptomyces coelicolor (271 aa).</t>
  </si>
  <si>
    <t>Rv0496, (MTCY20G9.22), len: 328 aa. Conserved hypothetical protein, highly similar to S72894|467046|AAA17230.1|U00018 exopolyphosphatase ppx from Mycobacterium leprae (406 aa), FASTA scores: opt: 1902, E(): 0, (86.6% identity in 343 aa overlap); and P54882|Y496_MYCLE|ML2434|13094008|CAC31951.1|AL583925 hypothetical 36.2 KDA protein from Mycobacterium leprae (339 aa). Also highly similar to hypothetical proteins and exopolyphosphatases e.g. Q9X8H1|Y715_STRCO|SCE7.15c hypothetical protein from Streptomyces coelicolor (309 aa). C-terminal region similar to CGU31224_1|Q46054 protein similar to ppx gene product of Mycobacterium leprae from Cornybacterium glutamicum (140 aa), FASTA scores: opt: 615, E(): 2.7e-33, (70.9% identity in 134 aa overlap).</t>
  </si>
  <si>
    <t>Rv0497, (MTCY20G9.23), len: 310 aa. Probable conserved transmembrane protein, equivalent (but shorter in C-terminus) to P54580|Y497_MYCLE|ML2433 hypothetical 37.9 KDA protein from Mycobacterium leprae (355 aa). N-terminus highly similar to S72922|B2168_C1_166|467074 hypothetical protein from Mycobacterium leprae (118 aa), FASTA scores: opt: 350, E(): 1.4e-12, (57.9% identity in 114 aa overlap); and hydrophobic C-terminus, highly similar to S72895|B2168_C2_209|467047 hypothetical protein from Mycobacterium leprae (241 aa), FASTA scores: opt: 473, E(): 8e-19, (53.9% identity in 241 aa). A core mycobacterial gene; conserved in mycobacterial strains (See Marmiesse et al., 2004).</t>
  </si>
  <si>
    <t>Rv0498, (MTCY20G9.24), len: 280 aa. Conserved hypothetical protein, highly similar to P54581|Y498_MYCLE|ML2432 hypothetical 30.5 KDA protein from Mycobacterium leprae (280 aa); and S72896|B2168_C2_210 hypothetical protein from Mycobacterium leprae (244 aa), FASTA scores: opt: 1486, E():0, (89.3% identity in 244 aa overlap). Also similar to Q9X8H0|Y714_STRCO|SCE7.14c hypothetical protein from Streptomyces coelicolor.</t>
  </si>
  <si>
    <t>Rv0499, (MTCY20G9.25), len: 291 aa. Conserved hypothetical protein, showing some similarity to AL031184|SC2A11_16|T34762 hypothetical protein from Streptomyces coelicolor (340 aa), FASTA scores: opt: 240, E(): 1.8e-07, (28.9% identity in 270 aa overlap).</t>
  </si>
  <si>
    <t>Involved at the terminal (third) step in proline biosynthesis [catalytic activity: L-proline + NAD(P)+ = 1-pyrroline-5-carboxylate + NAD(P)H].</t>
  </si>
  <si>
    <t>Probable pyrroline-5-carboxylate reductase ProC (P5CR) (P5C reductase)</t>
  </si>
  <si>
    <t>Rv0500, (MTCY20G9.26), len: 295 aa. Probable proC, Pyrroline-5-carboxylate reductase (see citation below), equivalent to P46725|PROC_MYCLE pyrroline-5-carboxylate reductase from Mycobacterium leprae (294 aa), FASTA scores: opt: 1473, E(): 0, (82.4% identity in 295 aa overlap). Also similar to others e.g. P46540|PROC_CORGL pyrroline-5-carboxylate reductase from Corynebacterium glutamicum (270 aa); T36286|4803683|CAB42663.1|AL049819 pyrroline-5-carboxylate reductase from Streptomyces coelicolor (284 aa); etc. Belongs to the pyrroline-5-carboxylate reductase family.</t>
  </si>
  <si>
    <t>Rv0500A, len: 78 aa. Conserved protein, similar to proteins from Mycobacterium leprae and Streptomyces coelicolor e.g. U00018_25 from Mycobacterium leprae cosmid B2168 (86 aa), FASTA scores: opt: 428, E(): 1.3e-27, (82.6% identity in 86 aa overlap); AL079345|SCE68_26 from Streptomyces coelicolor cosmid E6 (70 aa), FASTA scores: opt: 252, E(): 1.2 e-13, (72.2 identity in 54 aa overlap).</t>
  </si>
  <si>
    <t>Rv0500B</t>
  </si>
  <si>
    <t>Rv0500B, len: 33 aa. Conserved hypothetical protein. Basic protein 18 of the 33 aa are Arg or Lys, with strong similarity to AL079345|SCE68_25 protein from Streptomyces coelicolor cosmid E6 (32 aa), FASTA scores: opt: 176, E(): 1e-06, (93.1% identity in 29 aa overlap). Same gene arrangement in both actinomycetes.</t>
  </si>
  <si>
    <t>Involved in galactose metabolism [catalytic activity: UDP-glucose = UDP-galactose].</t>
  </si>
  <si>
    <t>Possible UDP-glucose 4-epimerase GalE2 (galactowaldenase) (UDP-galactose 4-epimerase) (uridine diphosphate galactose 4-epimerase) (uridine diphospho-galactose 4-epimerase)</t>
  </si>
  <si>
    <t>Rv0501, (MTCY20G9.28), len: 376 aa. Possible galE2, UDP-glucose 4-epimerase, highly similar (except in N-terminus) to CAC31944.1|AL583925 possible glucose epimerase/dehydratase from Mycobacterium leprae (364 aa). N-terminus highly similar to S72923|B2168_C1_174|467075|AAA17259.1|U00018 hypothetical protein from Mycobacterium leprae (180 aa), FASTA scores: opt: 934, E(): 0, (89.6% identity in 164 aa overlap); and C-terminus highly similar to S72898|467050|AAA17234.1|U00018 hypothetical protein from Mycobacterium leprae (168 aa), FASTA scores: opt: 928, E(): 0, (82.7% identity in 168 aa overlap). Also highly similar to T36274|5123671|CAB45360.1|AL079345 probable epimerase from Streptomyces coelicolor (353 aa); and similar in part to other epimerases e.g. GALE_ECOLI|P09147 UDP-glucose 4-epimerase from Escherichia coli (338 aa), FASTA scores: opt: 241, E(): 6.7e-09, (28.2% identity in 294 aa overlap); etc. Belongs to the sugar epimerase family. Cofactor: NAD. Note that previously known as galE1.</t>
  </si>
  <si>
    <t>Rv0502, (MTCY20G9.29), len: 358 aa. Conserved protein, equivalent to P54878|Y502_MYCLE|ML2427 hypothetical 40.5 KDA protein from Mycobacterium leprae (367 aa), FASTA scores: opt: 2042, E(): 0, (84.1% identity in 365 aa overlap). Also similar to T36273|SCE68.23c hypothetical protein from Streptomyces coelicolor (355 aa). C-terminal similar to AL021529|SC10A5_4|T34572 hypothetical protein from Streptomyces coelicolor (295 aa), FASTA score: (57.8% identity in 263 aa overlap); and to hypothetical proteins from Mycobacterium tuberculosis Rv1920|G70808 (287 aa); and Rv1428c|G70914 (275 aa).</t>
  </si>
  <si>
    <t>Essential for the cyclopropanation function. Transfers a methylene group from S-adenosyl-L-methionine to the cis double bond of an unsaturated fatty acid chain resulting in the replacement of the double bond with a methylene bridge. Mycolic acids, which represent the major constituent of mycobacterial cell wall complex, act as substrates [catalytic activity: S-adenosyl-L-methionine + phospholipid olefinic fatty acid = S-adenosyl-L-homocysteine + phospholipid cyclopropane fatty acid].</t>
  </si>
  <si>
    <t>Cyclopropane-fatty-acyl-phospholipid synthase 2 CmaA2 (cyclopropane fatty acid synthase) (CFA synthase) (cyclopropane mycolic acid synthase 2) (mycolic acid trans-cyclopropane synthetase)</t>
  </si>
  <si>
    <t>Rv0503c, (MTCY20G9.30c), len: 302 aa. CmaA2 (alternate gene name: cma2), cyclopropane-fatty-acyl-phospholipid synthase 2 (mycolic acid trans-cyclopropane synthetase) (see citations below). Note that this protein has 302 aa and not 322 aa: we have chosen a different initiation codon on the basis of homology. Equivalent to S72886|B2168_F3_130 hypothetical protein from Mycobacterium leprae (308 aa), FASTA score: (78.9% identity in 303 aa overlap); and highly similar to other proteins from Mycobacterium leprae. Also similar to other proteins from Mycobacterium tuberculosis and Mycobacterium bovis BCG e.g. MTV038_14|UMAA2|Rv0470c|MTV038.14 putative mycolic acid synthesis/modification protein (287 aa) (57.2% identity in 297 aa overlap).</t>
  </si>
  <si>
    <t>Rv0504c, (MTCY20G9.31c), len: 166 aa. Conserved protein, equivalent to P54879|Y504_MYCLE|ML2425 hypothetical 18.7 KDA protein from Mycobacterium leprae (166 aa), FASTA scores: opt: 884, E(): 0, (83.1% identity in 166 aa overlap); and highly similar to other proteins from Mycobacterium leprae. Also highly similar to CAB77410.1|AL160431|SCD82.07 hypothetical protein from Streptomyces coelicolor (150 aa). Also similar to M. tuberculosis hypothetical proteins Rv0635|H70612 (158 aa); and Rv0637|B70613 (166 aa).</t>
  </si>
  <si>
    <t>Removes a phosphate from phosphoserine [catalytic activity: phosphoserine + H2O = serine + phosphate].</t>
  </si>
  <si>
    <t>Possible phosphoserine phosphatase SerB1 (PSP) (O-phosphoserine phosphohydrolase) (pspase)</t>
  </si>
  <si>
    <t>Rv0505c, (MTCY20G9.32c), len: 373 aa. Possible serB1, phosphoserine phosphatase, equivalent (but longer ~70 aa in N-terminus) to S72914|serB phosphoserine phosphatase from Mycobacterium leprae (300 aa), FASTA scores: opt: 1570, E(): 0, (83.0% identity in 306 aa overlap). C-terminus highly similar to CAB55344.1|AJ010584 phosphoserine phosphatase from Streptomyces coelicolor (266 aa). Low similarity to SERB_ECOLI|P06862 phosphoserine phosphatase from Escherichia coli strains K12 and O157:H7 (322 aa), FASTA scores: opt: 148, E(): 0.043, (24.0% identity in 150 aa overlap). C-terminus is also similar to O33611|AB004855_1|IMD_STRCN protein involved in inhibition of morphological differentiation from Streptomyces cyaneus (277 aa), FASTA score: (37.7% identity in 252 aa overlap). Seems to belong to the SERB family. Note that previously known as serB.</t>
  </si>
  <si>
    <t>Probable conserved membrane protein MmpS2</t>
  </si>
  <si>
    <t>Rv0506, (MTCY20G9.33), len: 147 aa. Probable mmpS2, conserved membrane protein (see citation below), highly similar to other Mycobacterial proteins e.g. C-terminus of AAD44232.1|AF143772_38|AF143772|TmtpA from Mycobacterium avium (221 aa); P54880|MMS4_MYCLE|MMPS4 putative membrane protein from Mycobacterium leprae (154 aa), FASTA scores: opt: 392, E(): 1.3e-20, (43.7% identity in 151 aa overlap); and the putative membrane proteins from Mycobacterium tuberculosis MTV040_5, MTCY4D9_16, MTV037_15. Belongs to the MmpS family. Predicted to be an outer membrane protein (See Song et al., 2008).</t>
  </si>
  <si>
    <t>Probable conserved transmembrane transport protein MmpL2</t>
  </si>
  <si>
    <t>Rv0507, (MTCY20G9.34), len: 968 aa. Probable mmpL2, conserved transmembrane transport protein (see citations below), member of RND superfamily, highly similar to other Mycobacterial proteins e.g. YV34_MYCLE from Mycobacterium leprae (959 aa), FASTA scores: opt: 3699, E(): 0, (58.3% identity in 940 aa overlap); and the Mycobacterium tuberculosis proteins MTV037_14, MTV040_4, MTCY98_8, MTCY4D9_15, MTCY48_8, MTCY19G5_6, MTV005_19, etc. Also similar to STMACTII_3|SC10A5_9 from Streptomyces coelicolor; and BSUB0|004_12 from Bacillus subtilis. C-terminal half similar to Q50086|U1740AB from Mycobacterium leprae (386 aa), FASTA scores: opt: 1526, E(): 0, (61.5% identity in 371 aa overlap). Belongs to the MmpL family.</t>
  </si>
  <si>
    <t>Rv0508</t>
  </si>
  <si>
    <t>Rv0508, (MTCY20G9.35), len: 97 aa. Conserved hypothetical protein, showing similarity with T36269|5123666|CAB45355.1|AL079345 probable redoxin from Streptomyces coelicolor (101 aa), FASTA scores: opt: 160, E(): 3.4e-05, (33.3% identity in 75 aa overlap); and E81943|NMA0966 probable thioredoxin from Neisseria meningitidis group a strain Z2491 (77 aa).</t>
  </si>
  <si>
    <t>Involved in porphyrin biosynthesis by the C5 pathway (at the first step) [catalytic activity: glutamyl-tRNA(GLU) + NADPH = glutamate-1-semialdehyde + NADP+ + tRNA(GLU)].</t>
  </si>
  <si>
    <t>Probable glutamyl-tRNA reductase HemA (GLUTR)</t>
  </si>
  <si>
    <t>Rv0509, (MTCY20G9.36), len: 468 aa. Probable hemA, glutamyl-tRNA reductase, equivalent to HEM1_MYCLE|P46724 glutamyl-tRNA reductase from Mycobacterium leprae (467 aa), FASTA scores: opt: 2377, E(): 0, (82.3% identity in 463 aa overlap). Also highly similar (sometimes in part) to others e.g. Q9WX15|HEM1_STRCO glutamyl-tRNA reductase from Streptomyces coelicolor (581 aa); P16618|HEM1_BACSU|HEMA glutamyl-tRNA reductase from Bacillus subtilis (455 aa); etc. Contains PS00747 Glutamyl-tRNA reductase signature. Belongs to the glutamyl-tRNA reductase family.</t>
  </si>
  <si>
    <t>Involved in porphyrin biosynthesis by the C5 pathway (at the fourth step). Tetrapolymerization of the monopyrrole PBG into the hydroxymethylbilane preuroporphyrinogen in several discrete steps [catalytic activity: 4 porphobilinogen + H2O = hydroxymethylbilane + 4 NH3].</t>
  </si>
  <si>
    <t>Probable porphobilinogen deaminase HemC (PBG) (hydroxymethylbilane synthase) (HMBS) (pre-uroporphyrinogen synthase)</t>
  </si>
  <si>
    <t>Rv0510, (MTCY21C8.01-MTCY20G9.37), len: 309 aa. Probable hemC, hydroxymethylbilane synthase (porphobilinogen deaminase), equivalent to HEM3B|Q49808|HEM3_MYCLE porphobilinogen deaminase from Mycobacterium leprae (315 aa), FASTA scores: opt: 889, E(): 0, (88.1% identity in 159 aa overlap). Also highly similar to others e.g. Q9WX16|HE31_STRCO probable porphobilinogen deaminase from Streptomyces coelicolor (319 aa); Q9L6Q2|HEM3_SALTY porphobilinogen deaminase from Salmonella typhimurium (313 aa); etc. Belongs to the HMBS family. Cofactor: covalently binds a dipyrromethane cofactor to which the porphobilinogen subunits are ADDED.</t>
  </si>
  <si>
    <t>Possibly involved in the biosynthesis of siroheme and cobalamin [catalytic activity: 2 S-adenosyl-L-methionine + uroporphyrin III = 2 S-adenosyl-L-homocysteine + sirohydrochlorin].</t>
  </si>
  <si>
    <t>Probable uroporphyrin-III C-methyltransferase HemD (uroporphyrinogen III methylase) (urogen III methylase) (SUMT) (urogen III methylase) (UROM)</t>
  </si>
  <si>
    <t>Rv0511, (MTCY21C8.02), len: 565 aa. Probable hemD (alternate gene name: cysG), uroporphyrin-III C-methyltransferase, highly similar to others e.g. CAC31936.1|AL583925 possible uroporphyrin-III C-methyltransferase from Mycobacterium leprae (563 aa); and S72909|CYSG from Mycobacterium leprae (472 aa), FASTA scores: opt: 1946, E(): 0, (83.3% identity in 472 aa overlap); T36265|5123662|CAB45351.1|AL079345 probable uroporphyrin-III C-methyltransferase from Streptomyces coelicolor (565 aa); and similar to others e.g. AAK00606.1|AF221100_3|AF221100 from Selenomonas ruminantium subsp. ruminantium (505 aa); etc. Also similar to Rv2071c and Rv2847c from Mycobacterium tuberculosis. Note that previously known as cysG.</t>
  </si>
  <si>
    <t>Involved in porphyrin and heme biosynthesis (at the second step) [catalytic activity: 2 5-aminolevulinate = porphobilinogen + 2 H2O].</t>
  </si>
  <si>
    <t>Probable delta-aminolevulinic acid dehydratase HemB (porphobilinogen synthase) (ALAD) (ALADH)</t>
  </si>
  <si>
    <t>Rv0512, (MTCY20G10.02), len: 329 aa. Probable hemB, delta-aminolevulinic acid dehydratase, equivalent to 46723|HEM2_MYCLE delta-aminolevulinic acid dehydratase from Mycobacterium leprae (329 aa). Also highly similar to many e.g. P54919|HEM2_STRCO from Streptomyces coelicolor (330 aa); HEM2_ECOLI|P15002 from Escherichia coli (323 aa), FASTA scores: opt: 942, E(): 0, (47.6% identity in 317 aa overlap); etc. Contains PS00169 Delta-aminolevulinic acid dehydratase active site. Belongs to the ALADH family. Cofactor: zinc.</t>
  </si>
  <si>
    <t>Rv0513, (MTCY20G10.03), len: 182 aa. Possible conserved transmembrane protein, with its N-terminus highly similar to S72925|B2168_C1_182 hypothetical protein from Mycobacterium leprae (103 aa), FASTA scores: opt: 217, E(): 8.2e-14, (45.3 % identity in 106 aa overlap).</t>
  </si>
  <si>
    <t>Rv0514, (MTCY20G10.04), len: 99 aa. Possible transmembrane protein.</t>
  </si>
  <si>
    <t>Rv0515, (MTCY20G10.05), len: 503 aa. Part of M. tuberculosis 13E12 repeat family. Almost identical to Rv0336 (99.8% identity in 503 aa overlap), possibly due to a recent gene duplication. Also similar to other M. tuberculosis hypothetical 13E12 repeat proteins e.g. Rv1148c, Rv1945, etc.</t>
  </si>
  <si>
    <t>May be involved in regulating sigma factor</t>
  </si>
  <si>
    <t>Possible anti-anti-sigma factor</t>
  </si>
  <si>
    <t>Rv0516c, (MTCY20G10.06c), len: 158 aa. Possible anti-anti-sigma factor, showing some similarity to Rv1365c|MTCY02B10_29 from Mycobacterium tuberculosis (128 aa), FASTA scores: E(): 0.0012, (27.4% identity in 124 aa overlap).</t>
  </si>
  <si>
    <t>Possible membrane acyltransferase</t>
  </si>
  <si>
    <t>Rv0517, (MTCY20G10.07), len: 436 aa. Possible acyltransferase, integral membrane protein, equivalent (but longer 26 aa in N-terminus) to AAK44761.1|AE006954 putative acyltransferase from Mycobacterium tuberculosis strain CDC1551 (410 aa). Also similar to many acyltransferases e.g. MDMB_STRMY|Q00718 from Streptomyces mycarofaciens (387 aa), FASTA scores: opt: 200, E(): 1.1e-08, (28.2% identity in 394 aa overlap). And similar to Rv0111, Rv0228, Rv1254, Rv1565c from Mycobacterium tuberculosis.</t>
  </si>
  <si>
    <t>Rv0518, (MTCY20G10.08), len: 231 aa. Possible exported protein; has hydrophobic N-terminus.</t>
  </si>
  <si>
    <t>Unknown; could have possibly a lipolytic activity.</t>
  </si>
  <si>
    <t>Rv0519c, (MTCY20G10.09c), len: 300 aa. Possible conserved membrane protein, with hydrophobic region near N-terminus. Could be a lipase. Similar to Rv0774c|MTCY369.19c|A70708 from Mycobacterium tuberculosis (312 aa), FASTA scores: opt: 1092, E(): 0, (57.9% identity in 299 aa overlap). Contains PS00120 Lipases, serine active site.</t>
  </si>
  <si>
    <t>Rv0520</t>
  </si>
  <si>
    <t>Could cause methylation.</t>
  </si>
  <si>
    <t>Possible methyltransferase/methylase (fragment)</t>
  </si>
  <si>
    <t>Rv0520, (MTCY20G10.10), len: 116 aa. Possible fragment of methyltransferase (possibly first part), highly similar to part of several methyltransferases e.g. Q43445|U43683 S-adenosyl-L-methionine:DELTA24-sterol-C-methyltransferase from Glycine max (Soybean)(367 aa), FASTA scores: opt: 190, E(): 2.3e-12, (39.2% identity in 74 aa overlap). Also some similarity to MTCY19G5_5 from Mycobacterium tuberculosis. Possibly continues as Rv0521 but we can find no frameshift to account for this.</t>
  </si>
  <si>
    <t>Rv0521</t>
  </si>
  <si>
    <t>Could cause methylation</t>
  </si>
  <si>
    <t>Rv0521, (replaces MTCY20G10.11), len: 101 aa. Possible fragment of methyltransferase (possibly second part), highly similar to C-terminus of several methyltransferases e.g. AAF87203.1|AF216282 sarcosine-dimethylglycine methyltransferase from Halorhodospira halochloris (279 aa). Possibly continuation of Rv0520 but we can find no frameshift to account for this.</t>
  </si>
  <si>
    <t>Involved in 4-aminobutyrate (GABA) degradation pathway. Transporter for GABA. Responsible for the translocation of the substrate across the membrane.</t>
  </si>
  <si>
    <t>Probable GABA permease GabP (4-amino butyrate transport carrier) (GAMA-aminobutyrate permease)</t>
  </si>
  <si>
    <t>Rv0522, (MTCY20G10.12), len: 434 aa. Probable gabP, GABA permease (gamma-aminobutyrate permease), integral membrane protein, highly similar to others e.g. GABP_ECOLI|P25527 gaba permease from Escherichia coli (466 aa), FASTA scores: opt: 1218, E(): 0, (44.3% identity in 424 aa overlap); etc. Also similar to other M. tuberculosis permeases e.g. MTCY13E10.06c FASTA score: (34.4% identity in 407 aa overlap). Contains PS00218 Amino acid permeases signature. Overlaps and extends Rv0523c|MTCY25D10.01 from overlapping cosmid. Belongs to the amino acid permease family (APC family).</t>
  </si>
  <si>
    <t>Rv0523c</t>
  </si>
  <si>
    <t>Rv0523c, (MTCY25D10.02), len: 131 aa. Conserved protein, showing some similarity to M. tuberculosis proteins Rv1598c|MTCY336.06; and Rv1871c|MTCY336_06|O06592 (136 aa), FASTA scores: opt: 197, E(): 5e-08, (38.4% identity in 99 aa overlap).</t>
  </si>
  <si>
    <t>Involved in porphyrin biosynthesis by the C5 pathway (at the second step) [catalytic activity: (S)-4-amino-5-oxopentanoate = 5-aminolevulinate].</t>
  </si>
  <si>
    <t>Probable glutamate-1-semialdehyde 2,1-aminomutase HemL (GSA) (glutamate-1-semialdehyde aminotransferase) (GSA-at)</t>
  </si>
  <si>
    <t>Rv0524, (MTCY25D10.03), len: 462 aa. Probable hemL, glutamate-1-semialdehyde 2,1-aminomutase, equivalent to P46716|GSA_MYCLE glutamate-1-semialdehyde 2,1-aminomutase from Mycobacterium leprae (446 aa), FASTA scores: opt: 1532, E(): 0, (82.6% identity in 460 aa overlap). Also highly similar to others e.g. Q9F2S0|GSA_STRCO from Streptomyces coelicolor (438 aa); Q06774|GSA_PROFR from Propionibacterium freudenreichii (441 aa); etc. Contains PS00600 Aminotransferases class-III pyridoxal-phosphate attachment site. Belongs to class-III of pyridoxal-phosphate-dependent aminotransferases. Cofactor: pyridoxal phosphate.</t>
  </si>
  <si>
    <t>Rv0525, (MTCY25D10.04), len: 202 aa. Conserved protein, equivalent to Q49821|B2168_C3_276|S72912 hypothetical protein from Mycobacterium leprae (202 aa), FASTA scores: opt: 1151, E(): 0, (82.5% identity in 200 aa overlap). Also highly similar to CAC08377.1|AL392176 putative phosphoglycerate mutase from Streptomyces coelicolor (233 aa); and similar to SLL0395|Q55734 hypothetical 23.8 kDa protein from synechocystis SP. (212 aa), FASTA scores: opt: 207, E(): 5.1e-07, (28.2% identity in 195 aa overlap). Also some similarity to Rv2228c|Y019_MYCTU|Q10512|cy427.09 hypothetical 39.2 kDa protein from Mycobacterium tuberculosis (364 aa), FASTA scores: opt: 236, E(): 1.1e-08, (34.3% identity in 198 aa overlap).</t>
  </si>
  <si>
    <t>Possibly acts on thioredoxin</t>
  </si>
  <si>
    <t>Possible thioredoxin protein (thiol-disulfide interchange protein)</t>
  </si>
  <si>
    <t>Rv0526, (MTCY25D10.05), len: 216 aa. Possible thioredoxin protein (thiol-disulfide interchange protein) , equivalent to Q49816|U2168C|S72901 hypothetical protein from Mycobacterium leprae (216 aa), FASTA scores: opt: 1144, E(): 0, (78.5% identity in 214 aa overlap). C-terminus shows some similarity to C-terminus of thioredoxins e.g. RESA_BACSU|P35160 resa protein from Bacillus subtilis (181 aa), FASTA scores: opt: 200, E(): 7.4e-06, (24.2% identity in 132 aa overlap); etc. Also similar to Mycobacterium tuberculosis thioredoxin-like proteins Rv1470, Rv1471, Rv1677, etc. Contains PS00194 Thioredoxin family active site. Seems to belong to the thioredoxin family.</t>
  </si>
  <si>
    <t>Possibly involved in cytochrome C synthesis. Might transfer reducing equivalents across the cytoplasmic membrane, promoting efficient disulfide bond isomerization of proteins localized on the outer surface of the membrane.</t>
  </si>
  <si>
    <t>Possible cytochrome C-type biogenesis protein CcdA</t>
  </si>
  <si>
    <t>Rv0527, (MTCY25D10.06), len: 259 aa. Possible ccdA, cytochrome C-type biogenesis protein, integral membrane protein, equivalent to Q49810|B2168_C1_192|S72890 hypothetical protein from Mycobacterium leprae (262 aa), FASTA scores: opt: 1341, E(): 0, (79.0% identity in 262 aa overlap). Also highly similar to others e.g. CAC08380.1 (253 aa); CCDA_BACSU|P45706 cytochrome C-type biogenesis protein from Bacillus subtilis (235 aa), FASTA scores: opt: 307, E(): 7.4e-13, (30.4% identity in 237 aa overlap); etc. Seems to belong to the DSBD subfamily. Note that previously known as ccsA.</t>
  </si>
  <si>
    <t>Rv0528, (MTCY25D10.07), len: 529 aa. Probable conserved transmembrane protein, equivalent (shorter 14 aa in N-terminus) to CAC31926.1|AL583925 conserved membrane protein from Mycobacterium leprae (542 aa). Also highly similar to Q49817|B2168_C2_237|S72902 hypothetical protein from Mycobacterium leprae (364 aa), FASTA scores: opt: 1846, E(): 0, (81.1% identity in 338 aa overlap); and Q49811|B2168_C1_194|S72891 hypothetical protein from Mycobacterium leprae (106 aa), FASTA scores: opt: 506, E(): 3.8e-26, (73.6% identity in 106 aa overlap). Also highly similar to CAC08381.1|AL392176 putative integral membrane protein from Streptomyces coelicolor (574 aa).</t>
  </si>
  <si>
    <t>Required during cytochrome biogenesis at the step of heme attachment.</t>
  </si>
  <si>
    <t>Possible cytochrome C-type biogenesis protein CcsA</t>
  </si>
  <si>
    <t>Rv0529, (MTCY25D10.08), len: 324 aa. Possible ccsA, cytochrome C-type biogenesis protein, integral membrane protein, equivalent to NP_302558.1|NC_002677|B2168_C3_281 possible cytochrome C biogenesis protein from Mycobacterium leprae (327 aa), FASTA scores: opt: 1779, E(): 0, (82.9% identity in 327 aa overlap). Also highly similar to others e.g. CAC08382.1|AL392176 putative cytochrome biogenesis related protein from Streptomyces coelicolor (380 aa); CCSA_CHLRE|P48269 probable cytochrome c biogenesis protein from Chlamydomonas reinhardtii (353 aa), FASTA scores: opt: 449, E(): 1.3e-23, (34.4% identity in 247 aa overlap); etc. Belongs to the CCMF/CYCK/CCL1/NRFE/CCSA family. Note that previously known as ccsB.</t>
  </si>
  <si>
    <t>Rv0530, (MTCY25D10.09), len: 405 aa. Conserved protein, similar in part to other hypothetical proteins e.g. AL031231|SC3C3_3|CAA20252.1 from Streptomyces coelicolor (1083 aa), FASTA scores: opt: 870, E(): 0, (39.5% identity in 443 aa overlap); etc. Also similar to Mycobacterium tuberculosis proteins e.g. Rv3868, Rv0282, Rv1798, etc.</t>
  </si>
  <si>
    <t>Rv0530A</t>
  </si>
  <si>
    <t>Rv0530A, len: 53 aa. Conserved protein.</t>
  </si>
  <si>
    <t>Rv0531, (MTCY25D10.10), len: 105 aa. Possible conserved membrane protein, highly similar to Y13803|MLB1306_1|CAA74131.1 hypothetical protein from Mycobacterium leprae (86 aa), FASTA scores: E(): 2.1e-24, (74.4% identity in 86 aa overlap); and NP_302557.1|NC_002677 putative membrane protein from Mycobacterium leprae (111 aa). A core mycobacterial gene; conserved in mycobacterial strains (See Marmiesse et al., 2004).</t>
  </si>
  <si>
    <t>PE_PGRS6</t>
  </si>
  <si>
    <t>Rv0532</t>
  </si>
  <si>
    <t>PE-PGRS family protein PE_PGRS6</t>
  </si>
  <si>
    <t>Rv0532, (MTCY25D10.11), len: 594 aa. PE_PGRS6, Member of the Mycobacterium tuberculosis PE family, PGRS subfamily of gly-rich proteins (see citation below), similar to others e.g. Y0DP_MYCTU|Q50615 from Mycobacterium tuberculosis (498 aa), FASTA scores: opt: 1703, E(): 0, (58.2% identity in 536 aa overlap).</t>
  </si>
  <si>
    <t>Involved in fatty acid biosynthesis. Catalyzes the condensation reaction of fatty acid synthesis by the addition to an acyl acceptor of two carbons from malonyl-ACP. KAS III catalyzes the first condensation reaction which initiates fatty acid synthesis and may therefore play a role in governing the total rate of fatty acid production. Possesses both acetoacetyl-ACP synthase and acetyl transacylase activities [catalytic activity: acyl-[acyl-carrier protein] + malonyl-[acyl-carrier protein] = 3-oxoacyl-[acyl-carrier protein] + CO2 + [acyl-carrier protein]].</t>
  </si>
  <si>
    <t>3-oxoacyl-[acyl-carrier-protein] synthase III FabH (beta-ketoacyl-ACP synthase III) (KAS III)</t>
  </si>
  <si>
    <t>Rv0533c, (MTCY25D10.12c), len: 335 aa. FabH (alternate gene name: mtFabH), 3-oxoacyl-[acyl-carrier protein] synthase III (see citations below), highly similar to others e.g. Q54206|FABH from streptomyces glaucescens (333 aa), FASTA scores: opt: 1109, E(): 0, (51.4% identity in 333 aa overlap); FABH_ECOLI|P24249 3-oxoacyl-[acyl-carrier-protein] synthase III (317 aa), FASTA scores: opt: 666, E(): 0, (37.1% identity in 318 aa overlap); etc. Belongs to the FabH family.</t>
  </si>
  <si>
    <t>Involved in menaquinone biosynthesis. Conversion of 1,4-dihydroxy-2-naphthoate (DHNA) to dimethylmenaquinone (DMK). Attaches octaprenylpyrophosphate, a membrane-bound 40-carbon side chain to DHNA. The conversion of DHNA to DMK proceeds in three stages: the removal of the carboxyl group of DHNA as CO2, the attachment of the isoprenoid side chain, and a quinol-to-quinone oxidation, which is thought to be spontaneous.</t>
  </si>
  <si>
    <t>1,4-dihydroxy-2-naphthoate octaprenyltransferase MenA (DHNA-octaprenyltransferase)</t>
  </si>
  <si>
    <t>Rv0534c, (MTCY25D10.13c), len: 292 aa. Probable menA, 1,4-dihydroxy-2-naphthoate octaprenyltransferase, integral membrane protein, equivalent to Y13803|MLB1306_2|NP_302556.1 probable 4-dihydroxy-2-naphthoate octaprenyltransferase from Mycobacterium leprae (294 aa), FASTA scores: opt: 1509, E(): 0, (80.2% identity in 288 aa overlap). Also highly similar to others e.g. MENA_ECOLI|P32166|B3930 from Escherichia coli (308 aa), FASTA scores: opt: 495, E(): 2.9e-25, (36.3 identity in 289 aa overlap); etc. Belongs to the MenA family.</t>
  </si>
  <si>
    <t>pnp</t>
  </si>
  <si>
    <t>Rv0535</t>
  </si>
  <si>
    <t>Phosphorylates 5'-methylthioadenosin [catalytic activity: 5'-methylthioadenosine + phosphate = adenine + 5-methylthio-D-ribose 1-phosphate].</t>
  </si>
  <si>
    <t>Probable 5'-methylthioadenosine phosphorylase Pnp (MTA phosphorylase)</t>
  </si>
  <si>
    <t>Rv0535, (MTCY25D10.14c), len: 264 aa. Probable pnp, 5'-methylthioadenosine phosphorylase, highly similar to others e.g. CAB90972.1|AL355832 putative methylthioadenosine phosphorylase from Streptomyces coelicolor (280 aa); etc. Also similar to Rv3307|deoD probable purine nucleoside phosphorylase from Mycobacterium tuberculosis (268 aa). Belongs to the PNP/MTAP family 2 of phosphorylases. Gene name could be inappropriate.</t>
  </si>
  <si>
    <t>Possibly involved in galactose metabolism [catalytic activity: UDP-glucose = UDP-galactose].</t>
  </si>
  <si>
    <t>Probable UDP-glucose 4-epimerase GalE3 (galactowaldenase) (UDP-galactose 4-epimerase) (uridine diphosphate galactose 4-epimerase) (uridine diphospho-galactose 4-epimerase)</t>
  </si>
  <si>
    <t>Rv0536, (MTCY25D10.15), len: 346 aa. Possible galE3, UDP-glucose 4-epimerase, highly similar to CAB76986.1|AL159178 putative epimerase from Streptomyces coelicolor (334 aa); and similar to other epimerases e.g. NP_436775.1|NC_003078 putative NDP-glucose dehydrataseepimerase protein from Sinorhizobium meliloti (368 aa); AF143772|AF143772_7 GepiA from Mycobacterium avium strain 2151 (353 aa), FASTA scores: opt: 577, E(): 3.9e-29, (36.6% identity in 352 aa overlap); GALE_METJA|Q57664 putative UDP-glucose 4-epimerase (305 aa), FASTA scores: opt: 300, E(): 1.6e-12, (30.9% identity in 343 aa overlap); etc. Also similar to Mycobacterium tuberculosis proteins e.g. Rv3634c, Rv3784, etc. Seems to belong to the sugar epimerase family. Note that previously known as galE2.</t>
  </si>
  <si>
    <t>Probable integral membrane protein</t>
  </si>
  <si>
    <t>Rv0537c, (MTCY25D10.16c), len: 477 aa. Probable integral membrane protein, showing weak similarity to YDNK_STRCO|P40180 hypothetical 41.2 kDa protein from Streptomyces coelicolor (411 aa), FASTA scores: opt: 122, E(): 0.85, (28.2% identity in 373 aa overlap).</t>
  </si>
  <si>
    <t>Rv0538, (MTCY25D10.17), len: 548 aa. Possible conserved membrane protein. Middle region highly similar to AAB63811.1|AF009829|MBE4863a|O32850 unknown protein from Mycobacterium bovis (295 aa) possible transmembrane protein with a repetitive proline, threonine-rich region at C-terminus.</t>
  </si>
  <si>
    <t>Substrate (sugar) unknown [catalytic activity: NDP-sugar + dolichyl phosphate = NDP + dolichyl sugar phosphate].</t>
  </si>
  <si>
    <t>Probable dolichyl-phosphate sugar synthase (dolichol-phosphate sugar synthetase) (dolichol-phosphate sugar transferase) (sugar phosphoryldolichol synthase)</t>
  </si>
  <si>
    <t>Rv0539, (MTCY25D10.18), len: 210 aa. Probable dolichol-P-sugar synthase, highly similar to CAB76989.1|AL159178 putative glycosyltransferase from Streptomyces coelicolor (242 aa), and similar to various dolichol-P-sugar synthetases and sugar transferases e.g. NP_126257.1|NC_000868 dolichyl-phosphate mannose synthase related protein from Pyrococcus abyssi (211 aa); N-terminus of NP_127133.1|NC_000868 dolichol-P-glucose synthetase from Pyrococcus abyssi (378 aa); N-terminus of NP_068880.1|NC_000917 putative dolichol-P-glucose synthetase from Archaeoglobus fulgidus (369 aa), FASTA scores: E(): 2.4e-13, (32. 1% identity in 193 aa overlap); Q26732 dolichyl-phosphate-mannose synthase precursor from trypanosoma brucei (267 aa), FASTA scores: opt: 179, E(): 0.0011, (30.7% identity in 205 aa overlap); etc. Also similar to Rv2051c|MTY25D10_18 from Mycobacterium tuberculosis. Contains PS00017 ATP/GTP-binding site motif A (P-loop).</t>
  </si>
  <si>
    <t>Rv0540</t>
  </si>
  <si>
    <t>Rv0540, (MTCY25D10.19), len: 220 aa. Conserved hypothetical protein, similar to hypothetical proteins from Streptomyces coelicolor: CAB76990.1|AL159178 (213 aa); N-terminus of BAA84086.1|AB032065 (446 aa); and CAB61872.1|AL133252|SCE46_21 (210 aa), FASTA scores: opt: 267, E(): 5.3e-10, (32.7% identity in 202 aa overlap). Also some similarity with D90913_63|PCC6803 from Synecho cystis sp (211 aa), FASTA scores: opt: 189, E(): 4.7e-06, (25.3 identity in 194 aa overlap).</t>
  </si>
  <si>
    <t>Rv0541c, (MTCY25D10.20c), len: 449 aa. Probable conserved integral membrane protein, highly similar (except first 40 residues) to CAB76994.1|AL159178 putative integral membrane protein from Streptomyces coelicolor (456 aa). Also some similarity to Q13724|GCS1_HUMAN mannosyl-oligosaccharide glucosidase (834 aa), FASTA scores: opt: 150, E(): 0.013, (27.1% identity in 339 aa overlap). Contains PS00041 Bacterial regulatory proteins, araC family signature.</t>
  </si>
  <si>
    <t>Involved in menaquinone biosynthesis. O-succinylbenzoic acid (OSB) to O-succinylbenzoyl-CoA (OSB-CoA) [catalytic activity: ATP + O-succinylbenzoate + CoA = AMP + diphosphate + O-succinylbenzoyl-CoA].</t>
  </si>
  <si>
    <t>Possible O-succinylbenzoic acid--CoA ligase MenE (OSB-CoA synthetase) (O-succinylbenzoate-CoA synthase)</t>
  </si>
  <si>
    <t>Rv0542c, (MTCY25D10.21c), len: 362 aa. Possible menE, O-succinylbenzoic acid-CoA ligase, highly similar to Q50170|AAA63145.1|U15187|XCLB 4-Coumarate--CoA ligase from Mycobacterium leprae (352 aa), FASTA scores: opt: 1815, E(): 0, (78.9% identity in 351 aa overlap). Also similar to N-terminus of acid-CoA ligases e.g. NP_471116.1|NC_003212 O-succinylbenzoic acid-CoA ligase from Listeria innocua (469 aa); NP_390957.1|NC_000964 O-succinylbenzoic acid-CoA ligase from Bacillus subtilis (486 aa); MENE_HAEIN|P44565 O-succinylbenzoic acid-CoA ligase from Haemophilus influenzae (452 aa), FASTA scores: opt: 307, E(): 4.6e-12, (25.4% identity in 339 aa overlap); etc. Also some similarity with fadD proteins from Mycobacterium tuberculosis. Contains PS00455 Putative AMP-binding domain signature. Belongs to the ATP-dependent AMP-binding enzyme family.</t>
  </si>
  <si>
    <t>Rv0543c, (MTCY25D10.22c), len: 100 aa. Conserved protein, equivalent to Q50171|MLU15187_32|NP_302469.1|NC_002677 conserved hypothetical protein from Mycobacterium leprae (100 aa), FASTA scores: opt: 493, E(): 6.1e-30, (73.5% identity in 98 aa overlap). Some similarity to Rv3046c|NP_217562.1 from Mycobacterium tuberculosis. A core mycobacterial gene; conserved in mycobacterial strains (See Marmiesse et al., 2004). Alternative nucleotide at position 635633 (C-&gt;T; A81A) has been observed.</t>
  </si>
  <si>
    <t>Rv0544c</t>
  </si>
  <si>
    <t>Rv0544c, (MTCY25D10.23c), len: 92 aa. Possible conserved transmembrane protein, equivalent to NP_302470.1|NC_002677 possible membrane protein from Mycobacterium leprae (96 aa); and shows some similarity to MLU15187_33|Q50172|U296V from Mycobacterium leprae (36 aa), FASTA scores: opt: 151, E(): 2.1e-05, (71.4% identity in 35 aa overlap). Also some similarity with VATL_NEPNO|Q26250 vacuolar ATP synthase 16 kDa proteolipid from Nephrops norvegicus (159 aa), FASTA scores: opt: 80, E(): 11, (26.1% identity in 88 aa overlap). A core mycobacterial gene; conserved in mycobacterial strains (See Marmiesse et al., 2004).</t>
  </si>
  <si>
    <t>Involved in low-affinity inorganic phosphate transport across the membrane. Responsible for the translocation of the substrate across the membrane.</t>
  </si>
  <si>
    <t>Probable low-affinity inorganic phosphate transporter integral membrane protein PitA</t>
  </si>
  <si>
    <t>Rv0545c, (MTCY25D10.24c), len: 417 aa. Probable pitA, low-affinity inorganic phosphate transporter, integral membrane protein, equivalent to Q50173|NP_302471.1 pitA from Mycobacterium leprae (414 aa), FASTA scores: opt: 2035, E(): 0, (76.3% identity in 418 aa overlap). Also highly similar to others e.g. CAB59461.1|AL132644 putative low-affinity phosphate transport protein from Streptomyces coelicolor (423 aa); PITA_ECOLI|P37308 low-affinity inorganic phosphate transporter from Escherichia coli (499 aa), FASTA scores: opt: 304, E(): 6.9e-10, (32.5 % identity in 234 aa overlap); etc. Belongs to the PHO-4 family of transporters, pit subfamily.</t>
  </si>
  <si>
    <t>Rv0546c, (MTCY25D10.25c), len: 128 aa. Conserved protein, equivalent to AAA63111.1|U15187|Q50174|U296X hypothetical protein from Mycobacterium leprae (144 aa), FASTA scores: opt: 748, E(): 0, (84.2% identity in 133 aa overlap). Also highly similar to CAB95979.1|AL360034 conserved hypothetical protein from Streptomyces coelicolor (130 aa); and similar to AE000854_8|O26852 S-D-lactoylglutathione methylglyoxal lyase from Methanobacterium thermoautotropto (116 aa), FASTA scores: opt: 155, E(): 0.00019, (30.6% identity in 108 aa overlap); YAER_ECOLI hypothetical 14.7 kDa protein from Escherichia coli (129 aa), FASTA scores: opt: 104, E(): 0.42, (28.7% identity in 115 aa overlap). Also similar to Rv2068c from Mycobacterium tuberculosis.</t>
  </si>
  <si>
    <t>Rv0547c, (MTCY25D10.26c), len: 294 aa. Possible oxidoreductase, similar to various oxidoreductases e.g. fatty acyl-CoA reductase from Acinetobacter calcoaceticus (295 aa); NP_280196.1|NC_002607 3-oxoacyl-[acyl-carrier-protein] reductase from Halobacterium sp. NRC-1 (255 aa); NP_349214.1|NC_003030 Short-chain alcohol dehydrogenase family protein from Clostridium acetobutylicum (255 aa); etc. Also similar to several proteins from Mycobacterium tuberculosis e.g. Y04M_MYCTU|Q10783 putative oxidoreductase (341 aa), FASTA scores: opt: 644, E(): 0, (46.1% identity in 258 aa overlap).</t>
  </si>
  <si>
    <t>Involved in menaquinone biosynthesis. Convert O-succinylbenzoyl-CoA (OSB-CoA) to 1,4-dihydroxy-2-naphthoic acid (DHNA) [catalytic activity: O-succinylbenzoyl-CoA = 1,4-dihydroxy-2-naphthoate + CoA].</t>
  </si>
  <si>
    <t>Naphthoate synthase MenB (dihydroxynaphthoic acid synthetase) (DHNA synthetase)</t>
  </si>
  <si>
    <t>Rv0548c, (MTCY25D10.27c), len: 314 aa. menB, naphthoate synthase (dihydroxynaphthonic acid synthase), equivalent to NP_302473.1|NC_002677 naphthoate synthase from Mycobacterium leprae (300 aa). Also similar to others e.g. MENB_ECOLI|P27290 naphthoate synthase from Escherichia coli (285 aa), FASTA scores: opt: 599, E(): 9.3e-33, (48.1 identity in 285 aa overlap); etc. Belongs to the enoyl-CoA hydratase/isomerase family.</t>
  </si>
  <si>
    <t>vapC3</t>
  </si>
  <si>
    <t>Possible toxin VapC3</t>
  </si>
  <si>
    <t>Rv0549c, (MTCY25D10.28c), len: 137 aa. Possible vapC3, toxin, part of toxin-antitoxin (TA) operon with Rv0550c, contains PIN domain (see Arcus et al., 2005; Pandey and Gerdes, 2005). Similar to others e.g. Rv0960, Rv0065, and Rv1720c from Mycobacterium tuberculosis.</t>
  </si>
  <si>
    <t>vapB3</t>
  </si>
  <si>
    <t>Possible antitoxin VapB3</t>
  </si>
  <si>
    <t>Rv0550c, (MTCY25D10.29c), len: 88 aa. Possible vapB3, antitoxin, part of toxin-antitoxin (TA) operon with Rv0549c (See Arcus et al., 2005; Pandey and Gerdes, 2005).</t>
  </si>
  <si>
    <t>Probable fatty-acid-CoA ligase FadD8 (fatty-acid-CoA synthetase) (fatty-acid-CoA synthase)</t>
  </si>
  <si>
    <t>Rv0551c, (MTCY25D10.30c), len: 571 aa. Probable fadD8, fatty-acid-CoA synthetase, similar to many e.g. LCFA_ECOLI|P29212 long-chain-fatty-acid--CoA ligase (561 aa), FASTA scores: opt: 585, E(): 9.5e-30, (28.7% identity in 536 aa overlap); etc. Contains PS00455 Putative AMP-binding domain signature. Note other possible start sites exist downstream of this start.</t>
  </si>
  <si>
    <t>Rv0552, (MTCY25D10.31), len: 534 aa. Conserved protein, similar to others from several organisms. Also shows some similarity with regulatory proteins e.g. AEPA_ERWCA|Q06555 exoenzymes regulatory protein aepA [Precursor] from Erwinia carotovora (465 aa), FASTA scores: opt: 278, E(): 7.6e-11, (23.0% identity in 408 aa overlap). Also similar to Z99119|BSUB0016_28 from Bacillus subtilis (529 aa), FASTA scores: opt: 436, E(): 8.3e-20, (23.8% identity in 547 aa overlap). C-terminus is similar to MLRRNOPR_1 hypothetical 17.7 kDa protein from Mycobacterium leprae (154 aa), FASTA score: (43.1% identity in 160 aa overlap).</t>
  </si>
  <si>
    <t>Possibly involved in menaquinone biosynthesis. Catalyzes a syn cycloisomerization [catalytic activity: 2,5-dihydro-5-oxofuran-2-acetate = cis,cis-hexadienedioate].</t>
  </si>
  <si>
    <t>Probable muconate cycloisomerase MenC (cis,cis-muconate lactonizing enzyme) (MLE)</t>
  </si>
  <si>
    <t>Rv0553, (MTCY25D10.32), len: 326 aa. Probable menC, muconate cycloisomerase, equivalent to NP_302476.1|NC_002677 putative isomerase/racemase from Mycobacterium leprae (334 aa). Also similar to other muconate cycloisomerases e.g. TCBD_PSESP|P27099 chloromuconate cycloisomerase (370 aa), FASTA scores: opt: 249, E(): 7.8e-09, (32.7% identity in 199 aa overlap). Also similar to O-succinylbenzoate-CoA synthases. Belongs to the mandelate racemase / muconate lactonizing enzyme family.</t>
  </si>
  <si>
    <t>Supposedly involved in detoxification reactions.</t>
  </si>
  <si>
    <t>Possible peroxidase BpoC (non-haem peroxidase)</t>
  </si>
  <si>
    <t>Rv0554, (MTCY25D10.33), len: 262 aa. Possible bpoC, peroxidase (non-haem peroxidase), equivalent to NP_302477.1|NC_002677 putative hydrolase from Mycobacterium leprae (265 aa). Also highly similar or similar to various hydrolases and peroxidases e.g. CAB38877.1|AL035707|T36181 probable hydrolase from Streptomyces coelicolor (272 aa); CAC48368.1|Y16952 putative hydrolase from Amycolatopsis mediterranei (284 aa); P29715|BPA2_STRAU non-haem bromoperoxidase bpo-a2 (bromide peroxidase) from Streptomyces aureofaciens (277 aa), FASTA scores: opt: 325, E(): 2.3e-15, (29.5% identity in 268 aa overlap); O31168|PRXC_STRAU|CPO|CPOT non-heme chloroperoxidase (chloride peroxidase) from Streptomyces aureofaciens (278 aa); etc. Also similar to M. tuberculosis non-heme haloperoxidases and epoxide hydrolases e.g. Rv1938, Rv3617, etc.</t>
  </si>
  <si>
    <t>Involved in menaquinone biosynthesis (at the first step) [catalytic activity 1: isochorismate + 2-ketoglutarate = 2-succinyl-6-hydroxy-2,4-cyclohexadiene-1-carboxylate + pyruvate + CO(2)] [catalytic activity 2: 2-oxoglutarate = succinate semialdehyde + CO(2)].</t>
  </si>
  <si>
    <t>Probable bifunctional menaquinone biosynthesis protein MenD : 2-succinyl-6-hydroxy-2,4-cyclohexadiene-1-carboxylate synthase (SHCHC synthase) + 2-oxoglutarate decarboxylase (alpha- ketoglutarate decarboxylase) (KDC)</t>
  </si>
  <si>
    <t>Rv0555, (MTCY25D10.34), len: 554 aa. Probable menD, menaquinone biosynthesis protein, including 2-succinyl-6-hydroxy-2,4-cyclohexadiene-1-carboxylate synthase and 2-oxoglutarate decarboxylase activities. Equivalent to NP_302478.1|NC_002677 putative 2-succinyl-6-hydroxy-2,4-cyclohexadiene-1-carboxylate synthase / 2-oxoglutarate decarboxylase from Mycobacterium leprae (556 aa). Also similar to others e.g. MEND_BACSU|P23970 2-succinyl-6-hydroxy-2,4-cyclohexadiene-1-carboxylate synthase from Bacillus subtilis (548 aa), FASTA scores: opt: 488, E(): 2.3e-21, (34.3% identity in 545 aa overlap); etc. Cofactor: thiamine pyrophosphate.</t>
  </si>
  <si>
    <t>Rv0556, (MTCY25D10.35), len: 171 aa. Probable conserved transmembrane protein, equivalent to NP_302479.1|NC_002677 putative membrane protein from Mycobacterium leprae (175 aa). A core mycobacterial gene; conserved in mycobacterial strains (See Marmiesse et al., 2004).</t>
  </si>
  <si>
    <t>mgtA</t>
  </si>
  <si>
    <t>Involved in lipomannan (LM) biosynthesis</t>
  </si>
  <si>
    <t>Mannosyltransferase MgtA</t>
  </si>
  <si>
    <t>Rv0557, (MTCY25D10.36), len: 378 aa. MgtA (previously known as pimB), mannosyltransferase (see citation below), similar to other various transferases e.g. NP_243554.1|NC_002570 alpha-D-mannose-alpha(1-6)phosphatidyl myo-inositol monomannoside transferase from Bacillus halodurans (381 aa); NP_249533.1|NC_002516 probable glycosyl transferase from Pseudomonas aeruginosa (406 aa); NP_419573.1|NC_002696 glycosyl transferase, group 1 family protein, from Caulobacter crescentus (455 aa); etc. Also similar to Q55598 hypothetical 44.9 kDa protein from synechocystis SP (409 aa), FASTA scores: opt: 703, E(): 0, (33.9% identity in 378 aa overlap); GPI3_YEAST|P32363 n-acetylglucosaminyl-phosphatidylinositol biosynthetic protein (452 aa), FASTA scores: opt: 230, E(): 1.1e-07, (23.5% identity in 328 aa overlap).</t>
  </si>
  <si>
    <t>menH</t>
  </si>
  <si>
    <t>Involved in menaquinone biosynthesis (at the last step) converts DMKH2 into MKH2 [catalytic activity: S-adenosyl-L-methionine + demethylmenaquinol = S-adenosyl-L-homocysteine + menaquinol].</t>
  </si>
  <si>
    <t>Probable ubiquinone/menaquinone biosynthesis methyltransferase MenH (2-heptaprenyl-1,4-naphthoquinone methyltransferase)</t>
  </si>
  <si>
    <t>Rv0558, (MTCY25D10.37), len: 234 aa. Probable menH (alternate gene name: menG), ubiquinone/menaquinone biosynthesis methlytransferase (2-heptaprenyl-1,4-naphthoquinone methyltransferase), equivalent to NP_302480.1|NC_002677 putative ubiquinone/menaquinone biosynthesis methyltransferase from Mycobacterium leprae (238 aa). Also highly similar to others e.g. CAB44537.1|AL078618|T34630 from Streptomyces coelicolor (231 aa); UBIE_ECOLI|P27851 from Escherichia coli strain K12 (251 aa), FASTA scores: opt: 421, E(): 1.2e-21, (43.2% identity in 227 aa overlap); GRC2_BACSU|P31113 from Bacillus subtilis (233 aa), FASTA scores: opt: 345, E(): 1.4e-16, (34.6% identity in 231 aa overlap); etc. Belongs to the UbiE family. Note that previously known as ubiE.</t>
  </si>
  <si>
    <t>Rv0559c, (MTCY25D10.38c), len: 112 aa. Possible conserved secreted protein, similar to NP_302481.1|NC_002677 putative secreted protein from Mycobacterium leprae (112 aa). Also similar to Y08B_MYCTU|Q11048 hypothetical 11.6 kDa protein FASTA scores: opt: 111, E(): 011, (25.4% identity in 114 aa overlap). Contains possible N-terminal signal sequence. A core mycobacterial gene; conserved in mycobacterial strains (See Marmiesse et al., 2004).</t>
  </si>
  <si>
    <t>Possibly causes methylation</t>
  </si>
  <si>
    <t>Possible benzoquinone methyltransferase (methylase)</t>
  </si>
  <si>
    <t>Rv0560c, (MTCY25D10.39c), len: 241 aa. Possible benzoquinone methyltransferase (see citation below), similar to other hypothetical proteins and methyltransferases e.g. Q54300 methyltransferase (211 aa), FASTA scores: opt: 203, E(): 4.8e-07, (30.9% identity in 136 aa overlap). Similar to Rv3699, Rv1377c, Rv2675c, etc from Mycobacterium tuberculosis. Rv0560c can be induced by salicylate and para-amino-salicylate (pas).</t>
  </si>
  <si>
    <t>Rv0561c</t>
  </si>
  <si>
    <t>Rv0561c, (MTCY25D10.40c), len: 408 aa. Possible oxidoreductase, highly similar (except in first 30 aa) to NP_302482.1|NC_002677 putative FAD-linked oxidoreductase from Mycobacterium leprae (408 aa). Also similar to T34627 probable electron transfer oxidoreductase from Streptomyces coelicolor (430 aa); and some bacteriochlorophyll synthases e.g. NP_069300.1|NC_000917 bacteriochlorophyll synthase from Archaeoglobus fulgidus (410 aa); Q55087 geranylgeranyl hydrogenase (407 aa), FASTA scores: opt: 208, E(): 1.7e-06, (26.9% identity in 327 aa overlap).</t>
  </si>
  <si>
    <t>Possibly supplies polyprenyl diphosphate.</t>
  </si>
  <si>
    <t>Probable polyprenyl-diphosphate synthase GrcC1 (polyprenyl pyrophosphate synthetase)</t>
  </si>
  <si>
    <t>Rv0562, (MTCY25D10.41), len: 335 aa. Probable grcC1, polyprenyl diphosphate synthetase, equivalent to NP_302483.1|NC_002677 polyprenyl diphosphate synthase component from Mycobacterium leprae (330 aa). Also similar to others (generally hepta or hexaprenyl) e.g. GRC3_BACSU|P31114 probable heptaprenyl diphosphate syntetase (348 aa), FASTA scores: opt: 599, E(): 4e-31, (33.2% identity in 307 aa overlap); etc. Also highly similar to Mycobacterium tuberculosis proteins Rv0989c|grcC2|NP_215504.1|MTCI237.03c probable polyprenyl-diphosphate synthase (325 aa); Rv3383c, Rv3398c, etc. Contains PS00444 Polyprenyl synthetases signature 2. Belongs to the FPP/GGPP synthetases family.</t>
  </si>
  <si>
    <t>Possibly involved in adaptation. Hydrolizes specific peptides and/or proteins.</t>
  </si>
  <si>
    <t>Probable protease transmembrane protein heat shock protein HtpX</t>
  </si>
  <si>
    <t>Rv0563, (MTV039.01, MTCY25D10.42), len: 286 aa. (alternative start at position 654006). Probable htpX, protease heat shock protein X (transmembrane protein), equivalent to NP_302484.1|NC_002677 putative peptidase from Mycobacterium leprae (287 aa). Also highly similar to others e.g. CAC08262.1|AL392146 putative peptidase from Streptomyces coelicolor (287 aa); NP_387431.1|NC_003047 putative protease transmembrane protein from Sinorhizobium meliloti (319 aa); NP_105051.1|NC_002678 heat shock protein (htpX) from Mesorhizobium loti (336 aa); NP_248692.1|NC_000909|U67608|MJU67608_8 heat shock protein HtpX, possibly protease (htpX) from Methanococcus jannaschii (284 aa), FASTA scores: opt: 660, E(): 0, (46.5 identity in 245 aa overlap). Continuation of MTCY25D10.42. Belongs to peptidase family M48 (zinc metalloprotease). Cofactor: Zinc. Conserved in M. tuberculosis, M. leprae, M. bovis and M. avium paratuberculosis; predicted to be essential for in vivo survival and pathogenicity (See Ribeiro-Guimaraes and Pessolani, 2007).</t>
  </si>
  <si>
    <t>Involved in de novo phospholipid biosynthesis; glycerol-3 phosphate formation [catalytic activity: SN-glycerol 3-phosphate + NAD(P)+ = glycerone phosphate + NAD(P)H].</t>
  </si>
  <si>
    <t>Probable glycerol-3-phosphate dehydrogenase [NAD(P)+] GpdA1 (NAD(P)H-dependent glycerol-3-phosphate dehydrogenase) (NAD(P)H-dependent dihydroxyacetone-phosphate reductase)</t>
  </si>
  <si>
    <t>Rv0564c, (MTV039.02c), len: 341 aa. Possible gpdA1(alternate gene names: gpsA, glyC), glycerol-3-phosphate dehydrogenase [NAD(P)+] dependent, similar to many other glycerol-3-phosphate dehydrogenases e.g. P46919|GPDA_BACSU from Bacillus subtilis (345 aa), FASTA scores: opt: 731, E(): 0, (37.3% identity in 332 aa overlap); etc. Also similar to Rv2982c|gpdA2|MTCY349.05|Z83018|MTCY349_5 from Mycobacterium tuberculosis (334 aa), FASTA scores: opt: 740, E(): 0, (40.4% identity in 322 aa overlap). Contains PS00017 ATP/GTP-binding site motif A (P-loop). Belongs to the NAD-dependent glycerol-3-phosphate dehydrogenase family.</t>
  </si>
  <si>
    <t>Rv0565c, (MTV039.03c), len: 486 aa. Probable monoxygenase, highly similar to NP_301173.1|NC_002677 putative monooxygenase from Mycobacterium leprae (494 aa). Also highly similar to others e.g. NP_421371.1|NC_002696 monooxygenase (flavin-binding family) from Caulobacter crescentus (498 aa); C-terminus of NP_051574.1|NC_000958 arylesterase/monoxygenase from Deinococcus radiodurans (833 aa); P12015|CYMO_ACISP cyclohexanone monooxygenase from Acinetobacter sp. (542 aa), FASTA scores: opt: 354, E(): 2.1e-16, (23.7% identity in 435 aa overlap); etc. Also similar to other putative monoxygenases from Mycobacterium tuberculosis e.g. Rv3854c (489 aa), MTCY01A6.14 (489 aa), MTV013_4 (495 aa), MTCY31.20 (495 aa).</t>
  </si>
  <si>
    <t>Rv0566c</t>
  </si>
  <si>
    <t>Rv0566c, (MTV039.04c), len: 163 aa. Conserved protein, similar to others e.g. P77482|YAJQ_ECOLI hypothetical 19.0 KDa protein from Escherichia coli (169 aa), FASTA scores: opt: 422, E(): 5.4e-20, (44.1 identity in 161 aa overlap); etc.</t>
  </si>
  <si>
    <t>Probable methyltransferase/methylase</t>
  </si>
  <si>
    <t>Rv0567, (MTV039.05), len: 339 aa. Probable methyltransferase, similar to several e.g. P39896|TCMO_STRGA tetracenomycin polyketide synthesis 8-O-methyltransferase from Streptomyces glaucescens (339 aa), FASTA scores: opt: 685, E(): 0, (35.8% identity in 335 aa overlap); P10950|HIOM_BOVIN hydroxyindole O-methyltransferase from Bos taurus (345 aa), FASTA scores: opt: 509, E(): 3.4e-27, (30.7% identity in 332 aa overlap) etc.</t>
  </si>
  <si>
    <t>Possible cytochrome P450 135B1 Cyp135B1</t>
  </si>
  <si>
    <t>Rv0568, (MT0594, MTV039.06), len: 472 aa. Possible cyp135B1, cytochrome P450, similar to putative cytochrome P-450 monoxygenases and other cytochrome P-450 related enzymes e.g. P29980|CPXN_ANASP probable cytochrome P450 from Anabaena sp. strain PCC 7120 (459 aa), FASTA scores: opt: 525, E(): 7.2e-27, (31.9% identity in 417 aa overlap); etc. Also similar to others from Mycobacterium tuberculosis e.g. Rv0327c|NP_214841.1|NC_000962|CYP135A1|MT0342|MTCY63.32c putative cytochrome P450 (449 aa), FASTA scores: opt: 1080, E(): 0, (40.5% identity in 444 aa overlap); Rv3685c|NP_218202.1|NC_000962 putative cytochrome P450 (476 aa); Rv0136|NP_214650.1|NC_000962 putative cytochrome P450 (441 aa); etc. Contains cytochrome P450 cysteine heme-iron ligand signature (PS00086).</t>
  </si>
  <si>
    <t>Rv0569, (MTV039.07), len: 88 aa. Conserved protein. C-terminus highly similar to AAA63065.1|U15184|MLU15184_10 hypothetical protein from Mycobacterium leprae (53 aa), FASTA scores: opt: 140, E(): 0.0046, (64.7% identity in 34 aa overlap). Also similar to T36824|SCI35.11 hypothetical protein from Streptomyces coelicolor (64 aa); and N-terminus of T36956 probable DNA-binding protein from Streptomyces coelicolor (323 aa). Also highly similar to Rv2302|MTCY339.07c|NP_216818.1|NC_000962 conserved hypothetical protein from Mycobacterium tuberculosis (80 aa), FASTA scores: opt: 300, E(): 1.4e-13, (61.8% identity in 76 aa overlap).</t>
  </si>
  <si>
    <t>Involved in the DNA replication pathway (at the first reaction). Provides the precursors necessary for DNA synthesis [catalytic activity: 2'-deoxyribonucleoside diphosphate + oxidized thioredoxin + H2O = ribonucleoside diphosphate + reduced thioredoxin].</t>
  </si>
  <si>
    <t>Probable ribonucleoside-diphosphate reductase (large subunit) NrdZ (ribonucleotide reductase)</t>
  </si>
  <si>
    <t>Rv0570, (MTV039.08), len: 692 aa. Probable nrdZ, ribonucleoside-diphosphate reductase, large subunit, highly similar to others e.g. NP_070492.1|NC_000917|NRD|AE000988_11 ribonucleotide reductase from Archaeoglobus fulgidus (752 aa), FASTA scores: opt: 2001, E(): 0, (52.5% identity in 562 aa overlap) (N-terminus shorter); U73619|TAU73619_1|T37459 ribonucleotide reductase from Thermoplasma acidophilum (857 aa), FASTA scores: opt: 1678, E(): 0, (43.7% identity in 723 aa overlap); etc. Belongs to the ribonucleoside diphosphate reductase large chain family.</t>
  </si>
  <si>
    <t>Rv0571c, (MTV039.09c), len: 443 aa. Conserved protein, highly similar to the products of two adjacent orfs in Mycobacterium leprae: AAA63059.1|U15184|U650S|Q50111 hypothetical protein (258 aa), FASTA scores: opt: 1071, E(): 0, (72.5% identity in 233 aa overlap); and AAA63058.1|U15184|U650T hypothetical protein (86 aa), FASTA scores: opt: 192, E(): 6.4e-06, (70.8% identity in 48 aa overlap). Also similar to others e.g. NP_107072.1|NC_002678 hypothetical protein from Mesorhizobium loti (235 aa); NP_213031.1|NC_000918 hypothetical protein from Aquifex aeolicus (175 aa); etc. And similar to part of hypothetical proteins from Mycobacterium tuberculosis e.g. C-terminus of Rv2143|MTCY270.25c|Z95388|NP_216659.1|NC_000962 (352 aa), FASTA scores: opt: 592, E(): 7e-32, (49.3% identity in 205 aa overlap); N-terminus of Rv2030c|NP_216546.1|NC_000962 (681 aa).</t>
  </si>
  <si>
    <t>Rv0572c, (MTV039.10c), len: 113 aa. Hypothetical unknown protein.</t>
  </si>
  <si>
    <t>pncB2</t>
  </si>
  <si>
    <t>Involved in NAD salvage. Phosphoribosylation of nicotinic acid. [catalytic activity: nicotinate + 5-phosphoribosyl 1-pyrophosphate = nicotinate mononucleotide + diphosphate]</t>
  </si>
  <si>
    <t>Nicotinic acid phosphoribosyltransferase PncB2</t>
  </si>
  <si>
    <t>Rv0573c, (MTV039.11c), len: 463 aa. PncB2, nicotinic acid phosphoribosyltransferase (See Boshoff et al., 2008). Similar to e.g. NP_213718.1|NC_000918 hypothetical protein from Aquifex aeolicus (426 aa); AL109962|T36953|SCJ1.20 conserved hypothetical protein from Streptomyces coelicolor (438 aa), FASTA scores: opt: 1089, E(): 0, (49.4% identity in 385 aa overlap); P_391053.1|Z99120|BSUB0017_57|NC_000964 protein similar to nicotinate phosphoribosyltransferase from Bacillus subtilis (490 aa), FASTA scores: opt: 955, E():0, (43.5% identity in 356 aa overlap); etc. Also similar to Q10641|Y03F_MYCTU|MTCY130.15c|Rv1330c conserved hypothetical protein from Mycobacterium tuberculosis (509 aa), FASTA scores: opt: 761, E(): 0, (38.4% identity in 437 aa overlap).</t>
  </si>
  <si>
    <t>Rv0574c, (MTV039.12c), len: 380 aa. Conserved hypothetical protein, showing similarity with other hypothetical proteins and polyglutamate synthases (encapsulation proteins) e.g. AAK64444.1|AF377339_5|AF377339 polyglutamate synthase CapA from Myxococcus xanthus (405 aa); M24150|BACCAPABC_3|CapA polyglutamate synthase (encapsulation protein) from B.anthracis (411 aa), FASTA scores: opt: 261, E(): 4.3e-10, (25.8% identity in 287 aa overlap); etc.</t>
  </si>
  <si>
    <t>Rv0575c, (MTV039.13c), len: 388 aa. Possible oxidoreductase, similar to many diverse oxidoreductases and monooxygenases e.g. AL109974|SCF34_5|T36404 probable monooxygenase from Streptomyces coelicolor (407 aa), FASTA scores: opt: 786, E(): 0, (38.7% identity in 398 aa overlap); P96555|AB000564 salicylate hydroxylase from sphingomonas (395 aa), FASTA scores: opt: 267, E():5e-11, (26.4% identity in 390 aa overlap). Also similar to Rv1260|Z77137|MTCY50.22C from Mycobacterium tuberculosis (372 aa), FASTA scores: opt: 762, E(): 0, (40.9% identity in 345 aa overlap). The transcription of this CDS seems to be activated in macrophages (see citation below).</t>
  </si>
  <si>
    <t>Probable transcriptional regulatory protein (possibly ArsR-family)</t>
  </si>
  <si>
    <t>Rv0576, (MTV039.14), len: 434 aa. Probable transcriptional regulator, ArsR family. N-terminus highly similar to others e.g. NP_102487.1|NC_002678 transcriptional regulator from Mesorhizobium loti (104 aa); NP_242952.1|NC_002570 transcriptional regulator (ArsR family) from Bacillus halodurans (109 aa); etc. C-terminal region (~240-434) shows similarity with D67028_1 from Rhodococcus rhodochrous (112 aa); and Rv0738 from Mycobacterium tuberculosis (182 aa). N-terminus also highly similar to Rv2034 from Mycobacterium tuberculosis (107 aa). Contains helix-turn-helix motif at aa 23-43 (Score 1628, +4.73 SD).</t>
  </si>
  <si>
    <t>Function unknown. Involved in ability to absorb neutral red stain.</t>
  </si>
  <si>
    <t>Conserved protein TB27.3</t>
  </si>
  <si>
    <t>Rv0577, (MTV039.15), len: 261 aa. TB27.3, conserved protein. Corresponds to O53774|CF30_MYCTU 27 kDa antigen CFP30B from Mycobacterium tuberculosis culture filtrate (260 aa), FASTA scores: opt: 1781, E(): 0, (100.0% identity in 260 aa overlap). Also similar to several hypothetical proteins and hydroxylases from Steptomyces sp. e.g. T35032 probable hydroxylase from Streptomyces coelicolor (263 aa); Q55078 orfA gene product from Streptomyces sp. (275 aa), FASTA scores: E(): 1.5e-1 9, (38.6% identity in 264 aa overlap); D89734_1|P95754 DNA for SgaA SGAA protein from Streptomyces griseus; and SC9B10_20 from Streptomyces coelicolor (267 aa), FASTA score: (38.9 identity in 252 aa overlap). Also similar to Rv0911|MTCY21C12.05 from Mycobacterium tuberculosis (257 aa), FASTA scores: E(): 1.1e-20, (32.0% identity in 259 aa overlap).</t>
  </si>
  <si>
    <t>PE-PGRS family protein PE_PGRS7</t>
  </si>
  <si>
    <t>Rv0578c, (MTV039.16c), len: 1306 aa. PE_PGRS7, Member of the Mycobacterium tuberculosis PE family, PGRS subfamily of gly-rich proteins (see citation below), highly similar to many other PGRS proteins e.g. MTCY493.04|Z95844 from Mycobacterium tuberculosis (1329 aa), FASTA scores: opt: 3994, E(): 0, (54.6% identity in 1375 aa overlap). Contains two PS00583 pfkB family of carbohydrate kinases signatures possibly fortuitously.</t>
  </si>
  <si>
    <t>Rv0579, (MTV039.17), len: 252 aa. Conserved hypothetical protein, showing some similarity to others e.g. AE001747_4 hypothetical protein from Thermotoga maritima (247 aa), FASTA scores: opt: 612, E(): 0, (39.6% identity in 235 aa overlap); AE001004_2 hypothetical protein from Archaeoglobus fulgidus (159 aa), FASTA scores: opt: 196, E(): 1e-06, (28.3% identity in 159 aa overlap); etc.</t>
  </si>
  <si>
    <t>Rv0580c, (MTV039.18c), len: 163 aa. Conserved protein, equivalent to AAA90989.1|U20446|MK35 lipoprotein precursor from Mycobacterium kansasii (225 aa).</t>
  </si>
  <si>
    <t>vapB26</t>
  </si>
  <si>
    <t>Possible antitoxin VapB26</t>
  </si>
  <si>
    <t>Rv0581, (MTV039.19), len: 71 aa. Possible vapB26, antitoxin, part of toxin-antitoxin (TA) operon with Rv0582, see Arcus et al. 2005. Showing weak similarity to other Mycobacterium tuberculosis proteins including P95003|Z83863|Rv2550c|MTCY159_6 conserved hypothetical protein (81 aa), FASTA scores: opt: 93, E(): 3.2, (25.7% identity in 70 aa overlap); Rv2871; Rv1241; etc. Also shows weak similarity to X05648|SGSPH_1 from Streptomyces glaucescens (77 aa), FASTA scores: opt: 92, E(): 3.6, (35.4% identity in 65 aa overlap).</t>
  </si>
  <si>
    <t>vapC26</t>
  </si>
  <si>
    <t>Possible toxin VapC26. Contains PIN domain.</t>
  </si>
  <si>
    <t>Rv0582, (MTV039.20), len: 135 aa. Possible vapC26, toxin, part of toxin-antitoxin (TA) operon with Rv0581, contains PIN domain, see Arcus et al. 2005.</t>
  </si>
  <si>
    <t>Probable conserved lipoprotein LpqN</t>
  </si>
  <si>
    <t>Rv0583c, (MTV039.21c), len: 228 aa. Probable lpqN, conserved lipoprotein, equivalent to AAA90989.1|U20446|MK35|U20446|MKU20446_1 lipoprotein precursor from Mycobacterium kansasii (225 aa), FASTA scores: opt: 945, E(): 0, (62.7% identity in 228 aa overlap); and similar to others from Mycobacteria e.g. Rv0040c and Rv1016c from Mycobacterium tuberculosis. Contains N-terminal signal sequence and appropriately positioned PS00013 Prokaryotic membrane lipoprotein lipid attachment site.</t>
  </si>
  <si>
    <t>Rv0584, (MTV039.22), len: 877 aa. Possible conserved exported protein, similar to other hypothetical proteins which are not necessarily secreted e.g. CAB61925.1|AL133278 putative secreted protein from Streptomyces coelicolor (772 aa); AAD51075.1|AF175722_1|AF175722 immunoreactive 89kD antigen PG87 from Porphyromonas gingivalis (781 aa), FASTA scores: opt: 637, E(): 2.1e-30, (29.1% identity in 794 aa overlap); etc. Contains PS00699 Nitrogenases component 1 alpha and beta subunits signature 1. Has potential N-terminal signal peptide. Predicted to be an outer membrane protein (See Song et al., 2008).</t>
  </si>
  <si>
    <t>Rv0585c, (MTV039.23c, MTCY19H5.37), len: 795 aa. Probable conserved integral membrane protein. C-terminus similar to CAB88984.1|AL353864 putative integral membrane protein from Streptomyces coelicolor (299 aa); and C-terminal region of CAC01311.1|AL390968 putative integral membrane protein from Streptomyces coelicolor (925 aa). Also some similarity with Rv0204 from Mycobacterium tuberculosis.</t>
  </si>
  <si>
    <t>mce2R</t>
  </si>
  <si>
    <t>Probable transcriptional regulatory protein Mce2R (GntR-family)</t>
  </si>
  <si>
    <t>Rv0586, (MTCY19H5.36c), len: 240 aa. Probable mce2R, transcriptional regulator, GntR family, part of mce2 operon, similar to many e.g. P33233|LLDR_ECOLI putative L-lactate dehydrogenase operon regulatory protein from Escherichia coli (258 aa), FASTA scores: opt: 225, E(): 9.3e-08, (26.7% identity in 232 aa overlap); etc. Also similar to other M. tuberculosis transcriptional regulators GntR proteins e.g. Rv3060c, Rv0792c, etc. Contains PS00043 Bacterial regulatory proteins, gntR family signature and probable helix-turn helix motif from aa 35-56 (Score 1531, +4.40 SD).</t>
  </si>
  <si>
    <t>Conserved hypothetical integral membrane protein YrbE2A</t>
  </si>
  <si>
    <t>Rv0587, (MTCY19H5.35c), len: 265 aa. YrbE2A, hypothetical unknown integral membrane protein, part of mce2 operon and member of YrbE family (see citations below), highly similar to Mycobacterium tuberculosis proteins O07412|Rv0167|MTCI28.07|yrbE1A (265 aa); O53965|Rv1964|MTV051.02|yrbE3A (265 aa); etc. Also highly similar to conserved hypothetical integral membrane proteins of the yrbEA type, e.g. P45392|YRBE_ECOLI hypothetical 27.9 kDa protein from Escherichia coli (260 aa), FASTA scores: opt: 287, E(): 6.1e-12, (21.5% identity in 256 aa overlap); P45030|YRBE_HAEIN|HI1086 hypothetical protein from Haemophilus influenzae (261 aa), FASTA scores: opt: 311, E(): 1.8e-83, (24.2% identity in 265 aa overlap); NP_302654.1|NC_002677 conserved membrane protein from Mycobacterium leprae (267 aa); etc.</t>
  </si>
  <si>
    <t>Conserved hypothetical integral membrane protein YrbE2B</t>
  </si>
  <si>
    <t>Rv0588, (MTCY19H5.34c), len: 295 aa. YrbE2B, hypothetical unknown integral membrane protein, part of mce2 operon and member of YrbE family (see citations below), highly similar to Mycobacterium tuberculosis proteins O07413|Rv0168|MTCI28.08|yrbE1B (289 aa); O53966|Rv1965|MTV051.03|yrbE3B (271 aa); etc. Also highly similar to conserved hypothetical integral membrane proteins of the yrbEB type, e.g. P45392|YRBE_ECOLI hypothetical 27.9 kDa protein from Escherichia coli (260 aa), FASTA scores: opt: 232, E(): 8.4e-08, (22.1 % identity in 267 aa overlap); P45030|YRBE_HAEIN|HI1086 hypothetical protein from Haemophilus influenzae (261 aa), FASTA scores: opt: 234, E(): 6.3e-08, (24.2% identity in 215 aa overlap); NP_302655.1|NC_002677 conserved membrane protein from Mycobacterium leprae (289 aa); etc.</t>
  </si>
  <si>
    <t>Mce-family protein Mce2A</t>
  </si>
  <si>
    <t>Rv0589, (MTCY19H5.33c), len: 404 aa. Mce2A; belongs to 24-membered Mycobacterium tuberculosis Mce protein family (see citations below), highly similar to Mycobacterium tuberculosis proteins P72013|MCE1|Rv0169|MTCI28.09|mce1A (454 aa); O53967|MCE3|Rv1966|MTV051.04|mce3A (425 aa); etc. Also highly similar to others e.g. AAD52105.1|AF113402_1|AF113402 mycobacterial cell entry protein from Mycobacterium bovis BCG (454 aa); NP_302656.1|NC_002677 putative cell invasion protein from Mycobacterium leprae (441 aa); CAC12798.1|AL445327 putative secreted protein from Streptomyces coelicolor (418 aa); etc. Also highly similar, but longer 21 aa, to P72013|CAA50257.1|X70901|MTCI28.08 Mcep protein from Mycobacterium tuberculosis (432 aa), FASTA scores: opt: 1324, E(): 0, (62.6% identity in 436 aa overlap). Contains a possible N-terminal signal or anchor sequence. Predicted to be an outer membrane protein (See Song et al., 2008). Note that previously known as mce2.</t>
  </si>
  <si>
    <t>Mce-family protein Mce2B</t>
  </si>
  <si>
    <t>Rv0590, (MTCY19H5.32c), len: 275 aa. Mce2B; belongs to 24-membered Mycobacterium tuberculosis Mce protein family (see citations below), highly similar to Mycobacterium tuberculosis proteins O07414|Rv0170|MTCI28.10|mce1B (346 aa); O53968|Rv1967|MTV051.05|mce3B (342 aa); etc. Also highly similar to others e.g. NP_302657.1|NC_002677 putative secreted protein from Mycobacterium leprae (346 aa); P45391|YRBD_ECOLI hypothetical 19.6 kDa protein from Escherichia coli (183 aa), FASTA scores: opt: 160, E(): 0.00099, (28.3% identity in 166 aa overlap); P45029|YRBD_HAEIN|HI1085 hypothetical protein from Haemophilus influenzae (167 aa), FASTA scores: opt: 135, E():0.035, (25.9% identity in 143 aa overlap); etc. Contains possible N-terminal signal or anchor sequence. Predicted to be an outer membrane protein (See Song et al., 2008).</t>
  </si>
  <si>
    <t>Rv0590A</t>
  </si>
  <si>
    <t>Unknown, but could be involved in host cell invasion.</t>
  </si>
  <si>
    <t>Mce-family related protein</t>
  </si>
  <si>
    <t>Rv0590A, len: 84 aa. Probable continuation of mce2B|Rv0590. Can find no frameshift to account for this. Possible nucleotide G missing at 688793 as there are 5 in Mycobacterium bovis but only 4 in CDC1551. Strong similarity to C-terminus of other Mce proteins e.g. AL583926|AL583926_38 from Mycobacterium leprae strain tn (346 aa), FASTA scores: E(): 1.2e-20, (67.85% identity in 84 aa overlap).</t>
  </si>
  <si>
    <t>Mce-family protein Mce2C</t>
  </si>
  <si>
    <t>Rv0591, (MTCY19H5.31c), len: 481 aa. Mce2C; belongs to 24-membered Mycobacterium tuberculosis Mce protein family (see citations below), highly similar to Mycobacterium tuberculosis proteins O07415|R0171|MTCI28.11|mce1C (515 aa); O53969|Rv1968|MTV051.06|mce3C (410 aa); etc. Also highly similar to others e.g. NP_302658.1|NC_002677 putative secreted protein from Mycobacterium leprae (519 aa); CAC12796.1|AL445327 putative secreted protein from Streptomyces coelicolor (351 aa); etc. Contains PS00017 ATP/GTP-binding site motif A (P-loop), and may contain N-terminal signal or anchor sequence. Has highly Pro-rich C-terminus.</t>
  </si>
  <si>
    <t>mce2D</t>
  </si>
  <si>
    <t>Mce-family protein Mce2D</t>
  </si>
  <si>
    <t>Rv0592, (MTCY19H5.30c), len: 508 aa. Mce2D; belongs to 24-membered Mycobacterium tuberculosis Mce protein family (see citations below), highly similar to Mycobacterium tuberculosis proteins O07416|Rv0172|MTCI28.12|mce1D (530 aa); O53970|Rv1969|MTV051.07|mce3D (423 aa); etc. Also highly similar to others e.g. NP_302659.1|NC_002677 putative secreted protein from Mycobacterium leprae (531 aa); CAC12795.1|AL445327 putative secreted protein from Streptomyces coelicolor (337 aa); etc. Has highly Pro-rich C-terminus and may contain N-terminal signal or anchor sequence. Predicted to be an outer membrane protein (See Song et al., 2008).</t>
  </si>
  <si>
    <t>Possible Mce-family lipoprotein LprL (Mce-family lipoprotein Mce2E)</t>
  </si>
  <si>
    <t>Rv0593, (MTCY19H5.29c), len: 402 aa. Possible lprL (alternate gene name: mce2E), lipoprotein which belongs to 24-membered Mycobacterium tuberculosis Mce protein family (see citations below), highly similar to Mycobacterium tuberculosis proteins O07417|LPRK|Rv0173|MTCI28.13|mce1E (390 aa); O53971|LPRM|Rv1970|MTV051.08|mce3E (377 aa); etc. Also highly similar to others e.g. NP_302660.1|NC_002677 putative lipoprotein from Mycobacterium leprae (392 aa); CAC12794.1|AL445327 putative secreted protein from Streptomyces coelicolor (413 aa); etc. Contains possible signal sequence and PS00013 Prokaryotic membrane lipoprotein lipid attachment site.</t>
  </si>
  <si>
    <t>Mce-family protein Mce2F</t>
  </si>
  <si>
    <t>Rv0594, (MTCY19H5.28c), len: 516 aa. Mce2F; belongs to 24-membered Mycobacterium tuberculosis Mce protein family (see citations below), similar to Mycobacterium tuberculosis proteins O07418|Rv0174|MTCI28.14|mce1F (515 aa); O53972|Rv1971|MTV051.09|mce3F (437 aa); etc. Also highly similar to others e.g. NP_302661.1|NC_002677 putative secreted protein from Mycobacterium leprae (516 aa); AAF74993.1|AF143400_1|AF143400|996A027a protein from Mycobacterium avium (80 aa) (similarity on C-terminus); CAC12793.1|AL445327 putative secreted protein from Streptomyces coelicolor (433 aa); etc. Contains possible N-terminal signal or anchor sequence. Predicted to be an outer membrane protein (See Song et al., 2008).</t>
  </si>
  <si>
    <t>vapC4</t>
  </si>
  <si>
    <t>Possible toxin VapC4</t>
  </si>
  <si>
    <t>Rv0595c, (MTCY19H5.27), len: 130 aa. Possible vapC4, toxin, part of toxin-antitoxin (TA) operon with Rv0596c, contains PIN domain (See Arcus et al., 2005; Pandey and Gerdes, 2005). Similar to other conserved hypothetical proteins e.g. Rv0627 (135 aa) and Rv0665 (112 aa) from Mycobacterium tuberculosis; and STBB_PSESM|Q52562 plasmid stability protein from Pseudomonas syringae (139 aa), FASTA scores: opt: 131, E(): 0.0035, (35.2% identity in 88 aa overlap). This region is a possible MT-complex-specific genomic island (See Becq et al., 2007).</t>
  </si>
  <si>
    <t>vapB4</t>
  </si>
  <si>
    <t>Rv0596c</t>
  </si>
  <si>
    <t>Possible antitoxin VapB4</t>
  </si>
  <si>
    <t>Rv0596c, (MTCY19H5.26), len: 85 aa. Possible vapB4, antitoxin, part of toxin-antitoxin (TA) operon with Rv0595c (See Arcus et al., 2005; Pandey and Gerdes, 2005). Highly similar in part to other M. tuberculosis hypothetical proteins e.g. Rv0626, Rv3181c, Rv3385c, Rv3407, etc. This region is a possible MT-complex-specific genomic island (See Becq et al., 2007).</t>
  </si>
  <si>
    <t>Rv0597c, (MTCY19H5.25), len: 411 aa. Conserved hypothetical protein, highly similar to Rv3179 conserved hypothetical protein from Mycobacterium tuberculosis (429 aa). Also similar to AAF76191.1|AF271296_1|AF271296 putative ATP/GTP binding protein from Mycobacterium smegmatis (428 aa); Rv2008c|YW09_MYCTU|Q10849 conserved hypothetical protein from Mycobacterium tuberculosis (441 aa), FASTA scores: opt: 270, E(): 3.6e-11, (30.5% identity in 416 aa overlap) (N-terminus longer). Also similar to other hypothetical proteins e.g. NP_085874.1|NC_002679 hypothetical protein from Mesorhizobium loti (435 aa) (N-terminus longer). Contains PS00017 ATP/GTP-binding site motif A (P-loop). This region is a possible MT-complex-specific genomic island (See Becq et al., 2007).</t>
  </si>
  <si>
    <t>vapC27</t>
  </si>
  <si>
    <t>Rv0598c</t>
  </si>
  <si>
    <t>Possible toxin VapC27. Contains PIN domain.</t>
  </si>
  <si>
    <t>Rv0598c, (MTCY19H5.24), len: 137 aa. Possible vapC27, toxin, part of toxin-antitoxin (TA) operon with Rv00599c, contains PIN domain, see Arcus et al. 2005. Similar to others e.g. Rv2596|Y0B5_MYCTU|Q50625 conserved hypothetical protein from Mycobacterium tuberculosis (134 aa), FASTA scores: opt: 254, E(): 8.2e-12, (41.5% identity in 130 aa overlap). This region is a possible MT-complex-specific genomic island (See Becq et al., 2007).</t>
  </si>
  <si>
    <t>vapB27</t>
  </si>
  <si>
    <t>Possible antitoxin VapB27</t>
  </si>
  <si>
    <t>Rv0599c, (MTCY19H5.23), len: 78 aa. Possible vapB27, antitoxin, part of toxin-antitoxin (TA) operon with Rv0598c, see Arcus et al. 2005. Similar to others e.g. Rv2595|Y0B6_MYCTU|Q50626 conserved hypothetical protein from Mycobacterium tuberculosis (81 aa), FASTA scores: opt: 160, E(): 6.2e-07, (35.8% identity in 81 aa overlap). N-terminus shows stong similarity with N-terminus of NP_104908.1|NC_002678 hypothetical protein from Mesorhizobium loti (89 aa). This region is a possible MT-complex-specific genomic island (See Becq et al., 2007).</t>
  </si>
  <si>
    <t>Rv0600c</t>
  </si>
  <si>
    <t>Sensor part of a two component regulatory system.</t>
  </si>
  <si>
    <t>Two component sensor kinase [second part]</t>
  </si>
  <si>
    <t>Rv0600c, (MTCY19H5.22), len: 168 aa (probable partial CDS). Two-component sensor kinase (second part), similar to part (C-termini) of many others e.g. Q04943|AFQ2_STRCO sensor protein afsq2 from Streptomyces coelicolor (535 aa), FASTA scores: opt: 347, E(): 1.9e-12, (33.0% identity in 206 aa overlap); etc. Note that sequence was checked and no errors were detected, which would allow this and the upstream ORF to be joined. Start changed since first submission (- 39 aa). This region is a possible MT-complex-specific genomic island (See Becq et al., 2007).</t>
  </si>
  <si>
    <t>Rv0601c</t>
  </si>
  <si>
    <t>Two component sensor kinase [first part]</t>
  </si>
  <si>
    <t>Rv0601c, (MTCY19H5.21), len: 156 aa (probable partial CDS). Two-component sensor kinase (first part), similar to part (N-termini) of others e.g. Q0375|CUTS_STRLI cuts protein from streptomyces lividans (414 aa), FASTA scores: opt: 230, E(): 3.1e-08, (39.1% identity in 115 aa overlap). Note that the sequence was checked and no errors were detected that would allow this and the downstream ORF to be joined. This region is a possible MT-complex-specific genomic island (See Becq et al., 2007).</t>
  </si>
  <si>
    <t>tcrA</t>
  </si>
  <si>
    <t>Rv0602c</t>
  </si>
  <si>
    <t>Two component DNA binding transcriptional regulatory protein TcrA</t>
  </si>
  <si>
    <t>Rv0602c, (MTCY19H5.20), len: 253 aa. tcrA, two-component DNA-binding response regulator, highly similar to others e.g. NP_107959.1|NC_002678 two-component response regulator from Mesorhizobium loti (239 aa); etc. Also similar to many other Mycobacterium tuberculosis two-component regulators e.g. Q50806|MTCY10G2.16|Rv1033c response regulator homolog TRCR (TCRV) (257 aa), FASTA score: (47.4 identity in 232 aa overlap); etc. This region is a possible MT-complex-specific genomic island (See Becq et al., 2007).</t>
  </si>
  <si>
    <t>Rv0603</t>
  </si>
  <si>
    <t>Rv0603, (MTCY19H5.19c), len: 103 aa. Possible exported protein with hydrophobic stretch at aa 7-29. This region is a possible MT-complex-specific genomic island (See Becq et al., 2007).</t>
  </si>
  <si>
    <t>Probable conserved lipoprotein LpqO</t>
  </si>
  <si>
    <t>Rv0604, (MTCY19H5.18c), len: 316 aa. Probable lpqO, conserved lipoprotein, highly similar to Rv2999|lppY putative lipoprotein from Mycobacterium tuberculosis (321 aa), FASTA scores: opt: 1153, E(): 0, (53.2% identity in 312 aa overlap). Contains probable N-terminal signal sequence and PS00013 Prokaryotic membrane lipoprotein lipid attachment site. This region is a possible MT-complex-specific genomic island (See Becq et al., 2007).</t>
  </si>
  <si>
    <t>Prevents the cointegration of foreign DNA before integration into the chromosome.</t>
  </si>
  <si>
    <t>Possible resolvase</t>
  </si>
  <si>
    <t>Rv0605, (MTCY19H5.17c), len: 202 aa. Possible resolvase for IS_Y349 element, similar to several Mycobacterial hypothetical proteins and weakly similar to Q52563 resolvase from Pseudomonas syringae (210 aa), FASTA scores: opt: 99, E(): 3.1, (35.7% identity in 98 aa overlap). Contains PS00397 Site-specific recombinases active site and probable helix-turn helix motif from aa 9-30 (Score 1815, +5.37 SD). This region is a possible MT-complex-specific genomic island (See Becq et al., 2007).</t>
  </si>
  <si>
    <t>Thought to be required for the transposition of the insertion element IS_1536.</t>
  </si>
  <si>
    <t>Possible transposase (fragment)</t>
  </si>
  <si>
    <t>Rv0606, (MTCY19H5.16c), len: 247 aa. Possible truncated transposase for IS_1536 element, highly similar to N-terminus of other transposases from Mycobacterium tuberculosis e.g. YX16_MYCTU|Q10809|Rv2885c|MT2953|MTCY274.16c putative transposase from Mycobacterium tuberculosis (460 aa), FASTA scores: opt: 1368, E(): 0, (83.5% identity in 237 aa overlap); Rv2978c, Rv0922, Rv3827c, etc. Also similar to N-terminus of MTV002_57|Rv2792 resolvase from M. tuberculosis (193 aa), FASTA score: (87.4% identity in 238 aa overlap). This region is a possible MT-complex-specific genomic island (See Becq et al., 2007).</t>
  </si>
  <si>
    <t>Rv0607</t>
  </si>
  <si>
    <t>Rv0607, (MTCY19H5.15c), len: 128 aa. Hypothetical unknown protein. This region is a possible MT-complex-specific genomic island (See Becq et al., 2007).</t>
  </si>
  <si>
    <t>vapB28</t>
  </si>
  <si>
    <t>Possible antitoxin VapB28</t>
  </si>
  <si>
    <t>Rv0608, (MTCY19H5.14c), len: 81 aa. Possible vapB28, antitoxin, part of toxin-antitoxin (TA) operon with Rv0609, see Arcus et al. 2005. Similar to several others e.g. Rv0623|P96913|MTCY20H10.04 (84 aa), FASTA scores: opt: 159, E(): 1.2e-09, (43.0% identity in 86 aa overlap); Rv2760c (89 aa); Rv1740 (70 aa), etc. This region is a possible MT-complex-specific genomic island (See Becq et al., 2007).</t>
  </si>
  <si>
    <t>vapC28</t>
  </si>
  <si>
    <t>Possible toxin VapC28. Contains PIN domain.</t>
  </si>
  <si>
    <t>Rv0609, (MTCY19H5.13c), len: 133 aa. Possible vapC28, toxin, part of toxin-antitoxin (TA) operon with Rv0608, contains PIN domain, see Arcus et al. 2005. Similar to several Mycobacterium tuberculosis hypothetical proteins e.g. YW37_MYCTU|Q10874|Rv1982c|MT2034|MTCY39.37 conserved hypothetical protein (139 aa), FASTA scores: opt: 262, E(): 8.1e-12, (39.1% identity in 128 aa overlap); MTCY20H10.05|Rv0624|MT0652|MTCY20H10.05 conserved hypothetical protein (131 aa), FASTA score: (42.9% identity in 126 aa overlap), Rv0565c, Rv3854c, etc. This region is a possible MT-complex-specific genomic island (See Becq et al., 2007).</t>
  </si>
  <si>
    <t>Rv0609A</t>
  </si>
  <si>
    <t>Rv0609A, len: 75 aa. Conserved hypothetical protein, highly similar to part of upstream ORF Rv0612|MTCY19H5.09c conserved hypothetical protein from Mycobacterium tuberculosis (201 aa), FASTA scores: opt: 154, E(): 1.8e-05, (74.3% identity in 35 aa overlap). This region is a possible MT-complex-specific genomic island (See Becq et al., 2007).</t>
  </si>
  <si>
    <t>Rv0610c, (MTCY19H5.11), len: 385 aa. Hypothetical unknown protein. This region is a possible MT-complex-specific genomic island (See Becq et al., 2007).</t>
  </si>
  <si>
    <t>Rv0611c, (MTCY19H5.10), len: 127 aa. Hypothetical unknown protein. Note that first start has been taken although this overlaps slightly with the upstream ORF. This region is a possible MT-complex-specific genomic island (See Becq et al., 2007).</t>
  </si>
  <si>
    <t>Rv0612, (MTCY19H5.09c), len: 201 aa. Conserved hypothetical protein, highly similar, but in part, to downstream ORF Rv0609A conserved hypothetical protein from Mycobacterium tuberculosis (75 aa); and showing weak similarity with other hypothetical proteins from Mycobacterium tuberculosis. Note that first start has been taken although this overlaps slightly with the upstream ORF. This region is a possible MT-complex-specific genomic island (See Becq et al., 2007).</t>
  </si>
  <si>
    <t>Rv0613c, (MTCY19H5.08), len: 855 aa. Unknown protein. Contains a very short region with strong similarity to several preprotein translocases e.g. P47847|SECA_LISMO preprotein translocase seca subunit (836 aa), FASTA scores: opt: 138, E(): 0.18, (38.6% identity in 70 aa overlap, and 72.7% identity in 22 aa overlap). This region is a possible MT-complex-specific genomic island (See Becq et al., 2007).</t>
  </si>
  <si>
    <t>Rv0614, (MTCY19H5.07c), len: 330 aa. Conserved hypothetical protein, similar in part to Mycobacterium tuberculosis hypothetical proteins e.g. YY16_MYCTU|Q10685|Rv2077c|MT2137|MTCY49.16c conserved hypothetical protein (323 aa), FASTA scores: opt: 200, E(): 0.00016, (28.3% identity in 269 aa overlap); MTCY9F9_15 FASTA score: (40.3% identity in 144 aa overlap), Rv1949c, Rv2542, etc. Several start sites are possible; first start has been chosen. Note that this ORF overlaps with the upstream ORF. Predicted to be an outer membrane protein (See Song et al., 2008). This region is a possible MT-complex-specific genomic island (See Becq et al., 2007).</t>
  </si>
  <si>
    <t>Rv0615</t>
  </si>
  <si>
    <t>Rv0615, (MTCY19H5.06c), len: 80 aa. Probable integral membrane protein.</t>
  </si>
  <si>
    <t>vapB29</t>
  </si>
  <si>
    <t>Possible antitoxin VapB29</t>
  </si>
  <si>
    <t>Rv0616A, len: 75 aa. Possible vapB29, antitoxin, part of toxin-antitoxin (TA) operon with Rv0617, see Arcus et al. 2005. Similar to many others in M. tuberculosis e.g. Rv2530A (74 aa) 35.9% identity in 78 aa overlap</t>
  </si>
  <si>
    <t>Rv0616c</t>
  </si>
  <si>
    <t>Rv0616c, (MTCY19H5.05), len: 88 aa. Hypothetical unknown protein.</t>
  </si>
  <si>
    <t>vapC29</t>
  </si>
  <si>
    <t>Possible toxin VapC29. Contains PIN domain.</t>
  </si>
  <si>
    <t>Rv0617, (MTCY19H5.04c), len: 133 aa. Possible vapC29, toxin, part of toxin-antitoxin (TA) operon with Rv0616A, contains PIN domain, see Arcus et al. 2005. Similar to others in Mycobacterium tuberculosis e.g. Rv2494, Rv3320c, Rv0749, Rv0277c, Rv2530c, etc.</t>
  </si>
  <si>
    <t>galTa</t>
  </si>
  <si>
    <t>Involved in galactose metabolism (leloir pathway) [catalytic activity: UTP + alpha-D-galactose 1-phosphate = diphosphate + UDP-galactose].</t>
  </si>
  <si>
    <t>Probable galactose-1-phosphate uridylyltransferase GalTa [first part]</t>
  </si>
  <si>
    <t>Rv0618, (MTCY19H5.03c), len: 231 aa (probable partial CDS). Probable galTa, first part of galactose-1-phosphate uridylyltransferase, highly similar to N-terminal half of other galT proteins e.g. P13212|GAL7_STRLI galactose-1-phosphate uridylyltransferase from Streptomyces lividans (354 aa), FASTA scores: opt: 296, E(): 1.4e-11, (50.8% identity in 177 aa overlap); etc. Also highly similar to N-terminal half of some UDP glucose--hexose-1-phosphate uridylyltransferases. N-terminal 28 aa similar to MTCY20H11.08|Rv0627|MTCY20H11.08 conserved hypothetical protein from Mycobacterium tuberculosis (135 aa), FASTA score: (71.4% identity in 28 overlap). Cosmid sequence is correct but there may be a frameshift mutation in this region which would allow the two ORFs to be joined. Belongs to the galactose-1-phosphate uridylyltransferase family 1. Note that previously known as galT'.</t>
  </si>
  <si>
    <t>galTb</t>
  </si>
  <si>
    <t>Rv0619</t>
  </si>
  <si>
    <t>Probable galactose-1-phosphate uridylyltransferase GalTb [second part]</t>
  </si>
  <si>
    <t>Rv0619, (MTCY19H5.02c), len: 181 aa (probable partial CDS). Probable galTb, second part of galactose-1-phosphate uridylyltransferase, highly similar to C-terminal half of other galT proteins e.g. P13212|GAL7_STRLI galactose-1-phosphate uridylyltransferase from Streptomyces lividans (354 aa), FASTA scores: opt: 416, E(): 5.2e-22, (43.0% identity in 186 aa overlap), etc. Cosmid sequence is correct but there may be a frameshift mutation in this region which would allow the two ORFS to be joined. Belongs to the galactose-1-phosphate uridylyltransferase family 1. Note that previously known as 'galT.</t>
  </si>
  <si>
    <t>Involved in galactose metabolism (leloir pathway) (at the first reaction) [catalytic activity: ATP + D-galactose = ADP + D-galactose 1-phosphate].</t>
  </si>
  <si>
    <t>Probable galactokinase GalK (galactose kinase)</t>
  </si>
  <si>
    <t>Rv0620, (MTCY19H5.01c, MTCY20H10.01), len: 363 aa. Probable galK, galactokinase, similar to others e.g. P13227|GAL1_STRLI galactokinase from Streptomyces lividans (397 aa); P06976|GAL1_ECOLI galactokinase from Escherichia coli (381 aa), FASTA scores: opt: 669, E(): 0, (35.9% identity in 365 aa overlap); etc. Contains PS00106 Galactokinase signature and PS00560 Serine carboxypeptidases, histidine active site. Belongs to the GHMP kinase family. GALK subfamily.</t>
  </si>
  <si>
    <t>Rv0621, (MTCY20H10.02), len: 354 aa. Possible membrane protein; contains potential membrane spanning regions. Also contains PS00017 ATP/GTP-binding site motif A (P-loop).</t>
  </si>
  <si>
    <t>Rv0622, (MTCY20H10.03), len: 315 aa. Possible membrane protein; contains potential membrane spanning region. Shows weak similarity with Mycobacterium tuberculosis hypothetical proteins Rv1804c, Rv1810, etc. Start changed since first submission (-26 aa).</t>
  </si>
  <si>
    <t>vapB30</t>
  </si>
  <si>
    <t>Possible antitoxin VapB30</t>
  </si>
  <si>
    <t>Rv0623, (MTCY20H10.04), len: 84 aa. Possible vapB30, antitoxin, part of toxin-antitoxin (TA) operon with Rv0624, see Arcus et al. 2005. Also similar to others in Mycobacterium tuberculosis e.g MTCY28_2|Rv1740|MTCY28.02|MTCY04C12.25 conserved hypothetical protein (70 aa), FASTA score: (73.5% identity in 68 aa overlap); MTCY4C12_25|Rv0608|MTCY19H5.14c conserved hypothetical protein (81 aa), FASTA score: (73.5 identity in 68 aa overlap); etc.</t>
  </si>
  <si>
    <t>vapC30</t>
  </si>
  <si>
    <t>Rv0624</t>
  </si>
  <si>
    <t>Possible toxin VapC30. Contains PIN domain.</t>
  </si>
  <si>
    <t>Rv0624, (MTCY20H10.05), len: 131 aa. Possible vapC30, toxin, part of toxin-antitoxin (TA) operon with Rv0623, contains PIN domain, see Arcus et al. 2005. Highly similar to others in Mycobacterium tuberculosis e.g. Rv1741, Rv0609, Rv2759c,Rv0565c, Rv3854c, Rv3083, etc.</t>
  </si>
  <si>
    <t>Rv0625c</t>
  </si>
  <si>
    <t>Rv0625c, (MTCY20H10.06c), len: 246 aa. Probable conserved transmembrane protein, showing similarity with others e.g. CAB61866.1|AL133252 putative integral membrane protein from Streptomyces coelicolor (249 aa). Also similar to Rv1491c|MTCY277_13 from Mycobacterium tuberculosis. Contains potential membrane spanning regions.</t>
  </si>
  <si>
    <t>vapB5</t>
  </si>
  <si>
    <t>Possible ribonuclease</t>
  </si>
  <si>
    <t>Possible antitoxin VapB5</t>
  </si>
  <si>
    <t>Rv0626, (MTCY20H10.07), len: 86 aa. Possible vapB5, antitoxin, part of toxin-antitoxin (TA) operon with Rv0627 (See Arcus et al., 2005; Pandey and Gerdes, 2005)., similar to others in Mycobacterium tuberculosis hypothetical proteins e.g. Rv0596c, Rv3385c, Rv3407,Rv3181c, etc. Cofactor: Mg2+</t>
  </si>
  <si>
    <t>vapC5</t>
  </si>
  <si>
    <t>Possible toxin VapC5</t>
  </si>
  <si>
    <t>Rv0627, (MTCY20H11.08), len: 135 aa. Possible vapC5, toxin, part of toxin-antitoxin (TA) operon with Rv0626, contains PIN domain (See Arcus et al., 2005; Pandey and Gerdes, 2005). Similar to others in Mycobacterium tuberculosis e.g. Rv0595c and Rv0665.</t>
  </si>
  <si>
    <t>Rv0628c, (MTCY20H10.09c), len: 383 aa. Conserved hypothetical protein, highly similar to Rv0874c|YZ02_MYCTU|Q10536 conserved hypothetical protein from Mycobacterium tuberculosis (386 aa), FASTA scores: opt: 2082, E(): 0, (81.5% identity in 383 aa overlap). Also some similarity to P72543|SPU62616_1 hypothetical protein from Synechococcus, FASTA scores: E(): 2.8e-28, (36.6 identity in 265 aa overlap). This region is a possible MT-complex-specific genomic island (See Becq et al., 2007).</t>
  </si>
  <si>
    <t>recD</t>
  </si>
  <si>
    <t>Rv0629c</t>
  </si>
  <si>
    <t>Involved in homologous recombination.</t>
  </si>
  <si>
    <t>Probable exonuclease V (alpha chain) RecD (exodeoxyribonuclease V alpha chain) (exodeoxyribonuclease V polypeptide)</t>
  </si>
  <si>
    <t>Rv0629c, (MTCY20H10.10c), len: 575 aa. Probable recD, exonuclease V, alpha chain (exodeoxyribonuclease V, alpha chain) (see citation below), highly similar to other exonucleases e.g. AF157643_3|AAD46809.1|recD Escherichia coli RecD protein homolog from Mycobacterium smegmatis (554 aa); P04993|EX5A_ECOLI|B2819 exodeoxyribonuclease V 67kd polypeptide (exonuclease V alpha chain) from Escherichia coli strain K12 (608 aa), FASTA scores: opt: 512, E(): 1.9e-24, (36.9% identity in 582 aa overlap); etc. Contains PS00017 ATP/GTP-binding site motif A (P-loop). Consists of three subunits; RECB|Rv0630c, RECC|Rv0631c and RECD.</t>
  </si>
  <si>
    <t>recB</t>
  </si>
  <si>
    <t>Probable exonuclease V (beta chain) RecB (exodeoxyribonuclease V beta chain)(exodeoxyribonuclease V polypeptide) (chi-specific endonuclease)</t>
  </si>
  <si>
    <t>Rv0630c, (MTCY20H10.11c), len: 1094 aa. Probable recB, exonuclease V, beta chain (exodeoxyribonuclease V, beta chain) (see citation below), highly similar to other exonucleases e.g. AF157643_2|recB|AAD46808.1 Escherichia coli RecB protein homolog from Mycobacterium smegmatis (1083 aa); P08394|EX5B_ECOLI|RORA|B2820 exodeoxyribonuclease V 135 kDa polypeptide (exonuclease V beta chain) from Escherichia coli strain K12 (1180 aa), FASTA scores: opt: 289, E(): 4.3e-11, (29.5 identity in 1059 aa overlap); etc. Contains PS00017 ATP/GTP-binding site motif A (P-loop). Belongs to the helicase family, UVRD subfamily. Consists of three subunits; RECB, RECC|Rv0631c and recd|Rv0629c.</t>
  </si>
  <si>
    <t>Probable exonuclease V (gamma chain) RecC (exodeoxyribonuclease V gamma chain)(exodeoxyribonuclease V polypeptide)</t>
  </si>
  <si>
    <t>Rv0631c, (MTCY20H10.12c), len: 1097 aa. Probable recC, exonuclease V, gamma chain (exodeoxyribonuclease V, gamma chain) (see Mizrahi &amp; Andersen 1998), highly similar to other exonucleases e.g. AF157643_1|RecC|AAD46807.1 Escherichia coli RecC protein homolog from Mycobacterium smegmatis (1085 aa); P07648|EX5C_ECOLI|B2822 exodeoxyribonuclease V 125 kDa polypeptide (exonuclease V gamma chain) from Escherichia coli strain K12 (1122 aa), FASTA scores: opt: 954, E(): 0, (29.2% identity in 1109 aa overlap); etc. Consists of three subunits; RECB|Rv0630c, RECC and recd|Rv0629c. The transcription of this CDS seems to be activated specifically in host granulomas (see Ramakrishnan et al., 2000).</t>
  </si>
  <si>
    <t>Probable enoyl-CoA hydratase EchA3 (enoyl hydrase) (unsaturated acyl-CoA hydratase) (crotonase)</t>
  </si>
  <si>
    <t>Rv0632c, (MTCY20H10.13c), len: 231 aa. Probable echA3, enoyl-CoA hydratase, almost identical to the MTU88877_1 enoyl-CoA hydratase of Mycobacterium tuberculosis field isolate NTI64719, FASTA score: (92.4% identity in 184 aa overlap). Also similar to others e.g. P24162|ECHH_RHOCA enoyl-CoA hydratase from Rhodobacter capsulatus (Rhodopseudomonas capsulata) (257 aa), FASTA scores: opt: 206, E(): 6.3e-07, (31.5% identity in 232 aa overlap); etc.</t>
  </si>
  <si>
    <t>Rv0633c, (MTCY20H11.14c), len: 279 aa. Possible exported protein; has hydrophobic stretch at aa 23-41.</t>
  </si>
  <si>
    <t>Rv0634A, len: 83 aa. Unknown protein. A core mycobacterial gene; conserved in mycobacterial strains (See Marmiesse et al., 2004).</t>
  </si>
  <si>
    <t>rpmG2</t>
  </si>
  <si>
    <t>Involved in translation mechanism</t>
  </si>
  <si>
    <t>50S ribosomal protein L33 RpmG2</t>
  </si>
  <si>
    <t>Rv0634B, len: 55 aa. rpmG2, 50S ribosomal protein L33. Note that Mycobacterium tuberculosis has a second rpmG gene: P96925|R33H_MYCTU|Rv2057c|MTCY63A.03|rpmG1 putative 50S ribosomal protein L33 (55 aa), FASTA scores: opt: 391, E(): 2.9e-25, (100.0% identity in 55 aa overlap). Belongs to the L33P family of ribosomal proteins.</t>
  </si>
  <si>
    <t>Thought to be involved in glyoxal pathway. Thiolesterase that catalyses the hydrolysis of S-D-lactoyl-glutathione to form glutathione and D-lactic acid [catalytic activity: (S)-(2-hydroxyacyl)glutathione + H2O = glutathione + a 2-hydroxy acid anion].</t>
  </si>
  <si>
    <t>Possible glyoxalase II (hydroxyacylglutathione hydrolase) (GLX II)</t>
  </si>
  <si>
    <t>Rv0634c, (MTCY20H10.15c), len: 237 aa. Possible glyoxalase II, equivalent to NP_302290.1|NC_002677 putative glyoxylase II from Mycobacterium leprae (238 aa); and similar to U00011_3|Y0BK_MYCLE|Q49649 hypothetical 23.9 kDa protein from Mycobacterium leprae (218 aa), FASTA scores: opt: 281, E(): 3.9e-12, (31.8% identity in 201 aa overlap). Also similar to other glyoxalases and metallo-beta-lactamase family proteins e.g. NP_386770.1|NC_003047 putative hydroxyacylglutathione hydrolase from Sinorhizobium meliloti (256 aa); etc. Also similar to other putative glyoxylases from Mycobacterium tuberculosis e.g. Rv1637c. Belongs to the glyoxalase II family. Cofactor: binds two zinc ions.</t>
  </si>
  <si>
    <t>hadA</t>
  </si>
  <si>
    <t>Rv0635, (MTCY20H10.16), len: 158 aa. HadA, (3R)-hydroxyacyl-ACP dehydratase subunit, equivalent to NP_302287.1|NC_002677 conserved hypothetical protein from Mycobacterium leprae (159 aa); and highly similar to YV31_MYCLE|P54879 conserved hypothetical protein from Mycobacterium leprae (166 aa), FASTA scores: opt: 387, E(): 5.9e-21, (43.4% identity in 145 aa overlap). Also similar CAB77410.1|AL160431|SCD82.07 hypothetical protein from Streptomyces coelicolor (150 aa). And highly similar to two hypothetical proteins from Mycobacterium tuberculosis: Rv0504c|YV31_MYCTU|Q11168 (166 aa), FASTA scores: opt: 405, E(): 3.2e-22, (45.0% identity in 140 aa overlap); and Rv0637|MTY20H10_19 (2 ORFs downstream) (166 aa), FASTA score: (48.7% identity in 150 aa overlap).</t>
  </si>
  <si>
    <t>hadB</t>
  </si>
  <si>
    <t>Rv0636, (MTCY20H10.17), len: 142 aa. HadB, (3R)-hydroxyacyl-ACP dehydratase subunit, equivalent to NP_302286.1|NC_002677 conserved hypothetical protein from Mycobacterium leprae (142 aa). Shows structural similarity to six others in Mycobacterium tuberculosis (see Castell et al (2005) below). Also highly similar to CAB77411.1|AL160431|SCD82.08 hypothetical protein from Streptomyces coelicolor (142 aa); and similar to others e.g. U28943|CELE04F6_3 from Caenorhabditis elegans (cosmid E04) (298 aa), FASTA scores: opt: 167, E(): 0.00064, (31.6 identity in 117 aa overlap).</t>
  </si>
  <si>
    <t>hadC</t>
  </si>
  <si>
    <t>Rv0637, (MTCY20H10.18), len: 166 aa. HadC, (3R)-hydroxyacyl-ACP dehydratase subunit, equivalent to NP_302285.1|NC_002677|YV31_MYCLE|P54879 conserved hypothetical protein from Mycobacterium leprae (166 aa), FASTA scores: opt: 352, E(): 4e-19, (39.2% identity in 148 aa overlap); and highly similar to others from Mycobacterium leprae e.g. NP_302287.1|NC_002677 conserved hypothetical protein (159 aa). Also highly similar to CAB77410.1|AL160431|SCD82.07 hypothetical protein from Streptomyces coelicolor (150 aa); Rv0635|NP_215149.1|NC_000962|MTY20H10_17 conserved hypothetical protein (two ORFs upstream) from Mycobacterium tuberculosis (158 aa), FASTA score: (49.3% identity in 150 aa overlap); and Rv0504c|NP_215018.1|NC_000962|YV31_MYCTU|Q11168 hypothetical protein from Mycobacterium tuberculosis (166 aa), FASTA scores: opt: 380, E(): 3.8e-21, (43.1% identity in 137 aa overlap).</t>
  </si>
  <si>
    <t>secE1</t>
  </si>
  <si>
    <t>Essential for protein export.</t>
  </si>
  <si>
    <t>Probable preprotein translocase SecE1</t>
  </si>
  <si>
    <t>Rv0638, (MTCY20H10.19), len: 161 aa. Probable secE1, preprotein translocase (tail-anchored membrane protein) (see citation below), highly similar at C-terminal half to others e.g. P36690|SECE_STRGR preprotein translocase SECE subunit from Streptomyces griseus (86 aa), FASTA scores: opt: 220, E(): 4.6e-06, (35.4% identity in 96 aa overlap); P16920|SECE_ECOLI preprotein translocase sece subunit from Escherichia coli strains K12 and O157:H7 (127 aa), FASTA scores: opt: 122, E(): 0.34, (37.0% identity in 54 aa overlap); etc. Contains PS01067 Protein secE/sec61-gamma signature. Belongs to the SECE/SEC61-gamma family. Part of the prokaryotic protein translocation apparatus which comprise SECA|Rv3240c, SECD|Rv2587c, SECE, SECF|Rv2586c, SECG|Rv1440 and SECY|Rv0732. Note that previously known as secE.</t>
  </si>
  <si>
    <t>Influences transcription termination and antitermination. Acts as a component of the transcription complex, and interacts with the termination factor rho and RNA polymerase.</t>
  </si>
  <si>
    <t>Probable transcription antitermination protein NusG</t>
  </si>
  <si>
    <t>Rv0639, (MTCY20H10.20), len: 238 aa. Probable nusG, transcription antitermination protein, equivalent to NP_302283.1|NC_002677 transcription antitermination protein nusG from Mycobacterium leprae (228 aa). Also highly similar to others e.g. P36260|NUSG_STRGR from Streptomyces griseus (294 aa), FASTA scores: opt: 845, E(): 0, (55.4% identity in 233 aa overlap); etc. Note that shorter at the N-terminus than other nusG. Contains PS01014 Transcription termination factor nusG signature. Belongs to the NusG family.</t>
  </si>
  <si>
    <t>This protein binds directly to 23S ribosomal RNA.</t>
  </si>
  <si>
    <t>50S ribosomal protein L11 RplK</t>
  </si>
  <si>
    <t>Rv0640, (MTCY20H11.21), len: 142 aa. rplK, 50S ribosomal protein L11, equivalent to NP_302282.1|NC_002677 50S ribosomal protein L11 from Mycobacterium leprae (142 aa). Also highly similar to others e.g. P48954|RL11_STRCO|SCD82.19 50s ribosomal protein L11 from Streptomyces coelicolor (144 aa), FASTA scores: opt: 763, E(): 0, (84.6% identity in 143 aa overlap); etc. Contains PS00359 Ribosomal protein L11 signature. Belongs to the L11P family of ribosomal proteins.</t>
  </si>
  <si>
    <t>This protein binds directly to 23S ribosomal RNA and is located in the neighborhood of the site where elongation factor TU is bound to the ribosome.</t>
  </si>
  <si>
    <t>50S ribosomal protein L1 RplA</t>
  </si>
  <si>
    <t>Rv0641, (MTCY20H10.22), len: 235 aa. rplA, 50S ribosomal protein L1, equivalent to NP_302281.1|NC_002677 50S ribosomal protein L1 from Mycobacterium leprae (235 aa). Also highly similar to others e.g. P3625|RL1_STRGR 50s ribosomal protein L1 from Streptomyces griseus (240 aa), FASTA scores: opt: 1081, E(): 0, (72.2% identity in 230 aa overlap); etc. Belongs to the L1P family of ribosomal proteins.</t>
  </si>
  <si>
    <t>Involved in mycolic acids modification. Catalyzes unusual S-adenosyl-methionine-dependent transformation of a cis-olefin mycolic acid into a secondary alcohol. Catalyzes introduction of a hydroxyl group at the distal position on mycolic acid chains to produce the hydroxyl mycolate. Mycolic acids represent a major constituent of the mycobacterial cell wall complex. Methyl transfer results in formation of a secondary hydroxy group with an adjacent methyl branch; olefinic mycolic acid methyl transferase.</t>
  </si>
  <si>
    <t>Methoxy mycolic acid synthase 4 MmaA4 (methyl mycolic acid synthase 4) (MMA4) (hydroxy mycolic acid synthase)</t>
  </si>
  <si>
    <t>Rv0642c, (MTCY20H10.23c), len: 301 aa. MmaA4, methoxy mycolic acid synthase 4 (methyltransferase) (see citations below). Equivalent to AAC44876|AAC44876.1|cmaA methyl transferase (mycolic acid modification protein) from Mycobacterium bovis BCG strain Pasteur (298 aa); NP_302280.1|NC_002677 methyl mycolic acid synthase 4 from Mycobacterium leprae (298 aa); and highly similar to others from Mycobacteria e.g. downstream ORF P72027|mmaA3|Rv0643c|MTCY20H10.24c putative methoxy mycolic acid synthase 3 from Mycobacterium tuberculosis (293 aa). Phosphorylated in vitro by PknJ|Rv2088 (See Jang et al., 2010).</t>
  </si>
  <si>
    <t>Methoxy mycolic acid synthase 3 MmaA3 (methyl mycolic acid synthase 3) (MMA3) (hydroxy mycolic acid synthase)</t>
  </si>
  <si>
    <t>Rv0643c, (MTCY20H10.24c), len: 293 aa. MmaA3, methoxy mycolic acid synthase 3 (methyltransferase) (see citations below). Equivalent to AAC44875|AAC44875.1|cmaB methyl transferase (mycolic acid modification protein) from Mycobacterium bovis BCG strain Pasteur (289 aa); and highly similar to others from Mycobacteria e.g. upstream ORF P72028|mmaA4|Rv0642c|MTCY20H10.23c putative methoxy mycolic acid synthase 4 from Mycobacterium tuberculosis (301 aa).</t>
  </si>
  <si>
    <t>Involved in mycolic acids modification. Catalyzes unusual S-adenosyl-methionine-dependent transformation of a cis-olefin mycolic acid into a secondary alcohol. Catalyzes introduction of a hydroxyl group at the distal position on mycolic acid chains to produce the hydroxyl mycolate. Mycolic acids represent a major constituent of the mycobacterial cell wall complex. Methyl transfer results in formation of a secondary hydroxy group with an adjacent methyl branch; olefinic mycolic acid methyl transferase. Has also cyclopropane function.</t>
  </si>
  <si>
    <t>Methoxy mycolic acid synthase 2 MmaA2 (methyl mycolic acid synthase 2) (MMA2) (hydroxy mycolic acid synthase)</t>
  </si>
  <si>
    <t>Rv0644c, (MTCY20H10.25c), len: 287 aa. MmaA2, methoxy mycolic acid synthase 2 (methyltransferase) (see citations below). Equivalent to AAC44874|AAC44874.1|cmaC methyl transferase (mycolic acid modification protein) from Mycobacterium bovis BCG strain Pasteur (287 aa); and highly similar to others from Mycobacteria e.g. upstream ORF P72028|mmaA4|Rv0642c|MTCY20H10.23c putative methoxy mycolic acid synthase 4 from Mycobacterium tuberculosis (301 aa). Note that alternative start is at position 739247.</t>
  </si>
  <si>
    <t>Methoxy mycolic acid synthase 1 MmaA1 (methyl mycolic acid synthase 1) (MMA1) (hydroxy mycolic acid synthase)</t>
  </si>
  <si>
    <t>Rv0645c, (MTCY20H10.26c), len: 286 aa. MmaA1, methoxy mycolic acid synthase 1 (methyltransferase) (see citations below). Equivalent to NP_302279.1|NC_002677 methyl mycolic acid synthase 1 from Mycobacterium leprae (286 aa); and highly similar to others from Mycobacteria e.g. upstream ORF P72028|mmaA4|Rv0642c|MTCY20H10.23c putative methoxy mycolic acid synthase 4 from Mycobacterium tuberculosis (301 aa).</t>
  </si>
  <si>
    <t>Function unknown; lipolytic enzyme involved in cellular metabolism.</t>
  </si>
  <si>
    <t>Probable lipase/esterase LipG</t>
  </si>
  <si>
    <t>Rv0646c, (MTCY20H10.27c), len: 301 aa. Probable lipG, lipase/esterase, equivalent to NP_302278.1|NC_002677 probable hydrolase from Mycobacterium leprae (304 aa). Also highly similar to various hydrolases, especially lipases e.g. AA61351.1|X88895 carboxyl esterase from Acinetobacter calcoaceticus (312 aa), FASTA scores: opt: 867, E(): 0, (50.2% identity in 279 aa overlap); etc. Also similar to transferases e.g. P77026 macrolide 2'-phosphotransferase II from Escherichia coli (279 aa), FASTA scores: E(): 1.3e-14, (32.5% identity in 286 aa overlap). Similar to M. tuberculosis non-heme bromoperoxidases and epoxide hydrolases.</t>
  </si>
  <si>
    <t>Rv0647c, (MTCY20H10.28c), len: 488 aa. Conserved protein, equivalent to NP_302277.1|NC_002677 conserved hypothetical protein from Mycobacterium leprae (448 aa). Also showing similarity to a variety of hypothetical ABC1-like proteins or conserved hypothetical proteins e.g. D90908_28|P73627 ABC1-like protein from Synechocystis (585 aa), FASTA scores: E(): 1.8e-31, (29.1% identity in 474 aa overlap); Q55884 HYPOTHETICAL6 5.0 KD protein (567 aa), FASTA scores: opt: 583, E(): 5.7e-30, (28.1% identity in 416 aa overlap); etc. Also similar to Rv3197 conserved hypothetical protein from Mycobacterium tuberculosis.</t>
  </si>
  <si>
    <t>Alpha-mannosidase activity: hydrolysis of terminal, non-reducing alpha-D-mannose residues in alpha-D-mannosides.</t>
  </si>
  <si>
    <t>Alpha-mannosidase</t>
  </si>
  <si>
    <t>Rv0648, (MTCY20H10.29), len: 1215 aa. Alpha-mannosidase (see citation below), showing some similarity to hypothetical proteins and various sugar hydrolases e.g. SYCSLRA_6|Q55528 hypothetical 1 20.4 kDa protein from Synechocystis (1042 aa), FASTA scores: opt: 260, E(): 3.6e-08, (23.4% identity in 602 aa overlap); etc. Contains PS00659 Glycosyl hydrolases family 5 signature.</t>
  </si>
  <si>
    <t>fabD2</t>
  </si>
  <si>
    <t>Rv0649</t>
  </si>
  <si>
    <t>Involved in lipid metabolism; fatty acid biosynthesis [catalytic activity: malonyl-CoA + [acyl-carrier protein] = CoA + malonyl-[acyl-carrier protein]].</t>
  </si>
  <si>
    <t>Possible malonyl CoA-acyl carrier protein transacylase FabD2 (MCT)</t>
  </si>
  <si>
    <t>Rv0649, (MTCY20H10.30), len: 224 aa. Possible fabD2, malonyl CoA-acyl carrier protein transacylase, similar to mtfabd|FABD_MYCTU|Q10501|Rv2243 malonyl CoA-acyl carrier protein transacylase from Mycobacterium tuberculosis (302 aa), FASTA scores: opt: 133, E(): 0.074, (31.3% identity in 147 aa overlap).</t>
  </si>
  <si>
    <t>Rv0650</t>
  </si>
  <si>
    <t>Function unknown; probably involved in specific sugar metabolism or regulation.</t>
  </si>
  <si>
    <t>Possible sugar kinase</t>
  </si>
  <si>
    <t>Rv0650, (MTCY20H10.31), len: 302 aa. Possible sugar kinase, highly similar to others e.g. CAB95296.1|AL359779 putative sugar kinase from Streptomyces coelicolor (317 aa); NP_406512.1|NC_003143 putative sugar kinase from Yersinia pestis (290 aa); NP_229269.1|NC_000853 glucokinase from Thermotoga maritima (317 aa); etc.Contains PS01125 ROK family signature. Belongs to the ROK (NAGC/XYLR) family.</t>
  </si>
  <si>
    <t>Involved in translation mechanisms.</t>
  </si>
  <si>
    <t>50S ribosomal protein L10 RplJ</t>
  </si>
  <si>
    <t>Rv0651, (MTCY20H10.32), len: 178 aa. rplJ, 50S ribosomal protein L10, equivalent to NP_302276.1|NC_002677 50S ribosomal protein L10 from Mycobacterium leprae (177 aa). Also highly similar to others e.g. P36257|RL10_STRGR 50s ribosomal protein L10 from Streptomyces griseus (185 aa), FASTA scores: opt: 633, E(): 0, (59.0 % identity in 173 aa overlap); etc. Belongs to the L10P family of ribosomal proteins.</t>
  </si>
  <si>
    <t>Involved in translation mechanisms: seems to be the binding site for several of the factors involved in protein synthesis and appears to be essential for accurate translation.</t>
  </si>
  <si>
    <t>50S ribosomal protein L7/L12 RplL (SA1)</t>
  </si>
  <si>
    <t>Rv0652, (MTCY20H10.33), len: 130 aa. rplL (alternate gene name: L7|L12), 50S ribosomal protein L7/L12, equivalent to NP_302275.1|NC_002677 50S ribosomal protein L7/L12 from Mycobacterium leprae (130 aa); and P37381|RL7_MYCBO 50s ribosomal protein L7/L12 from Mycobacterium bovis (130 aa). Also highly similar to others e.g. P02396|RL7_STRGR 50S ribosomal protein L7/L12 from Streptomyces griseus (127 aa); etc. Belongs to the L12P family of ribosomal proteins.</t>
  </si>
  <si>
    <t>Rv0653c, (MTCI376.23, MTCY20H10.34c), len: 231 aa. Possible transcriptional regulator, TetR family, similar in N-terminus to others e.g. CAC03642.1|AL391338 putative TetR-family transcriptional regulator from Streptomyces coelicolor (190 aa); Q51597 cam repressor from Pseudomonas putida (186 aa), FASTA scores: opt: 150, E(): 0.00085, (27.8% identity in 97 aa overlap); etc. Also some similarity to Mycobacterium tuberculosis hypothetical transcriptional regulators Rv0681 and Rv1816. Contains probable helix-turn helix motif from aa 27-48 (Score 1156, +3.12 SD).</t>
  </si>
  <si>
    <t>Probable dioxygenase</t>
  </si>
  <si>
    <t>Rv0654, (MTCI376.22), len: 501 aa. Probable dioxygenase, highly similar to others eg AAK06796.1|AF324838_15|AF324838|SimC5 putative dioxygenase (involved in tetraene formation) from Streptomyces antibioticus (456 aa); CAB56138.1| AL117669 putative dioxygenase from Streptomyces coelicolor (503 aa); T51734 neoxanthin cleavage enzyme (9-cis-epoxy-carotenoid dioxygenase) from Arabidopsis thaliana (538 aa); Q53353 lignostilbene-alpha,beta-dioxygenase from Pseudomonas paucimobilis (Sphingomonas paucimobilis), FASTA scores: opt: 280, E(): 2.3e-11, (28.5% identity in 523 aa overlap); etc. Also some similarity with Rv0913c|MTCY21C12.07c possible dioxygenase from Mycobacterium tuberculosis (501 aa), FASTA score: (29.5% identity in 522 aa overlap).</t>
  </si>
  <si>
    <t>Thought to be involved in active transport of ribonucleotide across the membrane. Responsible for energy coupling to the transport system.</t>
  </si>
  <si>
    <t>Possible ribonucleotide-transport ATP-binding protein ABC transporter Mkl</t>
  </si>
  <si>
    <t>Rv0655, (MTCI376.21), len: 359 aa. Possible mkl, ribonucleotide-transport ATP-binding protein ABC transporter (see Braibant et al., 2000), equivalent to P30769|MKL_MYCLE|ML1892 possible ribonucleotide transport ATP-binding protein from Mycobacterium leprae (347 aa), FASTA scores: opt: 2021, E(): 0, (92.2% identity in 335 aa overlap). Also highly similar to many e.g. AB92896.1|AL356992 putative ABC-transporter ATP-binding protein from Streptomyces coelicolor (343 aa); NP_253146.1|NC_002516 probable ATP-binding component of ABC transporter from Pseudomonas aeruginosa (269 aa); P45393|YRBF_ECOLI hypothetical ABC transporter ATP-binding protein from Escherichia coli (269 aa), FASTA scores: opt: 644, E(): 3.4e-33, (38.5% identity in 244 aa overlap); etc. Also similar to many other Mycobacterium tuberculosis ABC transporters e.g. P71747|CYSA|Rv2397c|MTCY253.24 (351 aa), FASTA score: (33.6% identity in 241 aa overlap). Contains PS00017 ATP/GTP-binding site motif A (P-loop), PS00211 ABC transporters family signature. Belongs to the ATP-binding transport protein family (ABC transporters).</t>
  </si>
  <si>
    <t>vapC6</t>
  </si>
  <si>
    <t>Possible toxin VapC6</t>
  </si>
  <si>
    <t>Rv0656c, (MTCI376.20), len: 127 aa. Possible vapC6, toxin, part of toxin-antitoxin (TA) operon with Rv0657c, contains PIN domain (See Arcus et al., 2005; Pandey and Gerdes, 2005). Similar to other proteins from Mycobacterium tuberculosis e.g. Rv2757c, Rv2546, etc. This region is a possible MT-complex-specific genomic island (See Becq et al., 2007).</t>
  </si>
  <si>
    <t>vapB6</t>
  </si>
  <si>
    <t>Rv0657c</t>
  </si>
  <si>
    <t>Possible antitoxin VapB6</t>
  </si>
  <si>
    <t>Rv0657c, (MTCI376.19), len: 51 aa. Possible vapB6, antitoxin, part of toxin-antitoxin (TA) operon with Rv0656c (See Arcus et al., 2005; Pandey and Gerdes, 2005). Similarity with others from Mycobacterium tuberculosis e.g. Rv2009|MT2064.1|MTCY39.08c|YW08_MYCTU|Q10848 (80 aa), FASTA scores: opt: 107, E(): 0.0038, (45.8% identity in 48 aa overlap), Rv2871, Rv1560, etc. Also some similarity with AL020958|SC4H8_7 from Streptomyces coelicolor (66 aa), FASTA score: (41.0% identity in 39 aa overlap). This region is a possible MT-complex-specific genomic island (See Becq et al., 2007).</t>
  </si>
  <si>
    <t>Unknown. Supposedly involved in stationary-phase survival.</t>
  </si>
  <si>
    <t>Rv0658c, (MTCI376.18), len: 238 aa. Probable conserved integral membrane protein, equivalent to a predicted homologous protein from Mycobacterium smegmatis (see citation below), and showing some similarity with P33774|YPRB_ECOLI hypothetical 24.3 kDa protein from Escherichia coli (217 aa), FASTA scores: opt: 174, E(): 5.3e-05, (25.6% identity in 223 aa overlap). Also similar to Rv1863c and Rv0804 from Mycobacterium tuberculosis. This region is a possible MT-complex-specific genomic island (See Becq et al., 2007).</t>
  </si>
  <si>
    <t>mazF2</t>
  </si>
  <si>
    <t>Toxin MazF2</t>
  </si>
  <si>
    <t>Rv0659c, (MTCI376.17), len: 102 aa. MazF2, toxin, part of toxin-antitoxin (TA) operon with Rv0660c (See Pandey and Gerdes, 2005; Zhu et al., 2006), weakly similar to other Mycobacterium tuberculosis hypothetical proteins e.g. Rv1942c, Rv1495, etc. This region is a possible MT-complex-specific genomic island (See Becq et al., 2007).</t>
  </si>
  <si>
    <t>mazE2</t>
  </si>
  <si>
    <t>Possible antitoxin MazE2</t>
  </si>
  <si>
    <t>Rv0660c, (MTCI376.16), len: 81 aa. Possible mazE2, antitoxin, part of toxin-antitoxin (TA) operon with Rv0659c (See Pandey and Gerdes, 2005; Zhu et al., 2006), showing some similarity to AF016485_130 from Halobacterium sp (100 aa), FASTA scores: (32.4% identity in 74 aa overlap). This region is a possible MT-complex-specific genomic island (See Becq et al., 2007).</t>
  </si>
  <si>
    <t>vapC7</t>
  </si>
  <si>
    <t>Rv0661c</t>
  </si>
  <si>
    <t>Possible toxin VapC7</t>
  </si>
  <si>
    <t>Rv0661c, (MTCI376.15), len: 145 aa. Possible vapC7, toxin, part of toxin-antitoxin (TA) operon with Rv0662c, contains PIN domain (See Arcus et al., 2005; Pandey and Gerdes, 2005). Similar to others in Mycobacterium tuberculosis e.g. Rv2863|MTV003.09|MTV003_7 (126 aa), FASTA scores: E(): 0.00087, (30.4% identity in 125 aa overlap), Rv0749|MTV041.23 (163 aa); Rv0277c, Rv2530c, etc. This region is a possible MT-complex-specific genomic island (See Becq et al., 2007).</t>
  </si>
  <si>
    <t>vapB7</t>
  </si>
  <si>
    <t>Rv0662c</t>
  </si>
  <si>
    <t>Possible antitoxin VapB7</t>
  </si>
  <si>
    <t>Rv0662c, (MTCI376.14), len: 84 aa. Possible vapB7, antitoxin, part of toxin-antitoxin (TA) operon with Rv0661c (See Arcus et al., 2005; Pandey and Gerdes, 2005). Similarity with others from Mycobacterium tuberculosis e.g. Rv2871, Rv1241, Rv2550c, etc. Start changed since first submission, now 38 aa shorter. This region is a possible MT-complex-specific genomic island (See Becq et al., 2007).</t>
  </si>
  <si>
    <t>Thought to play an important role in the mineralization of sulfates [catalytic activity: a phenol sulfate + H2O = a phenol + sulfate].</t>
  </si>
  <si>
    <t>Possible arylsulfatase AtsD (aryl-sulfate sulphohydrolase) (arylsulphatase)</t>
  </si>
  <si>
    <t>Rv0663, (MTCI376.13c), len: 787 aa. Possible atsD, arylsulfatase, similar to others e.g. P5169|ARS_PSEAE arylsulfatase from Pseudomonas aeruginosa (532 aa), FASTA scores: opt: 653, E(): 0, (33.1% identity in 544 aa overlap); etc. Also similar to P95059|MTCY210.30|ATSA|Rv0711|MTCY210.30 from Mycobacterium tuberculosis (787 aa), FASTA score: (38.9% identity in 769 aa overlap); and other arylsulfatases from Mycobacterium tuberculosis e.g. Rv3299c|ATSB (970 aa), Rv0711, etc. Contains PS00523 Sulfatases signature 1. Belongs to the sulfatase family. This region is a possible MT-complex-specific genomic island (See Becq et al., 2007).</t>
  </si>
  <si>
    <t>vapB8</t>
  </si>
  <si>
    <t>Rv0664</t>
  </si>
  <si>
    <t>Possible antitoxin VapB8</t>
  </si>
  <si>
    <t>Rv0664, (MTCI376.12c), len: 90 aa. Possible vapB8, antitoxin, part of toxin-antitoxin (TA) operon with Rv0665 (See Arcus et al., 2005; Pandey and Gerdes, 2005). This region is a possible MT-complex-specific genomic island (See Becq et al., 2007).</t>
  </si>
  <si>
    <t>vapC8</t>
  </si>
  <si>
    <t>Rv0665</t>
  </si>
  <si>
    <t>Possible toxin VapC8</t>
  </si>
  <si>
    <t>Rv0665, (MTCI376.11c), len: 112 aa. Possible vapC8, toxin, part of toxin-antitoxin (TA) operon with Rv0664, contains PIN domain (See Arcus et al. 2005; Pandey and Gerdes, 2005). Similar to others in Mycobacterium tuberculosis e.g. Rv0627 (135 aa), and Rv0595c. This region is a possible MT-complex-specific genomic island (See Becq et al., 2007).</t>
  </si>
  <si>
    <t>Rv0666</t>
  </si>
  <si>
    <t>Rv0666, (MTCI376.10c), len: 57 aa. Possible membrane protein; has hydrophobic stretch at aa 29-47. This region is a possible MT-complex-specific genomic island (See Becq et al., 2007).</t>
  </si>
  <si>
    <t>Catalyzes the transcription of DNA into RNA using the four ribonucleoside triphosphates as substrates [catalytic activity: N nucleoside triphosphate = N diphosphate + {RNA}(N)].</t>
  </si>
  <si>
    <t>DNA-directed RNA polymerase (beta chain) RpoB (transcriptase beta chain) (RNA polymerase beta subunit)</t>
  </si>
  <si>
    <t>Rv0667, (MTCI376.08c), len: 1172 aa. RpoB, DNA-directed RNA polymerase, beta chain (see Miller et al., 1994; Ahmad et al., 2000), equivalent to P30760|RPOB_MYCLE|ML1891 DNA-directed RNA polymerase beta chain from Mycobacterium leprae (1178 aa). Also highly similar to others e.g. AAF60349.1|AF242549_1|AF242549 DNA-dependent RNA polymerase beta subunit from Amycolatopsis mediterranei (1167 aa); CAB77428.1|AL160431 DNA-directed RNA polymerase beta chain from Streptomyces coelicolor (1161 aa); etc. Start site chosen on basis of RBS but alternative start exists at position 14359. Belongs to the RNA polymerase beta chain family.</t>
  </si>
  <si>
    <t>DNA-directed RNA polymerase (beta' chain) RpoC (transcriptase beta' chain) (RNA polymerase beta' subunit).</t>
  </si>
  <si>
    <t>Rv0668, (MTCI376.07c), len: 1316 aa. RpoC, DNA-directed RNA polymerase, beta' chain (see Miller et al., 1994), equivalent to P30761|RPOC_MYCLE|ML1890|S31146 DNA-directed RNA polymerase beta' chain from Mycobacterium leprae (1316 aa), FASTA scores: opt: 8295, E(): 0, (95.6% identity in 1316 aa overlap). Also highly similar to others e.g. CAB77429.1|AL160431 DNA-directed RNA polymerase beta' chain (fragment) from Streptomyces coelicolor (1059 aa); P37871|RPOC_BACSU from Bacillus subtilis (1199 aa), FASTA scores: opt: 2367, E(): 0, (52.9 identity in 1317 aa overlap); etc. Belongs to the RNA polymerase beta' chain family.</t>
  </si>
  <si>
    <t>Rv0669c, (MTCI376.05), len: 637 aa. Possible hydrolase, highly similar to various hydrolases (N-terminus shorter) e.g. BAA88409.1|AB028646 alkaline ceramidase from Pseudomonas aeruginosa (670 aa,) FASTA scores: opt: 1490, E(): 0, (41.2% identity in 651 aa overlap); NP_063946.1|NM_019893 mitochondrial ceramidase from Homo sapiens (761 aa); P_446098.1|NM_053646 N-acylsphingosine amidohydrolase 2 from Rattus norvegicus (761 aa); BAB09641.1|AB016885 neutral ceramidase from Arabidopsis thaliana (705 aa); etc. Contains PS00017 ATP/GTP-binding site motif A (P-loop).</t>
  </si>
  <si>
    <t>Involved in base excision repair. Endonuclease IV plays a role in DNA repair. It cleaves phosphodiester bonds at apurinic or apyrimidinic sites (AP sites) to produce new 5' ends that are base-free deoxyribose 5-phosphate residues [catalytic activity: endonucleolytic cleavage to 5'-phosphooligonucleotide end-products].</t>
  </si>
  <si>
    <t>Probable endonuclease IV End (endodeoxyribonuclease IV) (apurinase)</t>
  </si>
  <si>
    <t>Rv0670, (MTCI376.04c), len: 252 aa. Probable end (alternate gene name: nfo), endonuclease IV (apurinase) (see citation below), equivalent to END_MYCLE|P30770|NFO|ML1889 probable endonuclease IV (apurinase) from Mycobacterium leprae (252 aa), FASTA scores: opt: 1463, E(): 0, (85.6% identity in 250 aa overlap). Also similar to others e.g. Q9S2N2|END4_STRCO|NFO|SC6E10.05 probable endonuclease IV from Streptomyces coelicolor (294 aa); etc. Contains PS00729 AP endonucleases family 2 signatures 1 and 2 (PS00729, and PS00730). Belongs to the AP endonucleases family 2. Cofactor: binds 3 zinc ions. The transcription of this CDS seems negatively regulated by the product of mce2R|Rv0586 (See Santangelo et al., 2009).</t>
  </si>
  <si>
    <t>Possible conserved lipoprotein LpqP</t>
  </si>
  <si>
    <t>Rv0671, (MTCI376.03c), len: 280 aa. Possible lpqP, conserved lipoprotein, similar to U00012|B1308_F2_43|Q49658 from Mycobacterium leprae (302 aa), FASTA scores: opt: 449, E(): 2.4e-22, (37.6% identity in 242 aa overlap). Also highly similar to lpqC|Rv3298c|MTCY71.38c putative lipoprotein from Mycobacterium tuberculosis (304 aa). Also similar to a large variety of proteins including various esterases and poly(3-hydroxyalkanoate) depolymerases, e.g. NP_249234.1|NC_002516 hypothetical protein from Pseudomonas aeruginosa (322 aa); C-terminus of AAD45376.1|AF164516_1|AF164516 cinnamoyl ester hydrolase EstA from Piromyces equi (536 aa); part of P52090|PHA1_PSELE poly(3-hydroxyalkanoate) depolymerase C precursor from Pseudomonas lemoignei (414 aa); CAC10310.1|AL442629 putative secreted protein from Streptomyces coelicolor (348 aa); etc. Has a 17 aa signal sequence and contains appropriately positioned (PS00013) Prokaryotic membrane lipoprotein lipid attachment site.</t>
  </si>
  <si>
    <t>Probable acyl-CoA dehydrogenase FadE8</t>
  </si>
  <si>
    <t>Rv0672, (MTCI376.02c), len: 542 aa. Probable fadE8, acyl-CoA dehydrogenase, highly similar to many e.g. CAC33951.1|AL589708 putative acyl-CoA dehydrogenase from Streptomyces coelicolor (557 aa); P33224|AIDB_ECOLI|B4187 aidb protein (acyl-CoA dehydrogenases family) from Escherichia coli strain K12 (546 aa), FASTA scores: opt: 1369, E(): 0, (44.1% identity in 524 aa overlap); etc. Also similar to several other M. tuberculosis proteins e.g. Rv0154c|MTCI5.28c FASTA score: (26.3% identity in 342 aa overlap); etc. Contains acyl-CoA dehydrogenases signature 2 (PS00073). Belongs to the acyl-CoA dehydrogenases family.</t>
  </si>
  <si>
    <t>Possible enoyl-CoA hydratase EchA4 (enoyl hydrase) (unsaturated acyl-CoA hydratase) (crotonase)</t>
  </si>
  <si>
    <t>Rv0673, (MTCI376.01c, MTV040.01), len: 312 aa. Possible echA4, enoyl-CoA hydratase, showing similarity with others e.g. NP_419216.1|NC_002696 enoyl-CoA hydratase/isomerase family protein from Caulobacter crescentus (256 aa); Q52995|ECHH_RHIME probable enoyl-CoA hydratase from Sinorhizobium meliloti (257 aa), FASTA scores: opt: 210, E(): 1.2e-06, (27.9% identity in 280 aa overlap); etc. Also similar to other enoyl-CoA hydratases from Mycobacterium tuberculosis e.g. P95279|MTCY09F9.29|ECHA13|Rv1935c|MTCY09F9.29 enoyl-CoA hydratase (318 aa), FASTA score: (27.1% identity in 280 aa overlap); etc. Contains PS00017 ATP/GTP-binding site motif A (P-loop).</t>
  </si>
  <si>
    <t>Rv0674, (MTV040.02), len: 240 aa. Conserved hypothetical protein, highly similar to AC13063.1|AL445503 conserved hypothetical protein from Streptomyces coelicolor (268 aa); and similar to NP_438100.1|NC_003078 putative regulator of phenylacetic acid degradation ArsR family protein from Sinorhizobium meliloti (306 aa) and other proteins e.g. AB011837|AB011837_13 hypothetical protein from Bacillus halodurans (298 aa), FASTA scores: opt: 148, E(): 0.0081, (25.1% identity in 235 aa overlap); etc.</t>
  </si>
  <si>
    <t>echA5</t>
  </si>
  <si>
    <t>Rv0675</t>
  </si>
  <si>
    <t>Probable enoyl-CoA hydratase EchA5 (enoyl hydrase) (unsaturated acyl-CoA hydratase) (crotonase)</t>
  </si>
  <si>
    <t>Rv0675, (MTV040.03), len: 263 aa. Probable echA5, enoyl-CoA hydratase, similar to several e.g. NP_252116.1|NC_002516 probable enoyl CoA-hydratase/isomerase from Pseudomonas aeruginosa (256 aa); Q20376 protein similar to enoyl-CoA hydratase from Caenorhabditis elegans (258 aa), FASTA scores: opt: 697, E(): 0, (47.3% identity in 245 aa overlap); etc. Also similar to others from Mycobacterium tuberculosis e.g. Z92669|MTCY8D5_17 (262 aa), FASTA scores: opt: 493, E(): 3.6e-25, (39.1% identity in 243 aa overlap); etc.</t>
  </si>
  <si>
    <t>Probable conserved transmembrane transport protein MmpL5</t>
  </si>
  <si>
    <t>Rv0676c, (MTV040.04c), len: 964 aa. Probable mmpL5, conserved transmembrane transport protein (see Tekaia et al., 1999), member of RND superfamily, highly similar to other Mycobacterial proteins e.g. MTV037_14, MTCY98_8, MTCY20G9_34, MTCY4D9_15, MTCY48_8, MTCY19G5_6, MTV005_19, etc. Also similar to other Mycobacterial mmpl proteins e.g. P54881|MML4_MYCLE putative membrane protein MMPL4 from Mycobacterium leprae (959 aa), FASTA scores: opt: 3991, E(): 0, (62.8% identity in 933 aa overlap); etc. Belongs to the MmpL family.</t>
  </si>
  <si>
    <t>Possible conserved membrane protein MmpS5</t>
  </si>
  <si>
    <t>Rv0677c, (MTV040.05c), len: 142 aa. Possible mmpS5, conserved membrane protein (see Tekaia et al., 1999), highly similar to other Mycobacterial proteins e.g. P54880|MMS4_MYCLE putative membrane protein from Mycobacterium leprae (154 aa), FASTA scores: opt: 443, E(): 1.4e-23, (47.1% identity in 155 aa overlap); etc. Also similar to others from Mycobacterium tuberculosis. Belongs to the MmpS family. Predicted to be an outer membrane protein (See Song et al., 2008).</t>
  </si>
  <si>
    <t>Rv0678, (MTV040.06), len: 165 aa. Conserved protein, showing weak similarity with AL049754|SCH10_10 hypothetical protein from Streptomyces coelicolor (152 aa), FASTA scores: opt: 149, E(): 0.0018, (22.9% identity in 140 aa overlap).</t>
  </si>
  <si>
    <t>Conserved threonine rich protein</t>
  </si>
  <si>
    <t>Rv0679c, (MTV040.07c), len: 165 aa. Conserved Thr-rich protein, similar in part to neighboring ORF Rv0680c (124 aa), FASTA score: (35.1% identity in 131 aa overlap); and Rv0314c (220 aa). Predicted to be an outer membrane protein (See Song et al., 2008).</t>
  </si>
  <si>
    <t>Rv0680c, (MTV040.08c), len: 124 aa. Possible conserved transmembrane protein, showing similarity with C-terminal part of Rv0314c|Z96800|MTCY63.19c conserved hypothetical protein from Mycobacterium tuberculosis (220 aa), FASTA scores: opt: 175, E(): 2.2e-05, (31.4% identity in 102 aa overlap). Also some similarity to upstream ORF Rv0679c|MTV040.07c conserved hypothetical threonine rich protein (124 aa), FASTA score: (35.1% identity in 131 aa overlap). Contains possible membrane spanning regions.</t>
  </si>
  <si>
    <t>Rv0681, (MTV040.09), len: 196 aa. Probable transcription regulator, TetR family, similar to others and especially many tetracycline repressors e.g. T34657 probable transcription regulator from Streptomyces coelicolor (189 aa); AF0278|AF027868_40|NP_389788.1|NC_000964 yobS regulator from Bacillus subtilis (191 aa), FASTA scores: opt: 213, E(): 1.6e-07, (28.8% identity in 153 aa overlap); P09164|TER4_ECOLI tetracycline repressor protein from Escherichia coli (217 aa), FASTA scores: opt: 145, E(): 0.0068, (39.0% identity in 59 aa overlap); etc. Contains helix-turn-helix motif at aa 28-49 (Score 1020, +2.66 SD).</t>
  </si>
  <si>
    <t>Protein S12 is involved in the translation initiation step.</t>
  </si>
  <si>
    <t>30S ribosomal protein S12 RpsL</t>
  </si>
  <si>
    <t>Rv0682, (MTV040.10), len: 124 aa. rpsL, 30S ribosomal protein S12 (see citations below), equivalent to others from Mycobacteria e.g. P41195|RS12_MYCSM 30S ribosomal protein S12 from Mycobacterium smegmatis (124 aa); P51999|RS12_MYCAV 30S ribosomal protein S12 from Mycobacterium avium (124 aa); etc. Also highly similar to others from other organisms e.g. P97222|RS12_STRCO 30S ribosomal protein S12 from Streptomyces roseosporus, lividans and coelicolor (123 aa); etc. Contains PS00055 Ribosomal protein S12 signature. Belongs to the S12P family of ribosomal proteins. Nucleotide position 781922 in the genome sequence has been corrected, A:G resulting in K121K.</t>
  </si>
  <si>
    <t>Protein S7 binds specifically to part of the 3' end of 16S ribosomal RNA.</t>
  </si>
  <si>
    <t>30S ribosomal protein S7 RpsG</t>
  </si>
  <si>
    <t>Rv0683, (MTV040.11), len: 156 aa. rpsG, 30S ribosomal protein S7 (see citation below), equivalent to others from Mycobacteria e.g. P41193|RS7_MYCSM 30S ribosomal protein S7 from Mycobacterium smegmatis (156 aa), FASTA scores: opt: 986, E(): 0, (96.2% identity in 156 aa overlap); Q53539|RS7_MYCBO 30S ribosomal protein S7 from Mycobacterium bovis (156 aa); etc. Also highly similar to others e.g. Q9L0K4|RS7_STRCO 30S ribosomal protein S7 from Streptomyces coelicolor (156 aa); etc. Contains PS00052 Ribosomal protein S7 signature. Belongs to the S7P family of ribosomal proteins.</t>
  </si>
  <si>
    <t>This protein promotes the GTP-dependent translocation of the nascent protein chain from the A-site to the P-site of the ribosome.</t>
  </si>
  <si>
    <t>Probable elongation factor G FusA1 (EF-G)</t>
  </si>
  <si>
    <t>Rv0684, (MTV040.12, MTCY210.01), len: 701 aa. Probable fusA1, elongation factor G, equivalent to P30767|EFG_MYCLE|S31150 translation elongation factor EF-G from Mycobacterium leprae (701 aa), FASTA scores: opt: 2521, E(): 0, (88.2% identity in 432 aa overlap). Also highly similar to others e.g. CAB81852.1|AL161691 elongation factor G from Streptomyces coelicolor (708 aa); etc. Contains PS00017 ATP/GTP-binding site motif A (P-loop) and PS00301 GTP-binding elongation factors signature. Belongs to the GTP-binding elongation factor family, EF-G/EF-2 subfamily. Note that previously known as fusA.</t>
  </si>
  <si>
    <t>This protein promotes the GTP-dependent binding of aminoacyl-tRNA to the A-site of ribosomes during protein biosynthesis.</t>
  </si>
  <si>
    <t>Probable iron-regulated elongation factor TU Tuf (EF-TU)</t>
  </si>
  <si>
    <t>Rv0685, (MTCY210.02), len: 396 aa. Probable tuf, iron-regulated elongation factor EF-Tu, equivalent to JC2262 translation elongation factor Tu from Mycobacterium leprae (396 aa). Also highly similar to others e.g. P42439|EFTU_CORGL elongation factor TU (EF-TU) from Corynebacterium glutamicum (396 aa); etc. Contains PS00017 ATP/GTP-binding site motif A, and PS00301 GTP-binding elongation factors signature. Belongs to the GTP-binding elongation factor family, EF-TU/EF-1A subfamily. Predicted possible vaccine candidate (See Zvi et al., 2008).</t>
  </si>
  <si>
    <t>Rv0686, (MTCY210.03), len: 265 aa. Probable membrane protein, with hydrophobic N-terminus.</t>
  </si>
  <si>
    <t>Rv0687, (MTCY210.04), len: 275 aa. Probable short-chain dehydrogenase/reductase, highly similar to various dehydrogenases (generally SDR family) e.g. U17129|RSU17129_7 short-chain dehydrogenase from Rhodococcus erythropolis (275 aa), FASTA scores: opt: 1112, E(): 0, (61.2% identity in 268 aa overlap); MMU34072_2 steroid dehydrogenase from Musmus culus (260 aa), FASTA scores: opt: 390, E(): 2.2e-17, (34.1% identity in 267 aa overlap); etc. Also similar to MTV002_16|O33292|Rv2750 dehydrogenase from Mycobacterium tuberculosis (272 aa). Contains PS00061 Short-chain alcohol dehydrogenase family signature.</t>
  </si>
  <si>
    <t>Ferredoxins are iron-sulfur proteins that transfer electrons in a wide variety of metabolic reactions.</t>
  </si>
  <si>
    <t>Putative ferredoxin reductase</t>
  </si>
  <si>
    <t>Rv0688, (MTCY210.05), len: 406 aa. Putative ferredoxin reductase, highly similar to others e.g. BAB55881.1|AB054975 ferredoxin reductase from Terrabacter sp. DBF63 (410 aa); CAC04223.1|AL391515 putative ferredoxin reductase from Streptomyces coelicolor (420 aa); PPU24215_8|Q51973 P-cumate dioxygenase ferredoxin reductase subunit from Pseudomonas putida (402 aa), FASTA scores: opt: 738, E(): 0, (38.8% identity in 330 aa overlap); etc. Also similar to Rv0253 and Rv1869c from Mycobacterium tuberculosis. Could belong to the bacterial type ferredoxin family.</t>
  </si>
  <si>
    <t>Rv0689c</t>
  </si>
  <si>
    <t>Rv0689c, (MTCY210.06c), len: 84 aa. Hypothetical unknown protein.</t>
  </si>
  <si>
    <t>Rv0690c, (MTCY210.07c), len: 349 aa. Conserved hypothetical protein, showing similarity with NP_386956.1|NC_003047 conserved hypothetical protein from Sinorhizobium meliloti (358 aa); NP_356573.1|NC_003063 AGR_L_1570p from Agrobacterium tumefaciens (346 aa); NP_421938.1|NC_002696 conserved hypothetical protein from Caulobacter crescentus (370 aa).</t>
  </si>
  <si>
    <t>Rv0691A</t>
  </si>
  <si>
    <t>Electron carrier</t>
  </si>
  <si>
    <t>Mycofactocin precursor protein</t>
  </si>
  <si>
    <t>Rv0691A, len: 62 aa. Mycofactocin precursor protein.</t>
  </si>
  <si>
    <t>Rv0691c, (MTCY210.08c), len: 198 aa. Probable transcriptional regulator, highly similar to AAC77476.1|U17129 unknown protein from Rhodococcus erythropolis (185 aa); and showing similarity with putative regulatory proteins eg STMTCREP_1|TCMR_STRGA|P39885 tetracenomycin c transcriptional repressor from Streptomyces glaucescens (226 aa), FASTA scores: opt: 178, E(): 8.5e-06, (27.9% identity in 201 aa overlap); etc. Contains PS00017 ATP/GTP-binding site motif A (P-loop) and probable helix-turn helix motifs from aa 34-55 (Score 1100, +2.93 SD) and 151-172 (Score 1124, +3.02 SD).</t>
  </si>
  <si>
    <t>Rv0692, (MTCY210.09), len: 109 aa. Conserved hypothetical protein, highly similar to U17129|RSU17129_3|AAC77477.1 unknown protein from Rhodococcus erythropolis (95 aa), FASTA scores: opt: 393, E(): 8.8e-22, (68.2% identity in 88 aa overlap).</t>
  </si>
  <si>
    <t>Required for coenzyme pyrrolo-quinoline-quinone (PQQ) biosynthesis.</t>
  </si>
  <si>
    <t>Probable coenzyme PQQ synthesis protein E PqqE (coenzyme PQQ synthesis protein III)</t>
  </si>
  <si>
    <t>Rv0693, (MTCY210.10), len: 391 aa. Probable pqqE (alternate gene name: pqqIII), coenzyme PQQ synthesis protein E, similar to others AE001109_9|O30258|PQQE coenzyme PQQ synthesis protein from Archaeoglobus fulgidus (375 aa), FASTA scores: E(): 1.6e-16, (28.1% identity in 377 aa overlap); PQQE_ACICA|P07782 coenzyme pqq synthesis protein e from Acinetobacter calcoaceticus (384 aa), FASTA scores: opt: 302, E(): 1.8e-12, (23.9% identity in 377 aa overlap); etc. Also similar to C-terminus of heme biosynthesis proteins e.g. O28270|AF2009 heme biosynthesis protein (NIRJ-2) from Archaeoglobus fulgidus (468 aa). Note that also highly similar to U17129|RSU17129_4|AAC77478.1 unknown protein from Rhodococcus erythropolis (405 aa), FASTA scores: opt: 1997, E(): 0, (73.3% identity in 390 aa overlap). Could belong to the MoaA / NifB / PqqE family.</t>
  </si>
  <si>
    <t>Involved in respiration; catalyzes conversion of lactate into pyruvate [catalytic activity: (S)-lactate + 2 ferricytochrome C = pyruvate + 2 ferrocytochrome C].</t>
  </si>
  <si>
    <t>Possible L-lactate dehydrogenase (cytochrome) LldD1</t>
  </si>
  <si>
    <t>Rv0694, (MTCY210.11), len: 396 aa. Possible lldD1, L-lactate dehydrogenase (cytochrome), similar to NP_302368.1|NC_002677 L-lactate dehydrogenase from Mycobacterium leprae (414 aa). Also similar to others e.g. NP_384560.1|NC_003047 putative L-lactate dehydrogenase (cytochrome) protein from Sinorhizobium meliloti (403 aa); NP_251072.1|NC_002516 L-lactate dehydrogenase from Pseudomonas aeruginosa (383 aa); P33232|LLDD_ECOLI L-lactate dehydrogenase (cytochrome) from Escherichia coli strain K12 (396 aa), FASTA scores: opt: 697, E(): 0, (34.5 identity in 380 aa overlap); etc; and also similar to other oxidoreductases. Note that also highly similar to RSU17129_5|AAC77479.1|U17129 unknown protein from Rhodococcus erythropolis (392 aa), FASTA scores: opt: 2006, E(): 0, (74.1% identity in 386 aa overlap). Also similar to lldD2|Rv1872c|MTCY180.46|MTCY359.01 possible L-lactate dehydrogenase (cytochrome) from Mycobacterium tuberculosis (414 aa). Belongs to the FMN-dependent alpha-hydroxy acid dehydrogenases family.</t>
  </si>
  <si>
    <t>Rv0695, (MTCY210.12), len: 251 aa. Conserved hypothetical protein, similar to many creatinine amidohydrolases or hypothetical proteins e.g. NP_443048.1|NC_000911 creatinine amidohydrolase from Synechococcus sp. PCC 6803 (273 aa); NP_466169.1|NC_003210 protein similar to creatinine amidohydrolase from Listeria monocytogenes (249 aa); T35153|SC5A7.04c hypothetical protein from Streptomyces coelicolor (273 aa); etc. Note that highly similar to RSU17129_10|AAC77474.1|U17129 unknown protein from Rhodococcus erythropolis (230 aa), FASTA scores: opt: 693, E(): 0, (55.7% identity in 237 aa overlap).</t>
  </si>
  <si>
    <t>Probable membrane sugar transferase</t>
  </si>
  <si>
    <t>Rv0696, (MTCY210.13), len: 470 aa. Probable membrane sugar transferase, similar (except in N-terminus) to NP_069157.1|NC_000917 glycosyl transferase from Archaeoglobus fulgidus (324 aa); NP_279985.1|NC_002607 rhamnosyl transferase from Halobacterium sp. NRC-1 (299 aa); NP_059113.1|NM_017417 polypeptide N-acetylgalactosaminyltransferase 8 from (637 aa). Note that also highly similar to P46370|YTH1_RHOER hypothetical 55.3 KDA protein from Rhodococcus erythropolis (513 aa), FASTA scores: opt: 1514, E(): 0, (51.8% identity in 469 aa overlap).</t>
  </si>
  <si>
    <t>Probable dehydrogenase</t>
  </si>
  <si>
    <t>Rv0697, (MTCY210.14, unknown), len: 479 aa. Probable dehydrogenase, highly similar to P30772|YTUR_MYCLE hypothetical 24 kDa protein from Mycobacterium leprae (220 aa), FASTA scores: opt: 557, E(): 1.7e-28, (46.2% identity in 223 aa overlap). Also highly similar to P46371|YTH2_RHOER hypothetical 53.0 KDA GMC-type oxidoreductase from Rhodococcus erythropolis (493 aa); and similar to many dehydrogenases e.g. NP_250814.1|NC_002516 probable dehydrogenase from Pseudomonas aeruginosa (545 aa); BAA13145.1|D86622 FAD dependent L-sorbose dehydrogenase from Gluconobacter oxydans (531 aa); etc. Also similar to Rv1279 conserved hypothetical protein from Mycobacterium tuberculosis.</t>
  </si>
  <si>
    <t>Rv0698, (MTCY210.15), len: 203 aa. Conserved hypothetical protein, highly similar to C-terminus of Rv3639c|MTY15C10.12 conserved hypothetical protein from Mycobacterium tuberculosis (188 aa), FASTA scores: E(): 2.1e-07, (54.8% identity in 73 aa overlap).</t>
  </si>
  <si>
    <t>Rv0699</t>
  </si>
  <si>
    <t>Rv0699, (MTCY210.17), len: 73 aa. Hypothetical unknown protein.</t>
  </si>
  <si>
    <t>This protein is involved in the binding of tRNA to the ribosomes, and in the regulation of rRNA biosynthesis (by modulating the efficiency of transcriptional termination). Interacts with NUSB|Rv2533c.</t>
  </si>
  <si>
    <t>30S ribosomal protein S10 RpsJ (transcription antitermination factor NusE)</t>
  </si>
  <si>
    <t>Rv0700, (MTCY210.19), len: 101 aa. rpsJ (alternate gene name: nusE), 30S ribosomal protein S10 (see Gopal et al., 2001), equivalent to RS10_MYCLE P307653 30S ribosomal protein S10 from Mycobacterium leprae (101 aa), FASTA scores: opt: 645, E(): 0, (97.0% identity in 101 aa overlap). Also highly similar to others e.g. CAB82069.1|AL161803 30S ribosomal protein S10 from Streptomyces coelicolor (102 aa); etc. Contains PS00361 Ribosomal protein S10 signature. Belongs to the S10P family of ribosomal proteins.</t>
  </si>
  <si>
    <t>This protein binds directly to 23S ribosomal RNA and may participate in the formation of the peptidyltransferase center of the ribosome.</t>
  </si>
  <si>
    <t>50S ribosomal protein L3 RplC</t>
  </si>
  <si>
    <t>Rv0701, (MTCY210.20), len: 217 aa. rplC, 50S ribosomal protein L3, equivalent to O06044|RL3_MYCBO 50S ribosomal protein L3 from Mycobacterium bovis BCG (217 aa); and P30762|RL3_MYCLE 50S ribosomal protein L3 from Mycobacterium leprae (217 aa). Also highly similar to others e.g. CAB82070.1|AL161803 50S ribosomal protein L3 from Streptomyces coelicolor (214 aa); P52860|RL3_THETH ribosomal protein l3 from Thermus aquaticus (206 aa), FASTA scores: opt: 717, E(): 0, (55.2% identity in 210 aa overlap); etc. Contains PS00474 Ribosomal protein L3 signature. Belongs to the L3P family of ribosomal proteins.</t>
  </si>
  <si>
    <t>This protein binds directly and specifically to 23S rRNA.</t>
  </si>
  <si>
    <t>50S ribosomal protein L4 RplD</t>
  </si>
  <si>
    <t>Rv0702, (MTCY210.21), len: 223 aa. rplD, 50S ribosomal protein L4, equivalent to O06045|RL4_MYCBO 50S ribosomal protein L4 from Mycobacterium bovis BCG (223 aa); O06114|RL4_MYCSM 50S ribosomal protein L4 from Mycobacterium smegmatis (215 aa); and MLCB2492_3 50S ribosomal protein L4 from Mycobacterium leprae (230 aa). Also highly similar to others e.g. CAB82071.1|AL161803 50S ribosomal protein L4 from Streptomyces coelicolor (219 aa); P28601|RL4_BACST 50s ribosomal protein L4 from Bacillus stearothermophilus (207 aa), FASTA scores: opt: 522, E(): 3.5e-26, (42.4% identity in 198 aa overlap); etc. Belongs to the L4P family of ribosomal proteins.</t>
  </si>
  <si>
    <t>Binds to a specific region on the 23S rRNA.</t>
  </si>
  <si>
    <t>50S ribosomal protein L23 RplW</t>
  </si>
  <si>
    <t>Rv0703, (MTCY21.22), len: 100 aa. rplW, 50S ribosomal protein L23, equivalent to O06046|RL23_MYCBO 50S ribosomal protein L23 from Mycobacterium bovis BCG (100 aa); and MLCB2492_4 50S ribosomal protein L23 from Mycobacterium leprae (100 aa). Also highly similar to others e.g. CAB82072.1|AL161803 50S ribosomal protein L23 from Streptomyces coelicolor (139 aa) (N-terminus longer); P04454|RL23_BACST 50s ribosomal protein L23 from Bacillus stearothermophilus (95 aa), FASTA scores: opt: 275, E(): 1.4e-13, (50.5% identity in 95 aa overlap); etc. Contains PS00050 Ribosomal protein L23 signature. Belongs to the L23P family of ribosomal proteins.</t>
  </si>
  <si>
    <t>This protein is a primary 23S rRNA-binding protein. It has peptidyltransferase activity.</t>
  </si>
  <si>
    <t>50S ribosomal protein L2 RplB</t>
  </si>
  <si>
    <t>Rv0704, (MTCY210.23), len: 280 aa. rplB, 50S ribosomal protein L2, equivalent to O06047|RL2_MYCBO 50S ribosomal protein L2 from Mycobacterium bovis BCG (280 aa); and MLCB2492_5M 50S ribosomal protein L2 from Mycobacterium leprae (280 aa). Also highly similar to others e.g. CAB82073.1|AL161803 50S ribosomal protein L2 from Streptomyces coelicolor (278 aa); P42919|RL2_BACSU 50s ribosomal protein l2 (bl2) from Bacillus subtilis (276 aa), FASTA scores: opt: 1179, E(): 0, (61.1% identity in 275 aa overlap); etc. Contains PS00467 Ribosomal protein L2 signature. Belongs to the L2P family of ribosomal proteins.</t>
  </si>
  <si>
    <t>Protein S19 forms a complex with S13 that binds strongly to the 16S ribosomal RNA.</t>
  </si>
  <si>
    <t>30S ribosomal protein S19 RpsS</t>
  </si>
  <si>
    <t>Rv0705, (MTCY210.24), len: 93 aa. rpsS, 30S ribosomal protein S19, equivalent to S36895 ribosomal protein S19 from Mycobacterium bovis (93 aa), FASTA scores: opt: 623, E(): 0, (98.9% identity in 93 aa overlap); and NP_302261.1|NC_002677 30S ribosomal protein S19 from Mycobacterium leprae (93 aa). Also highly similar to others e.g. CAB82074.1|AL161803 30S ribosomal protein S19 from Streptomyces coelicolor (93 aa); etc. Contains PS00323 Ribosomal protein S19 signature. Belongs to the S19P family of ribosomal proteins.</t>
  </si>
  <si>
    <t>This protein binds specifically to 23S rRNA; its binding is stimulated by other ribosomal proteins, E.G., L4, L17, and L20. It is important during the early stages of 50S reconstitution.</t>
  </si>
  <si>
    <t>50S ribosomal protein L22 RplV</t>
  </si>
  <si>
    <t>Rv0706, (MTCY210.25), len: 197 aa. rplV, 50S ribosomal protein L22, equivalent to O06115|RL22_MYCSM 50S ribosomal protein L22 from Mycobacterium smegmatis (153 aa); MBS10OPER_7 50S ribosomal protein L22 from Mycobacterium bovis BCG; and MLCB2492_7 50S ribosomal protein L22 from Mycobacterium leprae (175 aa). Also highly similar to others e.g. CAB82075.1|AL161803 50S ribosomal protein L22 from Streptomyces coelicolor (125 aa); P42060|RL22_BACSU 50s ribosomal protein L22 from Bacillus subtilis (113 aa), FASTA scores: opt: 368, E(): 2.4e-13, (52.8% identity in 108 aa overlap); etc. Contains PS00464 Ribosomal protein L22 signature, and contains repetitive sequence at C-terminus. Belongs to the L22P family of ribosomal proteins.</t>
  </si>
  <si>
    <t>This protein is involved in the binding of initiator met-tRNA.</t>
  </si>
  <si>
    <t>30S ribosomal protein S3 RpsC</t>
  </si>
  <si>
    <t>Rv0707, (MTCY210.26), len: 274 aa. rpsC, 30S ribosomal protein S3, equivalent to O06048|RS3_MYCBO|MBS10OPER_8 30S ribosomal protein S3 from Mycobacterium bovis BCG (274 aa); and MLCB2492_8 30S ribosomal protein S3 from Mycobacterium leprae (281 aa). Also highly similar to others e.g. CAB82076.1|AL161803 30S ribosomal protein S3 from Streptomyces coelicolor (277 aa); P21465|RS3_BACSU 30s ribosomal protein s3 (bs3) (bs2) from Bacillus subtilis (217 aa), FASTA scores: opt: 794, E(): 0, (52.8% identity in 212 aa overlap); etc. Belongs to the S3P family of ribosomal proteins.</t>
  </si>
  <si>
    <t>This protein binds directly to 23S ribosomal RNA and is located at the a site of the peptidyltransferase center.</t>
  </si>
  <si>
    <t>50S ribosomal protein L16 RplP</t>
  </si>
  <si>
    <t>Rv0708, (MTCY210.27), len: 138 aa. rplP, 50S ribosomal protein L16, equivalent to O06049|RL16_MYCBO|MBS10OPER_9 50S ribosomal protein L16 from Mycobacterium bovis BCG (138 aa); and MLCB2492_9 50S ribosomal protein L16 from Mycobacterium leprae (138 aa). Also highly similar to others e.g. CAB82077.1|AL161803 50S ribosomal protein L16 from Streptomyces coelicolor (139 aa); P14577|RL16_BACSU 50s ribosomal protein l16 from Bacillus subtilis (144 aa), FASTA scores: opt: 600, E(): 0, (63.2% identity in 136 aa overlap); etc. Contains PS00701 Ribosomal protein L16 signature 2. Belongs to the L16P family of ribosomal proteins.</t>
  </si>
  <si>
    <t>50S ribosomal protein L29 RpmC</t>
  </si>
  <si>
    <t>Rv0709, (MTCY210.28), len: 77 aa. rpmC, 50S ribosomal protein L29, equivalent to O06050|RL29_MYCBO|MBS10OPER_10 50S ribosomal protein L29 from Mycobacterium bovis BCG (75 aa); and O32989|RL29_MYCLE|MLCB2492_10 50S ribosomal protein L29 from Mycobacterium leprae (80 aa). Also highly similar to others e.g. Q9L0D2|RL29_STRCO 50S ribosomal protein L29 from Streptomyces coelicolor (74 aa); P12873|RL29_BACSU 50s ribosomal protein l29 from Bacillus subtilis (66 aa), FASTA scores: opt: 225, E(): 8.3e-11, (58.6% identity in 58 aa overlap); etc. Belongs to the L29P family of ribosomal proteins.</t>
  </si>
  <si>
    <t>Protein S17 binds specifically to the 5' end of 16S ribosomal RNA.</t>
  </si>
  <si>
    <t>30S ribosomal protein S17 RpsQ</t>
  </si>
  <si>
    <t>Rv0710, (MTCY210.29), len: 136 aa. rpsQ, 30S ribosomal protein S17, equivalent to O06051|RS17_MYCBO 30S|MBS10OPER_11 30S ribosomal protein S17 from Mycobacterium bovis BCG (136 aa); and MLCB2492_11 30S ribosomal protein S17 from Mycobacterium leprae (126 aa). Also highly similar to others e.g. CAB82079.1|AL161803 30S ribosomal protein S17 from Streptomyces coelicolor (95 aa); P12874|RS17_BACSU 30s ribosomal protein s17 (bs 16) from Bacillus subtilis (86 aa), FASTA scores: opt: 305, E(): 1.6e-11, (60.5% identity in 81 aa overlap); etc. Contains PS00056 Ribosomal protein S17 signature.</t>
  </si>
  <si>
    <t>Possible arylsulfatase AtsA (aryl-sulfate sulphohydrolase) (arylsulphatase)</t>
  </si>
  <si>
    <t>Rv0711, (MTCY210.30), len: 787 aa. Possible atsA, arylsulfatase, similar to others e.g. P51691|ARS_PSEAE arylsulfatase from Pseudomonas aeruginosa (532 aa), FASTA scores: opt: 439, E(): 2.9e-21, (30.8% identity in 552 aa overlap); etc. Also similar to other hypothetical arylsulfatases from Mycobacterium tuberculosis e.g. Rv3299c, Rv0663, etc. Contains PS00523 Sulfatases signature 1, and PS00149 Sulfatases signature 2. Belongs to the sulfatase family.</t>
  </si>
  <si>
    <t>Rv0712, (MTCY210.31), len: 299 aa. Conserved protein, similar to others e.g. NP_106128.1|NC_002678 hypothetical protein from Mesorhizobium loti (372 aa); D90901_33|P72841 hypothetical 48.1 kDa protein from Synechocystis sp (410 aa), FASTA scores: E(): 1.1e-07, (28.8% identity in 299 aa overlap); etc. Slight similarity to carboxykinases. Similar to C-terminal part of Rv3703c conserved hypothetical protein from Mycobacterium tuberculosis (425 aa).</t>
  </si>
  <si>
    <t>Rv0713, (MTCY210.32), len: 313 aa. Probable conserved transmembrane protein, similar to Rv3435c|MTCY77_7|O06252 from Mycobacterium tuberculosis (284 aa), FASTA scores: opt: 557, E(): 2.1e-29, (35.8% identity in 282 aa overlap); MLCB2492_12|O32991 hypothetical 10.7 kDa protein from Mycobacterium leprae (95 aa).</t>
  </si>
  <si>
    <t>50S ribosomal protein L14 RplN</t>
  </si>
  <si>
    <t>Rv0714, (MTCY210.33), len: 122 aa. rplN, 50S ribosomal protein L14, equivalent to O32993|MLCB2492_14|ML1849|RL14_MYCLE 50S ribosomal protein L14 from Mycobacterium leprae (122 aa). Also highly similar to others e.g. CAB82080.1|AL161803 50S ribosomal protein L14 from Streptomyces coelicolor (122 aa); P33100|RL14_MICLU 50s ribosomal protein L14 from Micrococcus luteus (122 aa), FASTA scores: opt: 674, E(): 0, (85.2% identity in 122 aa overlap); etc. Contains PS00049 Ribosomal protein L14 signature. Belongs to the L14P family of ribosomal proteins.</t>
  </si>
  <si>
    <t>This protein is found in the ribonucleoprotein core and is involved in the early assembly of the 50S subunit. It is not involved in the functions of the mature 50S subunit.</t>
  </si>
  <si>
    <t>50S ribosomal protein L24 RplX</t>
  </si>
  <si>
    <t>Rv0715, (MTCY210.34), len: 105 aa. rplX, 50S ribosomal protein L24, equivalent to O32994|MLCB2492_15 50S ribosomal protein L24 from Mycobacterium leprae (105 aa). Also highly similar to others e.g. CAB82081.1|AL161803 50S ribosomal protein L24 from Streptomyces coelicolor (107 aa); P12876|RL24_BACSU 50s ribosomal protein L24 (bl23) from Bacillus subtilis (103 aa), FASTA scores: opt: 363, E(): 1.8e-18, (56.7% identity in 104 aa overlap); etc. Contains PS01108 Ribosomal protein L24 signature. Belongs to the L24P family of ribosomal proteins.</t>
  </si>
  <si>
    <t>This is one of 3 proteins that mediate the attachment of the 5S RNA into the large ribosomal subunit.</t>
  </si>
  <si>
    <t>50S ribosomal protein L5 RplE</t>
  </si>
  <si>
    <t>Rv0716, (MTCY210.35), len: 187 aa. rplE, 50S ribosomal protein L5, equivalent to MLCB2492_16 50S ribosomal protein L5 from Mycobacterium leprae (187 aa). Also highly similar to others e.g. CAB82082.1|AL161803 50S ribosomal protein L5 from Streptomyces coelicolor (185 aa); P33098|RL5_MICLU 50S ribosomal protein L5 from Micrococcus luteus (191 aa), FASTA scores: opt: 930, E(): 0, (73.8% identity in 183 aa overlap); etc. Belongs to the L5P family of ribosomal proteins.</t>
  </si>
  <si>
    <t>rpsN1</t>
  </si>
  <si>
    <t>Rv0717</t>
  </si>
  <si>
    <t>Known to be required for the assembly of 30S particles and may also be responsible for determining the conformation of the 16S rRNA at the a site.</t>
  </si>
  <si>
    <t>30S ribosomal protein S14 RpsN1</t>
  </si>
  <si>
    <t>Rv0717, (MTCY210.36), len: 61 aa. rpsN1, 30S ribosomal protein S14, equivalent to MLCB2492_17|O32996 ribosomal protein S14 from Mycobacterium leprae (61 aa). Also highly similar to others e.g. CAB82083.1|AL161803 30S ribosomal protein S14 from Streptomyces coelicolor (61 aa); P24320|RS14_THETH 30s ribosomal protein S14 from Thermus aquaticus (subsp. thermophilus) (60 aa), FASTA scores: opt: 316, E(): 2e-19,(70.0% identity in 60 aa overlap); etc. Contains PS00527 Ribosomal protein S14 signature. Belongs to the S14P family of ribosomal proteins. Note that previously known as rpsN.</t>
  </si>
  <si>
    <t>Binds directly to the central domain of 16S ribosomal RNA.</t>
  </si>
  <si>
    <t>30S ribosomal protein S8 RpsH</t>
  </si>
  <si>
    <t>Rv0718, (MTCY210.37), len: 132 aa. rpsH, 30S ribosomal protein S8, equivalent to O32997|MLCB2492_18 30S ribosomal protein S8 from Mycobacterium leprae (132 aa). Also highly similar to others e.g. CAB82084.1|AL161803 30S ribosomal protein S8 from Streptomyces coelicolor (132 aa); P33106|RS8_MICLU 30s ribosomal protein S8 from Micrococcus luteus (132 aa), FASTA scores: opt: 669, E(): 0, (77.3% identity in 132 aa overlap); etc. Contains PS00053 Ribosomal protein S8 signature. Belongs to the S8P family of ribosomal proteins.</t>
  </si>
  <si>
    <t>This protein binds directly to 23S ribosomal RNA and is located at the aminoacyl-tRNA binding site of the peptidyltransferase center.</t>
  </si>
  <si>
    <t>50S ribosomal protein L6 RplF</t>
  </si>
  <si>
    <t>Rv0719, (MTCY210.38), len: 179 aa. rplF, 50S ribosomal protein L6, equivalent to O32998|MLCB2492_19 50S ribosomal protein L6 from Mycobacterium leprae (179 aa). Also highly similar to others e.g. P46786|RL6_STRCO|CAB82085.1|AL161803|SCD31.42 50S ribosomal protein L6 from Streptomyces coelicolor (179 aa), FASTA scores: opt: 872, E(): 0, (70.4% identity in 179 aa overlap); etc. Contains PS00525 Ribosomal protein L6 signature 1. Belongs to the L6P family of ribosomal proteins.</t>
  </si>
  <si>
    <t>50S ribosomal protein L18 RplR</t>
  </si>
  <si>
    <t>Rv0720, (MTCY210.39), len: 122 aa. rplR, 50S ribosomal protein L18, equivalent to O32999|MLCB2492_20|RL18_MYCLE 50S ribosomal protein L18 from Mycobacterium leprae (122 aa). Also highly similar to others e.g. CAB82086.1|AL161803 50S ribosomal protein L18 from Streptomyces coelicolor (127 aa); P33102|RL18_MICLU 50s ribosomal protein L18 from Micrococcus luteus (119 aa), FASTA scores: opt: 447, E(): 8.7e-24, (60.4% identity in 111 aa overlap); etc. Belongs to the L18P family of ribosomal proteins.</t>
  </si>
  <si>
    <t>Protein S5 is important in the assembly and function of the 30S ribosomal subunit.</t>
  </si>
  <si>
    <t>30S ribosomal protein S5 RpsE</t>
  </si>
  <si>
    <t>Rv0721, (MTCY210.40), len: 220 aa. rpsE, 30S ribosomal protein S5, equivalent to MLCB2492_21 ribosomal protein S5 from Mycobacterium leprae (217 aa). Also highly similar to others e.g. P46790|RS5_STRCO 30s ribosomal protein S5 from Streptomyces coelicolor (167 aa), FASTA scores: opt: 889, E(): 0, (82.1% identity in 162 aa overlap); etc. Note N-terminus is extented compared to other rpsE genes. Contains PS00585 Ribosomal protein S5 signature, PTS HPr component phosphorylation sites signature. Belongs to the S5P family of ribosomal proteins.</t>
  </si>
  <si>
    <t>rpmD</t>
  </si>
  <si>
    <t>Rv0722</t>
  </si>
  <si>
    <t>Involved ion translation mechanisms.</t>
  </si>
  <si>
    <t>50S ribosomal protein L30 RpmD</t>
  </si>
  <si>
    <t>Rv0722, (MTCY210.41), len: 65 aa. rpmD, 50S ribosomal protein L30, equivalent to O33001 ribosomal protein L30 from Mycobacterium leprae (71 aa). Also highly similar to others e.g. P46789|RL30_STRCO 50S ribosomal protein L30 from Streptomyces coelicolor (60 aa); P02430|RL30_ECOLI 50S ribosomal protein L30 from Escherichia coli (58 aa), FASTA scores: opt: 168, E(): 1.5e-13, (53.7% identity in 54 aa overlap); etc. Belongs to the L30P family of ribosomal proteins.</t>
  </si>
  <si>
    <t>50S ribosomal protein L15 RplO</t>
  </si>
  <si>
    <t>Rv0723, (MTCY210.42), len: 146 aa. rplO, 50S ribosomal protein L15, equivalent to MLCB2492_23|O33002 50S ribosomal protein L15 from Mycobacterium leprae (146 aa). Also highly similar to others e.g. P46787|RL15_STRCO|SCD31.46 50S ribosomal protein L15 from Streptomyces coelicolor (151 aa); P19946|RL15_BACSU 50s ribosomal protein L15 from Bacillus subtilis (146 aa), FASTA scores: opt: 419, E(): 6.5e-20, (51.0% identity in 145 aa overlap); etc. Contains PS00017 ATP/GTP-binding site motif A (P-loop), and PS00475 Ribosomal protein L15 signature. Belongs to the L15P family of ribosomal proteins.</t>
  </si>
  <si>
    <t>Involved in digestion of the cleaved signal peptides. This activity is necessary to maintain proper secretion of mature proteins across the membrane.</t>
  </si>
  <si>
    <t>Possible protease IV SppA (endopeptidase IV) (signal peptide peptidase)</t>
  </si>
  <si>
    <t>Rv0724, (MTCY210.43), len: 623 aa. Possible sppA, protease IV (endopeptidase IV), equivalent (but longer 23 aa) to MLCB2492_24|O33003 endopeptidase IV from Mycobacterium leprae (602 aa). Also similar to others e.g. NP_419743.1|NC_002696 signal peptide peptidase SppA from Caulobacter crescentus (594 aa); P08395|SPPA_ECOLI|B1766 protease IV (endopeptidase) from Escherichia coli strain K-12 (618 aa), FASTA scores: opt: 582, E(): 8.9e-27, (34.1% identity in 525 aa overlap); etc. Belongs to peptidase family S49. Conserved in M. tuberculosis, M. leprae, M. bovis and M. avium paratuberculosis; predicted to be essential for in vivo survival and pathogenicity (See Ribeiro-Guimaraes and Pessolani, 2007).</t>
  </si>
  <si>
    <t>Rv0724A</t>
  </si>
  <si>
    <t>Rv0724A, len: 111 aa. Similarity suggests that this CDS should be continuation of Rv0725c but we can find no frame-shift to account for this. Possible extended protein is very similar to other hypothetical Mycobacterium tuberculosis proteins e.g. Rv1729c|Z81360_12 (312 aa), FASTA scores: opt: 399, E(): 2e-19, (58.7% identity in 109 aa overlap); Rv0731c, Rv0726c, etc. Frame-shift could occur at nt 817866. Same sequence for strain CDC1551 and Mycobacterium bovis.</t>
  </si>
  <si>
    <t>Rv0725c, (MTCY210.44c), len: 301 aa. Conserved hypothetical protein, similar to hypothetical proteins from Mycobacterium tuberculosis e.g. Rv0726c, Rv0731c, Rv3399, etc, e.g. Y893_MYCTU|Q10552|Rv0893C hypothetical 36.1 kDa protein cy31.21c (325 aa), FASTA scores: opt: 600, E(): 3.9e-32, (43.8% identity in 219 aa overlap).</t>
  </si>
  <si>
    <t>Rv0726c, (MTCY210.45c), len: 367 aa. Possible S-adenosylmethionine-dependent methyltransferase (see Grana et al., 2007), highly similar to other proteins from Mycobacterium tuberculosis e.g. Q10552|Y893_MYCTU|Rv0893c|MT0917|MTCY31.21c (325 aa), FASTA scores: opt: 646, E(): 0, (38.3% identity in 329 aa overlap); Rv0731c|MTV041.05c (318 aa), Rv3399, etc. Also similar to proteins from Mycobacterium leprae and other organisms e.g. T35930 hypothetical protein SC9B5.10 from Streptomyces coelicolor (303 aa).</t>
  </si>
  <si>
    <t>Involved in fucose metabolism (at the third step) [catalytic activity: L-fuculose 1-phosphate = glycerone phosphate + (S)-lactaldehyde].</t>
  </si>
  <si>
    <t>Possible L-fuculose phosphate aldolase FucA (L-fuculose-1-phosphate aldolase)</t>
  </si>
  <si>
    <t>Rv0727c, (MTV41.01c, MTCY210.46c), len: 218 aa. Possible fucA, L-fuculose-1-phosphate aldolase, similar to many e.g. NP_386339.1|NC_003047 putative L-fuculose phosphate aldolase protein from Sinorhizobium meliloti (222 aa); P11550|FUCA_ECOLI L-fuculose phosphate aldolase from Escherichia strain K12 (215 aa), FASTA scores: opt: 372, E(): 4.1e-19, (34.6% identity in 185 aa overlap); etc. Belongs to the aldolase class II family, ARAD/FUCA subfamily. Cofactor: binds one zinc ion per molecule.</t>
  </si>
  <si>
    <t>Involved at the first committed step in the 'phosphorylated' pathway of L-serine biosynthesis. Catalyzes the oxidation of D-3-phosphoglycerate to 3-phosphohydroxypyruvate [catalytic activity: 3-phosphoglycerate + NAD(+) = 3-phosphohydroxypyruvate + NADH].</t>
  </si>
  <si>
    <t>Possible D-3-phosphoglycerate dehydrogenase SerA2 (phosphoglycerate dehydrogenase) (PGDH)</t>
  </si>
  <si>
    <t>Rv0728c, (MTV041.02c), len: 326 aa. Possible serA2, D-3-phosphoglycerate dehydrogenase, similar to others e.g. AF0278|AF027868_5|YoaD D-3-phosphoglycerate dehydrogenase from Bacillus subtilis (344 aa), FASTA scores: opt: 594, E(): 3.1e-31, (35.9% identity in 309 aa overlap); etc. Also similar to Rv2996c|MTV012.10|SERA1 D-3-phosphoglycerate dehydrogenase from Mycobacterium tuberculosis (528 aa).</t>
  </si>
  <si>
    <t>Phosphorylates D-xylulose [catalytic activity: ATP + D-xylulose = ADP + D-xylulose 5-phosphate].</t>
  </si>
  <si>
    <t>Possible D-xylulose kinase XylB (xylulokinase) (xylulose kinase)</t>
  </si>
  <si>
    <t>Rv0729, (MTV041.03), len: 448 aa. Possible xylB, D-xylulose-kinase (xylulokinase). C-terminus highly similar to AAD09880.1|U77912 unknown protein from Mycobacterium bovis (102 aa); and N-terminus highly similar to T45387|Z98756|MLCB2492_25 hypothetical protein from Mycobacterium leprae (110 aa), FASTA scores: opt: 427, E(): 1.1e-19, (60.9% identity in 110 aa overlap). Also similar to xylA/xylB genes from various bacterial species e.g. AAC26499.1|AF045245 D-xylulose-kinase from Klebsiella pneumoniae (487 aa); NP_418021.1|NC_000913 xylulokinase from Escherichia coli strain K12 (484 aa), FASTA scores: opt: 260, E(): 7.5e-09, (25.9% identity in 478 aa overlap); etc. Also similar to Rv3696c|glpK probable glycerol kinase from Mycobacterium tuberculosis (517 aa). Belongs to the fucokinase / gluconokinase / glycerokinase / xylulokinase family.</t>
  </si>
  <si>
    <t>Rv0730, (MTV041.04), len: 242 aa. Probable acetyltransferase. Contains GNAT (Gcn5-related N-acetyltransferase) domain in C-terminal part. See Vetting et al. 2005. Equivalent to Z98756|MLCB2492_26 hypothetical protein from Mycobacterium leprae (227 aa), FASTA scores: opt: 1180, E(): 0, (83.5% identity in 218 aa overlap).</t>
  </si>
  <si>
    <t>Rv0731c, (MTV041.05c), len: 318 aa. Possible S-adenosylmethionine-dependent methyltransferase (see Grana et al., 2007), highly similar to other proteins from Mycobacterium tuberculosis e.g. Rv0726c|MTCY210.45c (367 aa), FASTA score: (60.9% identity in 317 aa overlap); Rv3399, Rv1729c, etc.</t>
  </si>
  <si>
    <t>Essential for protein export. Interacts with SECA|Rv3240c and SECE|Rv0638 to allow the translocation of proteins across the plasma membrane, by forming part of a channel.</t>
  </si>
  <si>
    <t>Probable preprotein translocase SecY</t>
  </si>
  <si>
    <t>Rv0732, (MTV041.06), len: 441 aa. Probable SecY, preprotein translocase (integral membrane protein) (see citation below), equivalent to NP_302243.1|NC_002677 SecY subunit of preprotein translocase from Mycobacterium leprae (438 aa); AAC04389.1|AF047021 preprotein translocase subunit from Mycobacterium smegmatis (438 aa); and U77912|MBU77912_1 preprotein translocase subunit from Mycobacterium bovis (441 aa), FASTA scores: opt: 2802, E(): 0, (99.8% identity in 441 aa overlap). Also highly similar to others e.g. P46785|SECY_STRCO preprotein translocase SECY subunit from Streptomyces coelicolor (437 aa); etc. Contains PS00755 and PS00756 protein secY signatures 1 and 2. Belongs to the SECE/SEC61-alpha family. Part of the prokaryotic protein translocation apparatus which comprise SECA|Rv3240c, SECD|Rv2587c, SECE|Rv0638, SECF|Rv2586c, SECG|Rv1440 and SECY.</t>
  </si>
  <si>
    <t>This small ubiquitous enzyme is essential in intracellular nucleotide metabolism, in addition it has been found to act as both a nucleoside mono- and DI-phosphate kinase suggesting it may have a role in RNA and DNA biosynthesis [catalytic activity: ATP + AMP = ADP + ADP].</t>
  </si>
  <si>
    <t>Adenylate kinase Adk (ATP-AMP transphosphorylase)</t>
  </si>
  <si>
    <t>Rv0733, (MTV041.07), len: 181 aa. adk, adenylate kinase (ATP-AMP transphosphorylase), equivalent to Z98756|MLCB24 92_28 probable adenylate kinase from Mycobacterium leprae (181 aa), FASTA scores: opt: 978, E(): 0, (83.6% identity in 177 aa overlap); and AAF86323.1|AF271342 putative adenylate kinase from Mycobacterium marinum (124 aa) (N-terminus shorter). Also highly similar to others e.g. P43414|KAD_STRCO adenylate kinase from Streptomyces coelicolor (217 aa), FASTA score: (43.0% identity in 186 aa overlap); etc. Contains PS00113 Adenylate kinase signature. Belongs to the adenylate kinase family.</t>
  </si>
  <si>
    <t>Removes the amino-terminal methionine from nascent proteins [catalytic activity: L-methionylpeptide + H2O = L-methionine + peptide].</t>
  </si>
  <si>
    <t>Methionine aminopeptidase MapA (map) (peptidase M) (MetAP)</t>
  </si>
  <si>
    <t>Rv0734, (MTV041.08), len: 266 aa. mapA, methionine aminopeptidase (map), equivalent to Z98756|MLCB2492_29 probable methionine aminopeptidase from Mycobacterium leprae (266 aa), FASTA scores: opt: 1717, E(): 0, (83.4% identity in 265 aa overlap). Also highly similar to many e.g. T35553 methionine aminopeptidase from Streptomyces coelicolor (278 aa); etc. Also similar to Rv2861c|MAPB probable methionine aminopeptidase from Mycobacterium tuberculosis (285 aa). Belongs to peptidase family M24A; also known as the map family 1. Cofactor: cobalt; binds 2 ions per subunit. Conserved in M. tuberculosis, M. leprae, M. bovis and M. avium paratuberculosis; predicted to be essential for in vivo survival and pathogenicity (See Ribeiro-Guimaraes and Pessolani, 2007).</t>
  </si>
  <si>
    <t>sigL</t>
  </si>
  <si>
    <t>Rv0735</t>
  </si>
  <si>
    <t>Probable alternative RNA polymerase sigma factor SigL</t>
  </si>
  <si>
    <t>Rv0735, (MTV041.09), len: 177 aa. Probable sigL, alternative RNA polymerase sigma factor (rpoE) (see citations below), highly similar to many proteins of the extracytoplasmatic function (ECF) subfamily e.g. CAB72200.1|AL138851 putative RNA polymerase sigma factor from Streptomyces coelicolor (194 aa); Q06909|CARQ_MYXXA RNA polymerase sigma factor CARQ from Myxococcus xanthus (174 aa), FASTA scores: opt: 251, E(): 9.6e-11, (32.9% identity in 161 aa overlap); etc. Also similar to MTCI61_4, MTU87242_1, and MLU15180_30 from Mycobacterium tuberculosis. Contains PS01063 Sigma-70 factors ECF subfamily signature and probable helix-turn helix motif from aa 139-160 (Score 1134, +3.05 SD). Belongs to the sigma-70 factor family, ECF subfamily.</t>
  </si>
  <si>
    <t>rslA</t>
  </si>
  <si>
    <t>Rv0736</t>
  </si>
  <si>
    <t>Regulates negatively SIGL|Rv0735</t>
  </si>
  <si>
    <t>Anti-sigma factor RslA</t>
  </si>
  <si>
    <t>Rv0736, (MTV041.10), len: 250 aa. RslA, anti-sigma factor (See Dainese et al., 2006). Probable membrane protein, showing weak similarity with AL133469|SCM10_32 putative membrane protein from Streptomyces coelicolor (216 aa), FASTA scores: opt: 180, E(): 0.00018, (34.3% identity in 216 aa overlap). Cleaved by Rip|Rv2869c, in M. tuberculosis Erdman (See Sklar et al., 2010).</t>
  </si>
  <si>
    <t>Rv0737</t>
  </si>
  <si>
    <t>Rv0737, (MTV041.11), len: 165 aa. Possible transcriptional regulator, similar to others e.g. BAB69161.1|AB070937 regulator protein from Streptomyces avermitilis (169 aa); NP_419731.1|NC_002696 transcriptional regulator MarR family from Caulobacter crescentus (148 aa) (homology only at C-terminus); etc. Also shows weak similarity to AB0014|AB001488_14 hypothetical protein from Bacillus subtilis (164 aa), FASTA scores: opt: 163, E(): 9.3e-05, (32.8% identity in 116 aa overlap), which is similar to slyY gene of S. typhimurium required for survival in macrophage. Contains possible helix-turn helix motif from aa 73-94 (Score 1138, +3.06 SD).</t>
  </si>
  <si>
    <t>Rv0738</t>
  </si>
  <si>
    <t>Rv0738, (MTV041.12), len: 182 aa. Conserved protein, showing weak similarity with hypothetical proteins from Mycobacterium tuberculosis: Rv1727|MTCY04C12.12 (189 aa); MTY13D12_7|Z80343 hypothetical protein from Mycobacterium tuberculosis (194 aa), FASTA scores: opt: 172, E(): 0.0004, (24.2% identity in 178 aa overlap); and C-terminus of Rv0576.</t>
  </si>
  <si>
    <t>Rv0739, (MTV041.13), len: 268 aa. Conserved hypothetical protein, showing some similarity to Mycobacterium tuberculosis proteins Rv0026 (448 aa), FASTA score: (37.6% identity in 101 aa overlap)and Rv0025 (120 aa), FASTA score: (32.4% identity in 142 aa overlap). This region is a possible MT-complex-specific genomic island (See Becq et al., 2007).</t>
  </si>
  <si>
    <t>Rv0740, (MTV041.14), len: 175 aa. Conserved hypothetical protein; C-terminus (possibly part of truncated IS1557) shows nearly perfect identity to Rv0750|MTV041_24 (81 aa), FASTA score: (92.6% identity in 81 aa overlap). Also shows weak similarity to MTV007_5 hypothetical protein from Mycobacterium tuberculosis (313 aa), FASTA score: (34.5% identity in 110 aa overlap); and MLCL536_27 hypothetical protein from Mycobacterium leprae (315 aa), FASTA score: (34.5% identity in 84 aa overlap). This region is a possible MT-complex-specific genomic island (See Becq et al., 2007).</t>
  </si>
  <si>
    <t>Rv0741</t>
  </si>
  <si>
    <t>Required for the transposition of the insertion element IS1557.</t>
  </si>
  <si>
    <t>Probable transposase (fragment)</t>
  </si>
  <si>
    <t>Rv0741, (MTV041.15), len: 104 aa. Probable truncated transposase for IS1557, showing similarity to transposases and is elements e.g. U63997|EFU63997_1 insertion sequence from Enterococcus faecium (424 aa), FASTA score: (31.0% identity in 87 aa overlap). Very high similarity with the C-terminal part of Z73419|MTCY373_3 2 IS1557 from Mycobacterium tuberculosis (444 aa), FASTA score: (86.5% identity in 104 aa overlap). This region is a possible MT-complex-specific genomic island (See Becq et al., 2007).</t>
  </si>
  <si>
    <t>PE_PGRS8</t>
  </si>
  <si>
    <t>Rv0742</t>
  </si>
  <si>
    <t>PE-PGRS family protein PE_PGRS8</t>
  </si>
  <si>
    <t>Rv0742, (MTV041.16), len: 175 aa. PE_PGRS8, Member of the Mycobacterium tuberculosis PE family, PGRS subfamily of gly-rich proteins (see citation below), similar to many Mycobacterium tuberculosis PGRS-type proteins e.g. Z78020|MTCY1A11_25 (498 aa), FASTA scores: opt: 766, E(): 6.1e-25, (73.6% identity in 178 aa overlap). Similarity suggests ORF starts with ATA start codon. This region is a possible MT-complex-specific genomic island (See Becq et al., 2007).</t>
  </si>
  <si>
    <t>Rv0743c</t>
  </si>
  <si>
    <t>Rv0743c, (MTV041.17c), len: 185 aa. Hypothetical unknown protein. This region is a possible MT-complex-specific genomic island (See Becq et al., 2007).</t>
  </si>
  <si>
    <t>Thought to be involved in transcriptional mechanism.</t>
  </si>
  <si>
    <t>Rv0744c, (MTV041.18c), len: 168 aa. Possible transcriptional regulator, showing weak similarity with O86661|SC4A2.05 putative two-component sensor from Streptomyces coelicolor (436 aa), FASTA scores: opt: 117, E(): 0.88, (37.25% identity in 94 aa overlap); and some putative excisionases or transposases. Also weakly similar to P71902|YN10_MYCTU|Rv2310|MT2372|MTCY3G12.24c conserved hypothetical protein from Mycobacterium tuberculosis (114 aa); and Q11144|Y477_MYCTU|Rv0477|MT0495|MTCY20G9.03 conserved hypothetical protein from Mycobacterium tuberculosis (148 aa). Equivalent to AAK45006 from Mycobacterium tuberculosis strain CDC1551 (179 aa) but shorter 11 aa. Contains probable helix-turn helix motif from aa 5-26 (Score 1350, +3.78 SD). This region is a possible MT-complex-specific genomic island (See Becq et al., 2007).</t>
  </si>
  <si>
    <t>Rv0745</t>
  </si>
  <si>
    <t>Rv0745, (MTV041.19), len: 175 aa. Conserved hypothetical protein; shows high similarity to a 50 aa region of Rv3649|Z95436|MTY15C10_3 conserved hypothetical protein, similar to ATP-dependent helicases, from Mycobacterium tuberculosis (771 aa), FASTA scores: opt: 225, E(): 7e-06, (70.0% identity in 50 aa overlap). This region is a possible MT-complex-specific genomic island (See Becq et al., 2007).</t>
  </si>
  <si>
    <t>PE-PGRS family protein PE_PGRS9</t>
  </si>
  <si>
    <t>Rv0746, (MTV041.20), len: 783 aa. PE_PGRS9, Member of the Mycobacterium tuberculosis PE family, PGRS subfamily of gly-rich proteins (see citation below), highly similar to part of MTCY28.25c|Rv1759c|Z95890 antigen wag22 from M. tuberculosis (914 aa), FASTA scores: opt: 2429, E(): 0, (56.9% identity in 873 aa overlap). Also similar to other PE-PGRS family proteins e.g. AL0212|MTV008_46 FASTA score: (48.8% identity in 887 aa overlap); etc. This region is a possible MT-complex-specific genomic island (See Becq et al., 2007).</t>
  </si>
  <si>
    <t>PE-PGRS family protein PE_PGRS10</t>
  </si>
  <si>
    <t>Rv0747, (MTV041.21), len: 801 aa. PE_PGRS10, Member of the Mycobacterium tuberculosis PE family, PGRS subfamily of gly-rich proteins (see citation below), highly similar to part of MTCY28.25c|Rv1759c|Z95890 antigen wag22 from M. tuberculosis (914 aa), FASTA scores: opt: 2772, E(): 0, (60.9% identity in 941 aa overlap). Also similar to other PE-PGRS family proteins e.g. Z95844|MTCY493_2 FASTA score: (50.2% identity in 815 aa overlap). Contains PS00012 Phosphopantetheine attachment site. This region is a possible MT-complex-specific genomic island (See Becq et al., 2007).</t>
  </si>
  <si>
    <t>vapB31</t>
  </si>
  <si>
    <t>Possible antitoxin VapB31</t>
  </si>
  <si>
    <t>Rv0748, (MTV041.22), len: 85 aa. Possible vapB31, antitoxin, part of toxin-antitoxin (TA) operon with Rv0749, see Arcus et al. 2005. Also similar to others in Mycobacterium tuberculosis proteins e.g. Rv2871 (75 aa); Rv1241, Rv2132, Rv3321c, etc. This region is a possible MT-complex-specific genomic island (See Becq et al., 2007).</t>
  </si>
  <si>
    <t>vapC31</t>
  </si>
  <si>
    <t>Rv0749</t>
  </si>
  <si>
    <t>Possible toxin VapC31. Contains PIN domain.</t>
  </si>
  <si>
    <t>Rv0749, (MTV041.23), len: 142 aa. Possible vapC31, toxin, part of toxin-antitoxin (TA) operon with Rv0748, contains PIN domain, see Arcus et al. 2005. Similar to others in Mycobacterium tuberculosis e.g. Rv0277c, Rv2530c, etc. This region is a possible MT-complex-specific genomic island (See Becq et al., 2007).</t>
  </si>
  <si>
    <t>Rv0749A</t>
  </si>
  <si>
    <t>Hypothetical protein (fragment)</t>
  </si>
  <si>
    <t>Rv0749A, len: 45 aa. Conserved hypothetical protein (probably gene fragment), similar to part (aa 250-292) of Rv2807|Z81331_12 from Mycobacterium tuberculosis (384 aa), FASTA scores: opt: 238, E(): 1.9e-13, (79.07% identity in 43 aa overlap). This region is a possible MT-complex-specific genomic island (See Becq et al., 2007).</t>
  </si>
  <si>
    <t>Rv0750, (MTV041.24), len: 81 aa. Conserved hypothetical protein, showing almost perfect overlap with C-terminus of Rv0740|MTV041_14 conserved hypothetical protein from Mycobacterium tuberculosis (175 aa), FASTA scores: (93.8% identity in 81 aa overlap). Possible duplication. This region is a possible MT-complex-specific genomic island (See Becq et al., 2007).</t>
  </si>
  <si>
    <t>Catalyzes the NAD-dependent, reversible oxidation of 3-hydroxbutyrate to methylmalonate [catalytic activity: 3-hydroxy-2-methylpropanoate + NAD+ = 2-methyl-3-oxopropanoate + NADH].</t>
  </si>
  <si>
    <t>Probable 3-hydroxyisobutyrate dehydrogenase MmsB (hibadh)</t>
  </si>
  <si>
    <t>Rv0751c, (MTV041.25c), len: 294 aa. Probable mmsB, 3-hydroxyisobutyrate dehydrogenase, highly similar to others e.g. NP_102847.1|NC_002678 3-hydroxyisobutyrate dehydrogenase from Mesorhizobium loti (294 aa); NP_420167.1|NC_002696 3-hydroxyisobutyrate dehydrogenase from Caulobacter crescentus (298 aa); A32867 3-hydroxyisobutyrate dehydrogenase from Rattus norvegicus (346 aa); etc. Also similar to methylmalonate semialdehyde dehydrogenases e.g. M84911|PSE MMSRAB_3 methylmalonate semialdehyde dehydrogenase from Pseudomonas aeruginosa (298 aa), FASTA scores: opt: 786, E(): 0, (45.8% identity in 297 aa overlap). Also similar to 6-phosphogluconate dehydrogenases from Mycobacterium tuberculosis e.g. Rv1122 and Rv1844c. Contains PS00895 3-hydroxyisobutyrate dehydrogenase signature. Belongs to the 3-hydroxyisobutyrate dehydrogenase family.</t>
  </si>
  <si>
    <t>Probable acyl-CoA dehydrogenase FadE9</t>
  </si>
  <si>
    <t>Rv0752c, (MTV041.26c), len: 390 aa. Probable fadE9, acyl-CoA dehydrogenase, highly similar to many e.g. NP_437985.1|NC_003078 putative acyl-CoA dehydrogenase protein from Sinorhizobium meliloti (380 aa); Z99123|BSUB0020_14 from Bacillus subtilis (379 aa), FASTA scores: opt: 853, E(): 0, (39.8% identity in 384 aa overlap); etc. Contains PS00072 Acyl-CoA dehydrogenases signature 1, and PS00073 Acyl-Co Adehydrogenases signature 2. Belongs to the acyl-CoA dehydrogenases family.</t>
  </si>
  <si>
    <t>Plays a role in valine and pyrimidine metabolism. Binds fatty acyl-CoA [catalytic activity: 2-methyl-3-oxopropanoate + CoA + NAD+ = propanoyl-CoA + CO2 + NADH].</t>
  </si>
  <si>
    <t>Probable methylmalonate-semialdehyde dehydrogenase MmsA (methylmalonic acid semialdehyde dehydrogenase) (MMSDH)</t>
  </si>
  <si>
    <t>Rv0753c, (MTV041.27c), len: 510 aa. Probable mmsA, methylmalonic acid semialdehyde dehydrogenase, highly similar to others e.g. NP_420115.1|NC_002696 putative methylmalonate-semialdehyde dehydrogenase from Caulobacter crescentus (499 aa); L48550|STMMSDA_1|CAB75315.1|AL139164 methylmalonic acid semialdehyde dehydrogenase from Streptomyces coelicolor (500 aa), FASTA score: (51.6% identity in 498 aa overlap); M84911|PSEMMSRAB_2|NP_252260.1|NC_002516 methylmalonate-semialdehyde dehydrogenase from Pseudomonas aeruginosa (497 aa), FASTA scores: opt: 1127, E(): 0, (47.9% identity in 507 aa overlap); etc. Note that also highly similar to malonic semialdehyde oxidative decarboxylases e.g. NP_104968.1|NC_002678 malonic semialdehyde oxidative decarboxylase from Mesorhizobium loti (498 aa); NP_384832.1|NC_003047 putative malonic semialdehyde oxidative decarboxylase protein from Sinorhizobium meliloti (498 aa); etc. Contains PS00070 Aldehyde dehydrogenases cysteine active site. Belongs to the aldehyde dehydrogenases family.</t>
  </si>
  <si>
    <t>PE-PGRS family protein PE_PGRS11</t>
  </si>
  <si>
    <t>Rv0754, (MTV041.28), len: 584 aa. PE_PGRS11, Member of the Mycobacterium tuberculosis PE family, PGRS subfamily of gly-rich proteins (see citation below), similar to others e.g. AL0212|MTV008_46 from Mycobacterium tuberculosis (1660 aa), FASTA score: (48.7% identity in 345 aa overlap); Z80225|MTCY441_4 from Mycobacterium tuberculosis (778 aa), FASTA score: (41.6% identity in 442 aa overlap); etc.</t>
  </si>
  <si>
    <t>Rv0755A</t>
  </si>
  <si>
    <t>Could be required for the transposition of an insertion element.</t>
  </si>
  <si>
    <t>Putative transposase (fragment)</t>
  </si>
  <si>
    <t>Rv0755A, len: 61 aa. Putative transposase (possibly gene fragment), similar to C-terminal part of Q9EZM2|ISMav2|AF286339_1 putative transposase from Mycobacterium paratuberculosis (395 aa), FASTA scores: opt: 284, E(): 5e-13, (83.02% identity in 53 aa overlap); and to SCJ11.25c|Q9RI80 possible noncomposite transposon transposase from Streptomyces coelicolor (283 aa).</t>
  </si>
  <si>
    <t>PPE family protein PPE12</t>
  </si>
  <si>
    <t>Rv0755c, (MTV041.29), len: 645 aa. PPE12, Member of the Mycobacterium tuberculosis PPE family, highly similar to others e.g. Z82098|MTCY3C7_23 from Mycobacterium tuberculosis (582 aa), FASTA scores: (56.1% identity in 636 aa overlap); Z92774|MTCY6G11_5 from Mycobacterium tuberculosis (552 aa), FASTA scores: (55.8% identity in 590 aa overlap); etc. Predicted to be an outer membrane protein (See Song et al., 2008).</t>
  </si>
  <si>
    <t>Rv0756c, (MTCY369.01c), len: 241 aa. Unknown protein.</t>
  </si>
  <si>
    <t>Involved in transcriptional mechanism. Part of the two component regulatory system PHOP/PHOQ. This protein is thought to be a positive regulator for the phosphate regulon, required for intracellular growth. Transcription of this operon is positively regulated by PHOB and PHOR|Rv0758 when phosphate is limited.</t>
  </si>
  <si>
    <t>Possible two component system response transcriptional positive regulator PhoP</t>
  </si>
  <si>
    <t>Rv0757, (MTCY369.02), len: 247 aa. Possible phoP, two component system response phosphate regulon transcriptional regulator (see citations below), highly similar to various transcriptional regulators e.g. CAC32360.1|AL583945 putative two component system response regulator from Streptomyces coelicolor (271 aa); T45446 probable two-component response regulator from Mycobacterium leprae (253 aa); and similar to phoP proteins e.g. P13792|PHOP_BACSU alkaline phosphatase synthesis transcription regulatory protein from Bacillus subtilis (240 aa), FASTA scores: opt: 594, E(): 2.3e-33, (41.0% identity in 234 aa overlap); etc. Also highly similar to Rv3765c from Mycobacterium tuberculosis (234 aa), Rv1033c (257 aa), RV0903c|MTCY31.31c|Q10531 (236 aa), FASTA score: (45.4% identity in 229 aa overlap); MTCY10G2_16 and MTU88959_1.</t>
  </si>
  <si>
    <t>Sensor part of a two component regulatory system. This protein is thought to be a sensor kinase for the phosphate regulon. Transcription of this operon is positively regulated by PHOB|Rv0757 and PHOR when phosphate is limited.</t>
  </si>
  <si>
    <t>Possible two component system response sensor kinase membrane associated PhoR</t>
  </si>
  <si>
    <t>Rv0758, (MTCY369.03), len: 485 aa. Possible phoR, two component system response phosphate sensor kinase membrane-associated, highly similar to various sensor kinases e.g. CAC32361.1|AL583945 putative two component system histidine kinase from Streptomyces coelicolor (524 aa); NP_349365.1|NC_003030 Membrane-associated sensory histidine kinase with HAMP domain from Clostridium acetobutylicum (482 aa); and similar to phoP proteins e.g. NP_372216.1|NC_002758 alkaline phosphatase synthesis sensor protein from Staphylococcus aureus (554 aa); P23545|PHOR_BACSU alkaline phosphatase synthesis sensor from Bacillus subtilis (579 aa), FASTA scores: opt: 515, E(): 1.9e-25, (40.0% identity in 230 aa overlap); etc. Also similar to proteins from Mycobacterium tuberculosis e.g. MTCY20G9.16 FASTA scores: (34.5% identity in 264 aa overlap), MTU88959_2 (509 aa), MTCY10G2_17, etc.</t>
  </si>
  <si>
    <t>Rv0759c</t>
  </si>
  <si>
    <t>Rv0759c, (MTCY369.04c), len: 110 aa. Conserved hypothetical protein, highly similar (but shorter 45 aa in N-terminus) to P49774|YHIT_MYCLE|ML2237|MLCB5.04c|U296A hypothetical hit-like protein from Mycobacterium leprae (155 aa), FASTA scores: opt: 766, E(): 0, (78.7% identity in 150 aa overlap). Also highly similar (but N-terminus always shorter) to hit-like proteins and protein kinase inhibitors e.g. AAF72728.1|AF265258_1|AF265258 hit-like protein from Rhodococcus sp. (141 aa); NP_212513.1|NC_001318 protein kinase C1 inhibitor (pkcI) from Borrelia burgdorferi (149 aa) ; P94252|YHIT_BORBU|BB0379 hypothetical hit-like protein from Borrelia burgdorferi (139 aa); NP_110768.1|NC_002689 hit (histidine triad) family protein from Thermoplasma volcanium (158 aa); P16436|IPK1_BOVIN protein kinase C inhibitor 1 (pkci-1) from Bos taurus (Bovine) (125 aa), FASTA scores: opt: 195, E(): 5.2e-08, (33.3% identity in 111 aa overlap); etc. Also shows similarity with Rv2613c|MTCY01A10.20A conserved hypothetical protein from Mycobacterium tuberculosis (195 aa) and Rv1262c|MTCY50.20 hypothetical hit-like protein (144 aa).</t>
  </si>
  <si>
    <t>Rv0760c, (MTCY369.05), len: 139 aa. Conserved protein, similar to N-terminal part of Rv2042c conserved hypothetical protein from Mycobacterium tuberculosis (265 aa), FASTA scores: opt: 150, E(): 4.1e-05, (28.7% identity in 136 aa overlap). Belongs to the NTF2-like (nuclear transport factor 2) protein superfamiily.</t>
  </si>
  <si>
    <t>Thought to catalyze the reversible oxidation of ethanol to acetaldehyde with the concomitant reduction of NAD. Probably acts on primary or secondary alcohols or hemiacetals [catalytic activity: an alcohol + NAD+ = an aldehyde or ketone + NADH].</t>
  </si>
  <si>
    <t>Possible zinc-containing alcohol dehydrogenase NAD dependent AdhB</t>
  </si>
  <si>
    <t>Rv0761c, (MTCY369.06c), len: 375 aa. Possible adhB, zinc-containing alcohol dehydrogenase NAD-dependent, similar to others e.g. AAC15839.1|AF060871_4 hypothetical alcohol dehydrogenase from Rhodococcus rhodochrous (370 aa), FASTA scores: opt: 1234, E(): 0, (46.8% identity in 370 aa overlap); P80468|ADH2_STRCA alcohol dehydrogenase II from Struthio camelus (Ostrich) (379 aa); Q03505|ADH1_RABIT alcohol dehydrogenase alpha chain from Oryctolagus cuniculus (Rabbit) (374 aa), FASTA scores: opt: 872, E(): 0, (39.1% identity in 379 aa overlap); etc. Also similar to adhD alcohol dehydrogenase from Mycobacterium tuberculosis (368 aa). Contains PS00059 Zinc-containing alcohol dehydrogenases signature. Belongs to the zinc-containing alcohol dehydrogenase family.</t>
  </si>
  <si>
    <t>Rv0762c, (MTCY369.07c), len: 181 aa. Conserved hypothetical protein, showing weak similarity to D90907_77|P73575 hypothetical 31.3KD protein from Synechocystis sp, FASTA scores: E(): 0.0012, (30.4% identity in 92 aa overlap). Contains PS00017 ATP/GTP-binding site motif A (P-loop).</t>
  </si>
  <si>
    <t>Rv0763c</t>
  </si>
  <si>
    <t>Ferredoxins are iron-sulfur proteins that transfer electrons in a wide variety of metabolic reactions. Probably involved in electron transport for cytochrome P-450 system.</t>
  </si>
  <si>
    <t>Possible ferredoxin</t>
  </si>
  <si>
    <t>Rv0763c, (MTCY369.08c), len: 68 aa. Possible ferredoxin, similar to others and related proteins e.g. P18324|FER1_STRGO|SUAB ferredoxin 1 (fd-1) from Streptomyces griseolus (68 aa); AAK31349.1|AF350429_2|AF350429 putative ferredoxin from Nocardioides sp (63 aa); AAK16536.1|AF331043_16|AF331043 phthalate dioxygenase ferredoxin subunit from Arthrobacter keyseri (64 aa); etc. Probably involved in electron transport for cytochrome P-450 system e.g. downstream ORF Rv0764c|MTCY369.09c probable cytochrome P450 51 from Mycobacterium tuberculosis (451 aa), FASTA scores: opt: 137, E(): 0.00013, (36.4% identity in 66 aa overlap). Also similar to putative ferredoxins Rv3503c and Rv1786 from Mycobacterium tuberculosis. Could belong to the bacterial type ferredoxin family.</t>
  </si>
  <si>
    <t>Involved in sterol biosynthesis. Its precise biological substrate is not known. Catalyzes C14-demethylation of lanosterol, 24,25-dihydrolanosterol and obtusifoliol which is critical for ergosterol biosynthesis. It transforms lanosterol into 4,4'-dimethyl cholesta-8,14,24-triene-3-beta-ol.</t>
  </si>
  <si>
    <t>Cytochrome P450 51 Cyp51 (CYPL1) (P450-L1A1) (sterol 14-alpha demethylase) (lanosterol 14-alpha demethylase) (P450-14DM)</t>
  </si>
  <si>
    <t>Rv0764c, (MT0788, MTCY369.09c), len: 451 aa. Cyp51, cytochrome P450 51 (sterol 14-alpha demethylase), similar to others e.g. Q16850|CP51_HUMAN cytochrome P450 51 (CYPL1) (P450L1) (sterol 14-alpha demethylase) (lanosterol 14-alpha demethylase) from Homo sapiens (509 aa), FASTA scores: opt: 848, E(): 0, (33.9% identity in 439 aa overlap); NP_172633.1|NC_003070 putative obtusifoliol 14-alpha demethylase from Arabidopsis thaliana (488 aa); P93596|CP51_WHEAT cytochrome P450 51 (CYPL1) (P450-L1A1) (obtusifoliol 14-alpha demethylase) from Triticum aestivum (453 aa); etc. Also similar to many other Mycobacterium tuberculosis cytochromes P450 e.g. Rv1394c, FASTA score: (22.5% identity in 444 aa overlap). Contains PS00086 Cytochrome P450 cysteine heme-iron ligand signature. Belongs to the cytochrome P450 family.</t>
  </si>
  <si>
    <t>Function unknown; probably involved in cellular metabolism, possibly electron transfer.</t>
  </si>
  <si>
    <t>Rv0765c, (MTCY369.10c), len: 275 aa. Probable oxidoreductase, similar others e.g. P39071|DHBA_BACSU 2,3-dihydro-2,3-dihydroxybenzoate dehydrogenase from Bacillus subtilis (261 aa), FASTA scores: opt: 385, E(): 1.8e-17, (30.6% identity in 252 aa overlap); AAF81239.1|AF263012 putative beta-ketoacyl reductase from Streptomyces griseus (274 aa); NP_436514.1|NC_003037 putative oxidoreductase from Sinorhizobium meliloti (240 aa); etc. Also similar to several other oxidoreductases from Mycobacterium tuberculosis e.g. Rv1544|MTCY48.21, FASTA score: (32.6% identity in 267 aa overlap); etc. Contains PS00061 Short-chain alcohol dehydrogenase family signature.</t>
  </si>
  <si>
    <t>Probable cytochrome P450 123 Cyp123</t>
  </si>
  <si>
    <t>Rv0766c, (MT0790, MTCY369.11c), len: 402 aa. Probable cyp123, cytochrome P-450, similar to others e.g. P33271|CPXK_SACER cytochrome P-450 107B1 from Saccharopolyspora erythraea (405 aa), FASTA scores: opt: 770, E(): 0, (36.9% identity in 406 aa overlap); T36526 probable cytochrome P450 hydroxylase from Streptomyces coelicolor (411 aa); P27632|CPXM_BACSU cytochrome P450 109 from Bacillus subtilis (405 aa); etc. Also similar to several other cytochromes P-450 from Mycobacterium tuberculosis e.g. Rv1256c|MTCY50.26 (405 aa), FASTA score: (35.2% identity in 389 aa overlap); etc. Contains PS00086 Cytochrome P450 cysteine heme-iron ligand signature. Belongs to the cytochrome P450 family.</t>
  </si>
  <si>
    <t>Rv0767c</t>
  </si>
  <si>
    <t>Rv0767c, (MTCY369.12c), len: 213 aa. Conserved hypothetical protein, showing weak similarity with AL133220|SCC75A_26 hypothetical protein from Streptomyces coelicolor (215 aa), FASTA scores: opt: 152, E(): 0.0048, (28.4% identity in 204 aa overlap).</t>
  </si>
  <si>
    <t>Oxidizes a variety of aldehydes [catalytic activity: an aldehyde + NAD+ + H2O = an acid + NADH].</t>
  </si>
  <si>
    <t>Probable aldehyde dehydrogenase NAD dependent AldA (aldehyde dehydrogenase [NAD+])</t>
  </si>
  <si>
    <t>Rv0768, (MTCY369.13), len: 489 aa. Probable aldA, NAD-dependent aldehyde dehydrogenase, highly similar to others e.g. AAL14238.1|AY052630 6-oxolauric acid dehydrogenase from Rhodococcus ruber (474 aa); NP_285450.1|NC_001264 aldehyde dehydrogenase from Deinococcus radiodurans (495 aa); NP_241405.1|NC_002570 NADP-dependent aldehyde dehydrogenase from Bacillus halodurans (498 aa); P42757|DHAB_ATRHO betaine-aldehyde dehydrogenase precursor from Atriplex hortensis (Mountain spinach) (502 aa), FASTA scores: opt: 1001, E(): 0, (35.6% identity in 486 aa overlap); etc. Also highly similar to Rv0223c aldehyde dehydrogenase from Mycobacterium tuberculosis (487 aa). Contains PS00687 Aldehyde dehydrogenases glutamic acid active site. Belongs to the aldehyde dehydrogenases family.</t>
  </si>
  <si>
    <t>Rv0769, (MTCY369.14), len: 248 aa. Probable dehydrogenase/reductase, similar to others, especially short-chain type dehydrogenases/reductases and 3-oxoacyl-(acyl-carrier protein) reductases e.g. NP_106890.1|NC_002678 probable short-chain type dehydrogenase/reductase from Mesorhizobium loti (374 aa); NP_243357.1|NC_002570 3-oxoacyl-(acyl-carrier protein) reductase from Bacillus halodurans (246 aa); P28643|FABG_CUPLA 3-oxoacyl-[acyl-carrier protein] reductase from Cuphea lanceolata (320 aa); P25529|HDHA_ECOLI 7-alpha-hydroxysteroid dehydrogenase from Escherichia coli (255 aa), FASTA scores: opt: 536, E(): 6.5e-27, (37.7% identity in 247 aa overlap); etc. Also similar to others from Mycobacterium tuberculosis e.g. MTCY02B10.14, FASTA score: (33.7% identity in 249 aa overlap); etc.</t>
  </si>
  <si>
    <t>Function unknown; 3-hydroxyisobutyrate dehydrogenase family protein probably involved in cellular metabolism.</t>
  </si>
  <si>
    <t>Rv0770, (MTCY369.15), len: 295 aa. Probable dehydrogenase/reductase, 3-hydroxyisobutyrate dehydrogenase family, possibly 3-hydroxyisobutyrate dehydrogenase or 2-hydroxy-3-oxopropionate reductase, similar to others e.g. P23523|GARR_ECOLI 2-hydroxy-3-oxopropionate reductase (tartronate semialdehyde reductase) (TSAR) from Escherichia coli strain K12 (294 aa), FASTA scores: opt: 469, E(): 6.7e-22, (34.4% identity in 282 aa overlap); P28811|MMSB_PSEAE 3-hydroxyisobutyrate dehydrogenase (hibadh) from Pseudomonas aeruginosa (298 aa), FASTA scores: opt: 439, E(): 4.3e-20, (34.9% identity in 269 aa overlap); etc. Also similar to others from Mycobacterium tuberculosis e.g. Rv1122 and Rv1844c. Seems to belong to the 3-hydroxyisobutyrate dehydrogenase family.</t>
  </si>
  <si>
    <t>Involved in aromatic hydrocarbons catabolism. Thought to be involved in the catabolism of protocatechuate to succinate-and acetyl-CoA in the beta-ketoadipate pathway (at the third step) [catalytic activity: 2-carboxy-5-oxo-2,5-dihydrofuran-2-acetate = 5-oxo-4,5-dihydrofuran-2-acetate + CO(2)].</t>
  </si>
  <si>
    <t>Possible 4-carboxymuconolactone decarboxylase (CMD)</t>
  </si>
  <si>
    <t>Rv0771, (MTCY369.16), len: 144 aa. Possible 4-carboxymuconolactone decarboxylase, showing similarity with other carboxymuconolactone decarboxylases e.g. AAD39557.1|AF031417 PcaC-like protein from Pseudomonas putida (130 aa); P20370|DC4C_ACICA 4-carboxymuconolactone decarboxylase (CMD) from Acinetobacter sp. ADP1 (134 aa), FASTA scores: opt: 174, E(): 0.00075, (31.4% identity in 121 aa overlap); C-terminus of NP_421214.1|NC_002696 3-oxoadipate enol-lactone hydrolase/4-carboxymuconolactone decarboxylase from Caulobacter crescentus (393 aa); C-terminus of T47115 probable 4-carboxymuconolactone decarboxylase / 3-oxoadipate enol-lactone hydrolase from Streptomyces sp (373 aa); NP_407104.1|NC_003143 putative gamma carboxymuconolactone decarboxylase from Yersinia pestis (131 aa); etc.</t>
  </si>
  <si>
    <t>Involved in de novo purine biosynthesis (at the second step) [catalytic activity: ATP + 5-phosphoribosylamine + glycine = ADP + phosphate + 5'-phosphoribosylglycinamide].</t>
  </si>
  <si>
    <t>Probable phosphoribosylamine--glycine ligase PurD (GARS) (glycinamide ribonucleotide synthetase) (phosphoribosylglycinamide synthetase) (5'-phosphoribosylglycinamide synthetase)</t>
  </si>
  <si>
    <t>Rv0772, (MTCY369.17), len: 422 aa. Probable purD, phosphoribosylamine--glycine ligase, equivalent to Q50144|PURD|PUR2_MYCLE|ML2235|MLCB5.08 phosphoribosylamine--glycine ligase from Mycobacterium leprae (422 aa), FASTA scores: opt: 2272, E(): 0, (81.8% identity in 422 aa overlap). Also highly similar to others e.g. CAB56348.1|AL118514 phosphoribosylamine-glycine ligase from Streptomyces coelicolor (416 aa); P1564|PUR2_ECOLI phosphoribosylamine--glycine ligase from Escherichia coli (429 aa), FASTA scores: opt: 1039, E(): 0, (42.7% identity in 431 aa overlap); etc. Belongs to the GarS family.</t>
  </si>
  <si>
    <t>Besides the cephalosporin acylase I activity which converts GL-7ACA into 7-ACA; this enzyme displays some gamma glutamyltranspeptidase activity: GGT plays a key role in the gamma-glutamyl cycle, a pathway for the synthesis and degradation of glutathione. [catalytic activity 1: 7-beta-(4-carboxybutanamido)-cephalosporanic acid + H2O = 7-aminocephalosporanic acid + glutaric acid] [catalytic activity 2: (5-L-glutamyl)-peptide + an amino acid = peptide + 5-L-glutamyl-amino acid].</t>
  </si>
  <si>
    <t>Probable bifunctional acylase GgtA: cephalosporin acylase (GL-7ACA acylase) + gamma-glutamyltranspeptidase (GGT)</t>
  </si>
  <si>
    <t>Rv0773c, (MTCY369.18), len: 512 aa. Probable ggtA, bifunctional acylase including cephalosporin acylase, and gamma-glutamyl transpeptidase; highly similar to others e.g. NP_295247.1|NC_001263 cephalosporin acylase from Deinococcus radiodurans (535 aa); NP_248854.1|NC_002516 probable gamma-glutamyltranspeptidase from Pseudomonas aeruginosa (538 aa); P15557|PAC1_PSES3 acylase ACY 1 [includes: cephalosporin acylase (GL-7ACA acylase); gamma-glutamyltranspeptidase (GGT)] from Pseudomonas sp. strain SE83 (558 aa), FASTA scores: opt: 784, E(): 0, (34.2% identity in 526 aa overlap); NP_391491.1|NC_000964|Z93767|BSZ93767_6|O0521 protein similar to gamma-glutamyltransferase from Bacillus subtilis (525 aa), FASTA scores: opt: 1169, E(): 0, (40.1% identity in 516 aa overlap); etc. Also similar to Rv2394|ggtB from Mycobacterium tuberculosis. Member of GL-7ACA acylases and to GGT group.</t>
  </si>
  <si>
    <t>Probable conserved exported protein</t>
  </si>
  <si>
    <t>Rv0774c, (MTCY369.19c), len: 303 aa. Possible conserved exported protein with hydrophobic region near N-terminus, highly similar, except in N-terminus, to Rv0519c|Z97831|MTY20G10.09c|O33364 hypothetical protein from Mycobacterium tuberculosis (300 aa), FASTA scores: opt: 1092, E(): 0, (57.9% identity in 299 aa overlap). Contains PS00061 Short-chain alcohol dehydrogenase family signature, and PS00120 Lipases, serine active site. So could be a lipase. Start changed since first submission (-9 aa). Predicted to be an outer membrane protein (See Song et al., 2008).</t>
  </si>
  <si>
    <t>Rv0775, (MTCY369.20), len: 207 aa. Conserved hypothetical protein, showing some similarity to other proteins e.g. ECAE000186_11|MG1655 hypothetical protein from Escherichia coli strain K-12 (178 aa), FASTA scores: E(): 6.4e-05, (27.2% identity in 147 aa overlap); P41037|BIH_ECOLI hypothetical transcriptional regulator from Escherichia coli (103 aa), FASTA scores: opt: 138, E(): 0.003, (30.9% identity in 97 aa overlap); etc.</t>
  </si>
  <si>
    <t>Rv0776c, (MTCY369.21a), len: 259 aa. Conserved hypothetical protein, similar (except first 50 aa) to P72737|D90900_57 hypothetical protein from Synechocystis sp. strain PCC 6803 (261 aa), FASTA scores: opt: 337, E(): 1.7e-15, (30.5% identity in 266 aa overlap).</t>
  </si>
  <si>
    <t>Involved in de novo purine biosynthesis (at the eight step) [catalytic activity: 1-(5-phosphoribosyl)-4-(N-succino-carboxamide) -5-aminoimidazole = fumarate + 5'-phosphoribosyl-5-amino-4-imidazolecarboxamide (also catalyzes: N6-(1,2-dicarboxyethyl)AMP = fumarate + AMP)].</t>
  </si>
  <si>
    <t>Probable adenylosuccinate lyase PurB (adenylosuccinase) (ASL) (ASASE)</t>
  </si>
  <si>
    <t>Rv0777, (MTCY369.21b), len: 472 aa. Probable purB, adenylosuccinate lyase, equivalent (but shorter 15 aa) to MLCB5.13|Z95151|g2076607|PURB adenylosuccinate lyase from Mycobacterium leprae (487 aa), FASTA scores: opt: 2640, E(): 0, (86.7% identity in 472 aa overlap). More similar to eukaryotic adenylosuccinate lyases than to prokaryotic adenylosuccinate lyases e.g. P54822|PUR8_MOUSE adenylosuccinate lyase from Mus musculus (484 aa), FASTA scores: opt: 762, E(): 0, (32.4% identity in 445 aa overlap); CAB99134.1|AL390188 putative adenylosuccino lyase (fragment) from Streptomyces coelicolor (362 aa); etc. Contains PS00163 Fumarate lyases signature. Belongs to the lyase 1 family, adenylossucinate lyase subfamily.</t>
  </si>
  <si>
    <t>Possible cytochrome P450 126 Cyp126</t>
  </si>
  <si>
    <t>Rv0778, (MT0802, MTCY369.22), len: 414 aa. Possible cyp126, cytochrome P-450, similar to other cytochromes and related proteins e.g. AAG29781.1|AF235050_4|AF235050 cytochrome P-450 from Streptomyces rishiriensis (407 aa); Q59723|PSECYTOCHR_1 cytochrome p-450 linalool 8-monooxygenase (lin C) from Pseudomonas incognita (406 aa), FASTA scores: opt: 769, E(): 0, (37.0% identity in 411 aa overlap); etc. Also similar to others from Mycobacterium tuberculosis e.g. Rv0766c, Rv2266, Rv3545c, etc. Contains PS00086 Cytochrome P450 cysteine heme-iron ligand signature.</t>
  </si>
  <si>
    <t>Rv0779c, (MTCY369.23c), len: 206 aa. Possible conserved transmembrane protein, equivalent to Z95151|MLCB5_14 O05747 conserved hypothetical protein from Mycobacterium leprae (206 aa), FASTA scores: opt: 902, E(): 0, (67.2% identity in 204 aa overlap). A core mycobacterial gene; conserved in mycobacterial strains (See Marmiesse et al., 2004).</t>
  </si>
  <si>
    <t>Involved in de novo purine biosynthesis (at the seventh step) [catalytic activity: ATP + 1-(5-phosphoribosyl)-4-carboxy-5-aminoimidazole + L-aspartate = ADP + phosphate + 1-(5-phosphoribosyl)-4-(N-succino-carboxamide)-5-aminoimidazole].</t>
  </si>
  <si>
    <t>Phosphoribosylaminoimidazole- succinocarboxamide synthase PurC (SAICAR synthetase)</t>
  </si>
  <si>
    <t>Rv0780, (MTCY369.24), len: 297 aa. PurC, phosphoribosylaminoimidazole- succinocarboxamide synthase (see citations below), equivalent to MTU34957_1|PURC phosphoribosylaminoimidazole-succinocarboxamide synthase from Mycobacterium leprae (297 aa), FASTA scores: opt: 1986, E(): 0, (99.3% identity in 297 aa overlap). Also similar to others e.g. CAB56351.1|AL118514 phosphoribosylaminoimidazole-succinocarboxamide synthase from Streptomyces coelicolor (299 aa); etc. Contains PS01058 SAICAR synthetase signature 2. Belongs to the SAICAR synthetase family.</t>
  </si>
  <si>
    <t>ptrBa</t>
  </si>
  <si>
    <t>Rv0781</t>
  </si>
  <si>
    <t>Cleaves peptide bonds on the C-terminal side of lysyl and argininyl residues [catalytic activity: hydrolysis of ARG-|-XAA and LYS-|-XAA bonds in oligopeptides, even when P1' residue is proline].</t>
  </si>
  <si>
    <t>Probable protease II PtrBa [first part] (oligopeptidase B)</t>
  </si>
  <si>
    <t>Rv0781, (MTCY369.25), len: 236 aa. Probable ptrBa, first part of protease II, equivalent to N-terminus of NP_302455.1|NC_002677 protease II from Mycobacterium leprae (724 aa). Also highly similar to N-termini of many proteases II e.g. P24555|PTRB_ECOLI|TLP|B1845 protease II from Escherichia coli strains K12 and HB101 (707 aa), FASTA scores: opt: 204, E(): 7.4e-07, (29.6% identity in 230 aa overlap); etc. ORFs Rv0782 and Rv0781 appear to be a frameshifted homologues of protease II, but we can find no error in the cosmid sequence to account for this. Belongs to peptidase family S9A; also known as the prolyl oligopeptidase family. Note that previously known as ptrBb. Conserved in M. tuberculosis, M. leprae, M. bovis and M. avium paratuberculosis; predicted to be essential for in vivo survival and pathogenicity (See Ribeiro-Guimaraes and Pessolani, 2007).</t>
  </si>
  <si>
    <t>ptrBb</t>
  </si>
  <si>
    <t>Probable protease II PtrBb [second part] (oligopeptidase B)</t>
  </si>
  <si>
    <t>Rv0782, (MTCY369.26), len: 552 aa. Probable ptrBb, second part of protease II, equivalent to C-terminus of NP_302455.1|NC_002677 protease II from Mycobacterium leprae (724 aa). Also highly similar to N-termini of many proteases II e.g. P24555|PTRB_ECOLI|TLP|B1845 protease II from Escherichia coli strains K12 and HB101 (707 aa), FASTA scores: opt: 1251, E(): 0, (42.7% identity in 489 aa overlap); etc. ORFs Rv0782 and Rv0781 appear to be a frameshifted homologues of protease II, but we can find no error in the cosmid sequence to account for this. Belongs to peptidase family S9A; also known as the prolyl oligopeptidase family. Note that previously known as ptrBa. Conserved in M. tuberculosis, M. leprae, M. bovis and M. avium paratuberculosis; predicted to be essential for in vivo survival and pathogenicity (See Ribeiro-Guimaraes and Pessolani, 2007).</t>
  </si>
  <si>
    <t>Translocase that confers resistance to substances of high hydrophobicity. Involved in transport of multidrug across the membrane (export): multidrug resistance by an export mechanism. Responsible for the translocation of the substrate across the membrane.</t>
  </si>
  <si>
    <t>Possible multidrug resistance integral membrane efflux protein EmrB</t>
  </si>
  <si>
    <t>Rv0783c, (MTCY369.27c), len: 540 aa. Possible emrB, integral membrane drug efflux protein, member of major facilitator superfamily (MFS), equivalent to AAL16083.1|AF421382_1|AF421382 EmrB efflux protein from Mycobacterium avium (538 aa). Also similar to other membrane proteins e.g. CAB61606.1|AL133210 putative export protein from Streptomyces coelicolor (496 aa); NP_108371.1|NC_002678 efflux pump protein FarB from Mesorhizobium loti (511 aa); P44927|EMRB_HAEINHI0897| multidrug resistance protein b homologue from Haemophilus influenzae (510 aa), FASTA scores: opt: 706, E(): 1.3e-36, (30.4% identity in 408 aa overlap); etc. Also similar to Rv2333c|MTCY3G12.01 from Mycobacterium tuberculosis (537 aa), FASTA score: (28.2% identity in 408 aa overlap); and Rv1410c|MTCY21B4.27c from Mycobacterium tuberculosis (518 aa), FASTA score: (26.8% identity in 496 aa overlap). Belongs to the major facilitator family; also known as the drug resistance translocase family.</t>
  </si>
  <si>
    <t>Rv0784, (MTC369.28), len: 228 aa. Conserved hypothetical protein, with some similarity to MLCB5_20|O05752 hypothetical protein from Mycobacterium leprae (193 aa), FASTA scores: opt: 141, E(): 0.0022, (36.0% identity in 114 aa overlap). Also similar to N-terminus of NP_253002.1|NC_002516 conserved hypothetical protein from Pseudomonas aeruginosa (253 aa).</t>
  </si>
  <si>
    <t>Rv0785, (MTCY369.29), len: 566 aa. Conserved protein, highly similar to other conserved hypothetical proteins e.g. NP_105777.1| NC_002678 hypothetical protein from Mesorhizobium loti (552 aa); SC5F8.14|CAB93742.1|AL357613 conserved hypothetical protein from Streptomyces coelicolor (557 aa); AE001863|AE001863_31 from Deinococcus radiodurans (554 aa), FASTA scores: opt: 2243, E(): 0, (61.1% identity in 550 aa overlap); YEF7_YEAST|P32614 hypothetical 50.8 kd protein (470 aa), FASTA scores: opt: 169, E(): 0.0014, (23.8% identity in 542 aa overlap); etc. Also similar to Rv1817|MTCY1A11.26c from Mycobacterium tuberculosis (487 aa), FASTA score: (26.7% identity in 587 aa overlap). And shows similarity with other dehydrogenases.</t>
  </si>
  <si>
    <t>Rv0786c</t>
  </si>
  <si>
    <t>Rv0786c, (MTCY369.30c), len: 129 aa. Conserved protein, similar to three other hypothetical proteins from Streptomyces coelicolor e.g. SC7H1.08c|T35703 hypothetical protein (202 aa), FASTA scores: opt: 241, E(): 5.1e-10, (41.0% identity in 105 aa overlap); SC3A7.08|T29426 (211 aa).</t>
  </si>
  <si>
    <t>Rv0787, (MTCY369.31), len: 319 aa. Unknown protein, equivalent to AAK45053.1 from Mycobacterium tuberculosis strain CDC1551 (242 aa) but longer 77 aa.</t>
  </si>
  <si>
    <t>Rv0787A</t>
  </si>
  <si>
    <t>Rv0787A, len: 79 aa. Conserved protein, equivalent to MLCB5.24 hypothetical protein from Mycobacterium leprae (79 aa), FASTA scores: opt: 434, (84.8% identity in 79 aa overlap). Also similar to P12049|YEXA_BACSU hypothetical 9.7 kDa protein from Bacillus subtilis (84 aa), FASTA scores: opt: 172, E(): 4e-06, (44.4% identity in 72 aa overlap). Belongs to the UPF0062 family.</t>
  </si>
  <si>
    <t>Involved in de novo purine biosynthesis (at the fourth step) [catalytic activity: ATP + 5'-phosphoribosylformylglycinamide + L-glutamine + H2O = ADP + phosphate + 5'-phosphoribosylformylglycinamidine + L-glutamate].</t>
  </si>
  <si>
    <t>Probable phosphoribosylformylglycinamidine synthase I PURG (FGAM synthase I)</t>
  </si>
  <si>
    <t>Rv0788, (MTCY369.32), len: 224 aa. Probable purQ, phosphoribosylformylglycinamidine synthase I, equivalent to MLCB5_24|Z95151|O05756|PURQ phosphoribosylformylglycinamidine synthase I from Mycobacterium leprae (224 aa), FASTA scores: opt: 1341, E(): 0, (88.7% identity in 222 aa overlap). Also highly similar to others e.g. P12041|PURQ_BACSU phosphoribosylformylglycinamidine synthase I from Bacillus subtilis (227 aa), FASTA scores: opt: 691, E(): 8.6e-39, (47.7% identity in 214 aa overlap); etc. Contains PS00442 Glutamine amidotransferases class-I active site. Belongs to type-1 glutamine amidotransferases.</t>
  </si>
  <si>
    <t>Rv0789c, (MTCY369.33c), len: 199 aa. Hypothetical unknown protein.</t>
  </si>
  <si>
    <t>Rv0790c, (MTCY369.34c), len: 242 aa. Hypothetical unknown protein.</t>
  </si>
  <si>
    <t>Rv0791c, (MTV042.01c, MTCY369.35c), len: 347 aa. Conserved protein, similar (except in N-terminus) to others e.g. CAC44585.1|AL596162 conserved hypothetical protein from Streptomyces coelicolor (307 aa); NP_252643.1|NC_002516 hypothetical protein from Pseudomonas aeruginosa (364 aa); etc. Also some similarity with oxidoreductases e.g. AAK38097.1|AF323606_3|AF323606 putative F420-dependent dehydrogenase from Rhodococcus erythropolis (295 aa); etc. And also similar in part to other proteins from Mycobacterium tuberculosis e.g. Rv1855c|MTCY359.18|Z83859 (307 aa), FASTA scores: opt: 366, E(): 4e-16, (35.0% identity in 226 aa overlap); Rv3079c|MTCY22D7.02|Z83866 conserved hypothetical protein (275 aa), FASTA scores: opt: 342, E(): 1.2e-14, (31.6% identity in 234 aa overlap); Rv0044c possible oxidoreductase (264 aa).</t>
  </si>
  <si>
    <t>Rv0792c, (MTV042.02c), len: 269 aa. Probable transcriptional regulator, GntR-family, similar to many others of GntR family e.g. BSUB0018_189|Z99121 from Bacillus subtilis (243 aa), FASTA scores: opt: 367, E(): 1.5e-17, (32.1% identity in 246 aa overlap); P31453|YIDP_ECOLI from Escherichia coli (238 aa), FASTA scores: opt: 236, E(): 8.8e-09, (26.4% identity in 235 aa overlap); etc.</t>
  </si>
  <si>
    <t>Rv0793</t>
  </si>
  <si>
    <t>Possible monooxygenase</t>
  </si>
  <si>
    <t>Rv0793, (MTV042.03), len: 101 aa. Possible monooxygenase (See Lemieux et al., 2005). Similar to e.g. NP_250888.1|NC_002516 hypothetical protein from Pseudomonas aeruginosa (114 aa); AE 001908|AE001908_7 hypothetical protein from Deinococcus radiodurans (101 aa), FASTA scores: opt: 215, E(): 3.1e-09, (40.4% identity in 99 aa overlap); NP_440966.1|NC_000911|D90908|PCC6803|D90908_2 unknown protein from Synechocystis sp. strain PCC 6803 (147 aa), FASTA scores: opt: 194, E(): 4.5e-08, (31.1% identity in 90 aa overlap); etc. Also similar to Rv2749|MTV002.14|AL0089|MTV002_15 conserved hypothetical protein from Mycobacterium tuberculosis (104 aa), FASTA scores: opt: 143, E(): 0.00026, (26.9% identity in 93 aa overlap).</t>
  </si>
  <si>
    <t>Rv0794c, (MTV042.04c), len: 499 aa. Probable oxidoreductase, possibly dihydrolipoamide dehydrogenase or mercuric reductase. Highly similar to CAB62675.1|AL133422 probable oxidoreductase from Streptomyces coelicolor (477 aa); and similar to various oxidoreductases e.g. P08663|MERA_STAAU mercuric reductase (HG(II) reductase) from Staphylococcus aureus (547 aa); AAK70920.1|AC087551_19|AC087551 putative lipoamide dehydrogenase from Oryza sativa (563 aa); NP_437349.1|NC_003078 putative FAD-dependent pyridine nucleotide-disulphide oxidoreductase, similar to mercuric reductases protein from Sinorhizobium meliloti (473 aa); Q04829|DLDH_HALVO dihydrolipoamide dehydrogenase from Haloferax volcanii (475 aa); P08332|MERA_SHIFL mercuric reductase (564 aa), FASTA scores: opt: 522, E(): 3.7e-26, (31.7% identity in 467 aa overlap); P72740|DLDH_SYNY3|Q53395|LPDA|PDHD|SLR1096 dihydrolipoamide dehydrogenase from Synechocystis sp. strain PCC 6803 (474 aa), FASTA scores: opt: 602, E(): 2.3e-31, (31.0% identity in 493 aa overlap); etc. Note that previously known as lpdB.</t>
  </si>
  <si>
    <t>Rv0795</t>
  </si>
  <si>
    <t>Required for the transposition of the insertion element IS6110.</t>
  </si>
  <si>
    <t>Putative transposase for insertion sequence element IS6110 (fragment)</t>
  </si>
  <si>
    <t>Rv0795, (MTV042.05), len: 108 aa. Putative transposase for IS6110 (fragment), identical to Q50686 insertion element IS6110 (108 aa), FASTA score: (100.0 % identity in 108 aa overlap). The transposase described here may be made by a frame shifting mechanism during translation that fuses Rv0795 and Rv0796, the sequence UUUUAAAG (directly upstream of Rv0796) maybe responsible for such a frameshifting event (see McAdam et al., 1990).</t>
  </si>
  <si>
    <t>Rv0796</t>
  </si>
  <si>
    <t>Putative transposase for insertion sequence element IS6110</t>
  </si>
  <si>
    <t>Rv0796, (MTV042.06), len: 328 aa. Putative transposase for IS6110. Identical to many other M. tuberculosis IS6110 transposase subunits. The transposase described here may be made by a frame shifting mechanism during translation that fuses Rv0795 and Rv0796, the sequence UUUUAAAG (directly upstream of Rv0796) maybe responsible for such a frameshifting event (see McAdam et al., 1990). Start changed since first submission (+ 50 aa).</t>
  </si>
  <si>
    <t>Required for the transposition of the insertion element IS1547.</t>
  </si>
  <si>
    <t>Putative transposase for insertion sequence element IS1547</t>
  </si>
  <si>
    <t>Rv0797, (MTCI249B.03c, MTV042.07), len: 364 aa. Putative transposase for IS1547; almost identical to (but 20 aa shorter than) Y13470|MTY13470_2 from Mycobacterium tuberculosis (383 aa). Also similar to other transposases e.g. MAIS1110A _1|Q48909 transposase from Mycobacterium avium (464 aa), FASTA scores: opt: 226, E(): 2.4e-08, (30.7% identity in 199 aa overlap). Also slight similarity to Rv2014|MTCY39.03c from Mycobacterium tuberculosis (222 aa), FASTA score: (24.8% identity in 141 aa overlap).</t>
  </si>
  <si>
    <t>Unknown. Supposedly released from the envelope to the outside during growth.</t>
  </si>
  <si>
    <t>29 KDa antigen CFP29</t>
  </si>
  <si>
    <t>Rv0798c, (MTCI429B.02), len: 265 aa. Cfp29, 29 kDa antigen (see citations below). Highly similar to Q45296|BLLINM18P_1|CAA63787.1|X93588 linocin M18 from Brevibacterium linens (266 aa), FASTA scores: (58.5% identity in 265 aa overlap). Also shows similarity with NP_228594.1|NC_000853 bacteriocin from Thermotoga maritima (262 aa).</t>
  </si>
  <si>
    <t>Rv0799c, (MTCY07H7A.10, MTCI429B.01), len: 335 aa. Conserved protein, similar to Q50021|U2266C from Mycobacterium leprae (146 aa), FASTA scores: opt: 147, E(): 0.0016, (33.3% identity in 117 aa overlap); Q50020|U2266B from Mycobacterium leprae (27 aa), FASTA scores: opt: 94, E(): 1.3, (56.5% identity in 23 aa overlap). Also highly similar to others e.g. CAC01593.1|AL391041 conserved hypothetical protein from Streptomyces coelicolor (316 aa); AF088897|AF088897_9 hypothetical protein from Zymomonas mobilis (322 aa), FASTA scores: opt: 1132, E(): 0, (56.1% identity in 303 aa overlap); P76536|ECAE000330_8 hypothetical protein from Escherichia coli strain K-12 (308 aa), FASTA scores: E(): 2.2e-30, (37.4% identity in 297 aa overlap); etc. Also similar to some tyrA proteins. Predicted to be an outer membrane protein (See Song et al., 2008).</t>
  </si>
  <si>
    <t>Probable aminopeptidase PepC</t>
  </si>
  <si>
    <t>Rv0800, (MTCY07H7A.09c), len: 433 aa. Probable pepC, aminopeptidase I, highly similar (but shorter 17 aa) to Q50022|PEPX aminopeptidase from Mycobacterium leprae (443 aa), FASTA scores: opt: 2237, E(): 0, (78.3% identity in 433 aa overlap). Also highly similar to others from Eukaryotes and bacteria, e.g. T36482 probable aminopeptidase from Streptomyces coelicolor (432 aa), P14904|AMPL_YEAST vacuolar aminopeptidase I precursor from Saccharomyces cerevisiae (514 aa), FASTA scores: opt: 425, E(): 4.8e-21, (31.0% identity in 445 aa overlap); etc. Also similar to hypothetical proteins e.g. P38821|YHR3_YEAST hypothetical 54.2 kDa protein from Saccharomyces cerevisiae (490 aa), FASTA scores: opt: 429, E(): 2.5e-21, (34.8% identity in 443 aa overlap); etc. Conserved in M. tuberculosis, M. leprae, M. bovis and M. avium paratuberculosis; predicted to be essential for in vivo survival and pathogenicity (See Ribeiro-Guimaraes and Pessolani, 2007).</t>
  </si>
  <si>
    <t>Rv0801, (MTCY07H7A.08c), len: 115 aa. Conserved protein, similar to many hypothetical proteins from Streptomyces sp. e.g. SCD840A.20|AB81865.1|AL161691 hypothetical protein from Streptomyces coelicolor (145 aa); AF072709|AF072709_8 from Streptomyces lividans (131 aa), FASTA scores: opt: 120, E(): 0.2, (26.3% identity in 118 aa overlap); etc.</t>
  </si>
  <si>
    <t>Succinylation, substrate unknown</t>
  </si>
  <si>
    <t>Possible succinyltransferase in the GCN5-related N-acetyltransferase family</t>
  </si>
  <si>
    <t>Rv0802c, (MTCY07H7A.07c), len: 218 aa. Possible succinyltransferase in the GNAT (Gcn5-related N-acetyltransferase) family (See Vetting et al., 2008). Shows partial similarity with many acetyltransferases and hypothetical proteins e.g. P96579|BSUB0003_68 probable acetyltransferase from Bacillus subtilis (183 aa), FASTA scores: E(): 0.0044, (26.4% identity in 110 aa overlap).</t>
  </si>
  <si>
    <t>Involved in de novo purine biosynthesis (at the fourth step) [catalytic activity: ATP + 5'-phosphoribosylformylglycinamide + L-glutamine + H(2)O = ADP + phosphate + 5'-phosphoribosylformylglycinamidine + L-glutamate].</t>
  </si>
  <si>
    <t>Phosphoribosylformylglycinamidine synthase II PurL (FGAM synthase II)</t>
  </si>
  <si>
    <t>Rv0803, (MTCY07H7A.06c), len: 754 aa. PurL, phosphoribosylformylglycinamidine synthase II (see citations below), equivalent to NP_302451.1|NC_002677 phosphoribosylformylglycinamidine synthase II from Mycobacterium leprae (754 aa). Also highly similar to others e.g. Q9RKK5|PURL_STRCO from Streptomyces coelicolor (752 aa); P12042|PURL_BACSU from Bacillus subtilis (742 aa), FASTA score: (44.7% identity in 716 aa); etc. Start was chosen by similarity. Belongs to the FGAMS family.</t>
  </si>
  <si>
    <t>Rv0804</t>
  </si>
  <si>
    <t>Rv0804, (MTCY07H7A.05c), len: 209 aa. Conserved hypothetical protein, showing similarity with C-terminus of Rv1863c|MTCY359.10 conserved hypothetical protein from Mycobacterium tuberculosis (256 aa), FASTA scores: opt: 199, E(): 1.2e-05, (33.2% identity in 220 aa overlap); and Rv0658c. Contains PS01151 Fimbrial biogenesis outer membrane usher protein signature.</t>
  </si>
  <si>
    <t>Hydrolyzes cyclic nucleotide monophosphate to nucleotide monophosphate. Shown to hydrolyze 2',3'-cNMP and 3',5'-cNMP.</t>
  </si>
  <si>
    <t>Class III cyclic nucleotide phosphodiesterase (cNMP PDE)</t>
  </si>
  <si>
    <t>Rv0805, (MTCY07H7A.04c), len: 318 aa. Cyclic nucleotide phosphodiesterase (cNMP PDE) (See Shenoy et al., 2005), member of binuclear metallophosphoesterase superfamily, equivalent to Q50024 from Mycobacterium leprae (317 aa), FASTA scores: opt: 1713, E(): 0, (82.5% identity in 315 aa overlap). Also shows similarity with hypothetical proteins and icc proteins e.g. SC9B1.22c|T35867 hypothetical protein from Streptomyces coelicolor (305 aa); P36650|ICC_ECOLI icc protein from Escherichia coli (275 aa), FASTA scores: opt: 310, E(): 8.9e-14, (31.3% identity in 214 aa overlap); etc.</t>
  </si>
  <si>
    <t>Thought to be involved in exopolysaccharide and/or lipopolysaccharide biosynthetic pathway [catalytic activity: UDP-glucose = UDP-galactose].</t>
  </si>
  <si>
    <t>Possible UDP-glucose-4-epimerase CpsY (galactowaldenase) (UDP-galactose-4-epimerase) (uridine diphosphate galactose-4-epimerase) (uridine diphospho-galactose-4-epimerase)</t>
  </si>
  <si>
    <t>Rv0806c, (MTCY07H7A.03), len: 532 aa. Possible cpsY, UDP-glucose-4-epimerase, equivalent to Q50025|CPSY probable UDP-glucose-4-epimerase from Mycobacterium leprae (542 aa), FASTA scores: opt: 2964, E(): 0, (82.3% identity in 530 aa overlap). Also similar to AAC38286.1|AF019760|SACB CpsY homolog (involved in meningococcal capsule biosynthesis) from Neisseria meningitidis serogroup a (545 aa); Q51151 capsule gene complex UPD-glucose-4-epimerase (gale) from Neisseria meningitidis (373 aa), FASTA scores: opt: 496, E(): 9.5e-27, (29.3% identity in 358 aa overlap); C-terminus of CAB75373.1|AL139298 putative transferase from Streptomyces coelicolor (942 aa); and many hypothetical proteins from Streptomyces coelicolor. Seems to belong to the sugar epimerase family.</t>
  </si>
  <si>
    <t>Rv0807</t>
  </si>
  <si>
    <t>Rv0807, (MTCY07H7A.02c), len: 129 aa. Conserved hypothetical protein, equivalent to O05761|MLCB5_31 hypothetical 14.0 kDa protein from Mycobacterium leprae (131 aa), FASTA scores: E(): 0, (73.4% identity in 128 aa overlap). Also highly similar to BAA89438.1|AB003158|ORF3 hypothetical protein from Corynebacterium ammoniagenes (132 aa); and C-terminus of SCD25.20|CAB56364.1|AL118514 hypothetical protein from Streptomyces coelicolor (202 aa).</t>
  </si>
  <si>
    <t>Involved in de novo purine biosynthesis (at the first step) [catalytic activity: 5-phospho-beta-D-ribosylamine + diphosphate + L-glutamate = L-glutamine + 5-phospho-alpha-D-ribose 1-diphosphate + H2O].</t>
  </si>
  <si>
    <t>Amidophosphoribosyltransferase PurF (glutamine phosphoribosylpyrophosphate amidotransferase) (ATASE) (gpatase)</t>
  </si>
  <si>
    <t>Rv0808, (MTCY07H7A.01c), len: 527 aa. PurF, amidophosphoribosyltransferase, equivalent to MLCB5_32|Q50028|PURF from Mycobacterium leprae (556 aa), FASTA scores: (91.3% identity in 518 aa overlap); and CAB96578.1|AJ278609 phosphoribosyl pyrophosphate amidotransferase from Mycobacterium smegmatis (511 aa)(see citation below). Also highly similar to others e.g. BAA89439.1|AB003158 amidophosphoribosyl transferase from Corynebacterium ammoniagenes (490 aa); P00497|PUR1_BACSU amidophosphoribosyltransferase precursor from Bacillus subtilis (476 aa), FASTA scores: opt: 1412, E(): 0, (46.2% identity in 470 aa overlap); etc. Contains PS00103 Purine/pyrimidine phosphoribosyl transferases signature. Belongs to the purine/pyrimidine phosphoribosyltransferase family.</t>
  </si>
  <si>
    <t>Involved in de novo purine biosynthesis (at the fifth step) [catalytic activity: ATP + 5'-phosphoribosylformylglycinamidine = ADP + phosphate + 5'-phosphoribosyl-5-aminoimidazole].</t>
  </si>
  <si>
    <t>Probable phosphoribosylformylglycinamidine CYCLO-ligase PurM (AIRS) (phosphoribosyl-aminoimidazole synthetase) (air synthase)</t>
  </si>
  <si>
    <t>Rv0809, (MTV043.01), len: 364 aa. Probable purM, 5'-phosphoribosyl-5-aminoimidazole synthetase, equivalent to NP_302446.1|NC_002677 5'-phosphoribosyl-5-aminoimidazole synthase from Mycobacterium leprae (364 aa). Also highly similar to many e.g. P12043|PUR5_BACSU phosphoribosylformylglycinamidine CYCLO-ligase from Bacillus subtilis (346 aa), FASTA scores: opt: 1023, E(): 0, (46.5% identity in 331 aa overlap); U68765|STU68765_2 from Salmonella typhimurium (345 aa), FASTA scores: opt: 1014, E():0, (47.6% identity in 330 aa overlap); etc.</t>
  </si>
  <si>
    <t>Rv0810c, (MTV043.02c), len: 60 aa. Conserved hypothetical protein, with its N-terminus highly similar to NP_302445.1|NC_002677 conserved hypothetical protein from Mycobacterium leprae (62 aa); and AL118514|SCD25_24 hypothetical protein from Streptomyces coelicolor (84 aa), FASTA scores: opt: 180, E(): 5.7e-07, (51.8% identity in 56 aa overlap).</t>
  </si>
  <si>
    <t>Rv0811c, (MTV043.03c), len: 368 aa. Conserved protein, equivalent to U2266F|U15182|MLU15182_13 hypothetical protein from Mycobacterium leprae (366 aa), FASTA scores: opt: 1870, E(): 0, (77.4% identity in 367 aa overlap). Also highly similar to BAA89441.1|AB003158|ORF4 hypothetical protein from Corynebacterium ammoniagenes (359 aa); and CAB94085.1|AL358692 conserved hypothetical protein from Streptomyces coelicolor (321 aa).</t>
  </si>
  <si>
    <t>Acts on amino acids.</t>
  </si>
  <si>
    <t>Probable amino acid aminotransferase</t>
  </si>
  <si>
    <t>Rv0812, (MTV043.04), len: 289 aa. Probable amino acid aminotransferase, similar to other amino acid aminotransferases, generelly class-IV of pyridoxal-phosphate-dependent aminotransferases, and especially ILVE proteins and PABC proteins e.g. B76065.1|AL157953 putative aminotransferase from Streptomyces coelicolor (273 aa); NP_069766.1|NC_000917 branched-chain amino acid aminotransferase (ilvE) from Archaeoglobus fulgidus (290 aa); P54692|DAAA_BACLI D-alanine aminotransferase from Bacillus licheniformis (283 aa); P28305|PABC_ECOLI|B1096 4-amino-4-deoxychorismate lyase (ADC lyase) From Escherichia coli strain K12 (269 aa), FASTA scores: opt: 165, E(): 0.00064, (26.8% identity in 198 aa overlap); etc. Note that previously known as pabC.</t>
  </si>
  <si>
    <t>Rv0813c, (MTV043.05c), len: 226 aa. Conserved protein, highly similar to U15182|MLU15182_16 hypothetical protein from Mycobacterium leprae (242 aa), FASTA scores: opt: 1191, E(): 0, (78.3% identity in 226 aa overlap); and NP_302442.1|NC_002677 conserved hypothetical protein from Mycobacterium leprae (228 aa). Also similar to AB94083.1|AL358692|SCD66.16 hypothetical protein from Streptomyces coelicolor (191 aa); and Rv2717c|MTCY05A6_37 hypothetical protein from Mycobacterium tuberculosis (164 aa), FASTA score: (30.4% identity in 171 aa overlap). Possibly a new bacterial family of fatty acid-binding protein-like proteins (See Shepard et al., 2007).</t>
  </si>
  <si>
    <t>Rv0814c</t>
  </si>
  <si>
    <t>Thought to be involved in sulphur metabolism.</t>
  </si>
  <si>
    <t>Conserved protein SseC2</t>
  </si>
  <si>
    <t>Rv0814c, (MTV043.06c, O05794), len: 100 aa. SseC2, conserved protein, highly similar to AAA62972.1|U15182|MLU15182_17 hypothetical protein from Mycobacterium leprae (143 aa), FASTA scores: opt: 545, E(): 0, (84.0% identity in 100 aa overlap); and NP_302441.1|NC_002677|Z95150|MTCY164_29 conserved hypothetical protein from Mycobacterium leprae (100 aa), FASTA scores: opt: 647, E(): 0, (100.0% identity in 100 aa overlap). Also highly similar to M29612|SERCYSA_5 rhodanese-like protein from Saccharopolyspora erythraea (101 aa), FASTA scores: opt: 345, E(): 1.2e-18, (57.1% identity in 98 aa overlap); and similar at the C-terminus to the C-terminus of CAB94069.1|AL358692 conserved hypothetical protein from Streptomyces coelicolor (95 aa). Identical second copy present as Rv3118|MTCY164.28|SSEC1 from Mycobacterium tuberculosis (100 aa) (100.0% identity in 100 aa overlap).</t>
  </si>
  <si>
    <t>Rv0815c</t>
  </si>
  <si>
    <t>May be a sulfotransferase involved in the formation of thiosulfate [catalytic activity: thiosulfate + cyanide = sulfite + thiocyanate].</t>
  </si>
  <si>
    <t>Probable thiosulfate sulfurtransferase CysA2 (rhodanese-like protein) (thiosulfate cyanide transsulfurase) (thiosulfate thiotransferase)</t>
  </si>
  <si>
    <t>Rv0815c, (MTV043.07c, MT0837, O05793), len: 277 aa. Probable cysA2 (alternate gene name: sseC4), thiosulfate sulfurtransferase (see Wooff et al., 2002), equivalent to Q50036|CYSA|CYSA3|ML2198|THTR_MYCLE putative sulfurtransferase thiosulfate from Mycobacterium leprae (277 aa). Also highly similar to other putative thiosulfate sulfurtransferases e.g. P16385|THTR_SACER putative thiosulfate sulfurtransferase from Saccharopolyspora erythraea (Streptomyces erythraeus) (281 aa); NP_293941.1|NC_001263 thiosulfate sulfurtransferase from Deinococcus radiodurans (286 aa); etc. Identical second copy present as Rv3117|MTCY164.27|MT3199|O05793|cysA3 (277 aa) (100.0% identity in 277 aa overlap). Contains PS00683 Rhodanese C-terminal signature at C-terminus. Belongs to the rhodanese family.</t>
  </si>
  <si>
    <t>thiX</t>
  </si>
  <si>
    <t>Rv0816c</t>
  </si>
  <si>
    <t>Thioredoxin participates in various redox reactions through the reversible oxidation of its active center dithiol, to a disulfide, &amp; catalyzes dithiol-disulfide exchange reactions.</t>
  </si>
  <si>
    <t>Probable thioredoxin ThiX</t>
  </si>
  <si>
    <t>Rv0816c, (MTV043.08c), len: 140 aa. Probable thiX, thioredoxin, equivalent to ThiX|U15182|MLU15182_21 thioredoxin from Mycobacterium leprae (172 aa), FASTA scores: opt: 556, E(): 8.8e-31, (63.8% identity in 141 aa overlap); and similar to AAL08576.1|AF418548_2|AF418548 thioredoxin from Mycobacterium avium subsp. paratuberculosis (117 aa). Also similar to other bacterial thioredoxins e.g. CAB95303.1|AL359779 putative thioredoxin from Streptomyces coelicolor (126 aa); P33791|THIO_STRAU|TRX|TRXA thioredoxin from Streptomyces aureofaciens (106 aa); etc. And similar to Rv3914|MT4033|MTV028.05|NP_218431.1|NC_000962|trxC thioredoxin (TRX) (MPT46) from Mycobacterium tuberculosis (116 aa). Has hydrophobic stretch at N-terminus. Seems to belong to the thioredoxin family.</t>
  </si>
  <si>
    <t>Rv0817c, (MTV043.09c), len: 270 aa. Probable conserved exported protein, with N-terminal signal sequence, equivalent (but shorter 13 aa) to U15182|MLU15182_22|U2266M probable exported protein from Mycobacterium leprae (283 aa), FASTA scores: opt: 1287, E(): 0, (73.0% identity in 270 aa overlap). A core mycobacterial gene; conserved in mycobacterial strains (See Marmiesse et al., 2004). Predicted to be an outer membrane protein (See Song et al., 2008).</t>
  </si>
  <si>
    <t>Transcriptional regulatory protein</t>
  </si>
  <si>
    <t>Rv0818, (MTV043.10), len: 255 aa. Probable transcriptional regulatory protein, highly similar to Q05943|GLNR_STRCO|L03213|STMGLNR_1|SCD84.26c transcriptional regulatory protein from Streptomyces coelicolor (267 aa), FASTA scores: opt: 945, E(): 0, (61.5 identity in 239 aa overlap); and similar to others from other organisms. Also similar to Rv2884|MTCY274.15|Z74024 from Mycobacterium tuberculosis (252 aa), FASTA scores: opt: 662, E(): 0, (47.8% identity in 226 aa overlap).</t>
  </si>
  <si>
    <t>mshD</t>
  </si>
  <si>
    <t>Involved in the fourth step of mycothiol biosynthesis</t>
  </si>
  <si>
    <t>GCN5-related N-acetyltransferase, MshD</t>
  </si>
  <si>
    <t>Rv0819, (MTV043.11), len: 315 aa. MshD, acetyltransferase involved in mycothiol synthesis (see Koledin et al., 2002). Contains two GNAT (Gcn5-related N-acetyltransferase) domains. See Vetting et al. 2003, 2005, 2006. Equivalent to U2266N|U15182|MLU15182_24 hypothetical protein from Mycobacterium leprae (312 aa), FASTA scores: opt: 1540, E(): 0, (75.2% identity in 314 aa overlap). Also highly similar to CAB88484.1|AL353816 putative acetyltransferase from Streptomyces coelicolor (309 aa).</t>
  </si>
  <si>
    <t>phoT</t>
  </si>
  <si>
    <t>Involved in active transport of inorganic phosphate across the membrane (import); responsible for energy coupling to the transport system. This is one of the proteins required for binding-protein-mediated phosphate transport.</t>
  </si>
  <si>
    <t>Probable phosphate-transport ATP-binding protein ABC transporter PhoT</t>
  </si>
  <si>
    <t>Rv0820, (MTV043.12), len: 258 aa. Probable phoT, phosphate-transport ATP-binding protein ABC transporter (see citation below), equivalent to PhoT|MLU15182_28|U15182 phosphate transport system ABC transporter from Mycobacterium leprae (258 aa), FASTA scores: opt: 1556, E(): 0, (91.5% identity in 258 aa overlap). Also highly similar to others e.g. CAB88472.1|AL353816 phosphate ABC transport system ATP-binding protein from Streptomyces coelicolor (258 aa); etc. Note that also highly similar to many PstB proteins e.g. AAC15686.1|AF045938|PstB putative ABC transporter nucleotide binding subunit from Mycobacterium smegmatis (258 aa). Contains PS00211 ABC transporters family signature and PS00017 ATP/GTP-binding site motif A (P-loop). Belongs to the ATP-binding transport protein family (ABC transporters).</t>
  </si>
  <si>
    <t>Involved in transcriptional regulation of active transport of inorganic phosphate across the membrane.</t>
  </si>
  <si>
    <t>Probable phosphate-transport system transcriptional regulatory protein PhoY2</t>
  </si>
  <si>
    <t>Rv0821c, (MTV043.13c), len: 213 aa. Probable phoY2, phosphate-transport system regulatory protein, highly similar to PhoY|MLU15182_29|U15182 phosphate transport system regulator from Mycobacterium leprae (222 aa), FASTA scores: opt: 1268, E(): 0, (93.0% identity in 213 aa overlap). Also similar to others e.g. NP_384620.1|NC_003047 probable phosphate transport system transcriptional regulator protein from Sinorhizobium meliloti (237 aa); etc. Also highly similar to MTCI418A.03c|Z96070|PhoY1 probable phosphate transport system transcriptional regulator protein from Mycobacterium tuberculosis (221 aa), FASTA scores: opt: 937, E(): 0, (63.4% identity in 213 aa overlap). Belongs to the PhoU family.</t>
  </si>
  <si>
    <t>Rv0822c, (MTV043.14c), len: 684 aa. Conserved protein, highly similar in the region between aa 370 - 580 to U2266O|U15182|MLU15182_30 hypothetical protein from Mycobacterium leprae (222 aa), FASTA scores: opt: 819, E(): 0, (60.6% identity in 221 aa overlap). More extended similarity to Rv3267|Z92771|MTCY71_7 from Mycobacterium tuberculosis (498 aa), FASTA scores: opt: 434, E(): 2.2e-17, (26.6% identity in 541 aa overlap), and Rv3484. Also similar to various proteins, preferiously putative membrane proteins and membrane-bound regulatory proteins e.g. CAC44512.1|AL596138 putative membrane protein from Streptomyces coelicolor (524 aa); U56901|BSU56901_1 regulatory protein from Bacillus subtilis (391 aa), FASTA scores: opt: 225, E(): 1.3e-05, (24.7% identity in 340 aa overlap). Contains hydrophobic stretch (aa ~ 160-195) and PS00041 Bacterial regulatory proteins, araC family signature.</t>
  </si>
  <si>
    <t>Rv0823c, (MTV043.15c), len: 389 aa. Possible transcriptional regulator (resembles nitrogen regulation protein), equivalent (but longer 24 aa in N-terminus) to MLU15182_31|U15182|NtrB NtrB protein from Mycobacterium leprae (384 aa), FASTA scores: opt: 2070, E(): 0, (82.3% identity in 384 aa overlap) (see citation below). Also highly similar to CAB63312.1|AL133471|SCC82.03c hypothetical protein from Streptomyces coelicolor (406 aa); and to many transcriptional regulators members of UPF0034 family (NIFR3/SMM1) e.g. D26185|BAC180K_143 protein similar to transcriptional regulator (nitrogen regulation protein) from Bacillus subtilis (333 aa), FASTA scores: opt: 609, E(): 1.4e-32, (38.3% identity in 326 aa overlap); NP_349795.1|NC_003030 NifR3 family enzyme from Clostridium acetobutylicum (321 aa); etc. Contains PS01136 Uncharacterized protein family UPF0034 signature.</t>
  </si>
  <si>
    <t>Catalyzes the principal conversion of saturated fatty acids to unsaturated fatty acids. Thought to convert stearoyl-ACP to oleoyl-ACP by introduction of a cis double bond between carbons delta-9 and delta-10 of the acyl chain [catalytic activity: stearoyl-[acyl-carrier protein] + AH2 + O2 = oleoyl-[acyl-carrier protein] + a + 2 H2O].</t>
  </si>
  <si>
    <t>Probable acyl-[acyl-carrier protein] desaturase DesA1 (acyl-[ACP] desaturase) (stearoyl-ACP desaturase) (protein Des)</t>
  </si>
  <si>
    <t>Rv0824c, (MTV043.16c), len: 338 aa. Probable desA1 (alternate gene name: des), acyl-[acyl-carrier protein] desaturase (stearoyl-ACP desaturase) (see Jackson et al., 1997), equivalent to U15182|MLU15182_32 acyl-[ACP] desaturase from Mycobacterium leprae (338 aa), FASTA scores: opt: 1880, E(): 0, (79.9% identity in 338 aa overlap); and highly similar in part to fragment CAB96061.1|AJ250019 Steroyl-ACP-desaturase from Mycobacterium avium subsp. paratuberculosis (93 aa). Also similar to other fatty acid desaturases e.g. T35035 probable acyl-[acyl-carrier protein] desaturase from Streptomyces coelicolor (328 aa); Q40731|STAD_ORYSA acyl-[acyl-carrier protein] desaturase precursor from Oryza sativa (Rice) (390 aa); etc. Also highly similar to desA2|Rv1094 from Mycobacterium tuberculosis (275 aa). Contains PS00225 Crystallins beta and gamma 'Greek key' motif signature. Belongs to the fatty acid desaturase family. Cofactor: ferredoxin, ferredoxin NADPH reductase, and NADPH. Predicted possible vaccine candidate (See Zvi et al., 2008).</t>
  </si>
  <si>
    <t>Rv0825c</t>
  </si>
  <si>
    <t>Rv0825c, (MTV043.17c), len: 213 aa. Conserved protein, highly similar, but in part (between aa ~43-96) to fadD27|Rv0275c|MTV035.03 putative fatty-acid-CoA ligase from Mycobacterium tuberculosis (241 aa), FASTA scores: E(): 7.3e-09, (32.6% identity in 190 aa overlap). Also shows similarity with other proteins from Mycobacterium tuberculosis e.g. Rv0078|AL0214|MTV030_22 (201 aa), FASTA scores: opt:118, E(): 0.32, (34.5% identity in 113 aa overlap); etc.</t>
  </si>
  <si>
    <t>Rv0826, (MTV043.18), len: 351 aa. Conserved hypothetical protein, similar to CAB94053.1|AL358672|SC7A12.06 hypothetical protein from Streptomyces coelicolor (300 aa); and NP_421372.1|NC_002696 hypothetical protein from Caulobacter crescentus (299 aa). Also similar to other proteins from Mycobacterium tuberculosis e.g. Rv1645c|Z85982|MTCY06H11.09 (351 aa), FASTA scores: opt: 1199, E(): 0, (57.5% identity in 299 aa overlap); Rv2237; Rv0276; etc.</t>
  </si>
  <si>
    <t>kmtR</t>
  </si>
  <si>
    <t>Rv0827c</t>
  </si>
  <si>
    <t>Represses transcription from the KMTR operator-promoter. Repression is alleviated by NI(II) or cobalt(II).</t>
  </si>
  <si>
    <t>Metal sensor transcriptional regulator KmtR (ArsR-SmtB family)</t>
  </si>
  <si>
    <t>Rv0827c, (MTV043.19c), len: 130 aa. KmtR, transcriptional regulator (See Campbell et al., 2007), similar to many e.g. CAC42856.1|AL592292 putative regulatory protein from Streptomyces coelicolor (115 aa); NP_301626.1|NC_002677 putative ArsR-family transcriptional regulator from Mycobacterium leprae (140 aa); BSUB0011_75|O31844|Z99114 YOZA protein from Bacillus subtilis (107 aa), FASTA scores: opt: 208, E(): 3.2e-08, (35.5% identity in 93 aa overlap); etc. Also similar to MTCY27.22c|Z95208 from Mycobacterium tuberculosis (135 aa), FASTA scores: opt: 201, E(): 1.2e-07, (35.7% identity in 98 aa overlap). Contains probable helix-turn helix motif from aa 42-63 (Score 1300, +3.61 SD). Belongs to the ArsR family of transcriptional regulators.</t>
  </si>
  <si>
    <t>Rv0828c</t>
  </si>
  <si>
    <t>Function unknown; probably involved in deamination of specific substrate.</t>
  </si>
  <si>
    <t>Possible deaminase</t>
  </si>
  <si>
    <t>Rv0828c, (MTV043.20c), len: 140 aa. Possible deaminase, with its N-terminus highly similar to middle part of NP_302602.1|NC_002677 possible cytidine/deoxycytidylate deaminase from Mycobacterium leprae (171 aa). Also similar to other deaminases e.g. CAC18715.2|AL451182 putative deaminase from Streptomyces coelicolor (167 aa); NP_251189.1|NC_002516 probable deaminase from Pseudomonas aeruginosa (151 aa); NP_108387.1|NC_002678 nitrogen fixation protein gene from Mesorhizobium loti (149 aa); etc. Also similar to many conserved hypothetical proteins e.g. NP_389200.1|NC_000964 hypothetical protein from Bacillus subtilis (156 aa), FASTA scores: E(): 1.3e-07, (38.9% identity in 95 aa overlap); etc. And similar to Rv3752c possible deaminase from Mycobacterium tuberculosis. Contains PS00903 Cytidine and deoxycytidylate deaminases zinc-binding region signature. Belongs to the cytidine and deoxycytidylate deaminases family.</t>
  </si>
  <si>
    <t>Rv0829</t>
  </si>
  <si>
    <t>Required for the transposition of the insertion element IS1605'.</t>
  </si>
  <si>
    <t>Rv0829, (MTV043.21), len: 96 aa. Possible transposase for IS1605' (fragment), similar to C-terminal end of many mycobacterial transposases and hypothetical proteins e.g. Z74024|MTCY274_16 from Mycobacterium tuberculosis (460 aa), FASTA scores: opt: 668, E(): 6.2e-32, (98.9% identity in 93 aa overlap); MTV002_57|O33333 transposase from Mycobacterium tuberculosis ; L07627|SERRY1_1 insertion element IS1136 from Saccharopolyspora erythraea (90 aa), FASTA score: (34.9% identity in 83 aa overlap).</t>
  </si>
  <si>
    <t>Rv0830, (MTV043.22), len: 301 aa. Possible S-adenosylmethionine-dependent methyltransferase (see Grana et al., 2007), member of Mycobacterium tuberculosis protein family consisting of the proteins Rv0726c, Rv0731c, Rv3399, Rv1729c|Z81360|MTCY4C12_14c (312 aa), FASTA scores: opt: 1014, E(): 0, (54.1% identity in 292 aa overlap); etc.</t>
  </si>
  <si>
    <t>Rv0831c, (MTV043.23c), len: 271 aa. Conserved protein, similar to Rv0347|MTY13E10_7|Z95324 conserved hypothetical protein from Mycobacterium tuberculosis (328 aa), FASTA scores: opt: 426, E(): 2.6e-21, (33.6% identity in 262 aa overlap).</t>
  </si>
  <si>
    <t>PE_PGRS12</t>
  </si>
  <si>
    <t>PE-PGRS family protein PE_PGRS12</t>
  </si>
  <si>
    <t>Rv0832, (MTV043.24), len: 137 aa. PE_PGRS12, Member of the Mycobacterium tuberculosis PE family, possibly PGRS subfamily of gly-rich proteins (see citation below), highly similar to many others e.g. MTCY1A11.25c|Z78020 (498 aa), FASTA scores: opt: 529, E(): 5.2e-22, (61.8% identity in 136 aa overlap); etc. Appears to have incurred frameshift as next ORF should be continuation; sequence has been checked but no error found.</t>
  </si>
  <si>
    <t>Rv0833</t>
  </si>
  <si>
    <t>PE-PGRS family protein PE_PGRS13</t>
  </si>
  <si>
    <t>Rv0833, (MTV043.25), len: 749 aa. PE_PGRS13, Member of the Mycobacterium tuberculosis PE family, PGRS subfamily of gly-rich proteins (see Brennan and Delogu, 2002), but lacking N-terminal domain (present in preceding ORF), possibly due to frameshift. Similar in part to many others e.g. MTCY28_25|Z95890 (914 aa), FASTA scores: opt: 2726, E(): 0, (60.1% identity in 776 aa overlap); etc.</t>
  </si>
  <si>
    <t>PE-PGRS family protein PE_PGRS14</t>
  </si>
  <si>
    <t>Rv0834c, (MTV043.26c), len: 882 aa. PE_PGRS14, Member of the Mycobacterium tuberculosis PE family, PGRS subfamily of gly-rich proteins (see Brennan &amp; Delogu 2002), highly similar to many others e.g. MTCY493_4|Z95844 (1329 aa), FASTA scores: opt: 2577, E(): 0, (52.0% identity in 950 aa overlap); etc. Thought to be differentially expressed within host cells (see Triccas et al., 1999).</t>
  </si>
  <si>
    <t>Possible lipoprotein LpqQ</t>
  </si>
  <si>
    <t>Rv0835, (MTV043.27), len: 214 aa. Possible lpqQ, lipoprotein. Contains PS00013 Prokaryotic membrane lipoprotein lipid attachment site.</t>
  </si>
  <si>
    <t>Rv0836c</t>
  </si>
  <si>
    <t>Rv0836c, (MTV043.29c), len: 217 aa (start uncertain). Hypothetical unknown protein. This region is a possible MT-complex-specific genomic island (See Becq et al., 2007).</t>
  </si>
  <si>
    <t>Rv0837c</t>
  </si>
  <si>
    <t>Rv0837c, (MTV043.30c), len: 342 aa. Hypothetical unknown protein. This region is a possible MT-complex-specific genomic island (See Becq et al., 2007).</t>
  </si>
  <si>
    <t>Probable conserved lipoprotein LpqR</t>
  </si>
  <si>
    <t>Rv0838, (MTV043.31), len: 256 aa. Probable lpqR, conserved lipoprotein. Similar (except in N-terminus) to hypothetical proteins and D-alanyl-D-alanine dipeptidases e.g. NP_416005.1|NC_000913 hypothetical protein from Escherichia coli strain K12 (193 aa); NP_421076.1|NC_002696 D-alanyl-D-alanine dipeptidase from Caulobacter crescentus (212 aa); Q06241|VANX_ENTFC D-alanyl-D-alanine dipeptidase from Enterococcus faecium (202 aa), FASTA scores: opt: 198, E(): 1.9e-05, (28.1% identity in 199 aa overlap); etc. Contains signal sequence and appropriately positioned PS00013 Prokaryotic membrane lipoprotein lipid attachment site.</t>
  </si>
  <si>
    <t>Rv0839, (MTV043.32), len: 270 aa. Conserved hypothetical protein, similar to various hypothetical proteins or methyltransferases from yeast and bacteria e.g. T34740|SC1E6.19c|AL033505|SC1E6_19 hypothetical protein from Streptomyces coelicolor (273 aa), FASTA scores: opt: 1102, E(): 0, (58.6% identity in 263 aa overlap); T38024|Z98598|SPAC1B3.06c hypothetical protein from Schizosaccharomyces pombe (278 aa), FASTA scores: opt: 562, E(): 1.9e-3, (36.4% identity in 269 aa overlap); JC6531 avermectin B 5-O-methyltransferase from Streptomyces avermitilis (283 aa); etc. Also similar to other Mycobacterium tuberculosis hypothetical proteins that may be methyltransferases e.g. Rv1523, Rv2952, Rv1405c, etc.</t>
  </si>
  <si>
    <t>Specifically catalyzes the removal of N-terminal proline residues from peptides. Thought to release the N-terminal proline from the dipeptides, pro-pro, pro-GLN, pro-TRP and pro-TYR; also from amides (pro-beta NA) and oligopeptides, pro-LEU-GLYNH2, pro-LEU-GLY and pro-PHE-GLY-LYS. Higher activity toward small peptides (up to three residues), but very low activity for longer peptides [catalytic activity: release of a N-terminal proline from a peptide].</t>
  </si>
  <si>
    <t>Probable proline iminopeptidase Pip (prolyl aminopeptidase) (pap)</t>
  </si>
  <si>
    <t>Rv0840c, (MTV043.33c), len: 286 aa. Possible pip, proline iminopeptidase, similar to many e.g. P46541|PIP_BACCO proline iminopeptidase from bacillus coagulans (288 aa), FASTA scores: opt: 657, E(): 0, (37.6% identity in 282 aa overlap); NP_386922.1|NC_003047 putative proline iminopeptidase protein from Sinorhizobium meliloti (296 aa); etc. Belongs to peptidase family S33.</t>
  </si>
  <si>
    <t>Rv0841</t>
  </si>
  <si>
    <t>Rv0841, len: 80 aa. Conserved transmembrane protein, highly similar to C-terminus of next ORF Rv0842|O53854 putative membrane protein from Mycobacterium tuberculosis (442 aa), FASTA scores: opt: 246, E(): 3.3e-10, (59.7% identity in 72 aa overlap). Replace previous Rv0841c.</t>
  </si>
  <si>
    <t>Rv0842, (MT0864, MTV043.35), len: 430 aa. Probable conserved integral membrane protein, showing similarity with other integral membrane proteins e.g. P28246|BCR_ECOLI bicyclomycin resistance protein from EScherichia coli (396 aa), FASTA scores: opt: 216, E(): 5.4e-07, (23.7% identity in 376 aa overlap); etc.</t>
  </si>
  <si>
    <t>Rv0843</t>
  </si>
  <si>
    <t>Rv0843, (MTV043.36), len: 334 aa. Probable dehydrogenase, similar to various dehydrogenases e.g. Q46142|Q46142 TPP-dependent acetoin dehydrogenase (326 aa), FASTA scores: opt: 500, E(): 2.4e-26, (32.3% identity in 300 aa overlap); P51267|ODPA_PORPU pyruvate dehydrogenase E1 component from Porphyra purpurea (344 aa), FASTA scores: opt: 451, E(): 4.7e-23, (29.6% identity in 311 aa overlap); etc. Also similar to Rv2497c|pdhA pyruvate dehydrogenase E1 component from Mycobacterium tuberculosis (367 aa).</t>
  </si>
  <si>
    <t>Involved in transcriptional mechanism and regulates nitrate/nitrite.</t>
  </si>
  <si>
    <t>Possible nitrate/nitrite response transcriptional regulatory protein NarL</t>
  </si>
  <si>
    <t>Rv0844c, (MTV043.37c), len: 216 aa. Possible narL, nitrate/nitrite response regulator protein, similar to many e.g. CAB44989.1|AJ131854 NarL protein from Pseudomonas stutzeri (218 aa); CAA75536.1|Y15252 nitrate/nitrite regulatory protein from Pseudomonas aeruginosa (216 aa); PCC6803|D64005|SYCSLRG_24 NarL protein from Synechocystis sp. (209 aa), FASTA scores: opt: 438, E(): 1.5e-23, (34.6% identity in 208 aa overlap); etc. Also similar to unidentified regulator e.g. CAB76009.1|AL157916 putative two-component system response regulator from Streptomyces coelicolor (224 aa); etc. Contains probable helix-turn helix motif from aa 170-191 (Score 1124, +3.02 SD).</t>
  </si>
  <si>
    <t>Possible sensor part of a two component regulatory system.</t>
  </si>
  <si>
    <t>Possible two component sensor kinase</t>
  </si>
  <si>
    <t>Rv0845, (MTV043.38), len: 425 aa. Possible two-component sensor kinase, with its C-terminus similar to C-terminal part of others e.g. NP_294951.1|NC_001263 two-component sensor histidine kinase from Deinococcus radiodurans (469 aa); CAC32293.1|AL583943 putative two component system histidine kinase from Streptomyces coelicolor (404 aa); NP_464546.1|NC_003210 protein similar to two-component sensor histidine kinase from Listeria monocytogenes (352 aa); BSUB0017_193|Z9912 two-component sensor kinase from Bacillus subtilis (360 aa), FASTA scores: opt: 275, E(): 1.6e-11, (30.3% identity in 234 aa overlap); etc.</t>
  </si>
  <si>
    <t>May have multicopper oxidase activity.</t>
  </si>
  <si>
    <t>Probable oxidase</t>
  </si>
  <si>
    <t>Rv0846c, (MTV043.39c), len: 504 aa. Probable oxidase, showing similarity with several oxidases, mainly L-ascorbate oxidases and copper resistance proteins a (precursors) e.g. P24792|ASO_CUCMA L-ascorbate oxidase precursor (ascorbase) from Cucurbita maxima (Pumpkin) (Winter squash) (579 aa), FASTA scores: opt: 423, E(): 5.8e-18, (28.4% identity in 493 aa overlap); AF010496|AF010496_32 potential multicopper oxidase from Rhodobacter capsulatus (491 aa), FASTA scores: opt: 490, E(): 2.7e-22, (28.8% identity in 510 aa overlap); 47452|PCOA_ECOLI copper resistance protein A precursor (belongs to the family of multicopper oxidases) from Escherichia coli strain K12 (605 aa); etc. Contains PS00080 Multicopper oxidases signature 2 at C-terminus. Seems to belong to the family of multicopper oxidases.</t>
  </si>
  <si>
    <t>Probable lipoprotein LpqS</t>
  </si>
  <si>
    <t>Rv0847, (MTV043.40), len: 130 aa. Probable lpqS, lipoprotein. Contains possible signal sequence and PS00013 Prokaryotic membrane lipoprotein lipid attachment site.</t>
  </si>
  <si>
    <t>Thought to be involved in cysteine biosynthesis [catalytic activity: O3-acetyl-L-serine + H(2)S = L-cysteine + acetate].</t>
  </si>
  <si>
    <t>Possible cysteine synthase a CysK2 (O-acetylserine sulfhydrylase) (O-acetylserine (thiol)-lyase) (CSASE)</t>
  </si>
  <si>
    <t>Rv0848, (MTV043.41), len: 372 aa. Possible cysK2, cysteine synthase A, but could be also a cysteine synthase B cysM2-product, similar to many e.g. NP_109408.1|NC_002682 cysteine synthase from Mesorhizobium loti (357 aa); Q44004|CYSM_ALCEU cysteine synthase from Alcaligenes eutrophus strain CH34 (Ralstonia eutropha) (339 aa), FASTA scores: opt: 511, E(): 1.7e-25, (35.0% identity in 314 aa overlap); etc. Belongs to the cysteine synthase/cystathionine beta-synthase family. Cofactor: pyridoxal phosphate. Note that previously known as cysM3.</t>
  </si>
  <si>
    <t>Thought to be involved in transport of undetermined substrate (possibly drug) across the membrane. Responsible for the translocation of the substrate across the membrane.</t>
  </si>
  <si>
    <t>Probable conserved integral membrane transport protein</t>
  </si>
  <si>
    <t>Rv0849, (MTV043.42), len: 419 aa. Probable conserved integral membrane transport protein, possibly member of major facilitator superfamily (MFS) involved in transport of drug, showing similarity with others e.g. T35055 probable transport system permease protein from Streptomyces coelicolor (436 aa); NP_295031.1|NC_001263 major facilitator family protein from Deinococcus radiodurans (458 aa); NP_455659.1|NC_003198 putative membrane transporter from Salmonella enterica subsp. enterica serovar Typhi (402 aa); etc.</t>
  </si>
  <si>
    <t>Rv0850</t>
  </si>
  <si>
    <t>Required for the transposition of an insertion element.</t>
  </si>
  <si>
    <t>Rv0850, (MTV043.43), len: 110 aa. Putative transposase (fragment), similar in part to others e.g. Q45144|Q4514 transposable element IS31831 (436 aa), FASTA scores: opt: 175, E(): 4.3e-05, (38.6% identity in 57 aa overlap); etc.</t>
  </si>
  <si>
    <t>Rv0851c, (MTV043.44c), len: 275 aa. Probable short-chain dehydrogenase/reductase, similar to many e.g. Q01198|LIGD_PSEPA C alpha-dehydrogenase (SDR family) from Pseudomonas paucimobilis (Sphingomonas paucimobilis) (305 aa); D11473|PSELIG_1 C alpha-dehydrogenase from P. paucimobilis (305 aa), FASTA scores: opt: 468, E(): 4.9e-23, (30.8% identity in 279 aa overlap); NP_421969.1|NC_002696 short chain dehydrogenase family protein from Caulobacter crescentus (278 aa); etc. Contains PS00061 Short-chain dehydrogenases/reductases family signature. Belongs to the short-chain dehydrogenases/reductases (SDR) family.</t>
  </si>
  <si>
    <t>Possible fatty-acid-CoA ligase FadD16 (fatty-acid-CoA synthetase) (fatty-acid-CoA synthase)</t>
  </si>
  <si>
    <t>Rv0852, (MTV043.45), len: 278 aa. Possible fadD16, fatty-acid-CoA synthetase, similar in part to various CoA ligases e.g. P18163|LCFB_RAT long-chain-fatty-acid--CoA ligase from Rattus norvegicus (Rat) (699 aa); D49366|LEP4CCOALA_1 4-coumarate:CoA ligase from Lithospermum erythrorhizon (636 aa), FASTA scores: opt: 134, E(): 0.15, (26.8% identity in 213 aa overlap); orgp|L09229|HUMFACAL_1 long-chain acyl-coenzyme A from homo sapiens (human) (699 aa), FASTA score: (50.0% identity in 40 aa overlap); etc. Contains PS00626 Regulator of chromosome condensation (RCC1) signature 2.</t>
  </si>
  <si>
    <t>Possible indole-3-pyruvate decarboxylase; EC 4.1.1.74 [catalytic activity: 3-(indol-3-YL)pyruvate = 2-(indol-3-YL)acetaldehyde + CO2], or possible pyruvate decarboxylase; EC 4.1.1.1 [catalytic activity: a 2-oxo acid = an aldehyde + CO2].</t>
  </si>
  <si>
    <t>Probable pyruvate or indole-3-pyruvate decarboxylase Pdc</t>
  </si>
  <si>
    <t>Rv0853c, (MTV043.46c), len: 560 aa. Probable pdc, pyruvate or indole-pyruvate decarboxylase, equivalent to NP_302424.1|NC_002677 pyruvate (or indolepyruvate) decarboxylase from Mycobacterium leprae (569 aa). Also highly similar to others e.g. AAB06571.1|L80006 indolepyruvate decarboxylase from Pantoea agglomerans (550 aa); Q12629|DCPY_KLULA pyruvate decarboxylase from Kluyveromyces marxianus var. lactis (563 aa); P71323 indolepyruvate decarboxylase from Enterobacter herbicola (550 aa), FASTA scores: opt: 1642, E(): 0, (48.1% identity in 547 aa overlap); P23234|DCIP_ENTCL indole-3-pyruvate decarboxylase (indolepyruvate decarboxylase) from Enterobacter cloacae (552 aa), FASTA scores: opt: 1596, E(): 0, (46.8% identity in 551 aa overlap); etc. Contains PS00187 Thiamine pyrophosphate enzymes signature and PS00017 ATP/GTP-binding site motif A (P-loop). Cofactor: thiamine pyrophosphate.</t>
  </si>
  <si>
    <t>Rv0854, (MTV043.47), len: 147 aa. Conserved protein, similar to several hypothetical protein from Mycobacterium leprae e.g. NP_301674.1|NC_002677 (144 aa); NP_302683.1|NC_002677|Z95398|MLCL622.27c (156 aa), FASTA scores: opt: 193, E(): 1.6e-06, (24.6% identity in 134 aa overlap); NP_301218.1|NC_002677 (146 aa); MTCI28.04|Z97050 (184 aa), FASTA scores: opt: 171, E(): 5.8e-05, (21.5% identity in 135 aa overlap). Also similar to SC6G10.02c|T35511|AL049497|SC6G10_2 hypothetical protein from Streptomyces coelicolor (144 aa), FASTA scores: opt: 344, E(): 6.1e- 17, (37.6% identity in 141 aa overlap). And similar to many proteins from Mycobacterium tuberculosis e.g. downstreams ORFs Rv0856 and Rv0857, etc.</t>
  </si>
  <si>
    <t>Function unknown, but involvement in lipid degradation (racemization).</t>
  </si>
  <si>
    <t>Probable fatty-acid-CoA racemase Far</t>
  </si>
  <si>
    <t>Rv0855, (MTV043.48), len: 359 aa. Probable far, fatty acid-CoA racemase, highly similar to CAB08122.1|Z94723 unknown protein from Mycobacterium leprae (253 aa) (C-terminus shorter). Also similar to many eukaryotic and bacteria racemases e.g. T35425 probable fatty acid CoA racemase from Streptomyces coelicolor (387 aa); P70473|AMAC_RAT alpha-methylacyl-CoA racemase (2-methylacyl-CoA racemase) (2-arylpropionyl-CoA epimerase) from Rattus norvegicus (Rat) (382 aa); NP_103687.1|NC_002678 probable fatty acid Co-a racemase from Mesorhizobium loti (389 aa); etc. Also similar to proteins from Mycobacterium tuberculosis e.g. Rv1143|MTCI65.10|MCR from Mycobacterium tuberculosis (360 aa), FASTA scores: opt: 1373, E(): 0, (56.8% identity in 359 aa overlap), Rv1866|MTCY359.07 (C-terminal half) (778 aa), Rv3272 (360 aa).</t>
  </si>
  <si>
    <t>Rv0856, (MTV043.49), len: 134 aa. Conserved hypothetical protein, showing weak similarity with NP_301674.1| (NC_002677) conserved hypothetical protein from Mycobacterium leprae (144 aa); and SC6G10.02c|T35511 hypothetical protein from Streptomyces coelicolor (144 aa). Also highly similar to other proteins from Mycobacterium tuberculosis e.g. neighbouring ORF downstream Rv0857 conserved hypothetical protein (126 aa), FASTA scores: E(): 7.4e-27, (62.0% identity in 100 aa overlap); neighbouring ORF Rv0854|MTV043_47 conserved hypothetical protein (147 aa), FASTA scores: E(): 1.6e-15, (36.6% identity in 123 aa overlap), MTCI28.04|Z97050|MTCI28_4 (184 aa), FASTA scores: opt: 127, E(): 0.036, (26.0% identity in 127 aa overlap); and MLCL622.27c|Z95398 (156 aa), FASTA scores: opt: 123, E(): 0.06, (26.4% identity in 125 aa overlap).</t>
  </si>
  <si>
    <t>Rv0857, (MTV043.50), len: 157 aa. Conserved hypothetical protein, showing weak similarity with Q9X7Y8|SC6G10.02c|T35511 hypothetical protein from Streptomyces coelicolor (144 aa), FASTA scores: opt: 215, E(): 7.6e-08, (30.282% identity in 142 aa overlap). Also highly similar to other proteins from Mycobacterium tuberculosis e.g. upstream ORF Rv0856 (134 aa), FASTA scores: opt: 566, E(): 2e-32, (58.15% identity in 129 aa overlap); upstream ORF Rv0854 (147 aa), FASTA scores: opt: 401, E(): 7.2e-21, (41.8% identity in 146 aa overlap); MTCI28.04|Z97050 (184 aa), FASTA scores: opt: 122, E(): 0.031, (29.4% identity in 85 aa overlap); and MLCL622.27c|Z95398 (156 aa), FASTA scores: opt: 114, E(): 0.1, (30.9% identity in 55 aa overlap). Length extended since first submission (+33 aa).</t>
  </si>
  <si>
    <t>dapC</t>
  </si>
  <si>
    <t>Involved in biosynthesis of diaminopimelate and lysine from aspartate semialdehyde (at the fourth step) [catalytic activity: L-glutamate + N-succinyl-2-amino-6-ketopimelate = 2-oxoglutarate + N-succinyl-L,L-2,6-diaminopimelate</t>
  </si>
  <si>
    <t>Probable N-succinyldiaminopimelate aminotransferase DapC (DAP-at)</t>
  </si>
  <si>
    <t>Rv0858c, (MTV043.51c), len: 397 aa. Probable dapC, N-succinyldiaminopimelate aminotransferase, highly similar to others from Eukaryota and bacteria, especially aspartate aminotransferases (transaminases), e.g. NP_177890.1|NC_003070 putative aminotransferase from Arabidopsis thaliana (440 aa); NP_419555.1|NC_002696 aminotransferase class I from Caulobacter crescentus (385 aa); NP_415133.1|NC_000913|AE0001|ECAE000165_8 putative aminotransferase from Escherichia coli strain K12 (386 aa), FASTA scores: opt: 830, E(): 0, (38.0% identity in 389 aa overlap); X99521|TAX99521_1 aspartate aminotransferase from Thermus aquaticus (383 aa), FASTA scores: opt: 702, E(): 0, (34.9% identity in 393 aa overlap); etc. Also similar to other putative aminotransferases from Mycobacterium tuberculosis e.g. Rv2294, Rv3565, etc.</t>
  </si>
  <si>
    <t>Possible acyl-CoA thiolase FadA</t>
  </si>
  <si>
    <t>Rv0859, (MTV043.52), len: 403 aa. Possible fadA, acyl-CoA thiolase, equivalent to NP_302423.1|NC_002677 putative beta-ketoadipyl CoA thiolase from Mycobacterium leprae (403 aa). Also highly similar to acyl/acetyl-CoA thiolases and beta-ketoadipyl CoA thiolases, e.g. T35428 probable acetyl CoA acetyltransferase (thiolase) from Streptomyces coelicolor (404 aa); NP_250427.1|NC_002516 probable acyl-CoA thiolase from Pseudomonas aeruginosa (401 aa); NP_106253.1|NC_002678 probable acyl-CoA thiolase from Mesorhizobium loti (402 aa); NP_248919.1|NC_002516|PcaF beta-ketoadipyl CoA thiolase PcaF from Pseudomonas aeruginosa (401 aa); etc. Contains PS00098 Thiolases acyl-enzyme intermediate signature, PS00737 Thiolases signature 2 and PS00099 Thiolases active site.</t>
  </si>
  <si>
    <t>Involved in fatty acid degradation (probably in fatty acid beta-oxidation cycle).</t>
  </si>
  <si>
    <t>Probable fatty oxidation protein FadB</t>
  </si>
  <si>
    <t>Rv0860, (MTV043.53), len: 720 aa. Probable fadB, fatty oxidation protein, equivalent to NP_302422.1|NC_002677 putative fatty oxidation complex alpha subunit from Mycobacterium leprae (714 aa). Also highly similar to others and various proteins involved in fatty acid metabolism, e.g. T35429 probable fatty oxidation protein from Streptomyces coelicolor (733 aa); NP_250428.1|NC_002516 probable 3-hydroxyacyl-CoA dehydrogenase from Pseudomonas aeruginosa (714 aa); NP_418895.1|NC_002696 fatty oxidation complex alpha subunit from Caulobacter crescentus (709 aa); P40939|ECHA_HUMAN trifunctional enzyme alpha subunit [includes: long-chain enoyl-CoA hydratase ; long chain 3-hydroxyacyl-CoA dehydrogenase ] from Homo sapiens (763 aa), FASTA scores: opt: 1176, E(): 0, (32.4% identity in 722 aa overlap); P21177|FADB_ECOLI fatty oxidation complex alpha subunit [includes: enoyl-CoA hydratase; delta(3)-cis-delta(2)-trans-enoyl-CoA isomerase; 3-hydroxyacyl-CoA dehydrogenase; 3- hydroxybutyryl-CoA epimerase] from Escherichia coli strain K12 (729 aa), FASTA scores: opt: 873, E(): 0, (33.6% identity in 693 aa overlap); etc.</t>
  </si>
  <si>
    <t>ercc3</t>
  </si>
  <si>
    <t>Involved in nucleotide excision repair. Has ATP-dependent 3' -&gt; 5'helicase activity: acts by opening DNA either around the RNA transcription start site or the DNA damage.</t>
  </si>
  <si>
    <t>DNA helicase Ercc3</t>
  </si>
  <si>
    <t>Rv0861c, (MTV043.54c), len: 542 aa. Ercc3, DNA helicase (see citation below), equivalent to NP_302420.1|NC_002677 probable DNA helicase from Mycobacterium leprae (549 aa). Also highly similar to others (shorter than several eukaryotic enzymes) e.g. NP_218820.1|NC_000919|AE001217|AE0 01217_6 putative DNA repair helicase from Treponema pallidum (606 aa), FASTA scores: opt: 1275, E(): 0, (47.5% identity in 592 aa overlap); Q00578|RA25_YEAST DNA repair helicase from Saccharomyces cerevisiae (843 aa), FASTA scores: opt: 777, E(): 0, (30.4% identity in 605 aa overlap); P49135|XPB_MOUSE DNA-repair protein complementing XP-B cells from Mus musculus (Mouse) (783 aa), FASTA scores: opt: 761, E(): 0, (36.3% identity in 375 aa overlap); etc. Seems to belong to the helicase family. Alternative nucleotide at position 958922 (C-&gt;a; A410A) has been observed.</t>
  </si>
  <si>
    <t>Rv0862c, (MTV043.55c), len: 756 aa. Conserved protein, equivalent to NP_302419.1|NC_002677 possible DNA-binding protein from Mycobacterium leprae (753 aa); and highly similar (except in C-terminus) to MLCB57.01|Z99494|T45333 hypothetical protein from Mycobacterium leprae (&gt;577 aa, truncated), FASTA scores: opt: 3047, E(): 0, (78.9% identity in 578 aa overlap). Also similar in part to SCD12A.03c|AB93395.1|AL357524 hypothetical protein from Streptomyces coelicolor (867 aa).</t>
  </si>
  <si>
    <t>Rv0863, (MTV043.56), len: 93 aa. Conserved hypothetical protein, highly similar to NP_302418.1|NC_002677 conserved hypothetical protein from Mycobacterium leprae (74 aa). Also weakly similar in part to U82598|ECU82598_135 hypothetical protein from Escherichia coli, FASTA scores: (32.4% identity in 71 aa overlap); and M74011|YEPYSCOP_8 hypothetical protein from Yersinia enterocolitica (165 aa), FASTA scores: (38.6 identity in 57 aa overlap). A core mycobacterial gene; conserved in mycobacterial strains (See Marmiesse et al., 2004).</t>
  </si>
  <si>
    <t>moaC2</t>
  </si>
  <si>
    <t>Involved in the biosynthesis of molybdopterin.</t>
  </si>
  <si>
    <t>Probable molybdenum cofactor biosynthesis protein C 2 MoaC2</t>
  </si>
  <si>
    <t>Rv0864, (MTV043.57), len: 167 aa. Probable moaC2, molybdopterin cofactor biosynthesis protein, highly similar to others e.g. CAB59676.1|AL132674 molybdenum cofactor biosynthesis protein from Streptomyces coelicolor (170 aa); NP_418834.1|NC_002696 molybdenum cofactor biosynthesis protein C from Caulobacter crescentus (186 aa); Y10817|ANY10817_3|T44852 molybdopterin co-factor synthesis protein moaC from Arthrobacter nicotinovorans plasmid pAO1 (169 aa), FASTA scores: opt: 491, E(): 2.4e-29, (51.0% identity in 151 aa overlap); etc. Also highly similar to O05788|MOAC1|Rv3111|MTCY164.21 putative molybdenum cofactor biosynthesis protein C from Mycobacterium tuberculosis (170 aa), FASTA scores: opt: 491, E(): 2.4e-29, (54.9% identity in 153 aa overlap); and O53376|Rv3324c|MOAC3|MTV016.24c putative molybdenum cofactor biosynthesis protein C3 (177 aa).</t>
  </si>
  <si>
    <t>Involved in molybdopterin biosynthesis; involved in the biosynthesis of a demolybdo-cofactor (molybdopterin), necessary for molybdo-enzymes.</t>
  </si>
  <si>
    <t>Probable molybdopterin biosynthesis Mog protein</t>
  </si>
  <si>
    <t>Rv0865, (MTV043.58), len: 160 aa. Probable mog, molybdopterin biosynthesis MOG protein, highly similar or similar to other molybdenum cofactor biosynthesis proteins e.g. CAB59675.1|AL132674 molybdenum cofactor biosynthesis protein from Streptomyces coelicolor (179 aa); NP_301253.1|NC_002677 putative molybdenum cofactor biosynthesis protein from Mycobacterium leprae (181 aa); CAC39235.1|AJ312124 Mog protein from Eubacterium acidaminophilum (162 aa); P44645|MOG_HAEIN|MOGA|HI0336 molybdopterin biosynthesis MOG protein from Haemophilus influenzae (197 aa), FASTA scores: opt: 306, E(): 9e-13, (39.6% identity in 139 aa overlap); P28694|MOG_ECOLI molybdopterin biosynthesis MOG protein from Escherichia coli (195 aa), FASTA scores: opt: 265, E(): 3.6e-10, (34.2 identity in 146 aa overlap); etc. Also highly similar to Rv0984|MTV044.12|MOAB2 possible pterin-4-alpha-carbinolamine dehydratase from Mycobacterium tuberculosis (181 aa).</t>
  </si>
  <si>
    <t>Possibly a molybdenum biosynthesis cofactor. Conversion of molybdopterin precursor Z into molybdopterin requires transfer of two sulfur atoms to precursor Z (to generate the dithiolene group). This is catalyzed by the converting factor composed of a small and large subunit.</t>
  </si>
  <si>
    <t>Probable molybdenum cofactor biosynthesis protein E2 MoaE2 (molybdopterin converting factor large subunit) (molybdopterin [MPT] converting factor, subunit 2)</t>
  </si>
  <si>
    <t>Rv0866, (MTV043.59), len: 141 aa. Probable moaE2, molybdopterin converting factor E (molybdopterin converting factor (subunit 2)), similar to others e.g. Y10817|ANY10817_4|T44853 molybdopterin biosynthesis protein E chain from Arthrobacter nicotinovorans plasmid pAO1 (155 aa), FASTA scores: opt: 460, E(): 3.5e-27, (49.3 identity in 146 aa overlap); CAC01331.1|AL390968 moaE-like protein from Streptomyces coelicolor (152 aa); NP_389313.1|NC_000964 molybdopterin converting factor (subunit 2) from Bacillus subtilis (157 aa); etc. Also highly similar to Rv3119|MOAE1|Z95150|MTCY164_30 putative molybdenum cofactor biosynthesis protein E from Mycobacterium tuberculosis (147 aa), FASTA scores: opt: 321, E(): 5.9e-17, (40.9% identity in 132 aa overlap); and O53375|GPHA|Rv3323c|MTV016.23c MOAD-MOAE fusion protein from Mycobacterium tuberculosis (221 aa).</t>
  </si>
  <si>
    <t>Unknown. May be promote the resuscitation and growth of dormant, nongrowing cell.</t>
  </si>
  <si>
    <t>Possible resuscitation-promoting factor RpfA</t>
  </si>
  <si>
    <t>Rv0867c, (MTV043.60c), len: 407 aa. Possible rpfA, resuscitation-promoting factor (see citation below). N-terminus highly similar to N-terminal part (1-125 aa) of Z99494|MLCB57_3|NP_302417.1|NC_002677 conserved hypothetical protein from Mycobacterium leprae (174 aa), FASTA scores: opt: 785, E(): 1.8e-18, (63.0% identity in 200 aa overlap); and highly similar to C-terminus of NP_301299.1|NC_002677 conserved hypothetical protein from Mycobacterium leprae (375 aa); and middle part of NP_302360.1|NC_002677 conserved hypothetical protein from Mycobacterium leprae (157 aa). N-terminus also highly similar in part of three secreted proteins from Streptomyces coelicolor e.g. CAC09538.1|AL442120 putative secreted protein (244 aa). Regions highly similar to CAB76321.1|AL158060 putative membrane protein from Streptomyces coelicolor (121 aa); and middle part of CAB09664.1|Z96935 rpf from Micrococcus luteus (220 aa). Also highly similar in part to four resuscitation-promoting factors from Mycobacterium tuberculosis: Rv2450 (172 aa), Rv1009 (362 aa), Rv1884c (176 aa), and Rv2389c (154 aa). Contains a probable secretory signal sequence in N-terminus. Predicted possible vaccine candidate (See Zvi et al., 2008).</t>
  </si>
  <si>
    <t>Involved in molybdenum cofactor biosynthesis.</t>
  </si>
  <si>
    <t>Probable molybdenum cofactor biosynthesis protein D 2 MoaD2 (molybdopterin converting factor small subunit) (molybdopterin [MPT] converting factor, subunit 1)</t>
  </si>
  <si>
    <t>Rv0868c, (MTV043.61c), len: 92 aa. Probable moaD2, molybdenum cofactor biosynthesis protein (molybdopterin converting factor (subunit 1)), similar to CAB88494.1|AL353816 putative molybdopterin converting factor from Streptomyces coelicolor (84 aa); and weakly similar to others MoaD proteins e.g. Z99111|BSUB0008_103 from Bacillus subtilis (77 aa), FASTA scores: opt: 86, E(): 2.8, (22.9% identity in 83 aa overlap); etc. Also some similarity with Rv3112|MOAD1|MTCY164.22 putative molybdenum cofactor biosynthesis protein D from Mycobacterium tuberculosis (83 aa), FASTA scores: opt: 113, E(): 0.024, (31.3% identity in 83 aa overlap).</t>
  </si>
  <si>
    <t>moaA2</t>
  </si>
  <si>
    <t>Involved in molybdenum cofactor biosynthesis; involved in the biosynthesis of molybdopterin precursor Z from guanosine.</t>
  </si>
  <si>
    <t>Probable molybdenum cofactor biosynthesis protein A2 MoaA2</t>
  </si>
  <si>
    <t>Rv0869c, (MTV043.62c), len: 360 aa. Probable moaA2, molybdenum cofactor biosynthesis protein, highly similar to others e.g. CAB59437.1|AL132644|SCI8_6 molybdenum cofactor biosynthesis protein A from Streptomyces coelicolor (341 aa), FASTA scores: opt: 1336, E(): 0, (61.7% identity in 332 aa overlap); S57490|X78980|ANMOAA_1 molybdopterin cofactor synthesis protein from Arthrobacter nicotinovorans (fragment) (374 aa), FASTA scores: opt: 1059, E(): 0, (49.9% identity in 369 aa overlap); Q44118|MOAA_ARTNI probable molybdopterin cofactor synthesis protein A from Arthrobacter nicotinovorans plasmid pAO1 (355 aa); etc. Also similar to Rv3109|MTCY164.19|Z95150|MOAA1 putative molybdenum cofactor biosynthesis protein A from Mycobacterium tuberculosis (359 aa), FASTA scores: opt: 657, E(): 0, (36.6% identity in 309 aa overlap). Belongs to the MoaA / NifB / PqqE family.</t>
  </si>
  <si>
    <t>Possible conserved integral membrane protein</t>
  </si>
  <si>
    <t>Rv0870c, (MTV043.63c), len: 129 aa. Possible conserved integral membrane protein, highly similar to other membrane proteins: putative secreted proteins or hypothetical proteins e.g. CAC08263.1| AL392146 putative integral membrane protein from Streptomyces coelicolor (138 aa); NP_233433.1|NC_002506 conserved hypothetical protein from Vibrio cholerae (143 aa); NP_455572.1|NC_003198 putative membrane protein from Salmonella enterica subsp. enterica serovar Typhi (148 aa); P37065|YCCF_ECOLI hypothetical 16.3 kDa protein from Escherichia coli (148 aa), FASTA scores: opt: 183, E(): 1.9e-06, (36.6% identity in 134 aa overlap); etc.</t>
  </si>
  <si>
    <t>Function unknown; thought to act in response to low temperature.</t>
  </si>
  <si>
    <t>Probable cold shock-like protein B CspB</t>
  </si>
  <si>
    <t>Rv0871, (MTV043.64), len: 135 aa. Probable cspB, cold shock-like protein B, equivalent to Z99494|MLCB57_7|MLCB57.11 probable cold shock protein from Mycobacterium leprae (136 aa), FASTA scores: opt: 787, E(): 0, (86.0% identity in 136 aa overlap). Also highly similar (but often longer than) to others e.g. CAB93399.1|AL357524 cold shock protein B from Streptomyces coelicolor (127 aa); Q45099|CSPD_BACCE cold shock-like protein CSPD from Bacillus cereus (66 aa); Y101 81|LLCSPB_1 cold shock protein from Lactococcus lactis (66 aa), FASTA scores: opt: 220, E(): 2.5e-07, (48.3% identity in 60 aa overlap); etc. Seems to belong to the cold-shock domain (CSD) family.</t>
  </si>
  <si>
    <t>PE-PGRS family protein PE_PGRS15</t>
  </si>
  <si>
    <t>Rv0872c, (MTV043.65c), len: 606 aa. PE_PGRS15, Member of the Mycobacterium tuberculosis PE family, PGRS subfamily of gly-rich proteins (see Brennan &amp; Delogu 2002), similar to many e.g. MTCY24A1.04c|Z95207 (615 aa), FASTA scores: opt: 2636, E(): 0, (64.6% identity in 619 aa overlap); etc.</t>
  </si>
  <si>
    <t>Probable acyl-CoA dehydrogenase FadE10</t>
  </si>
  <si>
    <t>Rv0873, (MTV043.66-MTCY31.01), len: 650 aa. Probable fadE10, acyl-CoA dehydrogenase, highly similar to many e.g. CAB91129.1|AL355913 putative acyl CoA dehydrogenase from Streptomyces coelicolor (658 aa); P50544|ACDV_MOUSE acyl-CoA dehydrogenase from Mus musculus (656 aa); D30647|RATVLCAD_1 very-long-chain Acyl-CoA dehydrogenase from Rattus norvegicus (655 aa), FASTA scores: opt: 675, E(): 0, (33.9% identity in 380 aa overlap); etc.</t>
  </si>
  <si>
    <t>Rv0874c, (MTCY31.02c), len: 386 aa. Conserved hypothetical protein, highly similar in part to SPU62616_1 hypothetical protein from Synechococcus sp. (280 aa), FASTA scores: E(): 6.3e-26, (35.2% identity in 264 aa overlap); SYCSLLLH_102 from Synechocystis sp. (447 aa), FASTA scores: E(): 1.1e-18, (29.5% identity in 400 aa overlap). Also highly similar to Rv0628c|MTCY20H10_9 from Mycobacterium tuberculosis (383 aa), FASTA scores: E():0, (81.5% identity in 383 aa overlap).</t>
  </si>
  <si>
    <t>Rv0875c, (MTCY31.03c), len: 162 aa. Possible conserved exported protein, equivalent to MLCB57_11|O33056 possible exported protein from Mycobacterium leprae (162 aa), FASTA scores: opt: 789, E(): 0, (71.4% identity in 161 aa overlap). A core mycobacterial gene; conserved in mycobacterial strains (See Marmiesse et al., 2004). Predicted to be an outer membrane protein (See Song et al., 2008).</t>
  </si>
  <si>
    <t>Rv0876c, (MTCY31.04c), len: 548 aa. Possible conserved transmembrane protein, equivalent to MLCB57_12|O33057 possible membrane protein from Mycobacterium leprae (579 aa), FASTA scores: opt: 2850, E(): 0, (81.0% identity in 568 aa overlap). Also highly similar (except in N-terminus) to CAB93403.1|AL357524 putative integral membrane protein from Streptomyces coelicolor (463 aa).</t>
  </si>
  <si>
    <t>Rv0877, (MTCY31.05), len: 262 aa. Conserved hypothetical protein, equivalent to MLCB57_13|O33058 conserved hypothetical protein from Mycobacterium leprae (269 aa), FASTA scores: E(): 0, (80.5% identity in 257 aa overlap). Also highly similar (except in C-terminus) to SCD12A.13|CAB93404.1|AL357524 hypothetical protein from Streptomyces coelicolor (308 aa).</t>
  </si>
  <si>
    <t>PPE family protein PPE13</t>
  </si>
  <si>
    <t>Rv0878c, (MTCY31.06c), len: 443 aa. PPE13, Member of the Mycobacterium tuberculosis PPE family, highly similar to many e.g. P4261|YHS6_MYCTU (517 aa), FASTA scores: opt: 1044, E(): 0, (47.4% identity in 397 aa overlap); MTV014_3, MTCI65_2, MTCY98_24, MTCY3C7_23, MTCY48_17, MTV004_5, MTV004_3, etc. Predicted to be an outer membrane protein (See Song et al., 2008).</t>
  </si>
  <si>
    <t>Rv0879c</t>
  </si>
  <si>
    <t>Rv0879c, (MTCY31.07c), len: 91 aa. Possible conserved transmembrane protein, C-terminus highly similar to C-terminal part of MLCB57_14|O33059 conserved hypothetical protein from Mycobacterium leprae (91 aa), FASTA scores: E(): 1.2e-25, (76.9% identity in 91 aa overlap). A core mycobacterial gene; conserved in mycobacterial strains (See Marmiesse et al., 2004).</t>
  </si>
  <si>
    <t>Possible transcriptional regulatory protein (possibly MarR-family)</t>
  </si>
  <si>
    <t>Rv0880, (MTCY31.08), len: 143 aa. Possible transcriptional regulator, MarR family, equivalent to MLCB57_15|O3306|NP_302411.1|NC_002677 putative MarR-family protein from Mycobacterium leprae (143 aa), FASTA scores: opt: 818, E(): 0, (89.5% identity in 143 aa overlap). Also similar to many others e.g. CAB93410.1|AL357524 putative marR-family protein from Streptomyces coelicolor (145 aa); NP_251757.1|NC_002516 probable transcriptional regulator from Pseudomonas aeruginosa (147 aa); etc. Also similar to Rv2327 from Mycobacterium tuberculosis (163 aa).</t>
  </si>
  <si>
    <t>Possible rRNA methyltransferase (rRNA methylase)</t>
  </si>
  <si>
    <t>Rv0881, (MTCY31.09), len: 288 aa. Possible rRNA methyltransferase, highly similar to others and hypothetical proteins e.g. CAB76071.1|AL157953 putative rRNA methylase from Streptomyces coelicolor (272 aa); NP_421117.1|NC_002696 spoU rRNA methylase family protein from Caulobacter crescentus (268 aa); D90913_93|P74261 rRNA methylase from Synechocystis sp. (274 aa), FASTA scores: E(): 1.1e-13, (26.3% identity in 278 aa overlap); P18644|TSNR_STRCN rRNA methyltransferase from Streptomyces cyaneus (Streptomyces curacoi) (269 aa), FASTA scores: E(): 3.7e-08, (23.9% identity in 268 aa overlap); etc. Equivalent to AAK45146.1 from Mycobacterium tuberculosis strain CDC1551 (242 aa) but longer 46 aa.</t>
  </si>
  <si>
    <t>Rv0882, (MTCY31.10), len: 94 aa. Probable transmembrane protein.</t>
  </si>
  <si>
    <t>Rv0883c, (MTCY31.11c), len: 253 aa. Conserved hypothetical protein, equivalent to O3306|MLCB57_16 conserved hypothetical protein from Mycobacterium leprae (251 aa), FASTA scores: E(): 0, (79.4% identity in 253 aa overlap). Also highly similar to N_terminus of AL009204|SC9B10_22 hypothetical protein from Streptomyces coelicolor (352 aa), FASTA scores: E(): 6.1e-20, (35.0% identity in 246 aa overlap).</t>
  </si>
  <si>
    <t>Catalyzes the reversible interconversion of phosphoserine and 2-oxoglutarate to 3-phosphonooxypyruvate and glutamate. Require both in the major phosphorylated pathway of serine biosynthesis and in pyridoxine biosynthesis [catalytic activity: O-phospho-L-serine + 2-oxoglutarate = 3-phosphonooxypyruvate + L-glutamate].</t>
  </si>
  <si>
    <t>Possible phosphoserine aminotransferase SerC (PSAT)</t>
  </si>
  <si>
    <t>Rv0884c, (MTCY31.12c), len: 376 aa. Possible serC, phosphoserine aminotransferase, equivalent to MLCB57_17 putative phosphoserine aminotransferase from Mycobacterium leprae (376 aa), FASTA scores: E(): 0, (87.5 identity in 376 aa overlap). Also highly similar to CAC08322.1|AL392149 putative aminotransferase from Streptomyces coelicolor (363 aa); and similar to other phosphoserine aminotransferases e.g. NP_386837.1|NC_003047 putative phosphoserine aminotransferase protein from Sinorhizobium meliloti (392 aa); P52878|SERC_METBA phosphoserine aminotransferase from Methanosarcina barkeri (370 aa); P10658|SERC_RABIT|RABEPIP_1 phosphoserine aminotransferase from Rabbit (370 aa), FASTA scores: opt: 271, E(): 3.5e-11, (24.5% identity in 368 aa overlap); etc. Belongs to class-V of pyridoxal-phosphate-dependent aminotransferases. Cofactor: pyridoxal phosphate.</t>
  </si>
  <si>
    <t>Rv0885, (MTCY31.13), len: 340 aa. Conserved hypothetical protein, equivalent to O33063|MLCB57_18 possible transmembrane protein from Mycobacterium leprae (341 aa), FASTA score: (83.9% identity in 341 aa overlap). Also similar except in C-terminus to T35630 probable membrane protein from Streptomyces coelicolor (312 aa).</t>
  </si>
  <si>
    <t>fprB</t>
  </si>
  <si>
    <t>Rv0886</t>
  </si>
  <si>
    <t>Serves as the first electron transfer protein in all the P450 systems [catalytic activity: reduced adrenodoxin + NADP+ = oxidized adrenodoxin + NADPH].</t>
  </si>
  <si>
    <t>Probable NADPH:adrenodoxin oxidoreductase FprB (adrenodoxin reductase) (AR) (ferredoxin-NADP(+) reductase)</t>
  </si>
  <si>
    <t>Rv0886, (MTCY31.14), len: 575 aa. Probable fprB, ferredoxin/ferredoxin-NADP(+) reductase (NADPH:adrenodoxin oxidoreductase), equivalent to O3306|MLCB57_19 ferredoxin/ferredoxin--NADP reductase from Mycobacterium leprae (555 aa), FASTA scores: E(): 0, (76.6 identity in 560 aa overlap). Also highly similar or similar to others e.g. NP_294219.1|NC_001263 putative ferredoxin/ferredoxin--NADP reductase from Deinococcus radiodurans (479 aa) (N-terminus shorter); P22570|ADRO_HUMAN NADPH:adrenodoxin oxidoreductase from homo sapiens (497 aa), FASTA scores: opt: 624, E(): 3e-30, (39.7% identity in 484 aa overlap); P08165|ADRO_BOVIN NADPH:adrenodoxin oxidoreductase from Bos taurus (492 aa); etc. Also similar to others from Mycobacterium tuberculosis e.g. Rv3106, Rv3858c, etc. Contains PS00198 4Fe-4S ferredoxins, iron-sulfur binding region signature.</t>
  </si>
  <si>
    <t>Rv0887c</t>
  </si>
  <si>
    <t>Rv0887c, (MTCY31.15c), len: 152 aa. Conserved hypothetical protein, highly similar to others e.g. NP_436346.1|NC_003037 Hypothetical protein from Sinorhizobium meliloti (149 aa); AL132644|SCI8_26 hypothetical protein from Streptomyces coelicolor (194 aa), FASTA scores: opt: 220, E(): 1.5e-07, (33.6% identity in 131 aa overlap); etc. Also shows weak similarity with transposases and related proteins.</t>
  </si>
  <si>
    <t>Probable exported protein</t>
  </si>
  <si>
    <t>Rv0888, (MTCY31.16), len: 490 aa. Probable exported protein. Equivalent to AAK45157.1 from Mycobacterium tuberculosis strain CDC1551 (507 aa) but shorter 17 aa. Contains possible N-terminal signal sequence. Predicted to be an outer membrane protein (See Song et al., 2008).</t>
  </si>
  <si>
    <t>Involved in tricarboxylic acid cycle (KREBS cycle) [catalytic activity: citrate + CoA = acetyl-CoA + H2O + oxaloacetate].</t>
  </si>
  <si>
    <t>Probable citrate synthase II CitA</t>
  </si>
  <si>
    <t>Rv0889c, (MTCY31.17c), len: 373 aa. Probable citA (alternate gene name: gltA), citrate synthase 2, highly similar to others e.g. CAB95899.1|AL359988 putative citrate synthase from Streptomyces coelicolor (387 aa); P39119|CISY_BACSU citrate synthase II from Bacillus subtilis (366 aa), FASTA scores: opt: 586, E(): 5.8e-30, (33.8% identity in 367 aa overlap); etc. Also similar to Rv0896|MTCY31.24 from Mycobacterium tuberculosis (29.2% identity in 274 aa overlap) and Rv1131. Contains PS00480 Citrate synthase signature. Belongs to the citrate synthase family.</t>
  </si>
  <si>
    <t>Probable transcriptional regulatory protein (probably LuxR-family)</t>
  </si>
  <si>
    <t>Rv0890c, (MTCY31.18c), len: 882 aa. Probable transcriptional regulatory protein, LuxR family, highly similar (but shorter 238 aa in N-terminus) to NP_302202.1|NC_002677 possible transcriptional regulator from Mycobacterium leprae (1106 aa). Also highly similar (generally in part) to others e.g. T50568 probable multi-domain regulatory protein from Streptomyces coelicolor (1334 aa); P10957|NARL_ECOLI nitrate/nitrite response regulator protein from Escherichia coli (216 aa), FASTA scores: opt: 193, E(): 6e-06, (37.4% identity in 99 aa overlap); etc. Also highly similar to others from Mycobacterium tuberculosis e.g. MTCY02B10_22, MTV008_44, MTV036_21, and MTCY31_24. Contains PS00017 ATP/GTP-binding site motif A (P-loop), PS00622 Bacterial regulatory proteins, luxR family signature, and probable helix-turn helix motif from aa 836 to 857 (Score 1559, +4.50 SD). Belongs to the LuxR/UhpA family of transcriptional regulators. Alternative nucleotide at position 990001 (G-&gt;C; P866A) has been observed.</t>
  </si>
  <si>
    <t>Rv0891c, (MTCY31.19c), len: 285 aa. Possible transcriptional regulator, highly similar in N-terminus to NP_302202.1|NC_002677 possible transcriptional regulator from Mycobacterium leprae (1106 aa). Also highly similar to several Mycobacterium tuberculosis putative transcriptional regulators e.g. Q1102|MTCY02B10_22 probable transcriptional regulatory protein (1159 aa), FASTA scores: opt: 702, E(): 8.3e-40, (50.6% identity in 247 aa overlap); MTV036_21; MTV008_44; MTCY02B10_23. Also shows similarity with several adenylate cyclases and hydrolases from other organisms.</t>
  </si>
  <si>
    <t>Rv0892, (MTCY31.20), len: 495 aa. Probable monooxygenase, highly similar to others e.g. NP_250787.1|NC_002516 probable flavin-binding monooxygenase from Pseudomonas aeruginosa (491 aa); CAB59668.1|AL132674 monooxygenase from Streptomyces coelicolor (519 aa); P12015|CYMO_ACIS cyclohexanone monooxygenase from Acinetobacter sp. (542 aa), FASTA scores: opt: 489, E(): 6.8e-26, (30.3% identity in 492 aa overlap); etc. Also highly similar to Rv0565c, Rv3854c, Rv3083, etc from Mycobacterium tuberculosis. Has hydrophobic stretch at N-terminus.</t>
  </si>
  <si>
    <t>Rv0893c, (MTCY31.21c), len: 325 aa. Possible S-adenosylmethionine-dependent methyltransferase (see Grana et al., 2007), belongs in family with P96823|Rv0146|MTCI5.20 from Mycobacterium tuberculosis (310 aa), FASTA scores: opt: 784, E(): 0, (43.2% identity in 308 aa overlap); Rv0726c, Rv0731c, Rv3399, etc. Also shows some similarity with others e.g. SC9B5.10|T35930 hypothetical protein from Streptomyces coelicolor (303 aa); BSUB0008_141|Q45500 hypothetical 34.8 kDa protein from Bacillus subtilis (304 aa), FASTA scores: E(): 0.00033, (26.8% identity in 168 aa overlap); etc. This region is a possible MT-complex-specific genomic island (See Becq et al., 2007).</t>
  </si>
  <si>
    <t>Possible transcriptional regulatory protein (possibly LuxR-family)</t>
  </si>
  <si>
    <t>Rv0894, (MTCY31.22), len: 393 aa. Possible regulatory protein, LuxR family, highly similar in part to NP_302202.1|NC_002677 possible transcriptional regulator from Mycobacterium leprae (1106 aa). Also similar to others e.g. CAB95788.1|AL359949 putative multi-domain regulatory protein from Streptomyces coelicolor (780 aa); NP_107293.1|NC_002678 transcriptional regulator from Mesorhizobium loti (903 aa); etc. Also similar to other regulatory proteins from Mycobacterium tuberculosis e.g. Rv2488c|MTV008_44 (1137 aa), FASTA score: (53.2% identity in 363 aa overlap); Rv1358|MTCY02B10_22 (1159 aa), FASTA score: (52.3% identity in 365 aa overlap); etc. Contains PS00017 ATP/GTP-binding site motif A (P-loop). This region is a possible MT-complex-specific genomic island (See Becq et al., 2007).</t>
  </si>
  <si>
    <t>Rv0895, (MTCY31.23), len: 505 aa. Possible triacylglycerol synthase (See Daniel et al., 2004); member of family with: Rv3740c, Rv3734c, Rv1425, Rv1760, etc. Shows some similarity with NP_301898.1|NC_002677 conserved membrane protein from Mycobacterium leprae (491 aa). This region is a possible MT-complex-specific genomic island (See Becq et al., 2007).</t>
  </si>
  <si>
    <t>gltA2</t>
  </si>
  <si>
    <t>Probable citrate synthase I GltA2</t>
  </si>
  <si>
    <t>Rv0896, (MTCY31.24), len: 431 aa. Probable gltA2, citrate synthase 1, highly similar to O33066|NP_302405.1|NC_002677 citrate synthase 1 from Mycobacterium leprae (431 aa), FASTA scores: E(): 0, (91.0 identity in 431 aa overlap); and AAF04133.1|AF191033_1|AF191033 citrate synthase from Mycobacterium smegmatis (441 aa). Also highly similar to others e.g. AAF14286.1|AF181118_1|AF181118 citrate synthase from Streptomyces coelicolor (429 aa); P42457|CISY_CORGL citrate synthase from Corynebacterium glutamicum (437 aa), FASTA scores: opt: 1847, E(): 0, (63.0% identity in 433 aa overlap); etc. Also similar to two other Mycobacterium tuberculosis citrate synthases, Rv0889|MTCY31.17c|citA (373 aa), FASTA score: (29.2% identity in 274 aa overlap) and Rv1131|MTCY22G8.20|gltA1 (393 aa). Contains PS00480 Citrate synthase signature. Belongs to the citrate synthase family.</t>
  </si>
  <si>
    <t>Rv0897c, (MTCY31.25c), len: 535 aa. Possible oxidoreductase, similar to various oxidoreductases from diverse organisms e.g. CAB94055.1|AL358672 putative oxidoreductase from Streptomyces coelicolor (540 aa); NP_147877.1|NC_000854 phytoene dehydrogenase from Aeropyrum pernix (549 aa); Q01671|CRTD_RHOSH methoxyneurosporene dehydrogenase from Rhodobacter sphaeroides (495 aa), FASTA scores: opt: 139, E(): 2.6e-06, (23.8% identity in 538 aa overlap); etc. Also similar to Rv1432, Rv2997, and Rv3829c from Mycobacterium tuberculosis.</t>
  </si>
  <si>
    <t>Rv0898c, (MTCY31.26c), len: 87 aa. Conserved hypothetical protein, highly similar to CAC01589.1|AL391041 hypothetical protein from Streptomyces coelicolor (87 aa). Also shows some similarity to Rv0709|MTCY210.28|rpmC from Mycobacterium tuberculosis (77 aa), FASTA score: (28.8% identity in 73 aa overlap).</t>
  </si>
  <si>
    <t>The protein behaved as a porin of low specific activity. Structural protein that may protect the integrity of the bacterium.</t>
  </si>
  <si>
    <t>Outer membrane protein A OmpA</t>
  </si>
  <si>
    <t>Rv0899, (MTCY31.27), len: 326 aa. OmpA, outer membrane protein A (See Senaratne et al., 1998). C-terminal region similar to C-terminus of many members of the OmpA family of outer membrane proteins, e.g. NP_458280.1|NC_003198 putative outer membrane protein from Salmonella enterica subsp. enterica serovar Typhi (220); NP_418008.1|NC_000913 putative outer membrane protein from Escherichia coli strain K12 (219 aa), FASTA scores: opt: 296, E(): 2.2e-11, (45.3% identity in 117 aa overlap); NP_231844.1|NC_002505 outer membrane protein OmpA from Vibrio cholerae (321 aa); Q05146|OMPA_BORAV outer membrane protein A precursor from Bordetella avium (194 aa); etc. A signal peptide sequence probably exists at the N-terminus. N-terminal domain is necessary and sufficient for membrane translocation (See Alahari et al., 2007). Contains PS00044 Bacterial regulatory proteins, lysR family signature. Belongs to the OmpA family. Pore-forming activity is pH-dependent.</t>
  </si>
  <si>
    <t>Rv0900</t>
  </si>
  <si>
    <t>Rv0900, (MTCY31.28), len: 50 aa. Possible membrane protein, with hydrophobic domain from aa 4-26.</t>
  </si>
  <si>
    <t>Possible conserved exported or membrane protein</t>
  </si>
  <si>
    <t>Rv0901, (MTCY31.29), len: 175 aa. Possible conserved exported or membrane protein, with hydrophobic N-terminus at aa 7-25. Shows some similarity in C-terminus to O33070|Z99494|MLCB57.59 hypothetical protein from Mycobacterium leprae (113 aa), FASTA scores: opt: 204, E(): 3.2e-12, (44.9% identity in 78 aa overlap).</t>
  </si>
  <si>
    <t>Sensor part of the two component regulatory system PRRA/PRRB. Thought to be involved in the environmental adaptation, specifically in an early phase of the intracellular growth.</t>
  </si>
  <si>
    <t>Two component sensor histidine kinase PrrB</t>
  </si>
  <si>
    <t>Rv0902c, (MTCY31.30c), len: 446 aa. PrrB, two-component sensor histidine kinase (see citations below), transmembrane protein, equivalent to MLCB57_26|NP_302403.1|NC_002677 sensor histidine kinase from Mycobacterium leprae (446 aa); and similar at C-termini to NP_301251.1|NC_002677 putative two-component system sensor kinase from Mycobacterium leprae (519 aa). C-terminus also similar to the C-termini of many sensor-like histidine kinase proteins e.g. P08336|CPXA_ECOLI|ECFB|SSD|EUP|B3911|Z5456|ECS4837 sensor protein from Escherichia coli strain K12 (457 aa), FASTA scores: opt: 364, E(): 1.7e-15, (27.1% identity in 398 aa overlap); CAB89748.1|AL354616 putative two-component histidine kinase from Streptomyces coelicolor (483 aa); CAB82845.1|AJ277081 putative histidine kinase from Amycolatopsis mediterranei (472 aa); etc. Also similar in part to Mycobacterium tuberculosis proteins Rv3764c (475 aa); and Rv0982 (504 aa). Thought to be induced at phagocytosis (see Graham &amp; Clark-Curtiss 1999).</t>
  </si>
  <si>
    <t>Transcriptional regulator part of the two component regulatory system PRRA/PRRB. Thought to be involved in the environmental adaptation, specifically in an early phase of the intracellular growth.</t>
  </si>
  <si>
    <t>Two component response transcriptional regulatory protein PrrA</t>
  </si>
  <si>
    <t>Rv0903c, (MTCY31.31c), len: 236 aa. PrrA, two-component response regulator (see citations below), equivalent to Z99494|MLCB57_27|NP_302402.1|NC_002677 two-component response regulator from Mycobacterium leprae (233 aa), FASTA scores: opt: 1414, E(): 0, (95.7% identity in 233 aa overlap); and similar to T45446 probable two-component response regulator from Mycobacterium leprae (253 aa). Also similar to many sensor-like histidine kinase proteins e.g. CAB88489.1|AL353816 putative two-component systen response regulator from Streptomyces coelicolor (248 aa); AAG36759.1|AF119221_1 |AF119221 response regulator from Corynebacterium glutamicum (232 aa); Q02540|COPR_PSESM transcriptional activator protein COPR from Pseudomonas syringae (pv. tomato) (227 aa), FASTA scores: opt: 600, E(): 0, (44.4% identity in 225 aa overlap); etc. Also similar to Rv0981 from Mycobacterium tuberculosis (230 aa), Rv3765c (234 aa), phoP (247 aa), etc. Thought to be induced at phagocytosis (see Graham &amp; Clark-Curtiss 1999).</t>
  </si>
  <si>
    <t>This protein is a component of the acetyl coenzyme A carboxylase complex; first, biotin carboxylase catalyzes the carboxylation of the carrier protein and then the transcarboxylase transfers the carboxyl group to form malonyl-CoA [catalytic activity ATP + acetyl-CoA + HCO(3)(-) = ADP + phosphate + malonyl-CoA].</t>
  </si>
  <si>
    <t>Putative acetyl-coenzyme A carboxylase carboxyl transferase (subunit beta) AccD3 (accase beta chain)</t>
  </si>
  <si>
    <t>Rv0904c, (MTCY31.32c, MT0927), len: 495 aa. Putative accD3, acetyl-CoA carboxylase carboxyl transferase, beta subunit (carboxyltransferase subunit of acetyl-CoA carboxylase), highly similar in part to AAA63045.1|U15184 zinc finger protein from Mycobacterium leprae (201 aa). Also highly similar to others e.g. CAC42827.1|Y17592 putative carboxyltransferase subunit of acetyl-CoA carboxylase from Corynebacterium glutamicum (491 aa); CAB86110.1|AL163003 putative acetyl CoA carboxylase (alpha and beta subunits) from Streptomyces coelicolor (458 aa); Q54776|ACCD_SYNP7 acetyl-coenzyme A carboxylase carboxyl transferase subunit beta from Synechococcus sp. (305 aa); P12217|ACCD_MARPO acetyl-coenzyme A carboxylase carboxyl transferase subunit beta from Marchantia polymorpha (316 aa), FASTA scores: opt: 519, E():1.6e-24, (40.2% identity in 219 aa overlap); etc. Also similar to Rv3280, Rv2502c, etc from Mycobacterium tuberculosis. Belongs to the ACCD/PCCB family.</t>
  </si>
  <si>
    <t>Possible enoyl-CoA hydratase EchA6 (enoyl hydrase) (unsaturated acyl-CoA hydratase) (crotonase)</t>
  </si>
  <si>
    <t>Rv0905, (MTCY31.33), len: 243 aa. Possible echA6, enoyl-CoA hydratase, highly similar to ML15184|U15184 enoyl-CoA hydratase from Mycobacterium leprae (247 aa), FASTA score: (85.8% identity in 247 aa overlap). Also similar to many e.g. NP_250320.1|NC_002516 probable enoyl-CoA hydratase/isomerase from Pseudomonas aeruginosa (261 aa); NP_415911.1|NC_000913 putative enzyme from Escherichia coli strain K12 (255 aa); P24162|ECHH_RHOCA|FADB1 enoyl-CoA hydratase homolog from Rhodobacter capsulatus (Rhodopseudomonas capsulata) (257 aa), FASTA scores: opt: 404, E():7.8e-21, (37.3% identity in 249 aa overlap); etc.</t>
  </si>
  <si>
    <t>Rv0906, (MTCY31.34), len: 372 aa. Conserved protein, highly similar to others e.g. SC6A5.25|AL049485|T35416 hypothetical protein from Streptomyces coelicolor (370 aa), FASTA scores: opt: 1125, E(): 0, (51.3% identity in 335 aa overlap); NP_242955.1|NC_002570|BH2089 conserved protein from Bacillus halodurans (370 aa); etc. Also shows some similarity to C-terminus of Q48412|ROMA_KLEPN Q48412 outer membrane protein roma (fragment) from Klebsiella pneumoniae (132 aa), FASTA scores: opt: 319, E(): 8.5e-14, (46.2% identity in 104 aa overlap); NP_105215.1|NC_002678 hypothetical protein which contains similarity to outer membrane protein romA from Enterobacter cloacae (350 aa); etc. Predicted to be an outer membrane protein (See Song et al., 2008).</t>
  </si>
  <si>
    <t>Function unknown, possibly involved in cell wall biosynthesis.</t>
  </si>
  <si>
    <t>Rv0907, (MTCY21C12.01), len: 532 aa. Conserved protein, possibly involved in cell wall biosynthesis: similar to many beta-lactamases, penicillin-binding proteins and hypothetical proteins e.g. NP_298910.1|NC_002488 beta-lactamase from Xylella fastidiosa (455 aa); Q06317|PBP4_NOCLA penicillin-binding protein 4 (PBP-4) (381 aa), FASTA scores: opt: 299, E(): 8.8e-05, (28.7% identity in 401 aa overlap); etc. N-terminus highly similar to AAA63047.1|U15184 hypothetical protein from Mycobacterium leprae (58 aa). Related to other putative esterases and penicillin binding proteins in Mycobacterium tuberculosis e.g. Rv1730c|MTCY04C12.15c (517 aa).</t>
  </si>
  <si>
    <t>Probable metal cation transporter ATPase P-type CtpE</t>
  </si>
  <si>
    <t>Rv0908, (MTCY21C12.02), len: 797 aa. Probable ctpE, metal cation-transporting ATPase P-type, transmembrane protein, E1-E2 family, highly similar to many e.g. AB93406.1|AL357524 putative integral membrane ATPase from Streptomyces coelicolor (802 aa); NP_346063.1|NC_003028 cation-transporting ATPase (E1-E2 family) from Streptococcus pneumoniae (778 aa); P37278|ATCL_SYNP7|PACL cation-transporting atpase from Synechococcus sp. strain PCC 7942 (Anacystis nidulans R2) (926 aa), FASTA scores: opt: 257, E(): 4.8e-33, (27.7% identity in 905 aa overlap); etc. Contains E1-E2 ATPases phosphorylation site (PS00154). Belongs to the cation transport ATPases family (E1-E2 ATPases).</t>
  </si>
  <si>
    <t>Rv0909</t>
  </si>
  <si>
    <t>Rv0909, (MTCY21C12.03), len: 59 aa. Conserved hypothetical protein, equivalent to NP_302399.1|NC_002677 conserved hypothetical protein from Mycobacterium leprae (56 aa). Also some similarity with AL022268|SC4H2_10c hypothetical protein from Streptomyces coelicolor (97 aa), FASTA scores: opt: 106, E(): 0.13, (43.2% identity in 37 aa overlap).</t>
  </si>
  <si>
    <t>Rv0910, (MTCY21C12.04), len: 144 aa. Conserved hypothetical protein, equivalent to NP_302398.1|NC_002677 conserved hypothetical protein from Mycobacterium leprae (181 aa), FASTA scores: opt: 820, E(): 0, (83.9% identity in 143 aa overlap). Also similar to Rv1546|MTCY48.19c hypothetical protein from Mycobacterium tuberculosis (143 aa). A core mycobacterial gene; conserved in mycobacterial strains (See Marmiesse et al., 2004).</t>
  </si>
  <si>
    <t>Rv0911, (MTCY21C12.05), len: 257 aa. Conserved protein, showing similarity with hydroxylases and hypothetical proteins e.g. T35325 probable hydroxylase from Streptomyces coelicolor (265 aa); Q54242 hypothetical protein from Streptomyces, FASTA scores: opt: 372, E(): 8.8e-18, (32.0% identity in 256 aa overlap); AAD04716.1|U77891 doxorubicin biosynthesis enzyme DnrV from Streptomyces peucetius (275 aa); AAA63051.1|U15184 hypothetical protein from Mycobacterium leprae (94 aa); etc. Also similar to Rv0577 hypothetical protein from Mycobacterium tuberculosis (261 aa).</t>
  </si>
  <si>
    <t>Rv0912, (MTCY21C12.06), len: 149 aa. Probable conserved transmembrane protein, equivalent to Q50121|NP_302397.1|NC_002677 conserved hypothetical protein from Mycobacterium leprae (144 aa), FASTA scores: opt: 677, E(): 6.9e-38, (69.5% identity in 141 aa overlap). A core mycobacterial gene; conserved in mycobacterial strains (See Marmiesse et al., 2004).</t>
  </si>
  <si>
    <t>Possible dioxygenase</t>
  </si>
  <si>
    <t>Rv0913c, (MTCY21C12.07c), len: 502 aa. Possible dioxygenase, showing similarity with others e.g. AAK38744.1|AY029525 carotenoid 9,10-9',10' cleavage dioxygenase from Phaseolus vulgaris (543 aa); CAB56138.1|AL117669 putative dioxygenase from Streptomyces coelicolor (503 aa); AAK06796.1|AF324838_15|AF324838 putative dioxygenase SimC5 from Streptomyces antibioticus (456 aa); Q53353|S65040 lignostilbene-alpha,beta-dioxygenase from Pseudomonas paucimobilis (485 aa), FASTA scores: opt: 310, E(): 3.4e-20, (28.9% identity in 495 aa overlap); etc. Also some similarity with Rv0654|MTCI376.22 probable dioxygenase from Mycobacterium tuberculosis (501 aa).</t>
  </si>
  <si>
    <t>Thought to be involved in degradative pathways such as fatty acid BETA_OXIDATION.</t>
  </si>
  <si>
    <t>Possible lipid carrier protein or keto acyl-CoA thiolase</t>
  </si>
  <si>
    <t>Rv0914c, (MTCY21C12.08c), len: 412 aa. Possible lipid carrier protein or keto acyl-CoA thiolase, highly similar to NP_421905.1|NC_002696 thiolase family protein from Caulobacter crescentus (407 aa); and similar to others e.g. NP_107896.1|NC_002678 3-ketoacyl-CoA thiolase from Mesorhizobium loti (392 aa); NP_385796.1|NC_003047 putative 3-ketoacyl-CoA thiolase protein from Sinorhizobium meliloti (389 aa); NP_275932.1|NC_000916 lipid-transfer protein (sterol or nonspecific) from Methanothermobacter thermautotrophicus (383 aa); AB55378.1|AL117263 possible 3-ketoacyl-CoA thiolase from Leishmania major (441 aa), FASTA scores: opt: 547, E(): 3.1e-26, (31.0% identity in 435 aa overlap); etc. Also similar to Rv2790c, Rv1627c, Rv0244, etc from Mycobacterium tuberculosis. Could belong to the thiolase family.</t>
  </si>
  <si>
    <t>Function unknown. Possibly a protective antigen involved with the early control of infection.</t>
  </si>
  <si>
    <t>PPE family protein PPE14</t>
  </si>
  <si>
    <t>Rv0915c, (MTCY21C12.09c), len: 423 aa. PPE14 (alternate gene name: MTB41). Member of the Mycobacterium tuberculosis PPE family (see citation below), highly similar to many e.g. Rv1807 from Mycobacterium tuberculosis (403 aa), FASTA scores: opt: 966, E(): 4.4e-30, (45.7% identity in 392 aa overlap); etc. Contains PS00626 Regulator of chromosome condensation (RCC1) signature 2.</t>
  </si>
  <si>
    <t>PE7</t>
  </si>
  <si>
    <t>Rv0916c</t>
  </si>
  <si>
    <t>PE family protein PE7</t>
  </si>
  <si>
    <t>Rv0916c, (MTCY21C12.10c), len: 99 aa. PE7 (alternate gene name: MTB10). Member of the Mycobacterium tuberculosis PE family (see citations below), similar to many e.g. Rv1788 from Mycobacterium tuberculosis (99 aa), FASTA scores: opt: 321, E(): 1.3e-11, (53.5% identity in 99 aa overlap); etc.</t>
  </si>
  <si>
    <t>High-affinity uptake of glycine betaine. Supposedly responsible for the translocation of the substrate across the membrane.</t>
  </si>
  <si>
    <t>Possible glycine betaine transport integral membrane protein BetP</t>
  </si>
  <si>
    <t>Rv0917, (MTCY21C12.11), len: 593 aa. Possible betP, glycine betaine transporter, integral membrane protein, highly similar to many transporters, mainly glycine betaine transporters, e.g. P54582|BETP_CORGL glycine betaine transporter from Corynebacterium glutamicum (Brevibacterium flavum) (595 aa), FASTA scores: opt: 1367, E(): 0, (42.7% identity in 504 aa overlap); T35264 probable BccT family transporter from Streptomyces coelicolor (578 aa); NP_243511.1|NC_002570 glycine betaine transporter from Bacillus halodurans (504 aa); NP_439848.1|NC_000907 high-affinity choline transport protein (betT) from Haemophilus influenzae (669 aa); etc. Seems to belong to the BCCT (TC 2.33) family of transporters.</t>
  </si>
  <si>
    <t>Rv0918</t>
  </si>
  <si>
    <t>Rv0918, (MTCY21C12.12), len: 158 aa. Conserved protein, similar in part to Q50116 hypothetical protein from Mycobacterium leprae (44 aa), FASTA scores: opt: 132, E(): 0.0055, (65.6% identity in 32 aa overlap). Also some similarity in C-terminus with other hypothetical proteins e.g. NP_289961.1|NC_002655 hypothetical protein from Escherichia coli strain O157:H7 (94 aa); etc.</t>
  </si>
  <si>
    <t>Rv0919, (MTCY21C12.13), len: 166 aa. Probable acetyltransferase. Contains GNAT (Gcn5-related N-acetyltransferase) domain. See Vetting et al. 2005. Some similarity to Q50115 hypothetical protein from Mycobacterium leprae (90 aa), FASTA scores: opt: 243, E(): 5.3e-11, (56.5% identity in 85 aa overlap). Alternative nucleotide at position 1025106 (T-&gt;C; F141F) has been observed.</t>
  </si>
  <si>
    <t>Required for the transposition of the insertion element IS1554.</t>
  </si>
  <si>
    <t>Probable transposase</t>
  </si>
  <si>
    <t>Rv0920c, (MTCY21C12.14c), len: 439 aa. Probable transposase for IS1554, highly similar to others e.g. MTCY441.35|Q45111 transposase from Mycobacterium tuberculosis (419 aa), FASTA scores: opt: 1113, E(): 0, (43.9% identity in 378 aa overlap); etc. Contains transposases mutator family signature (PS01007).</t>
  </si>
  <si>
    <t>Rv0921, (MTCY21C12.15), len: 193 aa. Possible resolvase for IS1535, highly similar to many bacterial resolvases e.g. MTCY274.17c|YX1C_MYCTU Q10831 from Mycobacterium tuberculosis (295 aa), FASTA scores: opt: 537, E(): 5.7e-29, (51.8% identity in 166 aa overlap). Presents an helix turn helix motif.</t>
  </si>
  <si>
    <t>Required for the transposition of the insertion element IS1535</t>
  </si>
  <si>
    <t>Possible transposase</t>
  </si>
  <si>
    <t>Rv0922, (MTCY21C12.16), len: 550 aa. Possible transposase for IS1535, similar to many e.g. YX16_MYCTU|Q10809|MTCY274.16c from Mycobacterium tuberculosis (460 aa), FASTA scores: opt 939, E(): 0, (40.6% identity in 465 aa overlap); etc.</t>
  </si>
  <si>
    <t>Rv0923c, (MTCY21C12.17c), len: 354 aa. Conserved hypothetical protein, showing similarity with C-terminal part of AF034138|AF034138_7|yjoB hypothetical protein from Bacillus subtilis (200 aa), FASTA scores: opt: 193, E(): 4.2e-05, (32.3% identity in 167 aa overlap).</t>
  </si>
  <si>
    <t>H(+)-stimulated, highly selective, divalent cation uptake system. Responsible for the translocation of the divalent metal across the membrane.</t>
  </si>
  <si>
    <t>Divalent cation-transport integral membrane protein MntH (BRAMP) (MRAMP)</t>
  </si>
  <si>
    <t>Rv0924c, (MTCY21C12.18c), len: 428 aa. MntH (alternative gene name: Nramp, Mramp), H+-dependent divalent cation-transport integral membrane protein (see citations below), equivalent to O69443|MNTH_MYCBO probable manganese transport protein MNTH (BRAMP) from Mycobacterium bovis (415 aa); and NP_302396.1|NC_002677 probable manganese transport protein from Mycobacterium leprae (426 aa). Also similar (but longer 51 aa in N-terminus) to AAA63075.1|U15184 SMF2 protein from Mycobacterium leprae (377 aa), FASTA scores: opt: 1780, E(): 0, (74.5% identity in 376 aa overlap). Also similar to many orthologues of the eukaryotic Nramp (natural resistance-associated macrophage protein), also known as mntH, e.g. NP_456951.1|NC_003198 manganese transport protein MntH from Salmonella enterica subsp. enterica serovar Typhi (413 aa); etc. Belongs to the NRAMP family.</t>
  </si>
  <si>
    <t>Rv0925c, (MTCY21C12.19c), len: 245 aa. Conserved protein, similar to AL132991|SCF55_19 hypothetical protein from Streptomyces coelicolor (197 aa), FASTA scores: opt: 459, E(): 1.2e-23, (39.3% identity in 201 aa overlap).</t>
  </si>
  <si>
    <t>Rv0926c, (MTCY21C12.20c), len: 358 aa. Conserved hypothetical protein, similar to Rv1059 conserved hypothetical protein from Mycobacterium tuberculosis (354 aa). Also shows some similarity to AF170923|AF170923_3 dihydrodipicolinate reductase from Mastigocladus laminosus (278 aa), FASTA scores: opt: 170, E(): 0.00088, (25.7% identity in 276 aa overlap).</t>
  </si>
  <si>
    <t>Rv0927c, (MTCY21C12.21c), len: 263 aa. Probable short-chain dehydrogenase/reductase, similar to various dehydrogenases/reductases, notably 7-alpha-hydroxysteroid dehydrogenases and glucose 1-dehydrogenases e.g. P25529|HDHA_ECOLI 7-alpha-hydroxysteroid dehydrogenase from Escherichia coli (255 aa), FASTA scores: opt: 551, E(): 1e-26, (39.5% identity in 248 aa overlap); NP_252778.1|NC_002516 probable short-chain dehydrogenase from Pseudomonas aeruginosa (253 aa); AAC44307.1|U59433 3-ketoacyl-acyl carrier protein reductase from Bacillus subtilis (246 aa); etc. Also similar to other dehydrogenases from Mycobacterium tuberculosis e.g. MTCY09F9.36, E():1.4e-18; MTCY369.14, E():8e-17; MTCY02B10.14, E():2.5e-14; MTCY09F9.23c, E():1.5e-13; MTCY03C7.07, E():1.9e-13. Contains PS00061 Short-chain dehydrogenases/reductases family signature, and PS00017 ATP/GTP-binding site motif A (P-loop). Belongs to the short-chain dehydrogenases/reductases (SDR) family.</t>
  </si>
  <si>
    <t>Involved in active transport of inorganic phosphate across the membrane (import). This is one of the proteins required for binding-protein-mediated phosphate transport.</t>
  </si>
  <si>
    <t>Periplasmic phosphate-binding lipoprotein PstS3 (PBP-3) (PstS3) (PHOS1)</t>
  </si>
  <si>
    <t>Rv0928, (MTCY21C12.22), len: 370 aa. PstS3 (previously known as phoS2), phosphate-binding lipoprotein component of inorganic phosphate transport system (see citations below), highly similar to others from Mycobacterium leprae e.g. Q50099|PSTS3|PHOS1 phosphate-binding protein 3 precursor (328 aa), FASTA scores: opt: 1772, E(): 0, (79.6% identity in 328 aa overlap); and highly similar to others e.g. AAF74819.1|AF137360_1|AF137360 periplasmic phosphate permease from Mycobacterium avium (369 aa). Also highly similar to Rv0932c|MTCY08D9.07|pstS2 phosphate-binding periplasmic lipoprotein (370 aa); and Rv0934|pstS1 phosphate-binding periplasmic lipoprotein (374 aa) from Mycobacterium tuberculosis (Mycobacterium tuberculosis seems to have three PstS-like proteins, others being Rv0932c and Rv0934c). Contains lipoprotein signature (PS00013) at N-terminus. Belongs to family of phosphate receptors for bacterial ABC-type lipoprotein transporters.</t>
  </si>
  <si>
    <t>Involved in active transport of inorganic phosphate across the membrane (import); responsible for the translocation of the substrate across the membrane. This is one of the proteins required for binding-protein-mediated phosphate transport.</t>
  </si>
  <si>
    <t>Phosphate-transport integral membrane ABC transporter PstC2</t>
  </si>
  <si>
    <t>Rv0929, (MTCY21C12.23), len: 324 aa. PstC2, phosphate-transport integral membrane ABC transporter (see citations below), highly similar to others e.g. NP_302394.1|NC_002677 membrane-bound component of phosphate transport from Mycobacterium leprae (319 aa); CAB88474.1|AL353816 phosphate ABC transport system permease protein from Streptomyces coelicolor (336 aa); NP_290359.1| NC_002655 high-affinity phosphate-specific transport system (cytoplasmic membrane component) from Escherichia coli strain O157:H7 (319 aa); etc. Also similar to Rv935|MTCY08D9.04c|PSTC1 probable transmembrane ABC transporter component of phosphate uptake system from Mycobacterium tuberculosis (338 aa). Contains binding-protein-dependent transport systems inner membrane component signature (PS00402).</t>
  </si>
  <si>
    <t>Probable phosphate-transport integral membrane ABC transporter PstA1</t>
  </si>
  <si>
    <t>Rv0930, (MTCY21C12.24), len: 308 aa. Probable pstA1, phosphate-transport integral membrane ABC transporter (see citation below), highly similar to others e.g. NP_302393.1|NC_002677 membrane-bound component of phosphate transport from Mycobacterium leprae (304 aa); CAB88473.1|AL353816 phosphate ABC transport system permease protein from Streptomyces coelicolor (354 aa) (N-terminus longer); NP_312689.1|NC_002695 phosphate transport system permease protein PstA from Escherichia coli strain O157:H7 (296 aa); etc. Also similar to Rv0936|MTCY08D9.03c|PSTA2 probable transmembrane ABC transporter component of phosphate uptake system from Mycobacterium tuberculosis (301 aa).</t>
  </si>
  <si>
    <t>pknD</t>
  </si>
  <si>
    <t>Involved in signal transduction (via phosphorylation). Thought to regulate phosphate transport. Can phosphorylate the peptide substrate myelin basic protein (MBP) at serine and threonine residues. Can be autophosphorylated on threonine residues [catalytic activity: ATP + a protein = ADP + a phosphoprotein].</t>
  </si>
  <si>
    <t>Transmembrane serine/threonine-protein kinase D PknD (protein kinase D) (STPK D)</t>
  </si>
  <si>
    <t>Rv0931c, (MTCY08D9.08), len: 664 aa. PknD (alternate gene name: mbk), transmembrane serine/threonine protein kinase (see citations below), equivalent to CAB62227.1|AJ250200 putative serine/threonine protein kinase from Mycobacterium bovis BCG (291 aa); and highly similar in N-terminus to P54744|PKNB_MYCLE probable serine/threonine-specific protein kinase from Mycobacterium leprae (622 aa). Also highly similar to others, particularly in N-terminal half e.g. NP_243370.1|NC_002570 serine/threonine protein kinase from Bacillus halodurans (664 aa); NP_268044.1|NC_002662 serine/threonine protein kinase from Lactococcus lactis (627 aa); etc. Also highly similar to other serine/threonine protein kinases from Mycobacterium tuberculosis e.g. pknH (626 aa), FASTA scores: opt: 1398, E: 0, (49.3% identity in 540 aa overlap); pknE (566 aa); pknB (626 aa); Rv3524 (343 aa); etc. Contains Hank's kinase subdomain. Contains two transmembrane segments, which flank a highly repetitive region, suggesting a receptor-like anchoring. Belongs to the Ser/Thr family of protein kinases. Experimental studies show evidence of auto-phosphorylation on a serine residue. Appears to be co-transcribed with Rv0932c|pstS2.</t>
  </si>
  <si>
    <t>Periplasmic phosphate-binding lipoprotein PstS2 (PBP-2) (PstS2)</t>
  </si>
  <si>
    <t>Rv0932c, (MTCY08D9.07), len: 370 aa. PstS2, phosphate-binding lipoprotein component of inorganic phosphate transport system (see citations below), highly similar to AAF74819.1|AF137360_1|AF137360 periplasmic phosphate permease from Mycobacterium avium (369 aa); Rv0928|MTCY21C12.22|pstS3 phosphate-binding periplasmic lipoprotein from Mycobacterium tuberculosis (370 aa), FASTA scores: opt: 1601, E(): 0, (64.5% identity in 372 aa overlap); and Rv0934|MTCY08D9.05c|pstS1 phosphate-binding periplasmic lipoprotein from Mycobacterium tuberculosis (374 aa) (Mycobacterium tuberculosis seems to have three PstS-like proteins, others being Rv0928 and Rv0934c). Also highly similar to MTCY08D9.05c|P15712|PAB_MYCTU protein antigen B precursor from Mycobacterium tuberculosis (374 aa), FASTA scores: opt: 460, E(): 2.7e-20, (31.2% identity in 375 aa overlap). Contains prokaryotic membrane lipoprotein lipid attachment site (PS00013) at N-terminus so the leader peptide of 22 aa is probably removed. Belongs to family of phosphate receptors for bacterial ABC-type lipoprotein transporters. Appears to be co-transcribed with Rv0931c|pknD|mbk.</t>
  </si>
  <si>
    <t>pstB</t>
  </si>
  <si>
    <t>Involved in active transport of inorganic phosphate across the membrane (import); responsible for energy coupling to the transport system. This is one of the proteins required for binding-protein-mediated phosphate transport. Have ATP-binding ability and ATPase activity.</t>
  </si>
  <si>
    <t>Phosphate-transport ATP-binding protein ABC transporter PstB</t>
  </si>
  <si>
    <t>Rv0933, (MTCY08D9.06c), len: 276 aa. PstB, phosphate-transport ATP-binding protein ABC transporter (see citations below), thermostable ATPase, highly similar to others e.g. NP_348334.1|NC_003030 ATPase component of ABC-type phosphate transport system from Clostridium acetobutylicum (249 aa); NP_212352.1|NC_001318 phosphate ABC transporter ATP-binding protein (pstB) from Borrelia burgdorferi (260 aa); NP_390375.1|NC_000964 phosphate ABC transporter (ATP-binding protein) from Bacillus subtilis (269 aa), FASTA scores: opt: 762, E(): 0, (47.7% identity in 243 aa overlap); etc. Also similar to other M. tuberculosis ABC transporters e.g. MTCY253.24, E(): 2.5e-15 and MTCY359.14c, E(): 3.4e-15. Contains PS00211 ABC transporters family signature, and PS00017 ATP/GTP-binding site motif A (P-loop). Belongs to the ATP-binding transport protein family (ABC transporters). Magnesium or calcium seem to have no influence on the functionality of this enzyme.</t>
  </si>
  <si>
    <t>Periplasmic phosphate-binding lipoprotein PstS1 (PBP-1) (PstS1)</t>
  </si>
  <si>
    <t>Rv0934, (MTCY08D9.05c), len: 374 aa. PstS1 (previously known as phoS1 or phoS), phosphate-binding lipoprotein component of inorganic phosphate transport system (see citations below), highly similar to Rv0932c|MTCY08D9.07|pstS2 phosphate-binding periplasmic lipoprotein from Mycobacterium tuberculosis (370 aa), FASTA scores: opt: 460, E(): 5.9e-19, (31.2% identity in 375 aa overlap); and Rv0928|MTCY21C12.22|pstS3 phosphate-binding periplasmic lipoprotein from Mycobacterium tuberculosis (374 aa), FASTA scores: opt: 435, E():1.1e-17, (30.0% identity in 380 aa overlap) (Mycobacterium tuberculosis seems to have three PstS-like proteins, others being Rv0932c and Rv0928c). Also highly similar to MTCY08D9.05c|P15712|PAB_MYCTU protein antigen B precursor from Mycobacterium tuberculosis (374 aa), FASTA scores: opt: 2459, E(): 0, (100% identity in 374 aa overlap). Contains a prokaryotic membrane lipoprotein lipid attachment site (PS00013) at the N-terminus so the 23 aa leader peptide sequence is probably removed. Belongs to family of phosphate receptors for bacterial ABC-type lipoprotein transporters.</t>
  </si>
  <si>
    <t>Phosphate-transport integral membrane ABC transporter PstC1</t>
  </si>
  <si>
    <t>Rv0935, (MTCY08D9.04c), len: 338 aa. PstC1, phosphate-transport integral membrane ABC transporter (see citations below), highly similar to others e.g. NP_104768.1|NC_002678|pstC phosphate ABC transporter permease protein from Mesorhizobium loti (327 aa); NP_245372.1|NC_002663|PstC PstC protein from Pasteurella multocida (320 aa); P45191|PSTC_HAEIN phosphate transport system permease from Haemophilus influenza (315 aa), FASTA scores: opt: 667, E(): 0, (36.2% identity in 309 aa overlap); etc. Also similar to Rv0929|MTCY21C12.23|PSTC2 probable transmembrane ABC transporter component of phosphate uptake system from Mycobacterium tuberculosis (324 aa), FASTA scores: opt: 487, E(): 4.1e-21, (32.3% identity in 303 aa overlap); and shows slight similarity to MTCY08D9.03c|PSTA2|Rv0936 probable transmembrane ABC transporter component of phosphate uptake system from Mycobacterium tuberculosis (301 aa). Contains binding-protein-dependent transport systems inner membrane comp signature (PS00402).</t>
  </si>
  <si>
    <t>Phosphate-transport integral membrane ABC transporter PstA2</t>
  </si>
  <si>
    <t>Rv0936, (MTCY08D9.03c), len: 301 aa. PstA2, phosphate-transport integral membrane ABC transporter (see citations below), highly similar to others e.g. NP_442269.1|NC_000911|PstA phosphate transport system permease protein from Synechocystis sp. strain PCC 6803 (287 aa); NP_232473.1|NC_002506 phosphate ABC transporter permease protein from Vibrio cholerae (289 aa); P07654|PSTA_ECOLI phosphate transport system permease from Escherichia coli (296 aa), FASTA scores: opt: 464, E(): 6.7e-24, (30.5% identity in 282 aa overlap); etc. Also similar to O86345|MTCY21C12.24|PSTA1|Rv0930 probable transmembrane ABC transporter component of phosphate uptake system from Mycobacterium tuberculosis (304 aa), FASTA scores: opt: 369, E(): 6.1e-15, (32.7% identity in 248 aa overlap). Contains binding-protein-dependent transport systems inner membrane comp signature (PS00402).</t>
  </si>
  <si>
    <t>mku</t>
  </si>
  <si>
    <t>Involved in DNA double-strand break repair, by nonhomologous end joining (NHEJ). Interacts with LIGD (Rv0938).</t>
  </si>
  <si>
    <t>DNA end-binding protein, Mku</t>
  </si>
  <si>
    <t>Rv0937c, (MTCY08D9.02), len: 273 aa. Mku, DNA end-binding protein, highly similar to others e.g. SC6G9.24c|T35620|AL079356 hypothetical protein from Streptomyces coelicolor (365 aa), FASTA scores: opt: 648, E(): 0, (36.5% identity in 274 aa overlap); Z99110|BSUB0007_223|NP_389224.1|NC_000964 hypothetical proteins from Bacillus subtilis (311 aa), FASTA scores: opt: 623, E(): 1.1e-31, (33.9% identity in 274 aa overlap); O28548|AE000984|AF1726|NP_070554.1|NC_000917 conserved hypothetical protein from Archaeoglobus fulgidus (286 aa), FASTA scores: opt: 583, E(): 0, (36.6% identity in 262 aa overlap); etc.</t>
  </si>
  <si>
    <t>ligD</t>
  </si>
  <si>
    <t>Involved in DNA double-strand break repair, by nonhomologous end joining (NHEJ). Interacts with KU (Rv0937c) [catalytic activity:ATP + {deoxyribonucleotide}(N) + {deoxyribonucleotide}(M) = AMP + diphosphate + {deoxyribonucleotide}(N+M)].</t>
  </si>
  <si>
    <t>ATP dependent DNA ligase LigD (ATP dependent polydeoxyribonucleotide synthase) (thermostable DNA ligase) (ATP dependent polynucleotide ligase) (sealase) (DNA repair enzyme) (DNA joinase)</t>
  </si>
  <si>
    <t>Rv0938, (MTCY08D9.01c, MTCY10D7.36c), len: 759 aa. ligD, ATP-dependent DNA ligase, with its C-terminus similar to N-terminal parts of many ATP-dependent DNA ligases e.g. NP_250828.1|NC_002516 probable ATP-dependent DNA ligase from Pseudomonas aeruginosa (840 aa); NP_105436.1|NC_002678 ATP-dependent DNA ligase from Mesorhizobium loti (829 aa); CAB92891.1|AL356932 probable ATP-dependent DNA ligase from Streptomyces coelicolor (326 aa); etc. The N-terminal half shows similarity with hypothetical proteins from Mycobacterium tuberculosis Rv0269c and Rv3730c; and the C-terminal half with the DNA ligases Rv3731 and Rv3062.</t>
  </si>
  <si>
    <t>Function unknown; probably involved in cellular metabolism, possibly in a degradation pathway.</t>
  </si>
  <si>
    <t>Possible bifunctional enzyme: 2-hydroxyhepta-2,4-diene-1,7-dioate isomerase (HHDD isomerase) + cyclase/dehydrase</t>
  </si>
  <si>
    <t>Rv0939, (MTCY10D7.35c), len: 644 aa. Possible bifunctional enzyme, including 2-hydroxyhepta-2,4-diene-1,7-dioate isomerase activity, and cyclase/dehydrase activity. N-terminal part similar to many isomerases e.g. NP_343861.1|NC_002754 2-hydroxyhepta-2,4-diene-1,7-dioate isomerase (hpcE-1) from Sulfolobus solfataricus (318 aa); NP_068932.1|NC_000917 2-hydroxyhepta-2,4-diene-1,7-dioate isomerase (hpcE-1) from Archaeoglobus fulgidus (324 aa), FASTA scores: opt: 400, E(): 5.8e-15, (33.9% identity in 289 aa overlap); etc. And C-terminal part highly similar to many cyclases/dehydrases e.g. AAK61721.1|AY033994 cyclase-like protein from Streptomyces aureofaciens (305 aa); CAC44204.1|AL593842 cyclase from Streptomyces coelicolor (297 aa), FASTA scores: opt: 375, E(): 2.7e-26, (35.6% identity in 284 aa overlap); NP_343860.1|NC_002754 putative Cyclase/dehydrase from Sulfolobus solfataricus (308 aa); etc. Also similar to Rv2993c hypothetical protein from Mycobacterium tuberculosis.</t>
  </si>
  <si>
    <t>Rv0940c, (MTCY10D7.34), len: 288 aa. Possible oxidoreductase, similar to hypothetical proteins and oxidoreductases e.g. AAK38097.1|AF323606_3|AF323606 putative F420-dependent dehydrogenase from Rhodococcus erythropolis (295 aa); AAG52987.1|AF040570|Rif17 putative alkanal monooxygenase from Amycolatopsis mediterranei (356 aa); etc. Also similar to putative oxidoreductases from Mycobacterium tuberculosis such as Rv0953c|P71557|YT21_MYCTU (282 aa), FASTA scores: opt: 311, E(): 3.7e-08, (31.0% identity in 248 aa overlap), Rv3079c (275 aa), Rv0791c (347 aa), etc.</t>
  </si>
  <si>
    <t>Rv0941c, (MTCY10D7.33), len: 257 aa. Conserved hypothetical protein, showing some similarity with parts of several hypothetical proteins from Streptomyces coelicolor e.g. AL035161|SC9C7_20 (860 aa), FASTA scores: opt: 197, E(): 2.6e-05, (34.2% identity in 114 aa overlap).</t>
  </si>
  <si>
    <t>Rv0942, (MTCY10D7.32c), len: 92 aa. Hypothetical unknown protein.</t>
  </si>
  <si>
    <t>Rv0943c</t>
  </si>
  <si>
    <t>Rv0943c, (MTCY10D7.31), len: 346 aa. Possible monooxygenase, similar in part to others e.g. NP_250229.1|NC_002516 probable flavin-containing monooxygenase from Pseudomonas aeruginosa (527 aa); AAC36351.1|AF090329 cyclohexanone monooxygenase homolog from Pseudomonas fluorescens (437 aa); CAB59668.1|AL132674 monooxygenase from Streptomyces coelicolor (519 aa); etc. Also similar to putative monooxygenases from Mycobacterium tuberculosis e.g. Rv1393c|P71662|CY21B4.10C (492 aa). FASTA scores: opt: 129, E(): 8.5e-21, (27.5% identity in 236 aa overlap); Rv0892 (495 aa); Rv3049c (524 aa); etc.</t>
  </si>
  <si>
    <t>This enzyme may play a significant role in processes leading to recovery from mutagenesis and/or cell death by alkylating agents [catalytic activity: hydrolysis of DNA containing ring-opened N7-methylguanine residues, releasing 2,6-diamino-4-hydroxy-5-(N-methyl)formamidopyrimide].</t>
  </si>
  <si>
    <t>Possible formamidopyrimidine-DNA glycosylase (FAPY-DNA glycosylase)</t>
  </si>
  <si>
    <t>Rv0944, (MTCY10D7.30c), len: 158 aa. Possible formamidopyrimidine-DNA glycosylase, similar to C-terminus of formamidopyrimidine-DNA glycosylases e.g. CAB63194.1|AL133469 putative formamidopyrimidine-DNA glycosylase from Streptomyces coelicolor (287 aa); FPG_LACLA|NP_266509.1|NC_002662 formamidopyrimidine-DNA glycosylase from Lactococcus lactis subsp. lactis (273 aa), FASTA scores: opt: 246, E(): 2.4e-09, (28.9% identity in 142 aa overlap); O50606|FPG_THETH|MUTM|FPG formamidopyrimidine-DNA glycosylase from Thermus thermophilus (267 aa); etc. Also similar to C-termini of endonucleases or DNA glycosylases of Mycobacterium tuberculosis e.g. Rv3297, Rv2464c, Rv2924c. May belong to the FPG family.</t>
  </si>
  <si>
    <t>Rv0945, (MTCY10D7.29c), len: 253 aa. Probable short-chain dehydrogenase/reductase, similar to various dehydrogenases/reductases e.g. NP_346338.1|NC_003028 oxidoreductase (short chain dehydrogenase/reductase family) from Streptococcus pneumoniae (253 aa); AAB70845.1|AF019986|PksB from Dictyostelium discoideum (260 aa); AAF86624.1|U87786 clavaldehyde dehydrogenase from Streptomyces clavuligerus (247 aa); P37440|UCPA_ECOLI oxidoreductase from Escherichia coli (285 aa), FASTA scores: opt: 275, E(): 1.1e-12, (33.8% identity in 201 aa overlap); etc. Contains PS00061 Short-chain dehydrogenases/reductases family signature. Belongs to the short-chain dehydrogenases/reductases (SDR) family.</t>
  </si>
  <si>
    <t>Involved in glycolysis and in gluconeogenesis [catalytic activity: D-glucose 6-phosphate = D-fructose 6-phosphate].</t>
  </si>
  <si>
    <t>Probable glucose-6-phosphate isomerase Pgi (GPI) (phosphoglucose isomerase) (phosphohexose isomerase) (phi)</t>
  </si>
  <si>
    <t>Rv0946c, (MTCY10D7.28), len: 553 aa. Probable pgi, glucose-6-phosphate isomerase, equivalent to NP_301236.1|NC_002677 glucose-6-phosphate isomerase from Mycobacterium leprae (554 aa); and P96803|G6PI_MYCSM glucose-6-phosphate isomerase from Mycobacterium smegmatis (442 aa). Also highly similar to others e.g. T36015 glucose-6-phosphate isomerase from Streptomyces coelicolor (551 aa); P11537|G6PI_ECOLI|GPI glucose-6-phosphate isomerase from Escherichia coli strains K12 and O157:H7 (549 aa), FASTA scores: opt: 1779, E(): 0, (51.4% identity in 554 aa overlap); etc. Contains PS00765 Phosphoglucose isomerase signature 1, and PS00174 Phosphoglucose isomerase signature 2. Belongs to the GPI family.</t>
  </si>
  <si>
    <t>Function unknown; thought to be involved in mycolic acid biosynthesis.</t>
  </si>
  <si>
    <t>Probable mycolyl transferase, pseudogene</t>
  </si>
  <si>
    <t>Rv0947c, (MTCY10D7.27), len: 76 aa. Probable mycolyl transferase pseudogene, similar to part of P31953|A85C_MYCTU|fbpC2 antigen 85-c precursor (85c) (fibronectin-binding protein C) from Mycobacterium tuberculosis (340 aa), FASTA scores: opt: 213, E(): 2e-08, (69.6% identity in 46 aa overlap).</t>
  </si>
  <si>
    <t>Involved in the shikimate pathway. Converts chorismate to prephenate in the biosynthesis of tyrosine and phenylalanine.</t>
  </si>
  <si>
    <t>Chorismate mutase</t>
  </si>
  <si>
    <t>Rv0948c, (MTCY10D7.26), len: 105 aa. Chorismate mutase, AroQ class (See Prakash et al., 2005; Schneider et al., 2008), equivalent to NP_301237.1|NC_002677 conserved hypothetical protein from Mycobacterium leprae (105 aa). Also similar (except in N-terminus) to SCD63.16c|CAB82023.1|AL161755 hypothetical protein from Streptomyces coelicolor (110 aa); and to N-terminus of two chorismate mutase/prephenate dehydratase.</t>
  </si>
  <si>
    <t>Involved in nucleotide excision repair. Has a 3'-5' helicase activity in presence of ATP. Preferred substrate being one with both single and double stranded regions of DNA.</t>
  </si>
  <si>
    <t>Probable ATP-dependent DNA helicase II UvrD1</t>
  </si>
  <si>
    <t>Rv0949, (MTCY10D7.25c), len: 771 aa. Probable uvrD1, ATP dependent DNA helicase II (see citation below), equivalent to P_301239.1|NC_002677 putative ATP-dependent DNA helicase from Mycobacterium leprae (778 aa). Also highly similar to others e.g. CAB92660.1|AL356832 from Streptomyces coelicolor (831 aa) (N-terminus longer); P56255|PCRA_BACST from Bacillus stearothermophilus (724 aa); Q10213|YAY5_SCHPO from Schizosaccharomyces pombe (Fission yeast) (887 aa), FASTA scores: opt: 927, E(): 0, (33.5% identity in 659 aa overlap); etc. Also similar to several other UvrD-like proteins in Mycobacterium tuberculosis e.g. Rv3201c, Rv3198c, Rv3202c. Contains PS00017 ATP/GTP-binding site motif A (P-loop). Belongs to the UVRD subfamily of helicases. Note that previously known as uvrD.</t>
  </si>
  <si>
    <t>Rv0950c, (MTCY10D7.24), len: 332 aa. Conserved hypothetical protein, highly similar to AL035500|MLCL373.02c|T45433 hypothetical protein from Mycobacterium leprae (343 aa), FASTA scores: opt: 1500, E(): 0, (71.0% identity in 331 aa overlap). C-terminus highly similar to part of various proteins e.g. C-terminal part of NP_441943.1|NC_000911|NlpD lipoprotein from Synechocystis sp (715 aa); N-terminal part of NP_066789.1|NC_002576 putative peptidase from Rhodococcus equi (546 aa); C-terminal part of NP_212396.1|NC_001318 conserved hypothetical protein from Borrelia burgdorferi (417 aa); C-terminal part of P33648|NLPD_ECOLI|nlpd lipoprotein from Escherichia coli (379 aa), FASTA scores: opt: 276, E(): 2e-10, (29.9% identity in 234 aa overlap); etc.</t>
  </si>
  <si>
    <t>Involved in tricarboxylic acid cycle [catalytic activity: ATP + succinate + CoA = ADP + succinyl-CoA + phosphate].</t>
  </si>
  <si>
    <t>Probable succinyl-CoA synthetase (beta chain) SucC (SCS-beta)</t>
  </si>
  <si>
    <t>Rv0951, (MTCY10D7.23c), len: 387 aa. Probable sucC, succinyl-CoA synthetase, beta chain, equivalent to AL035500|MLCL373_3|NP_301241.1|NC_002677 succinyl-CoA synthase [beta] chain from Mycobacterium leprae (393 aa), FASTA score: (86.7% identity in 391 aa overlap). Also highly similar to others e.g. AB92671.1|AL356832 succinyl-CoA synthetase beta chain from Streptomyces coelicolor (394 aa); P25126|SUCC_THEFL succinyl-CoA synthetase beta chain from Thermus aquaticus (378 aa); P07460|SUCC_ECOLI succinyl-CoA synthetase beta chain from Escherichia coli (388 aa), FASTA scores: opt: 933, E(): 0, (41.0% identity in 390 aa overlap); etc.</t>
  </si>
  <si>
    <t>Probable succinyl-CoA synthetase (alpha chain) SucD (SCS-alpha)</t>
  </si>
  <si>
    <t>Rv0952, (MTCY10D7.22c), len: 303 aa. Probable sucD, succinyl-CoA synthetase, alpha chain, equivalent to AL035500|MLCL373_4|NP_301242.1|NC_002677 succinyl-CoA synthase [alpha] chain from Mycobacterium leprae (300 aa), FASTA score: (86.3% identity in 300 aa overlap). Also highly similar to others e.g. CAB92672.1|AL356832 from Streptomyces coelicolor (294 aa); P53591|SUCD_COXBU from Escherichia coli (288 aa), FASTA scores: opt: 855, E(): 0, (53.8% identity in 286 aa overlap); etc. Contains PS00399 ATP-citrate lyase and succinyl-CoA ligases active site, and PS00017 ATP/GTP-binding site motif A (P-loop).</t>
  </si>
  <si>
    <t>Rv0953c, (MTCY10D7.21), len: 282 aa. Possible oxidoreductase, equivalent to CAA48222.1|X68102 hypothetical protein from Mycobacterium avium subsp. paratuberculosis (166 aa). Similar to several hypothetical proteins and oxidoreductases e.g. AAK38097.1|AF323606_3|AF323606 putative F420-dependent dehydrogenase from Rhodococcus erythropolis (295 aa); NP_070025.1|NC_000917 N5,N10-methylenetetrahydromethanopterin reductase (mer-2) from Archaeoglobus fulgidus (348 aa); etc. Also similar to several hypothetical proteins and oxidoreductases from Mycobacterium tuberculosis e.g. Rv2161c|O06216|Z95388|MTCY270.07 (288 aa), FASTA scores: opt: 633, E(): 0, (40.4% identity in 277 aa overlap), Rv3079c (275 aa), Rv0791c (347 aa), etc. Contains PS00201 Flavodoxin signature.</t>
  </si>
  <si>
    <t>Rv0954, (MTCY10D7.20c), len: 303 aa. Probable conserved transmembrane protein, highly similar to 34KD_MYCPA|Q04959 34 kDa antigenic protein from Mycobacterium paratuberculosis (298 aa), FASTA scores: opt: 1023, E(): 7.2e-36, (59.3% identity in 305 aa overlap); AAC69251.1|U82111 34 kDa antigen precursor from Mycobacterium leprae (336 aa); and AL035500|MLCL373.06 hypothetical membrane protein from Mycobacterium leprae (297 aa), FASTA score: (55.6% identity in 315 aa overlap). A core mycobacterial gene; conserved in mycobacterial strains (See Marmiesse et al., 2004).</t>
  </si>
  <si>
    <t>Rv0955, (MTCY10D7.19c), len: 455 aa. Probable conserved integral membrane protein, highly similar to AL035500|MLCL373_6 putative membrane protein from Mycobacterium leprae (430 aa), FASTA score: (75.9% identity in 419 aa overlap); and AAL05878.1|AF411607_2|AF411607 unknown protein from Mycobacterium avium subsp. paratuberculosis (409 aa). A core mycobacterial gene; conserved in mycobacterial strains (See Marmiesse et al., 2004).</t>
  </si>
  <si>
    <t>Involved in de novo purine biosynthesis (at the third step) [catalytic activity: 10-formyltetrahydrofolate + 5'-phosphoribosylglycinamide = tetrahydrofolate + 5'-phosphoribosyl-N-formylglycinamide].</t>
  </si>
  <si>
    <t>Probable 5'-phosphoribosylglycinamide formyltransferase PurN (GART) (gar transformylase) (5'-phosphoribosylglycinamide transformylase)</t>
  </si>
  <si>
    <t>Rv0956, (MTCY10D7.18c), len: 215 aa. Probable purN, 5'-phosphoribosylglycinamide formyltransferase, equivalent to AAF05726.1|AF191543_1|AF191543|PurN phosphoribosylglycinamide formyltransferase from Mycobacterium avium subsp. paratuberculosis (209 aa); and AL035500|MLCL373_7 from Mycobacterium leprae (215 aa), FASTA score: (79.4% identity in 214 aa overlap). Also highly similar to others e.g. BAA89443.1|AB003159 from Corynebacterium ammoniagenes (199 aa); NP_241498.1|NC_002570 from Bacillus halodurans (188 aa); P08179|PUR3_ECOLI|B2500 from Escherichia coli strain K12 (212 aa), FASTA scores: opt: 380, E(): 2.4e-18, (36.6% identity in 183 aa overlap); C-terminus of P16340|PUR2_DROPS trifunctional purine biosynthetic protein adenosine-3 from Drosophila pseudoobscura (Fruit fly) (1364 aa); etc.</t>
  </si>
  <si>
    <t>Involved in de novo purine biosynthesis (at the ninth and tenth steps) [catalytic activity 1: 10-formyltetrahydrofolate + 5'-phosphoribosyl-5-amino-4-imidazolecarboxamide = tetrahydrofolate + 5'-phosphoribosyl-5-formamido-4-imidazolecarboxamide] [catalytic activity 2: imp + H2O = 5-formamido-1-(5-phosphoribosyl)imidazole-4-carboxamide].</t>
  </si>
  <si>
    <t>Probable bifunctional purine biosynthesis protein PurH: phosphoribosylaminoimidazolecarboxamide formyltransferase (AICAR transformylase) (5'-phosphoribosyl-5-aminoimidazole-4-carboxamide formyltransferase) + inosinemonophosphate cyclohydrolase (imp cyclohydrolase) (inosinicase) (imp synthetase) (ATIC)</t>
  </si>
  <si>
    <t>Rv0957, (MTCY10D7.17c), len: 523 aa. Probable purH, bifunctional purine biosynthesis protein including 5'-phosphoribosyl-5-aminoimidazole-4-carboxamide formyltransferase and inosine-monophosphate (imp) cyclohydrolase, equivalent to AL035500|MLCL373_8 putative phosphoribosylaminoimidazolecarboxamide formyltransferase from Mycobacterium leprae (527 aa), FASTA score: (88.1% identity in 520 aa overlap); and AF05727.1|AF191543_2|AF191543|PurH from Mycobacterium avium subsp. paratuberculosis (527 aa). Also highly similar to others e.g. CAB92677.1|AL356832 bifunctional purine biosynthesis protein from Streptomyces coelicolor (523 aa); NP_388534.1|NC_000964 phosphoribosylaminoimidazole carboxy formyl formyltransferase + inosine-monophosphate cyclohydrolase from Bacillus subtilis (512 aa); P15639|PUR9_ECOLI phosphoribosylaminoimidazolecarboxamide formyltransferase from Escherichia coli (529 aa), FASTA scores: opt: 1147, E(): 0, (44.8% identity in 533 aa overlap); etc. Belongs to the PurH family.</t>
  </si>
  <si>
    <t>Chelation, introducing a magnesium ion into specific substrate.</t>
  </si>
  <si>
    <t>Possible magnesium chelatase</t>
  </si>
  <si>
    <t>Rv0958, (MTCY10D7.16c), len: 459 aa. Possible magnesium chelatase, similar to others (especially in N-terminal parts) e.g. NP_296313.1|NC_001263|AE002088_10 putative magnesium protoporphyrin chelatase from Deinococcus radiodurans (487 aa), FASTA scores: opt: 1148, E(): 0, (42.4% identity in 450 aa overlap); Q44498|CHLI_ANAVA magnesium-chelatase subunit CHLI from Anabaena variabilis (338 aa); T31460 probable magnesium chelatase chain I bchI from Heliobacillus mobilis (363 aa); etc. Contains PS00017 ATP/GTP-binding site motif A (P-loop).</t>
  </si>
  <si>
    <t>Rv0959, (MTCY10D7.15c), len: 672 aa. Conserved hypothetical protein, similar to AE002069|AE002069_12 hypothetical protein from Deinococcus radiodurans (403 aa), FASTA scores: opt: 395, E(): 1.3e-15, (26.8% identity in 426 aa overlap). Contains a single copy at the N-terminus of a short repeat found three times in the M. tuberculosis ORF O33341|MTV003.05c|AL008883.</t>
  </si>
  <si>
    <t>vapB9</t>
  </si>
  <si>
    <t>Possible antitoxin VapB9</t>
  </si>
  <si>
    <t>Rv0959A, len: 73 aa. Possible vapB9, antitoxin, part of toxin-antitoxin (TA) operon with Rv0960 (See Arcus et al., 2005; Pandey and Gerdes, 2005). Weakly similar to others in Mycobacterium tuberculosis e.g. Rv1721c</t>
  </si>
  <si>
    <t>vapC9</t>
  </si>
  <si>
    <t>Rv0960</t>
  </si>
  <si>
    <t>Possible toxin VapC9</t>
  </si>
  <si>
    <t>Rv0960, (MTCY10D7.14c), len: 127 aa. Possible vapC9, toxin, part of toxin-antitoxin (TA) operon with Rv0959A, contains PIN domain (See Arcus et al., 2005; Pandey and Gerdes, 2005). Similar to others in Mycobacterium tuberculosis e.g. Rv0065|MTV030.08 (133 aa), FASTA scores: E(): 1.5e-14, (38.3% identity in 128 aa overlap), Rv1720c (129 aa), and Rv0549c (137 aa).</t>
  </si>
  <si>
    <t>Rv0961, (MTCY10D7.13c), len: 115 aa. Probable integral membrane protein.</t>
  </si>
  <si>
    <t>Possible lipoprotein LprP</t>
  </si>
  <si>
    <t>Rv0962c, (MTCY10D7.12), len: 224 aa. Possible lprP, lipoprotein. Contains possible N-terminal signal sequence and appropriately positioned PS00013 Prokaryotic membrane lipoprotein lipid attachment site.</t>
  </si>
  <si>
    <t>Rv0963c, (MTCCY10D7.11), len: 266 aa. Conserved hypothetical protein, similar in part to other conserved hypothetical proteins from Mycobacterium tuberculosis e.g. Rv2797c|MTCY16B7.46 (562 aa), FASTA scores: E(): 1.2e-23, (39.0% identity in 254 aa overlap); Rv2542 (403 aa); Rv2079 (656 aa). Also similar in part to AL133423|SC4A7_3 hypothetical secreted protein from Streptomyces coelicolor (406 aa), FASTA scores: opt: 231, E(): 6.8e-07, (31.4% identity in 204 aa overlap); and SCH10.21c|T36533 hypothetical protein from Streptomyces coelicolor (329 aa).</t>
  </si>
  <si>
    <t>Rv0964c</t>
  </si>
  <si>
    <t>Rv0964c, (MTCY10D7.10), len: 160 aa. Hypothetical unknown protein. Equivalent to AAK45241.1 from Mycobacterium tuberculosis strain CDC1551 (138 aa) but longer 22 aa.</t>
  </si>
  <si>
    <t>Rv0965c, (MTCY10D7.09), len: 139 aa. Conserved hypothetical protein, showing weak similarity with Rv2798c|MTCY16B7.45 conserved hypothetical protein from Mycobacterium tuberculosis (108 aa), FASTA scores: E(): 5.6e-12, (38.9% identity in 90 aa overlap). Equivalent to AAK45242.1 from Mycobacterium tuberculosis strain CDC1551 (146 aa) but shorter 7 aa.</t>
  </si>
  <si>
    <t>Rv0966c, (MTCY10D7.08), len: 200 aa. Conserved protein, equivalent to AL035500|MLCL373_12 conserved hypothetical protein from Mycobacterium leprae (200 aa), FASTA scores: opt: 1080, E(): 0, (79.5% identity in 200 aa overlap). Also highly similar to SCE6.30c|CAB88834.1|AL353832 hypothetical protein from Streptomyces coelicolor (277 aa). Some similarity to Rv2862c|MTV007.08 conserved hypothetical protein from Mycobacterium tuberculosis (194 aa), FASTA scores: E(): 3.1e-06, (31.5% identity in 184 aa overlap). Equivalent to AAK45243.1 from Mycobacterium tuberculosis strain CDC1551 (230 aa) but shorter 30 aa. Note that Rv0966c has been shortened since first entry.</t>
  </si>
  <si>
    <t>Involved in transcriptional mechanism; repression of the CSO operon.</t>
  </si>
  <si>
    <t>Copper-sensitive operon repressor CsoR</t>
  </si>
  <si>
    <t>Rv0967, (MTCY10D7.07c), len: 119 aa. CsoR, copper-sensitive operon repressor, part of cso operon (See Liu et al., 2007), similar to hypothetical proteins from several organisms e.g. AE002074|AE002074_11 from Deinococcus radiodurans (102 aa), FASTA scores: opt: 233, E(): 8.6e-10, (47.0% identity in 83 aa overlap); O32222|Z99121|YVGZ from Bacillus subtilis (101 aa), FASTA scores: opt:228, E(): 3.2e-15, (38.0% identity in 92 aa overlap); etc. Also similar to Mycobacterium tuberculosis hypothetical proteins Rv0190, and Rv1766.</t>
  </si>
  <si>
    <t>Rv0968, (MTCY10D7.06c), len: 98 aa. Conserved protein, part of cso operon, similar to NP_301579.1|NC_002677 conserved hypothetical protein from Mycobacterium leprae (92 aa). Also highly similar to conserved hypothetical proteins from Mycobacterium tuberculosis e.g. Rv3269 (93 aa), FASTA score: (51.1% identity in 94 aa overlap); and Rv1993c (90 aa).</t>
  </si>
  <si>
    <t>Probable metal cation transporter P-type ATPase CtpV</t>
  </si>
  <si>
    <t>Rv0969, (MTCY10D7.05c), len: 770 aa. Probable ctpV, metal cation transporter P-type ATPase (transmembrane protein) (see citation below), part of cso operon, highly similar (except in N-terminus) to others e.g. NP_391230.1|NC_000964 similar to heavy metal-transporting ATPase from Bacillus subtilis (803 aa); P37279|ATCS_SYNP7|PACS cation-transporting ATPase from Synechococcus sp. strain PCC 7942 (Anacystis nidulans R2) (747 aa), FASTA scores: opt: 1851, E(): 0, (52.1% identity in 664 aa overlap); etc. Equivalent to AAK45246.1 from Mycobacterium tuberculosis strain CDC1551 (792 aa) but shorter 22 aa. Contains PS00154 E1-E2 ATPases phosphorylation site. Belongs to the cation transport ATPases family (E1-E2 ATPases).</t>
  </si>
  <si>
    <t>Rv0970, (MTCY10D7.04c), len: 210 aa. Probable conserved integral membrane protein, part of cso operon, equivalent to NP_302348.1|NC_002677 probable integral membrane protein from Mycobacterium leprae (210 aa).</t>
  </si>
  <si>
    <t>Probable enoyl-CoA hydratase EchA7 (enoyl hydrase) (unsaturated acyl-CoA hydratase) (crotonase)</t>
  </si>
  <si>
    <t>Rv0971c, (MTCY10D7.03), len: 269 aa. Probable echA7, enoyl-CoA hydratase, similar to many e.g. CAB95895.1|AL359988 putative enoyl CoA hydratase from Streptomyces coelicolor (247 aa); P24162|ECHH_RHOCA enoyl-CoA hydratase from Rhodobacter capsulatus (257 aa), FASTA scores: opt: 369, E(): 2.6e-15, (33.7% identity in 246 aa overlap); etc.</t>
  </si>
  <si>
    <t>Acyl-CoA dehydrogenase FadE12</t>
  </si>
  <si>
    <t>Rv0972c, (MTCY10D7.02), len: 388 aa. fadE12, acyl-CoA dehydrogenase, highly similar to many e.g. CAB95893.1|AL359988 putative acyl CoA dehydrogenase from Streptomyces coelicolor (382 aa); P45857|ACDB_BACSU from Bacillus subtilis (379 aa), FASTA scores: opt: 576, E(): 2.3e-26, (29.7% identity in 381 aa overlap); etc.</t>
  </si>
  <si>
    <t>This protein carries two functions: biotin carboxyl carrier protein and biotin carboxyltransferase. Involved in the first step of long-chain fatty acid synthesis [catalytic activity: ATP + biotin-carboxyl-carrier protein + CO(2) = ADP + phosphate + carboxybiotin-carboxyl-carrier protein].</t>
  </si>
  <si>
    <t>Probable acetyl-/propionyl-coenzyme A carboxylase alpha chain (alpha subunit) AccA2: biotin carboxylase + biotin carboxyl carrier protein (BCCP)</t>
  </si>
  <si>
    <t>Rv0973c, (MTV044.01c, MTCY10D7.01), len: 667 aa. Probable accA2 (alternate gene name: bccA), acetyl-/propionyl-coenzyme A carboxylase (alpha subunit) [includes: biotin carboxylase ; biotin carboxyl carrier protein (BCCP)], highly similar to others e.g. CAB95892.1|AL359988 putative acetyl/propionyl CoA carboxylase alpha subunit from Streptomyces coelicolor (614 aa); NP_250702.1|NC_002516 probable acyl-CoA carboxylase alpha chain from Pseudomonas aeruginosa (655 aa); NP_420971.1|NC_002696 acetyl/propionyl-CoA carboxylase alpha subunit from Caulobacter crescentus ( 654 aa); NP_251581.1|NC_002516 probable biotin carboxylase/biotin carboxyl carrier protein from Pseudomonas aeruginosa (661 aa); etc. Also highly similar to others from Mycobacterium tuberculosis e.g. Rv2501c|P46401|MTCY07A7.07c|BCCA_MYCTU|ACCA1 probable acetyl-/propionyl-coenzyme A carboxylase alpha chain (alpha subunit) (654 aa), FASTA scores, opt: 250, E(): 4e-09, (28.6% identity in 182 aa overlap); and Rv3285|MTCY71.25|ACCA3 (600 aa); Z83018|MTCY349_20 (1127 aa), FASTA scores: opt: 838, E(): 0, (40.2% identity in 500 aa overlap). Contains PS00867 Carbamoyl-phosphate synthase subdomain signature 2 and PS00188 Biotin-requiring enzymes attachment site.</t>
  </si>
  <si>
    <t>Involved in fatty acid metabolism.</t>
  </si>
  <si>
    <t>Probable acetyl-/propionyl-CoA carboxylase (beta subunit) AccD2</t>
  </si>
  <si>
    <t>Rv0974c, (MTV044.02c), len: 529 aa. Probable accD2, acetyl-/propionyl-CoA carboxylase (beta subunit), highly similar to many e.g. CAB95891.1|AL35998 putative acetyl/propionyl CoA carboxylase beta subunit from Streptomyces coelicolor (532 aa); NP_250704.1|NC_002516 probable acyl-CoA carboxyltransferase beta chain from Pseudomonas aeruginosa (535 aa); BAB16296.1|AB039884 acetyl-CoA carboxylase carboxyltransferase from Myxococcus xanthus (538 aa); NP_420973.1|NC_002696 putative propionyl-CoA carboxylase beta subunit from Caulobacter crescentus (530 aa); etc. Also similar to other from Mycobacterium tuberculosis: Rv2502c|ACCD1, Rv3799c|ACCD4, etc. Could belong to the ACCD/PCCB family.</t>
  </si>
  <si>
    <t>Probable acyl-CoA dehydrogenase FadE13</t>
  </si>
  <si>
    <t>Rv0975c, (MTV044.03c), len: 382 aa. Probable fadE13, acyl-CoA dehydrogenase, highly similar to many e.g. T35427 probable acyl-CoA dehydrogenase from Streptomyces coelicolor (382 aa); M74096|HUMACADL_1 Human long chain acyl-CoA dehydrogenase from Homo sapiens (430 aa), FASTA scores: opt: 819, E(): 0, (37.0% identity in 376 aa overlap); etc. Also similar to others from Mycobacterium tuberculosis e.g. fadE20|Z98209|MTCY154_4 (386 aa), FASTA scores: (40.3% identity in 375 aa overlap). Contains PS00073 Acyl-CoA dehydrogenases signature 2. Belongs to the acyl-CoA dehydrogenases family.</t>
  </si>
  <si>
    <t>Rv0976c, (MTV044.04c), len: 560 aa. Conserved hypothetical protein, highly similar to others e.g. CAB95890.1|AL359988 conserved hypothetical protein from Streptomyces coelicolor (558 aa); P_251576.1|NC_002516 hypothetical protein from Pseudomonas aeruginosa (600 aa); etc. N-terminal part highly similar to AL035500|MLCL373_14 probable pseudogene from Mycobacterium leprae (163 aa), FASTA score: (50.0% identity in 122 aa overlap).</t>
  </si>
  <si>
    <t>PE-PGRS family protein PE_PGRS16</t>
  </si>
  <si>
    <t>Rv0977, (MTV044.05), len: 923 aa. PE_PGRS16, Member of the Mycobacterium tuberculosis PE family, PGRS subfamily of gly-rich proteins (see citation below), highly similar to other PGRS-type sequences e.g. AL0091|MTV004_1 from Mycobacterium tuberculosis (1125 aa), FASTA score: (45.4% identity in 959 aa overlap); Z80225|MTCY441_4 from Mycobacterium tuberculosis (778 aa), FASTA score: (51.5% identity in 750 aa overlap); etc.</t>
  </si>
  <si>
    <t>PE_PGRS17</t>
  </si>
  <si>
    <t>Rv0978c</t>
  </si>
  <si>
    <t>PE-PGRS family protein PE_PGRS17</t>
  </si>
  <si>
    <t>Rv0978c, (MTV044.06c), len: 331 aa. PE_PGRS17, Member of the Mycobacterium tuberculosis PE family, PGRS subfamily of gly-rich proteins (see citation below), highly similar to others e.g. Z95387|MTCY1A10_19 from Mycobacterium tuberculosis (461 aa), FASTA score: (73.6% identity in 277 aa overlap); etc.</t>
  </si>
  <si>
    <t>rpmF</t>
  </si>
  <si>
    <t>Rv0979A</t>
  </si>
  <si>
    <t>Involved in translation mechanism.</t>
  </si>
  <si>
    <t>50S ribosomal protein L32 RpmF</t>
  </si>
  <si>
    <t>Rv0979A, len: 57 aa. rpmF, 50S ribosomal protein L32, similar to others e.g. rpmF|Q9RL50 probable 50S ribosomal protein from Streptomyces coelicolor (56 aa), FASTA scores: E(): 5.1e-09, (63.45% identity in 52 aa overlap); etc. Belongs to the L32P family of ribosomal proteins.</t>
  </si>
  <si>
    <t>Rv0979c</t>
  </si>
  <si>
    <t>Rv0979c, (MTV044.07c), len: 64 aa (unlikely ORF). Hypothetical unknown protein. Start codon changed since first submission (-44 aa).</t>
  </si>
  <si>
    <t>PE-PGRS family protein PE_PGRS18</t>
  </si>
  <si>
    <t>Rv0980c, (MTV044.08c), len: 457 aa. PE_PGRS18, Member of the Mycobacterium tuberculosis PE family, PGRS subfamily of gly-rich proteins (see Brennan &amp; Delogu 2002), highly similar to others e.g. Z95387|MTCY1A10_19 from Mycobacterium tuberculosis (461 aa), FASTA score: (66.7% identity in 405 aa overlap); Z95844|MTCY493_2 from Mycobacterium tuberculosis (741 aa), FASTA score: (53.0% identity in 394 aa overlap); etc. Predicted to be an outer membrane protein (See Song et al., 2008).</t>
  </si>
  <si>
    <t>Regulator part of a two component regulatory system (MPRAB system)</t>
  </si>
  <si>
    <t>Mycobacterial persistence regulator MRPA (two component response transcriptional regulatory protein)</t>
  </si>
  <si>
    <t>Rv0981, (MTV044.09), len: 228 aa. MprA, mycobacterial persistence regulator, a two-component response regulator whose expression is required for entrance into and maintenance of persistent infection (see citation below), equivalent to NP_301250.1|NC_002677 putative two-component response regulator from Mycobacterium leprae (228 aa); and highly similar to others from Mycobacterium leprae. Also highly similar to others e.g. AAG36759.1|AF119221_1|AF119221 response regulator from Corynebacterium glutamicum (232 aa); CAB88489.1|AL353816 putative two-component system response regulator from Streptomyces coelicolor (248 aa); BJY09666_1 two-component response regulator (ragA, ragB and rpoH3) from B.japonicum (226 aa), FASTA score: (43.8% identity in 224 aa overlap); BSAJ2571_44 two-component response regulator from Bacillus subtilis (228 aa), FASTA score: (46.4% identity in 224 aa overlap); etc. Also highly similar to others from Mycobacterium tuberculosis e.g. Rv1033c (257 aa); Rv0903c (236 aa), FASTA score: (50.7 identity in 225 aa overlap); etc. Contains PS00217 Sugar transport proteins signature 2. Start changed since first submission (-2 aa). MprAB is involved in the regulation of genes in response to environmental stress (See He et al., 2006).</t>
  </si>
  <si>
    <t>Sensor part of a two component regulatory system (MPRAB system)</t>
  </si>
  <si>
    <t>Two component sensor kinase MprB</t>
  </si>
  <si>
    <t>Rv0982, (MTV044.10), len: 504 aa. MprB, two component sensor kinase, probable transmembrane protein (see citation below), equivalent to AL035500|MLCL373_16|NP_301251.1|NC_002677 putative two-component system sensor kinase from Mycobacterium leprae (519 aa), FASTA score: (81.0% identity in 521 aa overlap). Also highly similar to others (especially in C-terminal part) e.g. AAG36760.1|AF119221_2|AF119221 sensor kinase from Corynebacterium glutamicum (455 aa); CAB89748.1|AL354616 putative two-component histidine kinase from Streptomyces coelicolor (481 aa); X58793|SLCUTRS_2 sensor kinase from S.lividans (414 aa), FASTA scores: opt: 451, E(): 4.2e-21, (36.0% identity in 303 aa overlap); P30847|BAES_ECOLI sensor protein from Escherichia coli (467 aa), FASTA scores: opt: 412, E(): 1.3e-18, (30.4% identity in 336 aa overlap); etc. Also similar in C-terminal region to C-terminus of Rv0902c|Z73101|MTCY31_33 from Mycobacterium tuberculosis (446 aa), FASTA scores: opt: 423, E(): 2.6e-19, (28.4 identity in 462 aa overlap). MprAB is involved in the regulation of genes in response to environmental stress (See He et al., 2006).</t>
  </si>
  <si>
    <t>pepD</t>
  </si>
  <si>
    <t>Probable serine protease PepD (serine proteinase) (MTB32B)</t>
  </si>
  <si>
    <t>Rv0983, (MTV044.11), len: 464 aa. Probable pepD (alternate gene name: mtb32b), secreted or membrane serine protease (see citation below), equivalent (but longer 18 aa in N-terminus) to AL035500|MLCL373_17|T45448 probable serine proteinase from Mycobacterium leprae (452 aa), FASTA score: (74.2% identity in 466 aa overlap); and highly similar to others from Mycobacterium leprae. Also highly similar (except in N-terminus) to other proteases e.g. CAC01350.1|AL390975 putative protease from Streptomyces coelicolor (542 aa); NP_440705.1|NC_000911|HtrA serine protease from Synechocystis sp. (452 aa); NP_346646.1|NC_003028 serine protease from Streptococcus pneumoniae (393 aa); etc. Also similar in part to members of the htrA-antigen family e.g. U87242|MTU87242_3|HtrA serine protease from M. tuberculosis (542 aa), FASTA scores: opt: 846, E(): 2e-28, (40.6% identity in 392 aa overlap); and similar to other hypothetical serine proteases e.g. Rv0983, Rv0125, etc. Belongs to the serine protease family. Conserved in M. tuberculosis, M. leprae, M. bovis and M. avium paratuberculosis; predicted to be essential for in vivo survival and pathogenicity (See Ribeiro-Guimaraes and Pessolani, 2007).</t>
  </si>
  <si>
    <t>Thought to be involved in molybdopterin biosynthesis. Catalyzes the dehydratation of 4A-hydroxytetrahydropterins [catalytic activity: (6R)-6-(L-erythro-1,2-dihydroxypropyl)-5,6,7,8-tetrahydro-4A-hydroxypterin = (6R)-6-(L-erythro-1,2- dihydroxypropyl)-7,8-dihydro-6H-pterin + H(2)O.].</t>
  </si>
  <si>
    <t>Possible pterin-4-alpha-carbinolamine dehydratase MoaB2 (PHS) (4-alpha- hydroxy-tetrahydropterin dehydratase) (pterin-4-a-carbinolamine dehydratase) (phenylalanine hydroxylase-stimulating protein) (PHS) (pterin carbinolamine dehydratase) (PCD)</t>
  </si>
  <si>
    <t>Rv0984, (MTV044.12), len: 181 aa. Possible moaB2, pterin-4-alpha-carbinolamine dehydratase, highly similar to NP_301253.1|NC_002677 putative molybdenum cofactor biosynthesis protein from Mycobacterium leprae (181 aa), FASTA score: (92.3% identity in 181 aa overlap). Also similar to others e.g. CAB59675.1|AL132674 molybdenum cofactor biosynthesis protein from Streptomyces coelicolor (179 aa); Q56208|MOCB_SYNP7 molybdenum cofactor biosynthesis protein CB from Synechococcus sp. (319 aa), FASTA score: (37.3% identity in 142 aa overlap); C-terminus of NP_197599.1|NC_003076 molybdopterin biosynthesis CNX1 protein from Arabidopsis thaliana (670 aa); etc. Also similar to Rv0865|MOG from Mycobacterium tuberculosis (160 aa); and other mog proteins e.g. CAC39235.1|AJ312124 Mog protein from Eubacterium acidaminophilum (162 aa). Could belong to the pterin-4-alpha-carbinolamine dehydratase family. Alternative start codon has been suggested in position 1100508.</t>
  </si>
  <si>
    <t>Ion channel that opens in response to stretch forces in the membrane lipid bilayer. May participate in the regulation of osmotic pressure changes within the cell.</t>
  </si>
  <si>
    <t>Possible large-conductance ion mechanosensitive channel MscL</t>
  </si>
  <si>
    <t>Rv0985c, (MTV044.13c), len: 151 aa. Possible mscL, large conductance mechanosensitive ion channel (integral membrane protein) (see citations below, equivalent to AL035500|MLCL373_19|NP_301254.1|NC_002677 putative mechanosensitive channel protein from Mycobacterium leprae (154 aa), FASTA score: (71.0% identity in 155 aa overlap). Also highly similar to others e.g. NP_268999.1|NC_002737 putative large conductance mechanosensitive channel from Streptococcus pyogenes (120 aa); CAB90974.1|AL355832 putative mechanosensitive channel from Streptomyces coelicolor (156 aa); Q9X722|MSCL_CLOHI large-conductance mechanosensitive channel from Clostridium histolyticum (133 aa); Z83337|BSZ83337_6 large conductance mechanosensitive channel from Bacillus subtilis (130 aa), FASTA scores: opt: 248, E(): 8.4e-10, (39.0% identity in 136 aa overlap); U08371|ECU08371_1 large conductance mechanosensitive channel from Escherichia coli strain K-12 (136 aa), FASTA score: (36.6% identity in 134 aa overlap); etc. Belongs to the MscL family.</t>
  </si>
  <si>
    <t>Thought to be involved in active transport of adhesion component across the membrane: involved in attachment and virulence. Responsible for energy coupling to the transport system.</t>
  </si>
  <si>
    <t>Probable adhesion component transport ATP-binding protein ABC transporter</t>
  </si>
  <si>
    <t>Rv0986, (MTV044.14), len: 248 aa. Probable ATP-binding protein ABC transporter supposedly involved in transport of adhesion component (see citation below), highly similar to many ATP-binding proteins e.g. AE0010|AE001033_8 ABC transporter ATP-binding protein from Archaeoglobus fulgidus (228 aa), FASTA scores: opt: 669, E(): 0, (45.7% identity in 219 aa overlap); CAB81857.1|AL161691 putative ABC-transporter ATP-binding protein from Streptomyces coelicolor (246 aa); X84019|ZMDNAGRP_4 glutamate uptake regulatory protein (grp) from Z.mobilis (232 aa), FASTA score: (44.4% identity in 225 aa overlap); Z99111|BSUB0008_108 from Bacillus subtilis (230 aa), FASTA score: (38.7% identity in 222 aa overlap); etc. Contains PS00017 ATP/GTP-binding site motif A (P-loop), and PS00211 ABC transporters family signature. Belongs to the ATP-binding transport protein family (ABC transporters). Believed to have been acquired by horizontal gene transfer (See Rosas-Magallanes et el., 2006; Becq et al., 2007).</t>
  </si>
  <si>
    <t>Thought to be involved in active transport of adhesion component across the membrane: involved in atachment and virulence. Responsible for the translocation of the substrate across the membrane.</t>
  </si>
  <si>
    <t>Probable adhesion component transport transmembrane protein ABC transporter</t>
  </si>
  <si>
    <t>Rv0987, (MTV044.15, MTCI237.01), len: 855 aa. Probable transmembrane protein ABC transporter supposedly involved in transport of adhesion component (see citation below), whose N-terminus shows similarity with hypothetical proteins, generally transmembrane proteins, e.g. CAB96016.1|AL360055 putative ABC transport system integral membrane protein from Streptomyces coelicolor (855 aa); P44252|YCFU_HAEIN|HI1555 hypothetical protein from Haemophilus influenzae (393 aa), FASTA scores: opt: 265, E(): 1.7e-09, (23.6% identity in 402 aa overlap); etc. N- and C-termini respectively show similarity to O32735 ATTF protein (420 aa), FASTA scores: E(): 1e-09, (26.7% identity in 430 aa overlap), and G2340078 ATTG protein (359 aa), FASTA scores: E(): 2.7e-08, (27.8% identity in 356 aa overlap). Contains PS00017 ATP/GTP-binding site motif A (P-loop). Believed to have been acquired by horizontal gene transfer (See Rosas-Magallanes et el., 2006; Becq et al., 2007).</t>
  </si>
  <si>
    <t>Rv0988, (MTCI237.02), len: 386 aa. Possible conserved exported protein, with potential N-terminal signal sequence, similar (except in N-terminus) to O32737|L63540 ATTH protein from Agrobacterium tumefaciens (355 aa), FASTA scores: opt: 651, E(): 5.7e-33, (33.4% identity in 344 aa overlap); and NP_231265.1|NC_002505 conserved hypothetical protein from Vibrio cholerae (372 aa). Predicted to be an outer membrane protein (See Song et al., 2008). Believed to have been acquired by horizontal gene transfer (See Rosas-Magallanes et el., 2006; Becq et al., 2007).</t>
  </si>
  <si>
    <t>Possible supplier of polyprenyl diphosphate.</t>
  </si>
  <si>
    <t>Probable polyprenyl-diphosphate synthase GrcC2 (polyprenyl pyrophosphate synthetase)</t>
  </si>
  <si>
    <t>Rv0989c, (MTCI237.03c), len: 325 aa. Probable grcC2, polyprenyl diphosphate synthetase, highly similar to NP_302483.1|NC_002677 polyprenyl diphosphate synthase component from Mycobacterium leprae (330 aa). Also similar to others (generally hepta or hexaprenyl e.g. NP_471378.1|NC_003212 protein similar to heptaprenyl diphosphate synthase component II (menaquinone biosynthesis) from Listeria innocua (321 aa); NP_371994.1|NC_002758 heptaprenyl diphosphate syntase component II from Staphylococcus aureus subsp. aureus Mu50 (319 aa); P55785|HEP2_BACST heptaprenyl diphosphate synthase component from Bacillus subtilis (323 aa), FASTA scores: opt: 496, E(): 1.4e-24, (31.4% identity in 306 aa overlap); etc. Also highly similar to Mycobacterium tuberculosis proteins e.g. Rv0562|grcC1|NP_215076.1|MTCY25D10.41 probable polyprenyl-diphosphate synthase (335 aa); Rv3383, Rv3398c, Rv2173, etc. Seems to belong to the FPP/GGPP synthetases family. This region is a possible MT-complex-specific genomic island (See Becq et al., 2007).</t>
  </si>
  <si>
    <t>Rv0990c, (MTCI237.04c), len: 218 aa. Hypothetical unknown protein.</t>
  </si>
  <si>
    <t>Conserved serine rich protein</t>
  </si>
  <si>
    <t>Rv0991c, (MTCI237.05c), len: 110 aa. Conserved ser-rich protein (especially in C-terminus), highly similar to N-terminus of NP_301255.1|NC_002677 conserved hypothetical protein (Ser-rich C-terminus) from Mycobacterium leprae (99 aa). Also highly similar to SCE22.04|AB90971.1|AL355832 hypothetical protein from Streptomyces coelicolor (110 aa); and similar to others.</t>
  </si>
  <si>
    <t>Rv0992c, (MTCI237.06c), len: 197 aa. Conserved hypothetical protein, equivalent to NP_301256.1|NC_002677 conserved hypothetical protein from Mycobacterium leprae (197 aa). Also similar, except in N-terminus, to other hypothetical proteins and ligases e.g. SCE87.34|CAB59679.1|AL132674 hypothetical protein from Streptomyces coelicolor (204 aa); NP_461977.1|NC_003197 putative ligase from Salmonella typhimurium (182 aa); P09160|YGFA_ECOLI hypothetical 21.1 kDa protein from Escherichia coli (182 aa), FASTA scores: opt: 191, E(): 1.1e-09, (29.5% identity in 146 aa overlap); etc.</t>
  </si>
  <si>
    <t>May play a role in stationary phase survival [catalytic activity: UTP + alpha-D-glucose 1-phosphate = diphosphate + UDP-glucose].</t>
  </si>
  <si>
    <t>UTP--glucose-1-phosphate uridylyltransferase GalU (UDP-glucose pyrophosphorylase) (UDPGP) (alpha-D-glucosyl-1-phosphate uridylyltransferase) (uridine diphosphoglucose pyrophosphorylase)</t>
  </si>
  <si>
    <t>Rv0993, (MTCI237.07), len: 306 aa. GalU, UTP--glucose-1-phosphate uridylyltransferase, equivalent to AL035500|MLCL373_22 putative UTP-glucose-1-phosphate uridylyltransferase from Mycobacterium leprae (306 aa), FASTA score: (89.7% identity in 302 aa overlap). Also highly similar to others e.g. AB59678.1|AL132674 UTP-glucose-1-phosphate uridylyltransferase from Streptomyces coelicolor (303 aa); NP_244519.1|NC_002570 UTP-glucose-1-phosphate uridylyltransferase from Bacillus halodurans (297 aa); P25520|GALU_ECOLI|B1236|Z2012|ECS17 UTP--glucose-1-phosphate uridylyltransferase from Escherichia coli strains K12 and O157:H7 (301 aa), FASTA scores: opt: 624, E(): 2.4e-33, (38.8% identity in 299 aa overlap); etc. Belongs to the prokaryotic UDPGP family.</t>
  </si>
  <si>
    <t>Probable molybdopterin biosynthesis protein MoeA1</t>
  </si>
  <si>
    <t>Rv0994, (MTCI237.08), len: 426 aa. Probable moeA1, molybdenum cofactor biosynthesis protein, equivalent to AL035500|MLCL373_23 putative molybdopterin biosynthesis protein from Mycobacterium leprae (424 aa), FASTA score: (88.3% identity in 426 aa overlap). Also highly similar to many e.g. CAB59677.1|AL132674 molybdopterin biosynthesis protein from Streptomyces coelicolor (424 aa); NP_385769.1|NC_003047 probable molybdopterin biosynthesis protein from Sinorhizobium meliloti (406 aa); P12281|MOEA_ECOLI molybdopterin biosynthesis moea protein from Escherichia coli (411 aa), FASTA scores: opt: 519, E(): 1.3e-24, (32.3% identity in 402 aa overlap); etc. Also similar to MOEA2|Rv0438c|MTV037.02c probable molybdopterin biosynthesis protein from Mycobacterium tuberculosis (405 aa). Note that previously known as moeA.</t>
  </si>
  <si>
    <t>Acetylates the N-terminal alanine of ribosomal protein S5 [catalytic activity: acetyl-CoA + ribosomal-protein L-alanine = CoA + ribosomal-protein N-acetyl-L-alanine].</t>
  </si>
  <si>
    <t>Ribosomal-protein-alanine acetyltransferase RimJ (acetylating enzyme for N-terminal of ribosomal protein S5)</t>
  </si>
  <si>
    <t>Rv0995, (MTCI237.09), len: 203 aa. RimJ, ribosomal-protein-alanine acetyltransferase. Contains GNAT (Gcn5-related N-acetyltransferase) domain. See Vetting et al. 2005. Equivalent to AL035500|MLCL373_24 probable acyltransferase from Mycobacterium leprae (218 aa), FASTA scores: (86.0% identity in 200 aa overlap). Also similar to others and many acyltransferases e.g. BAB69252.1|AB070946 possible acyltransferase from Streptomyces avermitilis (156 aa); NP_385025.1|NC_003047 probable ribosomal-protein-alanine acetyltransferase from Sinorhizobium meliloti (203 aa); P09454|RIMJ_ECOLI|B1066|Z1703|ECS1444 ribosomal-protein-alanine acetyltransferase from Escherichia coli strains K12 and O157:H7 (194 aa), FASTA scores: opt: 247, E(): 1.5e-10, (26.9% identity in 186 aa overlap). Belongs to the acetyltransferase family, RIMJ subfamily.</t>
  </si>
  <si>
    <t>Rv0996, (MTCI237.10), len: 358 aa. Probable conserved transmembrane protein, equivalent to AL035500|MLCL373_25 putative membrane protein from Mycobacterium leprae (342 aa), FASTA scores: (66.4% identity in 360 aa overlap). Contains possible signal sequence and other hydrophobic domains. A core mycobacterial gene; conserved in mycobacterial strains (See Marmiesse et al., 2004).</t>
  </si>
  <si>
    <t>Rv0997, (MTCI237.11), len: 143 aa. Hypothetical unknown protein, equivalent to AAK45276.1 from Mycobacterium tuberculosis strain CDC1551 (87 aa) but longer 56 aa.</t>
  </si>
  <si>
    <t>Rv0998, (MTCI237.12), len: 333 aa. Conserved hypothetical protein, with cyclic nucleotide-binding domain in N-terminal part and GNAT (Gcn5-related N-acetyltransferase) domain in C-terminal part. See Vetting et al. 2005. Possibly cyclic nucleotide-dependent protein kinase, highly similar to NP_301261.1|NC_002677 conserved hypothetical protein from Mycobacterium leprae (353 aa); and AL035500|MLCL373.38|T45457 hypothetical protein from Mycobacterium leprae (143 aa), FASTA score: (61.5% identity in 143 aa overlap). Also similar to many hypothetical proteins and cyclic-NMP-dependent protein kinases (generally at C-terminus) e.g. N-terminus of SC9B10.09|T35878 hypothetical protein from Streptomyces coelicolor (1039 aa); P05987|KAPR_DICDI camp-dependent protein kinase regulatory chain from Dictyostelium discoideum (327 aa), FASTA scores: opt: 177, E(): 0.00036, (32.0% identity in 122 aa overlap); NP_104403.1|NC_002678 hypothetical protein (contains similarity to cAMP-dependent protein kinase regulatory subunit) from Mesorhizobium loti (151 aa); etc. Contains PS00889 Cyclic nucleotide-binding domain signature 2. A core mycobacterial gene; conserved in mycobacterial strains (See Marmiesse et al., 2004).</t>
  </si>
  <si>
    <t>Rv0999, (MTCI237.13), len: 252 aa. Unknown protein. Predicted to be an outer membrane protein (See Song et al., 2008).</t>
  </si>
  <si>
    <t>Rv1000c, len: 205 aa. Conserved hypothetical protein, equivalent to ML0190|NP_301263.1|NC_002677 conserved hypothetical protein from Mycobacterium leprae (205 aa). Also highly similar to SC5F8.12c|CAB93740.1|AL357613 hypothetical protein from Streptomyces coelicolor (210 aa), FASTA scores: E(): 2.1e-45, (56.8% identity); 9106290|AAF84108.1|AE003963_5|NP_298588.1|NC_002488 protein described as DNA repair system specific for alkylated DNA from Xylella fastidiosa (200 aa), FASTA scores: E(): 3.4e-14, (38.55% identity); and similar in C-terminus to other hypothetical proteins. Note that replaces original Rv1000 predicted on other strand.</t>
  </si>
  <si>
    <t>Arginine degradation [catalytic activity:L-arginine + H(2)O = L-citrulline + NH(3)]</t>
  </si>
  <si>
    <t>Probable arginine deiminase ArcA (adi) (ad) (arginine dihydrolase)</t>
  </si>
  <si>
    <t>Rv1001, (MTCI237.16), len: 402 aa. Probable arcA, arginine deiminase, similar to e.g. ARCA_PSEAE|P13981 arginine deiminase (417 aa), fasta scores: opt: 581, E(): 1.4e-31, (39.4% identity in 411 aa overlap); also similar to SAGP_STRPY|P16962 streptococcal acid glycoprotein (410 aa), FASTA scores, opt: 823, E():0, (38.3% identity in 402 aa overlap). Belongs to the arginine deiminase family.</t>
  </si>
  <si>
    <t>Conserved membrane protein</t>
  </si>
  <si>
    <t>Rv1002c, (MTCI237.17c), len: 503 aa. Conserved membrane protein. Predicted to be in the GT-C superfamily of glycosyltransferases (See Liu and Mushegian, 2003). Similar to AL132674|SCE87.05 hypothetical protein from Streptomyces coelicolor (591 aa), FASTA scores: opt: 666, E(): 0, (39.0% identity in 546 aa overlap); weakly similar and to TSCC_PSEAM|P55019 thiazide-sensitive sodium-chloride cotransporter from Pseudopleuronectes americanus (1023 aa), FASTA scores: opt: 44, E(): 4.2e-06, (22.4% identity in 326 aa overlap).</t>
  </si>
  <si>
    <t>Rv1003, (MTCI237.19), len: 285 aa. Conserved protein, similar to others e.g. AL132674|SCE87.04 Streptomyces coelicolor (286 aa), FASTA scores: opt: 877, E(): 0, (53.2% identity in 280 aa overlap); and YRAL_ECOLI|P45528 hypothetical 31.3 kd protein (286 aa), FASTA scores: opt: 561, E(): 4.4e-27, (36.9% identity in 279 aa overlap).</t>
  </si>
  <si>
    <t>Rv1004c, (MTCI237.20c), len: 419 aa. Probable membrane protein. Contains repetitive sequences, which have similarities with elastin, and possible N-terminal signal sequence.</t>
  </si>
  <si>
    <t>Catalyzes the biosynthesis of 4-amino-4-deoxychorismate (ADC) from chorismate and glutamine</t>
  </si>
  <si>
    <t>Probable para-aminobenzoate synthase component I PABD</t>
  </si>
  <si>
    <t>Rv1005c, (MTCI237.22c), len: 458 aa (Start-site not certain). Probable PabD, para-aminobenzoate synthase component I. Similar to PABB_ECOLI|P05041 para-aminobenzoate synthase component I from Escherichia coli (453 aa), FASTA scores: opt: 589, E(): 1.8e-27, (40.7% identity in 268 aa overlap). Similar to M. tuberculosis Rv1609, Rv3215, Rv2386c.</t>
  </si>
  <si>
    <t>Rv1006, (MTCI237.23), len: 567 aa. Unknown protein. Predicted to be an outer membrane protein (See Song et al., 2008).</t>
  </si>
  <si>
    <t>It is probably essential for cell survival, being required not only for elongation of protein synthesis but also for the initiation of all mRNA translation through initiator tRNA(fMet) aminoacylation [catalytic activity: ATP + L-methionine + tRNA(met) = AMP + diphosphate + L-methionyl-tRNA(met)]</t>
  </si>
  <si>
    <t>Methionyl-tRNA synthetase MetS (MetRS) (methionine--tRNA ligase)</t>
  </si>
  <si>
    <t>Rv1007c, (MTCI237.24), len: 519 aa. metS (MetG), methionyl-tRNA synthetase, similar to many e.g. SYM_BACSU|P37465 methionyl-tRNA synthetase from Bacillus subtilus (664 aa), FASTA scores: opt: 1506, E(): 0, (44.9% identity in 492 aa overlap); similar to other Mycobacterium tuberculosis tRNA synthases e.g. Rv2448c, Rv1536, Rv0041. Contains PS00178 Aminoacyl-transfer RNA synthetases class-I signature. Belongs to class-I aminoacyl-tRNA synthetase family. Strong, to cysteinyl-tRNA synthetase.</t>
  </si>
  <si>
    <t>DNase involved in protein export. This sec-independent pathway is termed tat for twin-arginine translocation system. This system mainly transports proteins with bound cofactors that require folding prior to export.</t>
  </si>
  <si>
    <t>Probable deoxyribonuclease TatD (YJJV protein)</t>
  </si>
  <si>
    <t>Rv1008, (MTCI237.25), len: 264 aa. Probable tatD (alternate gene name: yjjV), deoxyribonuclease, component of twin arginine translocation protein export system (see citations below). Similar to many members of the YBL055C/YJJV family e.g. YCFH_ECOLI|P37346 Putative deoxyribonuclease ycfH (265 aa), fasta scores: opt: 487, E(): 1.4e-24, (36.7% identity in 270 aa overlap). Also similar to P37545|YABD_BACSU Putative deoxyribonuclease yabD (255 aa), FASTA scores: opt: 599, E(): 7.7e-33, (40.1% identity in 262 aa overlap). Contains PS01137 Hypothetical YBL055c/yjjV family signature 1, and PS01091 Hypothetical YBL055c/yjjV family signature 3.</t>
  </si>
  <si>
    <t>Thought to promote the resuscitation and growth of dormant, nongrowing cells. Could also stimulate the growth of several other high G+C gram+ organisms, e.g. Mycobacterium avium, Mycobacterium bovis (BCG), Mycobacterium kansasii, Mycobacterium smegmatis.</t>
  </si>
  <si>
    <t>Probable resuscitation-promoting factor RpfB</t>
  </si>
  <si>
    <t>Rv1009, (MTCI237.26), len: 362 aa. Probable rpfB, resuscitation-promoting factor (see citation below), similar to others from Mycobacterium tuberculosis: Rv2450c|MTV008.06c|RPFE probable resuscitation-promoting factor (172 aa), FASTA scores: E(): 1.9e-19, (42.9% identity in 147 aa overlap); Rv0867c|RPFA, Rv1884c|RPFC, and Rv2389c|RPFD. Possible lipoprotein; contains PS00013 Prokaryotic membrane lipoprotein lipid attachment site. Interacts with RipA (see Hett et al., 2007). Predicted possible vaccine candidate (See Zvi et al., 2008).</t>
  </si>
  <si>
    <t>Specifically dimethylates two adjacent adenosines in the loop of a conserved hairpin near the 3'-end of 16S rRNA in the 30S particle. Its inactivation LEADS to kasugamycin resistance</t>
  </si>
  <si>
    <t>Probable dimethyladenosine transferase KsgA (S-adenosylmethionine-6-N', N'-adenosyl(rRNA) dimethyltransferase) (16S rRNA dimethylase) (high level kasugamycin resistance protein KsgA) (kasugamycin dimethyltransferase)</t>
  </si>
  <si>
    <t>Rv1010, (MTCI237.27), len: 317 aa. Probable ksgA, dimethyladenosine transferase, similar to many e.g. KSGA_BACSU|P37468 dimethyladenosine transferase from Bacillus subtilus (292 aa), FASTA scores: opt: 524, E(): 1.5e-28, (37.2% identity in 274 aa overlap); similar to Mycobacterium tuberculosis hypothetical protein Rv1988. Contains PS01131 Ribosomal RNA adenine dimethylases signature.</t>
  </si>
  <si>
    <t>Thought to be involved in deoxyxylulose-5-phosphate pathway (DXP) of isoprenoid biosynthesis (at the fourth step). Catalyzes the phosphorylation of the position 2 hydroxy group of 4-diphosphocytidyl-2C-methyl-D-erythritol [catalytic activity: ATP + 4-(cytidine 5'-diphospho)-2-C-methyl-D-erythritol = ADP + 2-phospho-4-(cytidine 5'-diphospho)-2-C-methyl-D-erythritol].</t>
  </si>
  <si>
    <t>Probable 4-diphosphocytidyl-2-C-methyl-D-erythritol kinase IspE (CMK) (4-(cytidine-5'-diphospho)-2-C-methyl-D-erythritol kinase)</t>
  </si>
  <si>
    <t>Rv1011, (MTCI237.28, MT1040), len: 306 aa. Probable ispE, 4-diphosphocytidyl-2-C-methyl-D-erythritol kinase , similar to others e.g. Q9K3R6|ISPE_STRCO Streptomyces coelicolor (299 aa), FASTA scores: opt: 925, E(): 2.7e-49, (54.5% identity in 297 overlap); etc. Belongs to the ISPE family.</t>
  </si>
  <si>
    <t>Rv1012</t>
  </si>
  <si>
    <t>Rv1012, (MTCI237.29), len: 97 aa. Hypothetical unknown protein.</t>
  </si>
  <si>
    <t>Potentially involved in some intermediate steps for the synthesis of a polyketide molecule which may be involved in secondary metabolism.</t>
  </si>
  <si>
    <t>Putative polyketide synthase Pks16</t>
  </si>
  <si>
    <t>Rv1013, (MTCI237.30-MTCY10G2.36c), len: 544 aa. Putative pks16, polyketide synthase, similar to many e.g. N-terminus of Q50857|U24657 saframycin MX1 synthetase B (1770 aa), FASTA scores: opt: 526, E(): 1.4e-25, (29.3% identity in 542 aa overlap); etc. Contains PS00455 Putative AMP-binding domain signature. Belongs to the ATP-dependent AMP-binding enzyme family.</t>
  </si>
  <si>
    <t>The natural substrate for this enzyme may be peptidyl-TRNAS which drop off the ribosome during protein synthesis [catalytic activity: N-substituted aminoacyl-tRNA + H(2)O = N-substituted amino acid + tRNA]</t>
  </si>
  <si>
    <t>Probable peptidyl-tRNA hydrolase Pth</t>
  </si>
  <si>
    <t>Rv1014c, (MTCY10G2.35), len: 191 aa. Probable pth, peptidyl-tRNA hydrolase, similar to PTH_ECOLI|P23932 peptidy l-trna hydrolase from Escherichia coli (194 aa), FASTA scores: opt: 472, E(): 2.3e-25, (39.6% identity in 187 aa overlap). Belongs to the PTH family.</t>
  </si>
  <si>
    <t>Binds to the 50S rRNA</t>
  </si>
  <si>
    <t>50S ribosomal protein L25 RplY</t>
  </si>
  <si>
    <t>Rv1015c, (MTCY10G2.34), len: 215 aa. rplY, 50s ribosomal protein L25, similar to RL25_ECOLI|P02426 50s ribosomal protein L25 from Escherichia coli (94 aa), FASTA scores: opt: 182, E(): 2.5e-05, (38.4% identity in 86 aa overlap) and to CTC_BACSU|P14194 general stress protein from Bacillus subtilis (203 aa), FASTA scores: opt: 260, E(): 1.4e-09, (28.4% identity in 201 aa overlap). Belongs to the L25P family of ribosomal proteins.</t>
  </si>
  <si>
    <t>Probable conserved lipoprotein LpqT</t>
  </si>
  <si>
    <t>Rv1016c, (MTCY10G2.33), len: 226 aa. Probable lpqT, conserved lipoprotein. Similar to several Mycobacterium tuberculosis hypothetical proteins e.g. Rv0040c|Y0H3_MYCTU|P71697 Proline rich 28 kDA antigen (310 aa), FASTA scores: opt: 329, E(): 2e-17, (32.3% identity in 229 aa overlap); Rv0583c. Contains PS00013 Prokaryotic membrane lipoprotein lipid attachment site. A core mycobacterial gene; conserved in mycobacterial strains (See Marmiesse et al., 2004).</t>
  </si>
  <si>
    <t>Catalyzes the formation of PRPP from ATP and ribose 5-phosphate. PRPP is then used in various biosynthetic pathways, as for example in the formation of purines, pyrimidines, histidine and tryptophan. [catalytic activity: ATP + D-ribose 5-phosphate = AMP + 5-phospho-alpha-D-ribose 1-diphosphate]</t>
  </si>
  <si>
    <t>Probable ribose-phosphate pyrophosphokinase PrsA (phosphoribosyl pyrophosphate synthetase) (PRPP synthetase)</t>
  </si>
  <si>
    <t>Rv1017c, (MTCY10G2.32), len: 326 aa. Probable prsA, ribose-phosphate pyrophosphokinase, highly similar to others e.g. KPRS_ECOLI|P08330 ribose-phosphate pyrophosphokinase from Escherichia coli (314 aa), FASTA scores: opt: 826, E(): 0, (43.8% identity in 317 aa overlap). Contains PS00103 Purine/pyrimidine phosphoribosyl transferases signature; contains PS00144 Asparaginase / glutaminase active site signature 1. Belongs to the ribose-phosphate pyrophosphokinase family. Cofactor: both inorganic phosphate and magnesium ion are required for enzyme stability and activity (by similarity).</t>
  </si>
  <si>
    <t>Peptidoglycan and lipopolysaccharide biosynthesis</t>
  </si>
  <si>
    <t>Probable UDP-N-acetylglucosamine pyrophosphorylase GlmU</t>
  </si>
  <si>
    <t>Rv1018c, (MTCY10G2.31), len: 495 aa. Probable glmU, UDP-n-acetylglucosamine pyrophosphorylase, similar to GCAD_BACSU|P14192 UDP-n-acetylglucosamine pyrophosphorylase (456 aa), FASTA scores: opt: 1150, E(): 0, (40.0% identity in 453 aa overlap). Similar to various Mycobacterium tuberculosis sugar-phosphate transferases e.g. Rv0334, Rv1213, Rv3264c, etc.</t>
  </si>
  <si>
    <t>Probable transcriptional regulatory protein (probably TetR-family)</t>
  </si>
  <si>
    <t>Rv1019, (MTCY10G2.30c), len: 197 aa. Probable transcriptional regulator, similar to many memebers of the TetR family e.g. MTCY7D11.18c (34.4% identity in 189 aa overlap). Helix turn helix motif from aa 27-48 (+5.42 SD).</t>
  </si>
  <si>
    <t>Involved in nucleotide excision repair. Necessary for strand-specific repair. A lesion in the template strand blocks the RNA polymerase complex (RNAP). The RNAP-DNA-RNA complex is specifically recognized by TRCF which releases RNAP and the truncated transcript; the TCRF may replace RNAP at the lesion site and then recruit the UVRA/B/C repair system.</t>
  </si>
  <si>
    <t>Probable transcription-repair coupling factor Mfd (TRCF)</t>
  </si>
  <si>
    <t>Rv1020, (MTCY10G2.29c), len: 1234 aa. Probable mfd (alternate gene name: trcF), transcription-repair coupling factor (see citation below), similar to many e.g. MFD_ECOLI|P30958 transcription-repair coupling factor from Escherichia coli (1148 aa), FASTA scores: opt: 1900, E(): 0, (37.9% identity in 1107 aa overlap); similar to M. tuberculosis Rv2973c and Rv1633. Contains PS00017 ATP/GTP-binding site motif A (P-loop). In the N-terminal section; belongs to the UVRB family. In the C-terminal section; belongs to the helicase family. RECG subfamily.</t>
  </si>
  <si>
    <t>Rv1021, (MTCY10G2.28c), len: 325 aa. Conserved protein, similar to YBL1_STRCI|P33653 hypothetical 26.1 kDa protein from Streptomyces cacaoi (242 aa), FASTA scores: opt: 493, E(): 1.1e-23, (42.9% identity in 238 aa overlap).</t>
  </si>
  <si>
    <t>Probable conserved lipoprotein LpqU</t>
  </si>
  <si>
    <t>Rv1022, (MTCY10G2.27c), len: 243 aa. Probable lpqU conserved lipoprotein. Similar to Mycobacterium tuberculosis hypothetical protein Rv1230c|MTV006.02C, FASTA scores: E(): 2.8e-18, (37.9% identity in 240 aa overlap). Similar to AL133423|SC4A7.37 hypothetical protein from Streptomyces coelicolor (421 aa), FASTA scores: opt: 474, E(): 2.7e-21, (42.2% identity in 211 aa overlap). Contains PS00013 Prokaryotic membrane lipoprotein lipid attachment site.</t>
  </si>
  <si>
    <t>Glycolysis [catalytic activity:2-phospho-D-glycerate = phosphoenolpyruvate + H(2)O]</t>
  </si>
  <si>
    <t>Probable enolase Eno</t>
  </si>
  <si>
    <t>Rv1023, (MTCY10G2.26c), len: 429 aa. Probable eno, enolase, highly similar to others e.g. ENO_ECOLI|P08324 enolase from Escherichia coli (431 aa), FASTA scores: opt: 1487, E(): 0, (55.5% identity in 422 aa overlap); etc. Magnesium is required for catalysis and for stabilizing the dimer. Belongs to the enolase family.</t>
  </si>
  <si>
    <t>Rv1024, (MTCY10G2.25c), len: 228 aa. Possible conserved membrane protein, with a hydrophobic region from aa 83-101. Equivalent to ML0256|NP_301311.1|NC_002677 possible conserved membrane protein from Mycobacterium leprae (227 aa), S&amp;W scores: 178, E()= 2e-72, Identities: 145/203 (71%). A core mycobacterial gene; conserved in mycobacterial strains (See Marmiesse et al., 2004).</t>
  </si>
  <si>
    <t>Rv1025, (MTCY10G2.24c), len: 155 aa. Conserved protein, similar to hypothetical protein AE001768|AE001768_4 Thermotoga maritima (170 aa) FASTA scores: opt: 254, E(): 9.5e-10, (35.7% identity in 143 aa overlap).</t>
  </si>
  <si>
    <t>Unknown. Could be involved in an adaptive process that allows bacteria to respond to amino acid starvation.</t>
  </si>
  <si>
    <t>Rv1026, (MTCY10G2.23c), len: 319 aa. Conserved protein. Similar to GPPA_ECOLI|P25552 guanosine-5'-triphosphate,3'-diphosphate pyrophoshatase from Escherichia coli (494 aa), FASTA scores: opt: 281, E(): 3.2e-11, (30.6% identity in 291 aa overlap). Equivalent to AL023514|MLCB4.02 hypothetical protein from Mycobacterium leprae (317 aa) (77.9% identity in 321 aa overlap).</t>
  </si>
  <si>
    <t>kdpE</t>
  </si>
  <si>
    <t>Rv1027c</t>
  </si>
  <si>
    <t>Member of the two-component regulatory system KDPD/KDPE involved in the regulation of the KDP operon.</t>
  </si>
  <si>
    <t>Probable transcriptional regulatory protein KdpE</t>
  </si>
  <si>
    <t>Rv1027c, (MTCY10G2.22), len: 226 aa. Probable KdpE, transcriptional regulatory protein, similar to others e.g. KDPE_ECOLI|P21866 kdp operon transcriptional regulatory protein from Escherichia coli strain K12 (225 aa), FASTA scores: opt: 691, E(): 0, (47.8% identity in 224 aa overlap); AL021530|SC2E9.13 from Streptomyces coelicolor (227 aa), FASTA scores: opt: 981, E(): 0, (66.4% identity in 226 aa overlap); etc.</t>
  </si>
  <si>
    <t>kdpF</t>
  </si>
  <si>
    <t>Rv1028A</t>
  </si>
  <si>
    <t>Thought to be involved in stabilization of the KDP complex.</t>
  </si>
  <si>
    <t>Probable membrane protein KdpF</t>
  </si>
  <si>
    <t>Rv1028A, len: 30 aa. Probable kdpF, membrane protein, showing similarity with P36937|KDPF_ECOLI|B0698.1 protein KDPF from Escherichia coli strain K12 (see citation below) (27% identity); and KdpF protein from Streptomyces coelicolor (51% identity).</t>
  </si>
  <si>
    <t>Member of the two-component regulatory system KDPD/KDPE involved in the regulation of the KDP operon. KDPD may function as a membrane-associated protein kinase that phosphorylates KDPE|Rv1027c in response to environmental signals.</t>
  </si>
  <si>
    <t>Probable sensor protein KdpD</t>
  </si>
  <si>
    <t>Rv1028c, (MTCY10G2.21), len: 860 aa. Probable kdpD, sensor protein, similar to others e.g. KDPD_ECOLI|P21865 sensor protein from Escherichia coli strain K12 (894 aa), FASTA scores: opt: 1041, E(): 0, (32.3% identity in 888 aa overlap); etc. Contains PS00017 ATP/GTP-binding site motif A (P-loop). Belongs to universal stress protein family.</t>
  </si>
  <si>
    <t>One of the components of the high-affinity ATP-driven potassium transport (or KDP) system, which catalyzes the hydrolysis of ATP coupled with the exchange of hydrogen and potassium ions [catalytic activity: ATP + H(2)O + K(+)(out) = ADP + phosphate + K(+)(in)].</t>
  </si>
  <si>
    <t>Probable potassium-transporting ATPase a chain KdpA (potassium-translocating ATPase a chain) (ATP phosphohydrolase [potassium-transporting] a chain) (potassium binding and translocating subunit A)</t>
  </si>
  <si>
    <t>Rv1029, (MTCY10G2.20c), len: 571 aa. Probable kdpA, potassium-transporting ATPase a chain (transmembrane protein), similar to others e.g. ATKA_ECOLI|P03959|KDPA|B0698 potassium-transporting ATPase A chain from Escherichia coli strain K12 (557 aa), FASTA scores: opt: 1763, E(): 0, (50.4% identity in 569 aa overlap); etc. Belongs to the KdpA family.</t>
  </si>
  <si>
    <t>One of the components of the high-affinity ATP-driven potassium transport (or KDP) system, which catalyzes the hydrolysis of ATP coupled with the exchange of hydrogen and potassium ions [catalytic activity:ATP + H(2)O + K(+)(out) = ADP + phosphate + K(+)(in)].</t>
  </si>
  <si>
    <t>Probable potassium-transporting P-type ATPase B chain KdpB (potassium-translocating ATPase B chain) (ATP phosphohydrolase [potassium-transporting] B chain) (potassium binding and translocating subunit B)</t>
  </si>
  <si>
    <t>Rv1030, (MTCY10G2.19c), len: 709 aa. Probable kdpB, potassium-transporting P-type ATPase B chain (transmembrane protein), similar to others e.g. ATKB_ECOLI|P03960 potassium-transporting ATPase B chain from Escherichia coli strain K12 (682 aa), FASTA scores: opt: 1481, E(): 0, (63.4% identity in 686 aa overlap); etc. Very similar to AL078610|SCH35.47 H+/K+-exchanging ATPase chain B from Streptomyces coelicolor (707 aa), FASTA scores: opt: 2731, E(): 0, (71.6% identity in 676 aa overlap). Contains PS00154 E1-E2 ATPases phosphorylation site.</t>
  </si>
  <si>
    <t>One of the components of the high-affinity ATP-driven potassium transport (or KDP) system, which catalyzes the hydrolysis of ATP coupled with the exchange of hydrogen and potassium ions. The C subunit may be involved in assembly of the KDP complex. [catalytic activity: ATP + H(2)O + K(+)(out) = ADP + phosphate + K(+)(in)].</t>
  </si>
  <si>
    <t>Probable potassium-transporting ATPase C chain KdpC (potassium-translocating ATPase C chain) (ATP phosphohydrolase [potassium-transporting] C chain) (potassium binding and translocating subunit C)</t>
  </si>
  <si>
    <t>Rv1031, (MTCY10G2.18c), len: 189 aa. Probable kdpC, potassium-transporting ATPase C chain (membrane protein) , similar to others e.g. ATKC_ECOLI|P03961 potassium-transporting ATPase C chain from Escherichia coli strain K12 (190 aa), FASTA scores: opt: 475, E(): 3.1e-24, (45.7% identity in 186 aa overlap); etc. Belongs to the KdpC family.</t>
  </si>
  <si>
    <t>Sensor part of the two component regulatory system TRCS/TRCR.</t>
  </si>
  <si>
    <t>Two component sensor histidine kinase TrcS</t>
  </si>
  <si>
    <t>Rv1032c, (MTCY10G2.17), len: 509 aa. TrcS, two component sensor histidine kinase protein (see citations below), similar to YV16_MYCLE|P54883 probable sensor-like histidine kinase from Mycobacterium leprae (443 aa), FASTA scores: opt: 392, E(): 3.8e-18, (31.7% identity in 334 aa overlap). Note that in vitro autophosphorylation of TrcS requires the presence of Mn2+ or Ca2+ as a divalent cation cofactor and subsequent transphosphorylation of TrcR is evident in the presence of TrcS-phosphate and Ca2+.</t>
  </si>
  <si>
    <t>Sensor part of the two component regulatory system TRCS/TRCR. Involved in transcriptional autoactivation: TRCR activates its own expression by interacting with the at-rich sequence of the TRCR promoter.</t>
  </si>
  <si>
    <t>Two component transcriptional regulator TrcR</t>
  </si>
  <si>
    <t>Rv1033c, (MTCY10G2.16), len: 257 aa. TrcR, two-component regulatory protein (see citations below), similar to Q50825 two component response regulator from Mycobacterium tuberculosis (234 aa), FASTA scores: opt: 628, E(): 0, (46.0% identity in 226 aa overlap). Note that in vitro autophosphorylation of TrcS requires the presence of Mn2+or Ca2+as a divalent cation cofactor and subsequent transphosphorylation of TrcR is evident in the presence of TrcS-phosphate and Ca2+.</t>
  </si>
  <si>
    <t>Rv1034c</t>
  </si>
  <si>
    <t>Possibly required for the transposition of the insertion element IS1560.</t>
  </si>
  <si>
    <t>Rv1034c, (MTCY10G2.15), len: 129 aa. Probable IS1560 transposase fragment, similar to part of Rv3387|E1202305|MTV004.45 (225 aa) (65.1% identity in 129 aa overlap).</t>
  </si>
  <si>
    <t>Rv1035c</t>
  </si>
  <si>
    <t>Rv1035c, (MTCY10G2.14), len: 228 aa. Probable IS1560 transposase fragment, similar to parts of Rv3387|E1202305|MTV004.45 (225 aa) (47.8% identity in 67 aa overlap) and Rv3386|E1202304|MTV004.44 (234 aa) (55.1% identity in 127 aa overlap).</t>
  </si>
  <si>
    <t>Probable IS1560 transposase (fragment)</t>
  </si>
  <si>
    <t>Rv1036c, (MTCY10G2.13), len: 112 aa. Probable IS1560 transposase fragment, similar to part of Rv3386|E1202304|MTV004.44 (234 aa) (82.8% identity in 87 aa overlap).</t>
  </si>
  <si>
    <t>Rv1037c</t>
  </si>
  <si>
    <t>Putative ESAT-6 like protein EsxI (ESAT-6 like protein 1)</t>
  </si>
  <si>
    <t>Rv1037c, (MTCY10G2.12), len: 94 aa. EsxI, ESAT-6 like protein (see citations below), highly similar to Q49946|ES6X_MYCLE|U1756D putative ESAT-6 like protein X from Mycobacterium leprae (95 aa), FASTA scores: opt: 409, E(): 6.3e-23, (64.15% identity in 92 aa overlap); Rv3619c, Rv1198, Rv2346c, etc from Mycobacterium tuberculosis. Strictly identical to P96364|ES61_MYCTU|Rv3619c|MTCY15C10.33|MTCY07H7B.03|MT3721 putative ESAT-6 like protein 1 (94 aa). Belongs to the ESAT6 family.</t>
  </si>
  <si>
    <t>ESAT-6 like protein EsxJ (ESAT-6 like protein 2)</t>
  </si>
  <si>
    <t>Rv1038c, (MT1067, MTCY10G2.11), len: 98 aa. EsxJ, ESAT-6 like protein (see Gey Van Pittius et al., 2001), similar to Q49945|U1756C, Mycobacterium leprae (100 aa), FASTA scores: opt: 375, E(): 7.7e-21, (58.3% identity in 96 aa overlap). Member of M. tuberculosis hypothetical QILSS protein family with Rv1197, Rv1792, Rv2347c and Rv3620c. Belongs to the ESAT6 family.</t>
  </si>
  <si>
    <t>PPE family protein PPE15</t>
  </si>
  <si>
    <t>Rv1039c, (MTCY10G2.10), len: 391 aa. PPE15, Member of the Mycobacterium tuberculosis PPE family of glycine-rich proteins, most similar to Rv2768c|AL008967|MTV002_33 Mycobacterium tuberculosis H37Rv (394 aa), FASTA scores: opt: 1721, E(): 0, (70.4% identity in 398 aa overlap).</t>
  </si>
  <si>
    <t>PE family protein PE8</t>
  </si>
  <si>
    <t>Rv1040c, (MTCY10G2.09), len: 275 aa. PE8, Member of the Mycobacterium tuberculosis PE family (see citation below), most similar to AL008967|MTV002_34 Mycobacterium tuberculosis H37Rv (275 aa), FASTA scores: opt: 1111, E(): 0, (68.6% identity in 283 aa overlap). This region is a possible MT-complex-specific genomic island (See Becq et al., 2007).</t>
  </si>
  <si>
    <t>Rv1041c</t>
  </si>
  <si>
    <t>Possibly required for the transposition of an insertion element.</t>
  </si>
  <si>
    <t>Probable is like-2 transposase</t>
  </si>
  <si>
    <t>Rv1041c, (MTCY10G2.08), len: 287 aa. Probable is like-2 transposase, overlaps MTCY10G2.07. Similar to Q00430|X53945 insertion element IS869 hypothetical protein from Agrobacterium tumefaciens (186 aa), FASTA scores: opt: 173, E(): 0.00016, (40.9% identity in 176 aa overlap). Similar to Rv1150, C-terminal part of transposase of putative Mycobacterium tuberculosis is like-1. MTCY10G2.07 and MTCY10G2.08 are frameshifted with respect to Mycobacterium tuberculosis Q50761 transposase, the 10G2 cosmid sequence appears to be correct. This region is a possible MT-complex-specific genomic island (See Becq et al., 2007).</t>
  </si>
  <si>
    <t>Rv1042c</t>
  </si>
  <si>
    <t>Rv1042c, (MTCY10G2.07), len: 135 aa. Probable is like-2 transposase, similar to Q50761 transposase from Mycobacterium tuberculosis (308 aa), FASTA scores: opt: 823, E(): 0, (99.1% identity in 117 aa overlap). Second copy is Rv1149. This region is a possible MT-complex-specific genomic island (See Becq et al., 2007).</t>
  </si>
  <si>
    <t>Rv1043c, (MTCY10G2.06), len: 341 aa. Conserved hypothetical protein similar to AL096872|SC5F7.08 putative lipoate-protein ligase from Streptomyces coelicolor (362 aa), FASTA scores: opt: 206, E(): 1.4e-05, (30.3% identity in 201 aa overlap). Weak similarity to P39668|YYXA_BACSU hypothetical protease from Bacillus subtitis (400 aa), FASTA scores: opt: 159, E(): 0.013, (27.1% identity in 210 aa overlap). This region is a possible MT-complex-specific genomic island (See Becq et al., 2007).</t>
  </si>
  <si>
    <t>Rv1044, (MTCY10G2.05c), len: 207 aa. Conserved hypothetical protein, similar to Mycobacterium tuberculosis hypothetical protein MTCY06G11.02C|P96837 (289 aa), fasta scores: E(): 8.9e-06, (30.7% identity in 150 aa overlap). Some similarity to U36837|LLU36837_1 Lactococcus lactis plasmid pNP40 (287 aa), FASTA scores: opt: 147, E (): 0.0087, (29.7% identity in 91 aa overlap). This region is a possible MT-complex-specific genomic island (See Becq et al., 2007).</t>
  </si>
  <si>
    <t>Rv1045, (MTCY10G2.04c), len: 293 aa. Hypothetical unknown protein. This region is a possible MT-complex-specific genomic island (See Becq et al., 2007).</t>
  </si>
  <si>
    <t>Rv1046c, (MTCY10G2.03), len: 174 aa. Hypothetical unknown protein. Start changed since first submission (-65 aa). This region is a possible MT-complex-specific genomic island (See Becq et al., 2007).</t>
  </si>
  <si>
    <t>Rv1047</t>
  </si>
  <si>
    <t>Possibly required for the transposition of the insertion element IS1081.</t>
  </si>
  <si>
    <t>Rv1047, (MTCY10G2.02c), len: 415 aa. IS1081 transposase, most similar to TRA1_MYCBO|P35882 transposase for insertion sequence element (415 aa), FASTA scores: opt: 2675, E(): 0, (99.8% identity in 415 aa overlap). Contains PS01007 Transposases, Mutator family, signature. This region is a possible MT-complex-specific genomic island (See Becq et al., 2007).</t>
  </si>
  <si>
    <t>Rv1048c, (MTV017.01c-MTCY10G2.01), len: 371 aa. Hypothetical unknown protein. This region is a possible MT-complex-specific genomic island (See Becq et al., 2007).</t>
  </si>
  <si>
    <t>Rv1049</t>
  </si>
  <si>
    <t>Probable transcriptional repressor protein</t>
  </si>
  <si>
    <t>Rv1049, (MTV017.02), len: 148 aa. Probable transcriptional repressor protein, similar to many e.g. P74870 negative regulator of EMR locus EMR from Salmonella typhimurium (149 aa), FASTA scores: opt: 146, E(): 0.0011, (31.6% identity in 95 aa overlap). Contains probable helix-turn-helix motif at aa 58-79 (Score 1495, +4.28 SD). This region is a possible MT-complex-specific genomic island (See Becq et al., 2007).</t>
  </si>
  <si>
    <t>Rv1050</t>
  </si>
  <si>
    <t>Function unknown; probably involved in cellular metabolism</t>
  </si>
  <si>
    <t>Rv1050, (MTV017.03), len: 301 aa. Probable oxidoreductase similar to many e.g. Rv1543|MTCY48.22C|Q10783 putative oxidoreductase CY48.22C (341 aa), FASTA scores: opt: 462, E(): 3e-22, (33.6% identity in 265 aa overlap). This region is a possible MT-complex-specific genomic island (See Becq et al., 2007).</t>
  </si>
  <si>
    <t>Rv1051c</t>
  </si>
  <si>
    <t>Rv1051c, (MTV017.04c), len: 251 aa. Conserved hypothetical protein, similar to LLU36837|U36837.1 protein encoded by Lactococcus lactis plasmid pNP40 (298 aa), FASTA scores: opt: 194, E(): 3.5e-06, (30.3% identity in 155 aa overlap). Contains possible helix-turn-helix motif at aa 197-218 (Score 1097, +2.92 SD). This region is a possible MT-complex-specific genomic island (See Becq et al., 2007).</t>
  </si>
  <si>
    <t>Rv1052</t>
  </si>
  <si>
    <t>Rv1052, (MTV017.05), len: 129 aa. Hypothetical unknown protein. This region is a possible MT-complex-specific genomic island (See Becq et al., 2007).</t>
  </si>
  <si>
    <t>Rv1053c, (MTV017.06c), len: 91 aa. Hypothetical unknown protein. This region is a possible MT-complex-specific genomic island (See Becq et al., 2007).</t>
  </si>
  <si>
    <t>Use for sequence integration. Integrase is necessary for integration of a phage into the host genome by site-specific recombination. In conjunction with excisionase, integrase is also necessary for excision of the prophage from the host genome.</t>
  </si>
  <si>
    <t>Probable integrase (fragment)</t>
  </si>
  <si>
    <t>Rv1054, (MTV017.07), len: 104 aa. Probable integrase (fragment), similar to Rv2309c|MTCY3G12_25|Z79702 hypothetical protein (shows similarity to integrases) from Mycobacterium tuberculosis (151 aa), FASTA scores: opt: 273, E(): 8.8e-13, (64.7% identity in 68 aa overlap); and to L39071|MSGINT_1 integrase from Mycobacterium paratuberculosis (191 aa), FASTA scores: opt: 105, E(): 0.9, (31.8% identity in 85 aaoverlap). This ORF continues in another frame as Rv1055|MTV017.08 but no error can be found to account for frameshift. Length extended since first submission (+36 aa). This region is a possible MT-complex-specific genomic island (See Becq et al., 2007).</t>
  </si>
  <si>
    <t>Rv1055</t>
  </si>
  <si>
    <t>Possible integrase (fragment)</t>
  </si>
  <si>
    <t>Rv1055, (MTV017.08), len: 44 aa. Possible integrase (fragment); first 49 aa similar to Rv2309c|MTCY3G12_25|Z79702 hypothetical protein (shows similarity to integrases) from Mycobacterium tuberculosis (151 aa), FASTA scores: opt: 291, E(): 2.2e-16, (74.3% identity in 70 aa overlap); and to L39071|MSGINT_1 integrase from Mycobacterium paratuberculosis (191 aa), FASTA scores: opt: 146, E(): 8.3e-05, (52.1% identity in 48 aa overlap); and to many other integrases or transposases. Shortened since first submission (-34 aa). This region is a possible MT-complex-specific genomic island (See Becq et al., 2007).</t>
  </si>
  <si>
    <t>Rv1056, (MTV017.09), len: 254 aa. Conserved protein, some similarity in C-terminal region of Rv0140|MTCI5.14|Z92770 Mycobacterium tuberculosis (126 aa), FASTA scores: opt: 254, E(): 1.2e-10, (43.4% identity in 106 aa overlap); and to Rv1670. C-terminal region is similar to AL035569|SC8D9.02 hypothetical protein from Streptomyces coelicolor (113 aa), FASTA scores: opt: 282, E(): 4.5e-12, (48.0% identity in 100 aa overlap).</t>
  </si>
  <si>
    <t>Rv1057, (MTV017.10), len: 393 aa. Conserved hypothetical protein, some similarity to X84710|MMSAG_1 surface antigen of Methanosarcina mazeii (491 aa), FASTA scores: opt: 363, E():6.2e-15, (31.3% identity in 294 aa overlap). Regulated by MprA (Rv0981) under physiological conditions and environmental stress (SDS and Triton X-100) (See He et al., 2006).</t>
  </si>
  <si>
    <t>Involved in the fatty acid beta oxidation pathway (degradation).</t>
  </si>
  <si>
    <t>Probable medium chain fatty-acid-CoA ligase FadD14 (fatty-acid-CoA synthetase) (fatty-acid-CoA synthase)</t>
  </si>
  <si>
    <t>Rv1058, (MTV017.11), len: 543 aa. Probable fadD14, medium-chain fatty-acid-CoA synthetase, highly similar to many e.g. CAC32346.1|AL583945 putative fatty acid CoA ligase from Streptomyces coelicolor (558 aa); N-terminus of NP_419738.1|NC_002696 medium-chain-fatty-acid--CoA ligase from Caulobacter crescentus (1006 aa); Q00594|ALKK_PSEOL medium-chain-fatty-acid--CoA ligase from Pseudomonas oleovorans (546 aa), FASTA scores: opt: 1468, E(): 0, (41.1% identity in 538 aa overlap); etc. Contains PS00455 Putative AMP-binding domain signature. Belongs to the ATP-dependent AMP-binding enzyme family.</t>
  </si>
  <si>
    <t>Rv1059, (MTV017.12), len: 354 aa. Conserved protein, similar to Rv0926c|MTCY21C12.20c hypothetical protein from Mycobacterium tuberculosis (358 aa), FASTA scores: opt: 338, E(): 1.4e-14, (33.1% identity in 363 aa overlap).</t>
  </si>
  <si>
    <t>Rv1060, (MTV017.13), len: 157 aa. Unknown protein.</t>
  </si>
  <si>
    <t>Rv1061, (MTV017.14), len: 287 aa. Conserved protein, similar to hypothetical proteins from various bacteria e.g. D64002|SYCSLRD_75 Synechocystis sp. PCC6803 (304 aa),FASTA scores: opt: 245, E():1.2e-09, (27.1% identity in 258 aa overlap).</t>
  </si>
  <si>
    <t>Rv1062, (MTV017.15), len: 285 aa. Conserved hypothetical protein, some similarity to AL079356|SC6G9_10 hypothetical protein in Streptomyces coelicolor (289 aa), FASTA scores: opt: 556, E(): 1.2e-27, (39.0% identity in 287 aa overlap), and Z99111|BSUB0008_176 Bacillus subtilis (260aa), FASTA scores: opt: 163, E(): 0.0013, (27.4% identity in 179aa overlap).</t>
  </si>
  <si>
    <t>Rv1063c, (MTV017.16c), len: 360 aa. Conserved hypothetical protein, similar to P37053|YCHK_ECOLI hypothetical protein from Escherichia coli (314 aa), FASTA scores: opt: 487, E(): 7.2e-23, (32.7% identity in 321 aa overlap). Also partially similar to Rv3239c|MTCY20B11.14c. Belongs to the UPF0028 (SWS) family.</t>
  </si>
  <si>
    <t>lpqV</t>
  </si>
  <si>
    <t>Rv1064c</t>
  </si>
  <si>
    <t>Possible lipoprotein LpqV</t>
  </si>
  <si>
    <t>Rv1064c, (MTV017.17c), len: 139 aa. Possible lipoprotein LpqV. Has N-terminal signal sequence and appropriately positioned PS00013 Prokaryotic membrane lipoprotein lipid attachment site.</t>
  </si>
  <si>
    <t>Rv1065, (MTV017.18), len: 188 aa. Conserved hypothetical protein, some similarity to AL0209|SC4H8_11 hypothetical protein from Streptomyces coelicolor (182 aa), FASTA scores: opt: 156, E(): 0.0011, (31.3% identity in 195 aa overlap).</t>
  </si>
  <si>
    <t>Rv1066, (MTV017.19), len: 131 aa. Conserved hypothetical protein, strong similarity to AL0209|SC4H8.10 hypothetical protein from Streptomyces coelicolor (132 aa), FASTA scores: opt: 429, E(): 5.2e-23, (57.1% identity in 119 aa overlap).</t>
  </si>
  <si>
    <t>PE_PGRS19</t>
  </si>
  <si>
    <t>PE-PGRS family protein PE_PGRS19</t>
  </si>
  <si>
    <t>Rv1067c, (MTV017.20c), len: 667 aa. PE_PGRS19, Member of the Mycobacterium tuberculosis PE family, PGRS subfamily of gly-rich proteins (see Brennan &amp; Delogu 2002). Similar to Rv3388|MTV004.46 M. tuberculosis (731 aa), FASTA scores: opt: 2227, E(): 0, (55.6% identity in 710 aa overlap). Contains PS00583 pfkB family of carbohydrate kinases signature 1, probably fortuitous. Predicted to be an outer membrane protein (See Song et al., 2008).</t>
  </si>
  <si>
    <t>PE_PGRS20</t>
  </si>
  <si>
    <t>PE-PGRS family protein PE_PGRS20</t>
  </si>
  <si>
    <t>Rv1068c, (MTV017.21c), len: 463 aa. PE_PGRS20, Member of the Mycobacterium tuberculosis PE family, PGRS subfamily of gly-rich proteins (see Brennan &amp; Delogu 2002). Similar to AL021897|MTV017_19 Mycobacterium tuberculosis H37Rv (667 aa), FASTA scores: opt: 1875, E(): 0, (55.0% identity in 667 aa overlap).</t>
  </si>
  <si>
    <t>Rv1069c, (MTV017.22c), len: 587 aa. Conserved protein, hydrophobic regions in N-terminal domain. Similar in part to O07136|B1306.04C B1306.04c protein from Mycobacterium leprae (89 aa), FASTA scores: opt: 229, E(): 1.3e-07, (54.2% identity in 72 aa overlap).</t>
  </si>
  <si>
    <t>Probable enoyl-CoA hydratase EchA8 (enoyl hydrase) (unsaturated acyl-CoA hydratase) (crotonase)</t>
  </si>
  <si>
    <t>Rv1070c, (MTV017.23c), len: 257 aa. Probable echA8, enoyl-CoA hydratase, equivalent to O07137|B1306.05c putative enoyl-CoA hydratase/isomerase from Mycobacterium leprae (257 aa), FASTA scores: opt: 1417, E(): 0, (86.4% identity in 257 aa overlap). Also highly similar to others e.g. NP_106219.1|NC_002678 enoyl CoA hydratase from Mesorhizobium loti (257 aa); L39265|RHMRPST_2 enoyl-CoA hydratase from Rhizobium melilotii (257 aa), FASTA scores: opt: 1100, E(): 0, (66.9% identity in 257 aa overlap); AAK18173.1|AF290950_5|AF290950|FadB1x enoyl-CoA hydratase from Pseudomonas putida (257 aa); etc. Contains PS00166 Enoyl-CoA hydratase/isomerase signature. Belongs to the enoyl-CoA hydratase/isomerase family.</t>
  </si>
  <si>
    <t>Possible enoyl-CoA hydratase EchA9 (enoyl hydrase) (unsaturated acyl-CoA hydratase) (crotonase)</t>
  </si>
  <si>
    <t>Rv1071c, (MTV017.24c), len: 345 aa. Possible echA9, enoyl-CoA hydratase, equivalent to Y13803|B1306.06c putative enoyl-CoA hydratase/isomerase from Mycobacterium leprae (345 aa), FASTA scores: opt: 1799, E(): 0, (77.7% identity in 345 aa overlap). Also similar to many eukaryotic and prokaryotic enoyl-CoA hydratases e.g. NP_437984.1|NC_003078 putative enoyl-CoA hydratase protein from Sinorhizobium meliloti (356 aa); NP_420165.1|NC_002696 enoyl-CoA hydratase/isomerase family protein from Caulobacter crescentus (350 aa); Q19278 protein similar to enoyl-CoA hydratases from Caenorhabditis elegans (386), FASTA scores: opt: 787, E(): 0, (38.5% identity in 348 aa overlap); etc.</t>
  </si>
  <si>
    <t>Rv1072, (MTV017.25), len: 278 aa. Probable conserved transmembrane protein, equivalent to O07139|B1306.07|Y13803 Protein B1306.07 from Mycobacterium leprae (220 aa), FASTA scores: opt:1032, E(): 0, (75.0% identity in 220 aa overlap); and at the C-terminal end to Q50056|U1740D Mycobacterium leprae (96 aa), FASTA scores: opt: 381, E(): 1.2e-18, (71.6% identity in 81 aa overlap). Similar to Q54192|M80628|STMBLDA_1 transfer RNA-LEU (BLDA) gene and ORF from Streptomyces griseus (293 aa), FASTA scores: opt:558, E(): 4.7e-30, (41.5% identity in 299 aa overlap).</t>
  </si>
  <si>
    <t>Rv1073, (MTV017.26), len: 283 aa. Conserved hypothetical protein, similar to several hypothetical mycobacterial proteins e.g. Rv1482c|Z79701|MTCY277.03 Mycobacterium tuberculosis (339 aa), FASTA scores: opt: 810, E(): 0, (47.4% identity in 272 aa overlap); Rv3555c|Z92774|MTCY6G11_2 Mycobacterium tuberculosis (289 aa), FASTA scores: opt: 704, E(): 0, (44.4% identity in 259 aa overlap); and Rv3517, etc., and GIR10|AF002133_10 Mycobacterium avium strain GIR10 (346 aa), FASTA scores: opt: 802, E(): 0, (48.1% identity in 270 aa overlap).</t>
  </si>
  <si>
    <t>Function unknown, but supposedly involved in lipid degradation (beta oxidation).</t>
  </si>
  <si>
    <t>Probable beta-ketoacyl CoA thiolase FadA3</t>
  </si>
  <si>
    <t>Rv1074c, (MTV017.27c), len: 405 aa. Probable fadA3, beta-ketoacyl CoA thiolase, highly similar to many involved in beta-oxidation e.g. CAB89028.1|AL353870 beta-ketoadipyl-CoA thiolase from Streptomyces coelicolor (395 aa); P77525|PAAJ_ECOLI probable beta-ketoadipyl CoA thiolase from Escherichia coli (401 aa), FASTA scores: opt: 1034, E(): 5.4e-56, (43.5% identity in 416 aa overlap) and X97452 acetyl-CoA acetyltransferase (thiolase) from Escherichia coli (401 aa), FASTA scores: opt: 1043, E(): 0, (43.4% identity in 415 aa overlap); Q43935|CATF_ACICA beta-ketoadipyl CoA thiolase from Acinetobacter calcoaceticus (401 aa), FASTA scores: opt: 992, E(): 0, (41.5% identity in 415 aa overlap); etc. Contains PS00737 Thiolases signature 2, and PS00445 FGGY family of carbohydrate kinases signature 2, although this is probably fortuitous. Belongs to the thiolase family.</t>
  </si>
  <si>
    <t>Conserved exported protein</t>
  </si>
  <si>
    <t>Rv1075c, (MTV017.28c), len: 314 aa. Possibly exported protein, as it contains a N-terminal signal sequence, hydrophobic domain from aa 7-25. Similar to U15183|MLU15183_2 Mycobacterium leprae cosmid B1740 (106 aa), FASTA scores: opt: 207, E(): 1.6e-06, (42.6% identity in 101 aa overlap). Also weak similarity to many glyceraldehyde-3-phosphate dehydrogenases e.g. Q41595|G3PC_TAXBA Taxus baccata (340 aa), FASTA scores: opt: 147, E(): 0.027, (27.5% identity in 189 aa overlap).</t>
  </si>
  <si>
    <t>lipU</t>
  </si>
  <si>
    <t>Rv1076</t>
  </si>
  <si>
    <t>Hydrolyses lipids</t>
  </si>
  <si>
    <t>Possible lipase LipU</t>
  </si>
  <si>
    <t>Rv1076, (MTV017.29), len: 297 aa. Possible lipU, lipase, very similar to several Mycobacterium tuberculosis proteins e.g. Z95390|Rv3487c|MTCY13E12.41c (277 aa), FASTA scores: opt: 1225, E(): 0, (76.0% identity in 246 aa overlap); Rv1426c, etc. Also similar to esterases and lipases of around 300 aa e.g. Q44087 esterase precursor from Acinetobacter lwoffii esterase (303), FASTA scores: opt: 427, E(): 1.9e-21, (32.5% identity in 280 aa overlap). Equivalent to AL035159|MLCB1450 _7 Mycobacterium leprae (335 aa), FASTA scores: opt: 1588, E(): 0, (79.7% identity in 296 aa overlap).</t>
  </si>
  <si>
    <t>Thought to be involved in homocysteine transulfuration [catalytic activity: L-serine + L-homocysteine = cystathionine + H2O]</t>
  </si>
  <si>
    <t>Probable cystathionine beta-synthase Cbs (serine sulfhydrase) (beta-thionase) (hemoprotein H-450)</t>
  </si>
  <si>
    <t>Rv1077, (MTV017.30), len: 464 aa. Probable cbs (previously cysM2), cystathionine beta-synthase, similar throughout its length to many eukaryotic cystathionine beta-synthases e.g. P32232|CBS_RAT cystathionine beta-synthase (560 aa), FASTA scores: opt: 951, E(): 0, (40.2% identity in 450 aa overlap); also similar in N-terminal domain (aa 1 - 330) to Rv2334|MTCY98.03 CysK Mycobacterium tuberculosis (310 aa), FASTA scores: opt: 855, E(): 0, (46.8% identity in 314 overlap); and other cysteine synthase proteins e.g. Rv1336, Rv0848, etc. Contains PS00217 Sugar transport proteins signature 2 probably spurious. Belongs to the cysteine synthase/cystathionine beta-synthase family.</t>
  </si>
  <si>
    <t>Probable proline-rich antigen homolog Pra</t>
  </si>
  <si>
    <t>Rv1078, (MTV017.31), len: 240 aa. Probable pra, Proline-rich antigen homolog, equivalent to X65546|MLPRAG_1 proline rich antigen from Mycobacterium leprae (249 aa), FASTA scores: opt: 1162, E(): 3.3e-30, (64.8% identity in 253 aa overlap). Has potential hydrophobic domains.</t>
  </si>
  <si>
    <t>Involved in methionine biosynthesis: converts O-succinyl-L-homoserine to cystathionine [catalytic activity: O-succinyl-L-homoserine + L-cysteine = cystathionine + succinate (can also use hydrogen sulfide and methanethiol as substrates)].</t>
  </si>
  <si>
    <t>Cystathionine gamma-synthase MetB (CGS) (O-succinylhomoserine [thiol]-lyase)</t>
  </si>
  <si>
    <t>Rv1079, (MTV017.32), len: 388 aa. metB, cystathionine gamma-synthase (see citation below). P46807|METB_MYCLE cystathionine gamma-synthase from Mycobacterium leprae (388 aa), FASTA scores: opt: 2220, E(): 0, (87.3% identity in 387 aa overlap). Also similar to other Mycobacterium tuberculosis enzymes involved in methionine synthesis e.g. Rv0391 and Rv3340. Contains PS00868 Cys/Met metabolism enzymes pyridoxal-phosphate attachment site. Belongs to the trans-sulfuration enzymes family.</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</si>
  <si>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trancript by cleavage factors such as GREA or GREB allows the resumption of elongation from the new 3'terminus. GREA releases sequences of 2 to 3 nucleotides</t>
  </si>
  <si>
    <t>Probable transcription elongation factor GreA (transcript cleavage factor GreA)</t>
  </si>
  <si>
    <t>Rv1080c, (MTV017.33c), len: 164 aa. Probable greA, transcription elongation factor G, closest to P46808|GREA_MYCLE transcription elongation factor G from Mycobacterium leprae (202 aa), FASTA scores: opt: 1005, E(): 0, (94.5% identity in 164 aa overlap); and similar to many e.g. P21346|GREA_ECOLI from Escherichia coli (158 aa), FASTA scores: opt: 257, E(): 5.7e-10, (37.2% identity in 148 aa overlap); etc. Contains two PS00829 and one PS00830 Prokaryotic transcription elongation factors signatures 1 and 2, respectively. Belongs to the GREA/GREB family.</t>
  </si>
  <si>
    <t>Rv1081c</t>
  </si>
  <si>
    <t>Rv1081c, (MTV017.34c), len: 144 aa. Probable conserved membrane protein, with hydrophobic stretch from aa 26 - 48, highly similar to NP_302548.1|NC_002677 conserved membrane protein from Mycobacterium leprae. A core mycobacterial gene; conserved in mycobacterial strains (See Marmiesse et al., 2004). Predicted to be an outer membrane protein (See Song et al., 2008).</t>
  </si>
  <si>
    <t>Mycothiol-dependent detoxification enzyme, involved in mycothiol biosynthesis.</t>
  </si>
  <si>
    <t>Mycothiol conjugate amidase Mca (mycothiol S-conjugate amidase)</t>
  </si>
  <si>
    <t>Rv1082, (MTV017.35), len: 288 aa. Mca, mycothiol conjugate amidase (see citation below), equivalent to NP_302547.1|NC_002677 conserved hypothetical protein from Mycobacterium leprae (290 aa), FASTA scores: opt: 1737, E(): 0, (86.4% identity in 287 aa overlap); and similar to Q54358|X79146 lmbE protein from Streptomyces lincolnensis (270 aa). Also similar to Rv1170|MTV005.06|MSHB GlcNAc-Ins deacetylase from Mycobacterium tuberculosis (303 aa), FASTA scores: opt: 411, E(): 9.4e-20, (35.8% identity in 299 aa overlap).</t>
  </si>
  <si>
    <t>Rv1083</t>
  </si>
  <si>
    <t>Rv1083, (MTV017.36), len: 88 aa. Conserved hypothetical protein, similar to U15183|MLU15183_9 hypothetical protein from Mycobacterium leprae (167 aa), FASTA scores: opt: 332, E(): 1.2e-13, (58.4% identity in 101 aa overlap). Hydrophobic domain aa 25-43. A core mycobacterial gene; conserved in mycobacterial strains (See Marmiesse et al., 2004).</t>
  </si>
  <si>
    <t>Rv1084, (MTV017.37), len: 673 aa. Conserved protein, similar to P37512|YYAL_BACSU hypothetical protein from Bacillus subtilis (689 aa), FASTA scores: opt: 1063, E() : 0, (36.5% identity in 696 aa overlap); AE0009|AE000983_10 Archaeoglobus fulgidus section 1 (642 aa), FASTA scores: opt: 1018, E(): 0, (37.2% identity in 600 aa overlap). Also similar to AE001938|AE001938_9 Deinococcus radiodurans (690 aa), FASTA scores: opt: 1097, E(): 0, (41.6% identity in 694 aa overlap).</t>
  </si>
  <si>
    <t>Unknown, but supposedly involved in virulence</t>
  </si>
  <si>
    <t>Possible hemolysin-like protein</t>
  </si>
  <si>
    <t>Rv1085c, (MTV017.38c), len: 242 aa. Possible hemolysin-like protein, integral membrane protein, similar to many hemolysins, and hypothetical proteins e.g. U28375|ECU28375_49 Hypothetical protein from Escherichia coli (219 aa), FASTA scores: opt: 308, E(): 7.5e-15, (30.6% identity in 180 aa overlap); AE0011|HIAE001124_2 Hypothetical protein from Borrelia burgdorferi (233 aa), FASTA scores: opt: 305, E(): 1.3e-14, (25.6% identity in 203 aa overlap). Also weakly similar to HLY3_BACCE|P54176 haemolysin from Bacillus cereus (219 aa), FASTA scores: opt: 247, E(): 8.7e-12, (27.5% identity in 171 aa overlap). Also similar to AE002027|AE002027_8 probable hemolysin from Deinococcus radiodurans (219 aa), FASTA scores: opt: 354, E(): 1.8e-16, (31.1% identity in 219 aa overlap).</t>
  </si>
  <si>
    <t>Catalyzes the first committed step in the synthesis of decaprenyl diphosphate, a molecule which has a central role in the biosynthesis of most features of the mycobacterial cell wall. Adds one isoprene unit to omega,E-geranyl diphosphate. The product, omega,E, Z-farnesyl diphosphate, is the putative substrate of Rv2361c product [catalytic activity: geranyl diphosphate + isopentenyl diphosphate = diphosphate + trans,trans-farnesyl diphosphate].</t>
  </si>
  <si>
    <t>Short (C15) chain Z-isoprenyl diphosphate synthase (Z-FPP synthase) (Z-farnesyl diphosphate synthase) (Z-FPP synthetase) (Z-farnesyl diphosphate synthetase) (geranyltranstransferase) (farnesyl pyrophosphate synthetase)</t>
  </si>
  <si>
    <t>Rv1086, (MTV017.39), len: 262 aa. Short (C15) chain Z-isoprenyl diphosphate synthase (see citations below), equivalent to NP_302598.1|NC_002677 possible undecaprenyl pyrophosphate synthetase from Mycobacterium leprae (262 aa), similar to many hypothetical proteins and several potential members of the upp synthase family e.g. NP_296167.1|NC_001263 undecaprenyl diphosphate synthase from Deinococcus radiodurans (339 aa); P20182|YT14_STRFR Hypothetical protein from Streptomyces fradiae (259 aa), FASTA scores: opt: 840, E(): 0, (51.0% identity in 259 aa overlap); and P38118|YARF_CORGL Hypothetical protein from Corynebacterium glutamicicum (234 aa), FASTA scores: opt: 729, E(): 0, (56.0% identity in 209 aa overlap); etc. Also similar to Rv2361c|MTCY27.19 (296 aa) (35.6% identity in 233 aa overlap). Contains PS01066 Uncharacterized protein family UPF0015 signature. Seems to belong to the UPP synthetase family.</t>
  </si>
  <si>
    <t>PE_PGRS21</t>
  </si>
  <si>
    <t>Rv1087</t>
  </si>
  <si>
    <t>PE-PGRS family protein PE_PGRS21</t>
  </si>
  <si>
    <t>Rv1087, (MTV017.40), len: 767 aa. PE_PGRS21, Member of the Mycobacterium tuberculosis PE family, PGRS subfamily of gly-rich proteins (see citation below). Similar to Rv1090|AL021897|MTV017_43 Mycobacterium tuberculosis H37Rv (853 aa), FASTA scores: opt: 2819, E(): 0, (59.8% identity in 860 aa overlap). Contains PS00583 pfkB family of carbohydrate kinases signature 1 near C -terminus. Predicted to be an outer membrane protein (See Song et al., 2008).</t>
  </si>
  <si>
    <t>Rv1087A</t>
  </si>
  <si>
    <t>Rv1087A, len: 106 aa (fragment). Conserved hypothetical protein, highly similar to C-terminus of near ORF O53434|YA86_MYCTU|Rv1086|MT1118|MTV017.39 short (C15) chain Z-isoprenyl diphosphate synthase from Mycobacterium tuberculosis (262 aa), FASTA scores: opt: 200, E(): 1.1e-06, (57.9% identity in 76 aa overlap).</t>
  </si>
  <si>
    <t>PE9</t>
  </si>
  <si>
    <t>Rv1088</t>
  </si>
  <si>
    <t>PE family protein PE9</t>
  </si>
  <si>
    <t>Rv1088, (MTV017.41), len: 144 aa. PE9, Member of Mycobacterium tuberculosis PE family (see citation below), similar to many others e.g. Z96071|MTCI418B_6 Mycobacterium tuberculosis cosmid (487 aa), FASTA scores: opt: 318, E(): 7.3e-14, (60.9% identity in 87 aa overlap) - except it appears to be frameshifted around codon 84. No error to account for frameshift could be found.</t>
  </si>
  <si>
    <t>PE10</t>
  </si>
  <si>
    <t>Rv1089</t>
  </si>
  <si>
    <t>PE family protein PE10</t>
  </si>
  <si>
    <t>Rv1089, (MTV017.42), len: 120 aa. PE10, Member of the Mycobacterium tuberculosis PE family of glycine-rich proteins (see citation below). Partial ORF that appears to be frameshifted continuation of Rv1088|MTV017.41. Sequence has been checked and appears correct. Similar to Z95555|MTCY06F7_4 Mycobacterium tuberculosis cosmid (401 aa), FASTA scores: opt:126, E(): 2, (29.6% identity in 125 aa overlap). This region is a possible MT-complex-specific genomic island (See Becq et al., 2007).</t>
  </si>
  <si>
    <t>celA2a</t>
  </si>
  <si>
    <t>Rv1089A</t>
  </si>
  <si>
    <t>Probable cellulase CelA2a (endo-1,4-beta-glucanase) (endoglucanase) (carboxymethyl cellulase)</t>
  </si>
  <si>
    <t>Rv1089A, len: 34 aa. Probable celA2a, first part of cellulase (endoglucanase), similar to N-terminus of others. This region is a possible MT-complex-specific genomic island (See Becq et al., 2007).</t>
  </si>
  <si>
    <t>celA2b</t>
  </si>
  <si>
    <t>Rv1090</t>
  </si>
  <si>
    <t>Probable cellulase CelA2b (endo-1,4-beta-glucanase) (endoglucanase) (carboxymethyl cellulase)</t>
  </si>
  <si>
    <t>Rv1090, (MTV017.43), len: 151 aa. Probable celA2b, second part of cellulase (endoglucanase), similar to C-terminus of others e.g. O08468 cellulase CEL2 from Streptomyces halstedi (377 aa), FASTA scores: opt: 554, E(): 1.2e-30, (52.0% identity in 152 aa overlap); etc. Gene appears to have been inactivated by frameshift mutations but no errors could be found that would account for this. This region is a possible MT-complex-specific genomic island (See Becq et al., 2007).</t>
  </si>
  <si>
    <t>PE-PGRS family protein PE_PGRS22</t>
  </si>
  <si>
    <t>Rv1091, (MTV017.44), len: 853 aa. PE_PGRS22, Member of the Mycobacterium tuberculosis PE family, PGRS subfamily of gly-rich proteins (see citation below). Similar to Rv1087|AL021897|MTV017_39 Mycobacterium tuberculosis H37Rv (767 aa), FASTA scores: opt: 2819, E(): 0, (60.0% identity in 860 aa overlap). Predicted to be an outer membrane protein (See Song et al., 2008). This region is a possible MT-complex-specific genomic island (See Becq et al., 2007).</t>
  </si>
  <si>
    <t>Coenzyme A (CoA) biosynthesis [catalytic activity: ATP + pantothenate = ADP + D-4'- phosphopantothenate.]</t>
  </si>
  <si>
    <t>Probable pantothenate kinase CoaA (pantothenic acid kinase)</t>
  </si>
  <si>
    <t>Rv1092c, (MTV017.45c), len: 312 aa. Probable coaA, pantothenate kinase, similar to many e.g. P15044|COAA_ECOLI Escherichia coli (316 aa), FASTA scores :opt: 1079, E(): 0, (52.7% identity in 311 aa overlap). Equivalent to AL049491|MLCB1222_17 Mycobacterium leprae (312 aa) (93.6% identity in 312 aa overlap). Contains PS00017 ATP/GTP-binding site motif A (P-loop). Belongs to the pantothenate kinase family.</t>
  </si>
  <si>
    <t>glyA1</t>
  </si>
  <si>
    <t>Interconversion of serine and glycine. Key enzyme in the biosynthesis of purines, lipids, hormones and other components [catalytic activity: 5,10-methylenetetrahydrofolate + glycine + H(2)O = tetrahydrofolate + L-serine.]</t>
  </si>
  <si>
    <t>Serine hydroxymethyltransferase 1 GlyA1</t>
  </si>
  <si>
    <t>Rv1093, (MTV017.46), len: 426 aa. glyA1, serine hydroxymethyltransferase 1, equivalent to AL049491|MLCB1222_16 from Mycobacterium leprae (426 aa), FASTA score: (89.9 % identity in 426 aa overlap). Also similar to many e.g. P34895|GLYA_HYPME hyphomicrobium methylovorum (434 aa), FASTA scores: opt: 1492, E(): 0, (56.8% identity in 419 aa overlap); etc. Belongs to the ShmT family. Note that previously known as glyA.</t>
  </si>
  <si>
    <t>Thought to catalyze the principal conversion of saturated fatty acids to unsaturated fatty acids. Thought to convert stearoyl-ACP to oleoyl-ACP by introduction of a cis double bond between carbons delta-9 and delta-10 of the acyl chain [catalytic activity: stearoyl-[acyl-carrier protein] + AH2 + O2 = oleoyl-[acyl-carrier protein] + a + 2 H2O].</t>
  </si>
  <si>
    <t>Possible acyl-[acyl-carrier protein] desaturase DesA2 (acyl-[ACP] desaturase) (stearoyl-ACP desaturase)</t>
  </si>
  <si>
    <t>Rv1094, (MTV017.47), len: 275 aa. Possible desA2, acyl-[acyl-carrier protein] desaturase (stearoyl-ACP desaturase), equivalent to AL049491|MLCB1222_15 from Mycobacterium leprae (275 aa), FASTA score: (78.1% identity in 274 aa overlap). Also weakly similar to plant stearoyl-acyl carrier protein desaturases, and very similar to U49839|MTV043.16C|Rv0824c enzyme desA1 from Mycobacterium tuberculosis (338 aa), FASTA scores: opt: 525, E(): 8.5e-30, (32.2% identity in 270 aa overlap); and to U15182|MLU15182_32 acyl-carrier protein desaturase precursor from Mycobacterium leprae (338 aa), FASTA scores: opt: 506, E(): 1.9e-28, (34.1% identity in 261 aa overlap).</t>
  </si>
  <si>
    <t>Probable PHOH-like protein PhoH2 (phosphate starvation-inducible protein PSIH)</t>
  </si>
  <si>
    <t>Rv1095, (MTV017.48), len: 433 aa. Probable phoH2, phoH-like protein (phosphate starvation-induced protein), probably ATP-binding protein. Equivalent to AL049491 MLCB1222_14 Mycobacterium leprae (433 aa) (92.8% identity in 432 aa overlap). Similar to many proteins described as PhoH-like e.g. Z97025|BSZ97025_12 Bacillus subtilis (442 aa), FASTA scores: opt: 605, E(): 0, (40.1% identity in 444 aa overlap); or Mycobacterium tuberculosis Rv2368c|O05830|PHOL_MYCTU Mycobacterium tuberculosis (352 aa), FASTA scores: opt: 390, E(): 4e-19, (31.5% identity in 241 aa overlap). Contains PS00017 ATP/GTP-binding site motif A (P-loop). Belongs to the PhoH family.</t>
  </si>
  <si>
    <t>Probably involved in carbohydrate degradation. May hydrolyse the glycosidic bond between two or more carbohydrates or between a carbohydrate and a non-carbohydrate moiety.</t>
  </si>
  <si>
    <t>Possible glycosyl hydrolase</t>
  </si>
  <si>
    <t>Rv1096, (MTV017.49), len: 291 aa. Possible glycosyl hydrolase, possibly deacetylase or esterase. Equivalent to AL049491|MLCB1222_13 Mycobacterium leprae (291 aa) (81.3% identity in 289 aa overlap). Similar at the C-terminus to enzymes involved in carbohydrate degradation including Z99110|BSUB0007_92 endo-1,4-beta-xylanase homolog yjeA from Bacillus subtilis (467 aa), FASTA scores: opt: 418, E(): 2.6e-17, (38.6% identity in 184 aa overlap); M64552|STMXLNB_2 acetyl-xylan esterase from Streptomyces lividans (335 aa), FASTA scores: opt: 371, E(): 1.1e-14, (31.6% identity in 237 aa overlap); NP_345933.1|NC_003028 peptidoglycan N-acetylglucosamine deacetylase a from Streptococcus pneumoniae (463 aa); etc. Has possible N-terminal signal sequence with TMhelix at aa 13-31.</t>
  </si>
  <si>
    <t>Probable membrane glycine and proline rich protein</t>
  </si>
  <si>
    <t>Rv1097c, (MTV017.50c), len: 293 aa. Probable membrane Gly-, Pro-rich protein, similar to Mycobacterium tuberculosis Rv2507|MTCY07A7. 13|Z95556 (273 aa), FASTA scores: opt: 219, E(): 0.023, (30.5% identity in 266 aa overlap); and Rv2507. Contains potential membrane spanning region (aa ~68-92).</t>
  </si>
  <si>
    <t>fum</t>
  </si>
  <si>
    <t>Involved in the tricarboxylic acid cycle. Catalyzes the reversible hydration of fumarate to L-malate [catalytic activity: (S)-malate = fumarate + H2O]</t>
  </si>
  <si>
    <t>Probable fumarase Fum (fumarate hydratase)</t>
  </si>
  <si>
    <t>Rv1098c, (MTV017.51c), len: 474 aa. Probable fum, fumarase. Equivalent to AL049491|MLCB1222_11 Mycobacterium leprae (474 aa) (89.5 % identity in 467 aa overlap). Similar to many e.g. P14408|FUMH_RAT fumarate hydratase, mitochondrial precursor from Rattus norvegicus (507 aa), FASTA scores: opt: 1427, E(): 0, (52.3% identity in 461 aa overlap); and P05042|FUMC_ECOLI Fumarate hydratase class II from Escherichia coli (467 aa), FASTA scores: opt: 1355, E(): 0, (50.2% identity in 444 aa overlap). Contains PS00163 Fumarate lyases signature.</t>
  </si>
  <si>
    <t>Involved in gluconeogenesis [catalytic activity: fructose-1,6-bisphosphate + H2O = D-fructose-6-phosphate + phosphate]</t>
  </si>
  <si>
    <t>Fructose 1,6-bisphosphatase GlpX</t>
  </si>
  <si>
    <t>Rv1099c, (MTV017.52c), len: 362 aa. glpX, class II fructose 1,6-bisphosphatase (See Movahedzadeh et al., 2004), highly similar to P44811|GLPX_HAEIN GLPX protein homolog (believed to be involved in glycerol metabolism) (333 aa), FASTA scores: opt: 763, E():0, (46.2% identity in 327 aa overlap); and Q03224|YWJI_BACSU hypothetical protein from Bacillus subtilis (321aa), FASTA scores: opt: 1092, E(): 0, (52.1% identity in 313 aa overlap). Equivalent to AL049491|MLCB1222_10 Mycobacterium leprae (355 aa), (93.0% identity in 328 aa overlap). N-terminus extended since first submission (previously 328 aa).</t>
  </si>
  <si>
    <t>Rv1100, (MTV017.53), len: 233 aa. Conserved protein, slightly similar to Rv1906c|MTCY180.12 hypothetical protein from Mycobacterium tuberculosis (156 aa), FASTA scores: opt: 122, E(): 6.9, (27.4% identity in 135 aa overlap). Equivalent to AL049491|MLCB1222_9 Mycobacterium leprae (257 aa) (63.8% identity in 257 aa overlap). A core mycobacterial gene; conserved in mycobacterial strains (See Marmiesse et al., 2004).</t>
  </si>
  <si>
    <t>Rv1101c, (MTV017.54c), len: 385 aa. Conserved membrane protein, shows some similarity to other bacterial proteins e.g. P77406|PERM_ECOLI putative permease perm from Escherichia coli (353 aa), FASTA scores: opt: 287, E(): 8.8e-12, (24.9% identity in 349 aa overlap).</t>
  </si>
  <si>
    <t>mazF3</t>
  </si>
  <si>
    <t>Rv1102c</t>
  </si>
  <si>
    <t>Sequence-specific mRNA cleavage</t>
  </si>
  <si>
    <t>Toxin MazF3</t>
  </si>
  <si>
    <t>Rv1102c, (MTV017.55c), len: 103 aa. MazF3, toxin, part of toxin-antitoxin (TA) operon with Rv1103c (See Pandey and Gerdes, 2005; Zhu et al., 2006), similar to Mycobacterium tuberculosis hypothetical protens e.g. Rv1942c|MTCY9F9_22 (109 aa), FASTA scores: opt: 158, E(): 3.6e-05, (33.3% identity in 93 aa overlap); Rv0659c|MTCI376_17 (102aa), opt: 140, E(): 0.00072, (40.6% identity in 69aa overlap); and Rv1495.</t>
  </si>
  <si>
    <t>mazE3</t>
  </si>
  <si>
    <t>Possible antitoxin MazE3</t>
  </si>
  <si>
    <t>Rv1103c, (MTV017.56c), len: 106 aa. Possible mazE3, antitoxin, part of toxin-antitoxin (TA) operon with Rv1102c (See Pandey and Gerdes, 2005; Zhu et al., 2006). Note that Zhu et al., 2006 identifies a different amino acid sequence as the possible antitoxin to Rv1102c. Similar to part of Mycobacterium tuberculosis hypothetical protein Rv2472|AL021246|MTV008_27 Mycobacterium tuberculosis (97 aa), FASTA score: opt: 135, E(): 0.0091, (45.8% identity in 72 aa overlap).</t>
  </si>
  <si>
    <t>In combination with MTV017.58|Rv1105 catalyzes hydrolysis of several beta-lactam antibiotic PNB esters to the corresponding free acid and PNB alcohol</t>
  </si>
  <si>
    <t>Possible para-nitrobenzyl esterase (fragment)</t>
  </si>
  <si>
    <t>Rv1104, (MTV017.57), len: 229 aa. Possible para-nitrobenzyl esterase (fragment; possibly first part) . Similar to the N-terminal domain of many e.g. P37967|PNBA_BACSU Bacillus subtilis (489 aa), FASTA scores: opt: 715, E(): 0, (53.4% identity in 191 aa overlap). Gene may be inactivated as a frameshift is required to obtain a product continuing in MTV017.58|Rv1105.</t>
  </si>
  <si>
    <t>Rv1105</t>
  </si>
  <si>
    <t>In combination with MTV017.57|Rv1104 catalyzes hydrolysis of several beta-lactam antibiotic PNB esters to the corresponding free acid and PNB alcohol</t>
  </si>
  <si>
    <t>Rv1105, (MTV017.58), len: 171 aa. Possible para-nitrobenzyl esterase (fragment; possibly second part) . Similar to C-terminal domain of many e.g. P71048 para-nitrobenzyl esterase from Bacillus subtilis (489 aa), FASTA scores: opt: 248, E(): 2.7e-10, (32.3% identity in 167 aa overlap). Gene may be inactivated as a frameshift is required to obtain a product continuing from MTV017.57|Rv1104. Start changed since first submission.</t>
  </si>
  <si>
    <t>Oxidizes 3-beta-hydroxysterols using NAD+ as cofactor</t>
  </si>
  <si>
    <t>3-beta-hydroxysteroid dehydrogenase</t>
  </si>
  <si>
    <t>Rv1106c, (MTV017.59c), len: 370 aa. 3-beta-hydroxysteroid dehydrogenase (see Yang et al., 2007). Equivalent to AL049491|MLCB1222_7 Mycobacterium leprae (376 aa) (75.5% identity in 375 aa overlap). Highly similar to Q03704 NAD(P)-dependent cholesterol dehydrogenase from Nocardia sp. (364 aa), FASTA scores: opt: 1789, E(): 0, (74.5% identity in 361 aa overlap). Also similar to U32426|MCU32426_1 3-beta-hydroxy-Delta5-steroid dehydrogenase from Molluscum contagiosum virus (354 aa), FASTA scores: opt: 432, E(): 1.7e-22, (34.6% identity in 347 aa overlap). Also similar to series of Mycobacterium tuberculosis hypothetical proteins described as sugar epimerases or dehydratases e.g. Rv3634c, Rv3784, Rv3464, etc. The transcription of this CDS seems to be activated specifically in host granulomas (see Ramakrishnan et al., 2000).</t>
  </si>
  <si>
    <t>xseB</t>
  </si>
  <si>
    <t>Rv1107c</t>
  </si>
  <si>
    <t>Bidirectionally degrades single-stranded DNA into large acid-insoluble oligonucleotides, which are then degraded further into small acid-soluble oligonucleotides [catalytic activity: exonucleolytic cleavage in either 5'- to 3'- or 3'- to 5'-direction to yield 5'-phosphomononucleotides.]</t>
  </si>
  <si>
    <t>Probable exodeoxyribonuclease VII (small subunit) XseB (exonuclease VII small subunit)</t>
  </si>
  <si>
    <t>Rv1107c, (MTV017.60c), len: 85 aa. Probable xseB, exonuclease VII small subunit (see citation below). Equivalent to AL049491|MLCB1222_6 Mycobacterium leprae (87 aa) (77.9% identity in 68 aa overlap). Similar to P43914|EX7S_HAEIN exodeoxyribonuclease small subunit from H. influenzae (84 aa), FASTA scores: opt: 126, E(): 0.006, (37.3% identity in 67 aa overlap); and P22938|EX7S_ECOLI exodeoxyribonuclease small subunit from Escherichia coli (79 aa), FASTA scores: opt: 125, E(): 0.0067, (39.7% identity in 58 aa overlap). Belongs to the XseB family.</t>
  </si>
  <si>
    <t>Bidirectionally degrades single-stranded DNA into large acid-insoluble oligonucleotides, which are then degraded further into small acid-soluble oligonucleotides [catalytic activity: exonucleolytic cleavage in either 5'- to 3'- or 3'- to 5'-direction to yield 5'-phosphomononucleotides]</t>
  </si>
  <si>
    <t>Probable exodeoxyribonuclease VII (large subunit) XseA (exonuclease VII large subunit)</t>
  </si>
  <si>
    <t>Rv1108c, (MTV017.61c), len: 415 aa. Probable xseA, exodeoxyribonuclease VII large subunit (see Mizrahi &amp; Andersen 1998). Equivalent to AL049491|MLCB1222_5 Mycobacterium leprae (428 aa) (81.5% identity in 411 aa overlap). Similar to many e.g. P04994|EX7L_ECOLI exodeoxyribonuclease large subunit from Escherichia coli (456 aa), FASTA scores: opt: 581, E(): 1.6 e-30, (30.8% identity in 425 aa overlap); also similar to the exodeoxyribonuclease in Bacillus subtilis, H. influenzae and H. pylori. Belongs to the XseA family.</t>
  </si>
  <si>
    <t>Rv1109c, (MTV017.62c), len: 212 aa. Conserved protein. Equivalent to AL049491|MLCB1222_4 hypothetical protein from Mycobacterium leprae (205 aa) (68.1% identity in 213 aa overlap). A core mycobacterial gene; conserved in mycobacterial strains (See Marmiesse et al., 2004).</t>
  </si>
  <si>
    <t>lytB2</t>
  </si>
  <si>
    <t>Unknown. In other organisms, LYTB product is involved in penicillin tolerance and control of the stringent response.</t>
  </si>
  <si>
    <t>Probable LYTB-related protein LytB2</t>
  </si>
  <si>
    <t>Rv1110, (MTV017.63), len: 335 aa. Probable lytB2, LytB-related protein, equivalent to AL049491|MLCB1222_3 from Mycobacterium leprae (335 aa), FASTA score: (82.9% identity in 333 aa overlap). Also similar to LytB proteins from many bacteria (appears to have N-terminal extension) e.g. P22565|LYTB_ECOLI|B0029|Z0034|ECS0032 LYTB protein from Escherichia coli strains K12 and O157:H7 (316 aa), FASTA scores: opt: 1041, E():0, (52.4% identity in 309 aa overlap); etc. Also very similar to another LytB-related protein from Mycobacterium tuberculosis: LytB1|Rv3382c|MTV004.40c (329 aa), FASTA scores: opt: 975, E(): 0, (51.3% identity in 312 aa overlap). Belongs to the LytB family.</t>
  </si>
  <si>
    <t>Rv1111c, (MTV017.64c), len: 327 aa. Conserved hypothetical protein, N-terminal domain is hydrophobic, C-terminal half is very rich in Arg. Equivalent to AL049491|MLCB1222_2 hypothetical protein from Mycobacterium leprae (379 aa) (46.0% identity in 374 aa overlap). Start changed since first submission. A core mycobacterial gene; conserved in mycobacterial strains (See Marmiesse et al., 2004).</t>
  </si>
  <si>
    <t>Probable GTP binding protein</t>
  </si>
  <si>
    <t>Rv1112, (MTCY22G8.01-MTV017.65), len: 357 aa. Probable GTP binding protein, similar to YCHF_HAEIN|P44681 probable gtp-binding protein (362 aa), FASTA scores: opt: 1189, E(): 0, (52.7% identity in 357 aa overlap). Equivalent to AL049491|MLCB1222_1 hypothetical protein from Mycobacterium leprae (356 aa) (85.9% identity in 354 aa overlap0. Contains PS00017 ATP/GTP-binding site motif A (P-loop).</t>
  </si>
  <si>
    <t>vapB32</t>
  </si>
  <si>
    <t>Rv1113</t>
  </si>
  <si>
    <t>Possible antitoxin VapB32</t>
  </si>
  <si>
    <t>Rv1113, (MTCY22G8.02), len: 65 aa. Possible vapB32, antitoxin, part of toxin-antitoxin (TA) operon with Rv1114, see Arcus et al. 2005. Similar to others in Mycobacterium tuberculosis e.g. Rv2758c|AL00896 7|MTV002.23 (88 aa) FASTA scores: opt: 97, E(): 0.86, (33.3% identity in 69 aa overlap). Part of family including Rv2871, Rv1241, Rv2132, Rv3321c, etc.</t>
  </si>
  <si>
    <t>vapC32</t>
  </si>
  <si>
    <t>Rv1114</t>
  </si>
  <si>
    <t>Possible toxin VapC32. Contains PIN domain.</t>
  </si>
  <si>
    <t>Rv1114, (MTCY22G8.03), len: 124 aa. Possible vapC32, toxin, part of toxin-antitoxin (TA) operon with Rv1113, contains PIN domain, see Arcus et al. 2005. Similar to others in Mycobacterium tuberculosis e.g. Rv1561 and Rv2010.</t>
  </si>
  <si>
    <t>Rv1115</t>
  </si>
  <si>
    <t>Rv1115, (MTCY22G8.04), len: 232 aa. Possible exported protein, contains possible N-terminal signal sequence.</t>
  </si>
  <si>
    <t>Rv1116</t>
  </si>
  <si>
    <t>Rv1116, (MTCY22G8.05), len: 61 aa. Hypothetical unknown protein.</t>
  </si>
  <si>
    <t>Rv1116A</t>
  </si>
  <si>
    <t>Conserved hypothetical protein (fragment)</t>
  </si>
  <si>
    <t>Rv1116A, len: 91 aa. Conserved hypothetical protein (possibly gene fragment), similar to C-terminal part of Rv1646|Z85982_9 from Mycobacterium tuberculosis (310 aa), FASTA scores: opt: 301, E(): 9.3e-13, (68.05% identity in 72 aa overlap). Also overlaps gene on other strand, Rv1116, at 3'-end.</t>
  </si>
  <si>
    <t>Rv1117, (MTCY22G8.06), len: 107 aa. Conserved protein, some similarity to P94425|D50453 hypothetical protein from Bacillus subtilis (95 aa), fasta scores: opt: 128, E(): 5.1e-06, (28.3% identity in 92 aa overlap); and AL117322|SCF1.02 Streptomyces coelicolor (109 aa), FASTA scores: opt: 437, E(): 1.6e-25, (57.5% identity in 106 aa overlap).</t>
  </si>
  <si>
    <t>Rv1118c, (MTCY22G8.07c), len: 286 aa. Conserved protein, similar to pseudogene ML0942 in Mycobacterium leprae.</t>
  </si>
  <si>
    <t>Rv1119c</t>
  </si>
  <si>
    <t>Rv1119c, (MTCY22G8.08c), len: 49 aa. Hypothetical unknown protein.</t>
  </si>
  <si>
    <t>Rv1120c</t>
  </si>
  <si>
    <t>Rv1120c, (MTCY22G8.09c), len: 164 aa. Conserved hypothetical protein, some similarity at C-terminus to Mycobacterium tuberculosis hypothetical proteins e.g. Rv1890c|MTCY180.28 (462 aa), FASTA scores: opt: 187, E(): 2.2e-05, (36.6% identity in 93 aa overlap) and Rv2488c|YZ19_MYCTU|Q10551 (285 aa), FASTA scores: opt: 156, E(): 0.00074, (32.7% identity in 107 aa overlap).</t>
  </si>
  <si>
    <t>Involved in pentose phosphate pathway (first step) [catalytic activity: D-glucose 6-phosphate + NADP(+) = D-glucono-1,5-lactone 6-phosphate + NADPH.]</t>
  </si>
  <si>
    <t>Probable glucose-6-phosphate 1-dehydrogenase Zwf1 (G6PD)</t>
  </si>
  <si>
    <t>Rv1121, (MTCY22G8.10), len: 466 aa. Probable zwf1, glucose-6-phosphate 1-dehydrogenase, highly similar to many e.g. G6PD_E COLI|P22992 Escherichia coli (491 aa), FASTA scores: opt: 642, E(): 0, (35.8% identity in 478 aa overlap). Mycobacterium tuberculosis has two genes for ZWF, this one is highly divergent. Belongs to the glucose-6-phosphate dehydrogenase family. Note that previously known as zwf. Nucleotide position 1244700 in the genome sequence has been corrected, T:C resulting in L332L.</t>
  </si>
  <si>
    <t>Involved in hexose monophosphate shunt (pentose phosphate pathway). [catalytic activity: 6-phospho-D-gluconate + NADP+ = D-ribulose 5-phosphate + CO2 + NADPH]</t>
  </si>
  <si>
    <t>Probable 6-phosphogluconate dehydrogenase, decarboxylating Gnd2</t>
  </si>
  <si>
    <t>Rv1122, (MTCY22G8.11), len: 340 aa. Probable gnd2, 6-phosphogluconate dehydrogenase, decarboxylating, highly similar to Q53917 6-phosphogluconate dehydrogenase from Streptomyces coelicolor (291 aa), fasta scores: opt: 431, E(): 2.2e-20, (44.5% identity in 335 aa overlap). Also similar to Rv1844c|MTCY359.29|gnd1 probable 6-phosphogluconate dehydrogenase from Mycobacterium tuberculosis (485 aa), FASTA score: (33.0% identity in 351 aa overlap). Note that Rv1844c|MTCY359.29|gnd1 is most similar to gnd's from Gram negative organisms, while gnd2 is most similar to gnd's from Gram positive organisms. Belongs to the 6-phosphogluconate dehydrogenase family.</t>
  </si>
  <si>
    <t>Possible peroxidase BpoB (non-haem peroxidase)</t>
  </si>
  <si>
    <t>Rv1123c, (MTCY22G8.12c), len: 302 aa. Possible bpoB, peroxidase (non-haem peroxidase), with some similarity to a range of enzymes from several organisms including: DEH1_MORSP|Q01398 haloacetate dehalogenase from Moraxella sp. (294 aa), FASTA scores: opt: 201, E(): 2.1e-06, (35.8% identity in 134 aa overlap); and BPA1_STRAU|P33912 non-haem bromoperoxidase bpo-a1 from Streptomyces aureofaciens (274 aa), FASTA scores: opt: 187, E(): 1.6e-05, (23.1% identity in 281 aa overlap). Similar to several other Mycobacterium tuberculosis proteins, probable epoxide hydrolases and non-heme bromoperoxidases e.g. Rv1938, Rv3617, Rv3473c, Rv3171c, etc. Contains PS00216 Sugar transport proteins signature 1.</t>
  </si>
  <si>
    <t>Probable epoxide hydrolase EphC (epoxide hydratase)</t>
  </si>
  <si>
    <t>Rv1124, (MTCY22G8.13), len: 316 aa. Probable ephC, epoxide hydrolase (see citation below), similar to Q42566 epoxide hydrolase from Arabidopsis thaliana (321 aa), FASTA scores: opt: 298, E(): 8.2e-13, (27.6% identity in 333 aa overlap). Similar to other M. tuberculosis epoxide hydrolases and non-heme bromoperoxidases e.g. Rv1938, Rv3617, Rv3670, Rv3473c, etc.</t>
  </si>
  <si>
    <t>Rv1125, (MTCY22G8.14), len: 414 aa. Conserved hypothetical protein. Similar to AL133278|SCM11.13 hypothetical protein from Streptomyces coelicolor (446 aa), FASTA scores: opt: 182, E(): 0.0005, (28.1% identity in 437 aa overlap).</t>
  </si>
  <si>
    <t>Rv1126c, (MTCY22G8.15c), len: 201 aa. Conserved protein, similar in N-terminus to O05567|MLCB33.17 hypothetical protein from Mycobacterium leprae (141 aa), FASTA scores: opt: 332, E(): 1.4e-23, (58.4% identity in 101 aa overlap).</t>
  </si>
  <si>
    <t>Catalyzes the reversible phosphorylation of pyruvate and phosphate [catalytic activity: ATP + pyruvate + phosphate = AMP + phosphoenolpyruvate + diphosphate]</t>
  </si>
  <si>
    <t>Probable pyruvate, phosphate dikinase PpdK</t>
  </si>
  <si>
    <t>Rv1127c, (MTCY22G8.16c), len: 490 aa. Probable ppdK, Pyruvate, phosphate dikinase. Equivalent (but shorter) to Z94723|MLCB33_16 ppdK from Mycobacterium leprae (601 aa) (71.8% identity in 478 aa overlap). Highly similar to N-terminus of PODK_CLOSY|P22983 pyruvate, phosphate dikinase from Clostridium symbiosum (873 aa), FASTA scores: opt: 786, E(): 0, (37.4% identity in 514 aa overlap).</t>
  </si>
  <si>
    <t>Rv1128c, (MTCY22G8.17c), len: 451 aa. Conserved hypothetical protein, in REP13E12 degenerate repeat, highly similar to several Mycobacterium tuberculosis proteins in REP13E12 repeats e.g. Rv1148c, Rv1945, Rv3467, etc.</t>
  </si>
  <si>
    <t>Probable transcriptional regulator protein</t>
  </si>
  <si>
    <t>Rv1129c, (MTCY22G8.18c), len: 486 aa. Possible transcriptional regulator protein, similar to Rv0465c|MTV038.09c Mycobacterium tuberculosis (474 aa), FASTA scores: E(): 0, (47.4% identity in 468 aa overlap). Helix turn helix motif present from aa 32-53.</t>
  </si>
  <si>
    <t>prpD</t>
  </si>
  <si>
    <t>Involved in methyl citrate cycle</t>
  </si>
  <si>
    <t>Possible methylcitrate dehydratase PrpD</t>
  </si>
  <si>
    <t>Rv1130, (MTCY22G8.19), len: 526 aa. Possible prpD, methylcitrate dehydratase (MCD), some similarity to AP000063|AP000063_192 hypothetical protein from Aeropyrum pernix (479 aa), FASTA scores: opt: 717, E(): 0, (34.3% identity in 443 a a overlap), and to PRPD_ECOLI|P77243 prpd protein from Escherichia coli (483aa), FASTA scores: opt: 234, E(): 3.3e-08, (27.0% identity in 429 aa overlap). Predicted possible vaccine candidate (See Zvi et al., 2008).</t>
  </si>
  <si>
    <t>prpC</t>
  </si>
  <si>
    <t>Involved in methyl citrate cycle [catalytic activity: propionyl-CoA + oxaloacetate + H2O = 2-methylcitrate + CoA]</t>
  </si>
  <si>
    <t>Probable methylcitrate synthase PrpC</t>
  </si>
  <si>
    <t>Rv1131, (MTCY22G8.20), len: 393 aa. Probable prpC, methylcitrate synthase (MCS) (previously known as gltA1) , highly similar to CISY_MYCSM|P26491 citrate synthase from Mycobacterium smegmatis (375 aa), FASTA scores: opt:1942, E(): 0, (80.0% identity in 375 aa overlap). Also similar to two other M. tuberculosis citrate synthases, Rv0896c|MTCY31.24|gltA2 (431 aa), FASTA score: (33.1% identity in 381 aa overlap) and Rv0889|MTCY31.17c|citA (373 aa), FASTA score: (31.8% identity in 371 aa overlap). Contains PS00480 Citrate synthase signature. Belongs to the citrate synthase family.</t>
  </si>
  <si>
    <t>Rv1132, (MTCY22G8.21), len: 576 aa. Conserved membrane protein, similar to O06827|Rv1431|MTCY493.23C membrane protein from Mycobacterium tuberculosis (589 aa), fasta scores: opt: 1811, E(): 0, (48.2% identity in 585 aa overlap).</t>
  </si>
  <si>
    <t>Catalyzes the transfer of a methyl group from 5-methyltetrahydrofolate to homocysteine resulting in methionine formation (pathway: terminal step in the de novo biosynthesis of methionine) [catalytic activity: 5-methyltetrahydropteroyltri-L-glutamate + L- homocysteine = tetrahydropteroyltri-L-glutamate + L-methionine.]</t>
  </si>
  <si>
    <t>Probable 5-methyltetrahydropteroyltriglutamate--homocysteine methyltransferase MetE (methionine synthase, vitamin-B12 independent isozyme)</t>
  </si>
  <si>
    <t>Rv1133c, (MTC22G8.22), len: 759 aa (start site chosen by homology). Probable metE, 5-methyltetrahydropteroyltriglutamate--homocysteine methyltransferase, highly similar to others e.g. METE_ECOLI|P25665 Escherichia coli (752 aa), FASTA scores: opt: 2251, E(): 0, (48.1% identity in 756 aa overlap). Equivalent to Z94723|MLCB33_14 metE from M. leprae (760 aa) (85.3% identity in 755 aa overlap). Belongs to the vitamin-B12 independent methionine synthase family.</t>
  </si>
  <si>
    <t>Rv1134</t>
  </si>
  <si>
    <t>Rv1134, (MTCI65.01), len: 78 aa. Hypothetical unknown protein.</t>
  </si>
  <si>
    <t>Rv1135A</t>
  </si>
  <si>
    <t>Function unknown, but involved in lipid degradation [catalytic activity: 2 acetyl-CoA = CoA + acetoacetyl-CoA].</t>
  </si>
  <si>
    <t>Possible acetyl-CoA acetyltransferase (acetoacetyl-CoA thiolase)</t>
  </si>
  <si>
    <t>Rv1135A, len: 80 aa. Possible acetyl-CoA acetyltransferase (possible gene fragment), highly similar to other acetyl-CoA acetyltransferases e.g. C-terminal part of Rv3556c|Z92774|MTCY6G11_2|MTCY06G11.03|fadA6 acetyl-CoA acetyltransferase from Mycobacterium tuberculosis (386 aa), FASTA scores: opt: 219, E(): 5.7e-09, (63.6% identity in 55 aa overlap).</t>
  </si>
  <si>
    <t>PPE family protein PPE16</t>
  </si>
  <si>
    <t>Rv1135c, (MTCI65.02c), len: 618 aa. PPE16, Member of the Mycobacterium tuberculosis PPE family of glycine-rich proteins. Similar to Rv2356c (59.6% identity in 627 aa overlap); etc.. Predicted to be an outer membrane protein (See Song et al., 2008).</t>
  </si>
  <si>
    <t>Rv1136</t>
  </si>
  <si>
    <t>Involved in carnitine metabolism.</t>
  </si>
  <si>
    <t>Possible enoyl-CoA hydratase</t>
  </si>
  <si>
    <t>Rv1136, (MTCI65.03), len: 113 aa. Probable enoyl-CoA hydratase (possible gene fragment). Some similarity to N-terminus of carnitine racemases and enoyl-CoA hydratases (but much shorter) e.g. I41014 carnitine racemase from Escherichia coli (297 aa), FASTA scores: opt: 258, E(): 2.5e-11, (44.5% identity in 110 aa overlap); and Rv0222 putative enoyl-CoA hydratase from M. tuberculosis (262 aa).</t>
  </si>
  <si>
    <t>Rv1137c</t>
  </si>
  <si>
    <t>Rv1137c, (MTCI65.04c), len: 122 aa. Hypothetical unknown protein.</t>
  </si>
  <si>
    <t>Rv1138c, (MTCI65.05c), len: 338 aa. Possible oxidoreductase, similar to Q9EWQ8 putative oxidoreductase from Streptomyces coelicolor (343 aa). Also similar to many Mycobacterium tuberculosis hypothetical proteins e.g. Rv1751|P72008|MTCY04C12.35 (412 aa), fasta scores: opt: 89, E(): 4.5e-09, (24.6% identity in 358 aa overlap).</t>
  </si>
  <si>
    <t>Conserved hypothetical membrane protein</t>
  </si>
  <si>
    <t>Rv1139c, (MTCI65.06c), len: 166 aa. Conserved hypothetical membrane protein. Highly similar to P54158|YBPQ_BACSU hypothetical Bacillus subtilis protein, YBPQ (168 aa), FASTA scores: opt: 446, E(): 2.2e-26, (38.4% identity in 164 aa overlap). Some similarity to Mycobacterium tuberculosis hypothetical proteins, Rv0740, Rv0750.</t>
  </si>
  <si>
    <t>Rv1140, (MTCI65.07), len: 282 aa. Probable integral membrane protein. Weak similarity in C-terminus to hypothetical Escherichia coli proteins YPRA and YPRB, possibly membrane-bound e.g. YPRA_ECOLI hypothetical 24.3 kDa protein (URF 1) (217 aa), FASTA scores: opt: 166, E(): 0.00062, (31.0% identity in 158 aa overlap).</t>
  </si>
  <si>
    <t>Probable enoyl-CoA hydratase EchA11 (enoyl hydrase) (unsaturated acyl-CoA hydratase) (crotonase)</t>
  </si>
  <si>
    <t>Rv1141c, (MTCI65.08c), len: 268 aa. Probable echA11, enoyl-CoA hydratase, similar to others e.g. P24162|ECHH_RHOCA probable enoyl-CoA hydratase from Rhodobacter capsulatus(257 aa); CAA66096.1|X97452 enoyl-CoA isomerase from Escherichia coli (262 aa), FASTA scores: opt: 513, E():1e-25, (36.1% identity in 249 aa overlap); etc. Also similarity with naphthoate synthases. Also highly similar to downstream ORF Rv1142c|MTCI65.09|echA10 probable enoyl-CoA hydratase from Mycobacterium tuberculosis (268 aa), FASTA scores: opt: 1225, E(): 0, (72.3% identity in 267 aa overlap).</t>
  </si>
  <si>
    <t>Probable enoyl-CoA hydratase EchA10 (enoyl hydrase) (unsaturated acyl-CoA hydratase) (crotonase)</t>
  </si>
  <si>
    <t>Rv1142c, (MTCI65.09c), len: 268 aa. Probable echA10, enoyl-CoA hydratase, similar to others e.g. CAA66096.1|X97452 enoyl-CoA isomerase from Escherichia coli (262 aa), FASTA scores: opt: 525, E(): 1.3e-26, (35.1% identity in 251 aa overlap); NP_420658.1|NC_002696 enoyl-CoA hydratase/isomerase family protein from Caulobacter crescentus (267 aa); NP_438092.1|NC_003078 putative enoyl-CoA hydratase protein from Sinorhizobium meliloti (263 aa); etc. Also similarity with naphthoate synthases. Also highly similar to upstream ORF Rv1141c|MTCI65.08c|echA11 probable enoyl-CoA hydratase from Mycobacterium tuberculosis (268 aa), FASTA score: opt: 1225, E(): 0, (72.3% identity in 267 aa overlap).</t>
  </si>
  <si>
    <t>Required for bile acid synthesis and for catabolism of branched-chain fatty acids</t>
  </si>
  <si>
    <t>Probable alpha-methylacyl-CoA racemase Mcr (2-methylacyl-CoA racemase) (2-arylpropionyl-CoA epimerase )</t>
  </si>
  <si>
    <t>Rv1143, (MTCI65.10), len: 360 aa. Probable mcr, alpha-methylacyl-CoA racemase. Strong similarity to other alpha-methylacyl-CoA racemases and also some similarity to L-carnitine dehydratase e.g. U89905|g1552373 methylacyl-CoA racemase alpha from Norway rat (361 aa), FASTA scores: opt: 1035, E():0, (47.2% identity in 339 aa overlap). Equivalent to (but longer than) Z94723|MLCB33_13 Mycobacterium leprae (253 aa) (85.3% identity in 245 aa overlap). Also similar to Mycobacterium tuberculosis putative racemases Rv0855, Rv1866, Rv3272.</t>
  </si>
  <si>
    <t>Function unknown; supposedly involved in cellular metabolism.</t>
  </si>
  <si>
    <t>Rv1144, (MTCI65.11), len: 250 aa. Probable short-chain dehydrogenase/reductase, highly similar to various dehydrogenases e.g. NP_104056.1|NC_002678 3-hydroxyacyl-CoA dehydrogenase type II from Mesorhizobium loti (253 aa); NP_251244.1|NC_002516 probable short-chain dehydrogenase from Pseudomonas aeruginosa (255 aa); AAK15008.1|AF233685_1|AF233685 short chain L-3-hydroxyacyl-CoA dehydrogenase from Mus musculus (261 aa); HSU73514|g1778354|XH98G2 human short-chain alcohol dehydrogenase from Homo sapiens (261 aa), FASTA scores: opt: 875, E(): 0, (60.1% identity in 253 aa overlap); etc. Contains PS00061 Short-chain dehydrogenases/reductases family signature. Belongs to the short-chain dehydrogenases/reductases (SDR) family.</t>
  </si>
  <si>
    <t>mmpL13a</t>
  </si>
  <si>
    <t>Rv1145</t>
  </si>
  <si>
    <t>Probable conserved transmembrane transport protein MmpL13a</t>
  </si>
  <si>
    <t>Rv1145, (MTCI65.12), len: 303 aa. Probable mmpL13a, conserved transmembrane transport protein (see citation below), member of RND superfamily, showing some similarity to putative Mycobacterial and Streptomyces membrane proteins e.g. MTCY987|g1781238 from Mycobacterium tuberculosis (962 aa), FASTA scores: opt: 213, E(): 1.9e-06, (28.0% identity in 296 aa overlap); etc. Strong similarity to U92075|MMU92075_5 hypothetical protein from Mycobacterium marinum (256 aa), FASTA scores: opt: 957, E(): 0, (57.6% identity in 257 aa overlap). Should continue as mmpL13B|Rv1146, but frameshift required. Sequence has been checked and is identical in M. tuberculosis strain CDC1551, and Mycobacterium bovis strain AF2122/97. Belongs to the MmpL family.</t>
  </si>
  <si>
    <t>mmpL13b</t>
  </si>
  <si>
    <t>Probable conserved transmembrane transport protein MmpL13b</t>
  </si>
  <si>
    <t>Rv1146, (MTCI65.13), len: 470 aa. Probable mmpL13b, conserved transmembrane transport protein (see citation below), member of RND superfamily, showing some similarity to putative Mycobacterial and Streptomyces membrane proteins e.g. Q53902|C40046 antibiotic transport-associated protein from Streptomyces coelicolor (711 aa), FASTA scores: opt: 193, E(): 2.1e-05, (28.9% identity in 394 aa overlap); etc. Could be in frame with previous ORF mmpL13A|Rv1145, but no sequence error apparent to account for this; sequence is identical in M. tuberculosis strain CDC1551, and Mycobacterium bovis strain AF2122/97. Belongs to the MmpL family.</t>
  </si>
  <si>
    <t>Rv1147</t>
  </si>
  <si>
    <t>Rv1147, (MTCI65.14), len: 216 aa. Conserved protein, similar to many conserved hypothetical proteins, and some similarity to several methyltransferases e.g. Q05197|PMTA_RHOSH phosphatidylethanolamine N-methyltransferase from R. sphaeroides (203 aa), FASTA scores: opt: 156, E(): 0.00073, (27.6% identity in 156 aa overlap).</t>
  </si>
  <si>
    <t>Rv1148c, (MTCI65.15c), len: 482 aa. Conserved hypothetical ORF in REP13E12 degenerate repeat, nearly identical to other hypothetical Mycobacterium tuberculosis proteins in REP13E12 repeats, although similarity extends upstream past proposed f-Met start. Very similar to other REP13E12 proteins e.g. Rv1945, Rv3467, Rv0094c, Rv1128c etc.</t>
  </si>
  <si>
    <t>Rv1149</t>
  </si>
  <si>
    <t>Possibly required for the transposition of an insertion element</t>
  </si>
  <si>
    <t>Rv1149, (MTCI65.16), len: 135 aa. Possible transposase. Identical to 117 aa N-terminal region of S21394|X65618 transposase of Mycobacterium tuberculosis (308 aa), FASTA scores: opt: 823, E(): 0, (99.1% identity in 117 aa overlap). Second copy is Rv1042c|MTCY10G2.07.</t>
  </si>
  <si>
    <t>Rv1150</t>
  </si>
  <si>
    <t>Rv1150, (MTCI65.17), len: 183 aa. Possible fragment of transposase (pseudogene). Identical to C-terminal part of S21394 transposase of putative Mycobacterium tuberculosis is element (308 aa), FASTA scores: opt: 959, E(): 0, (99.3% identity in 145 aa overlap). The transposase described here may be made by a -1 frame shifting mechanism during translation that fuses Rv1149|MTCI65.16 and Rv1150|MTCI65.17. No evidence found to account for discrepancy with previously published sequence. Second copy is Rv1041c|MTCY10G2.08.</t>
  </si>
  <si>
    <t>Rv1151c, (MTCI65.18c), len: 237 aa. Transcriptional regulatory protein, similar to others AE000776|AE000776_10 Aquifex aeolicus (239 aa), FASTA scores: opt: 725, E(): 0, (46.4% identity in 237 aa overlap); ECAE0002125|g1787358 Escherichia coli (279 aa), FASTA scores: opt: 464, E(): 1.3e-23, (36.7% identity in 240 aa overlap).</t>
  </si>
  <si>
    <t>Rv1152, (MTCI65.19), len: 121 aa (Start uncertain). Probable transcriptional regulatory protein, some similarity to others e.g. YHCF_BACSU hypothetical transcriptional regulator (121 aa), FASTA scores: opt: 187, E(): 1.9e-06, (34.9% identity in 106 aa overlap). Helix turn helix motif from aa 42-63 (+3.10 SD).</t>
  </si>
  <si>
    <t>Function unknown, but supposedly involved in lipid metabolism</t>
  </si>
  <si>
    <t>Probable O-methyltransferase Omt</t>
  </si>
  <si>
    <t>Rv1153c, (MTCI65.20c), len: 282 aa. Probable omt, O-methyltransferase, similar to TCMP_STRGA|P39887 Tetracenomycin polyketide synthesis O-methyltransferase tcmP from Streptomyces glaucescens (270 aa), FASTA scores: opt: 368, E(): 1.7e-17, (31.3% identity in 233 aa overlap).</t>
  </si>
  <si>
    <t>Rv1154c</t>
  </si>
  <si>
    <t>Rv1154c, (MTCI65.21c), len: 213 aa. Hypothetical unknown protein, start uncertain.</t>
  </si>
  <si>
    <t>May be involved in biosynthesis of pyridoxine (vitamin B6) and pyridoxal phosphate. Oxidize PNP and PMP into pyridoxal 5'-phosphate (PLP) [catalytic activity: pyridoxamine 5'-phosphate + H2O + O2 = pyridoxal 5'-phosphate + NH3 + H2O2]</t>
  </si>
  <si>
    <t>Possible pyridoxamine 5'-phosphate oxidase (PNP/PMP oxidase) (pyridoxinephosphate oxidase) (PNPOX) (pyridoxine 5'-phosphate oxidase)</t>
  </si>
  <si>
    <t>Rv1155, (MTCI65.22), len: 147 aa. Possible pyridoxine 5'-phosphate oxidase (PNPOx) (See Biswal et al., 2005; Canaan et al., 2005). Similar to hypothetical proteins e.g. AL079356|SC6G9.20 Streptomyces coelicolor (144 aa), FASTA scores: opt: 478, E(): 2.8e-26, (55.7% identity in 140 aa overlap); and Mycobacterium tuberculosis proteins Rv1875, Rv0121c, Rv2074.</t>
  </si>
  <si>
    <t>Rv1156, (MTCI65.23), len: 195 aa. Conserved protein, highly similar to CAC32318.1|AL583944 conserved hypothetical protein from Streptomyces coelicolor (197 aa).</t>
  </si>
  <si>
    <t>Conserved ala-, pro-rich protein</t>
  </si>
  <si>
    <t>Rv1157c, (MTCI65.24c), len: 371 aa. Conserved Ala-, Pro-rich protein, similar to other proline rich proteins and extensins e.g. GBU04267|g451543 sea-island cotton proline-rich protein of cotton fiber (214 aa), FASTA scores: opt: 305, E(): 3.9e-05, (35.7% identity in 182 aa overlap). Has hydrophobic stretch at N-terminus suggestive of secretion signal. First start taken. A core mycobacterial gene; conserved in mycobacterial strains (See Marmiesse et al., 2004).</t>
  </si>
  <si>
    <t>Conserved hypothetical ala-, pro-rich protein</t>
  </si>
  <si>
    <t>Rv1158c, (MTCI65.25c), len: 227 aa. Conserved hypothetical Ala-, Pro-rich protein, similar to other proline rich proteins and extensins e.g. MMSAP62|g633250 house mouse (485 aa), FASTA scores: opt: 367, E(): 1.2e-08, (36.3% identity in 212 aa overlap). Has hydrophobic stretch at N-terminus suggestive of secretion signal. A core mycobacterial gene; conserved in mycobacterial strains (See Marmiesse et al., 2004).</t>
  </si>
  <si>
    <t>Polyprenol-phosphate-mannose dependent mannosyltransferase involved in phosphatidylinositol mannoside synthesis</t>
  </si>
  <si>
    <t>Mannosyltransferase PimE</t>
  </si>
  <si>
    <t>Rv1159, (MTCI65.26), len: 431 aa. PimE, mannosyltransferase (see Morita et al., 2006) Conserved transmembrane protein, similar to others in Mycobacterium tuberculosis e.g. Rv2181|MTCY21D4.13 (560 aa), FASTA scores: opt: 172; E(): 0.00035, (25.0% identity in 332 aa overlap). Belongs to the GT-C superfamily of glycosyltransferases (See Liu and Mushegian, 2003).</t>
  </si>
  <si>
    <t>Rv1159A, len: 94 aa. Unknown protein.</t>
  </si>
  <si>
    <t>Involved in the go system responsible for removing an oxidatively damaged form of guanine (7,8-dihydro-8-oxoguanine) from DNA and the nucleotide pool. 8-oxo-dGTP is inserted opposite DA and DC residues of template DNA with almost equal efficiency thus leading to A.T to G.C transversions. MUTT2 specifically degrades 8-oxo-dGTP to the monophosphate.</t>
  </si>
  <si>
    <t>Probable mutator protein MutT2 (7,8-dihydro-8-oxoguanine-triphosphatase) (8-oxo-dGTPase)</t>
  </si>
  <si>
    <t>Rv1160, (MTCI65.27), len: 141 aa. Probable mutT2, mutator protein or homolog (see citation below). More similar to D908197|g1742860 MutT homolog from Escherichia coli (135 aa), FASTA scores: opt: 226, E():1.1e-08, (39.7% identity in 116 aa overlap); than to MUTT_ECOLI|P08337 mutator mutt protein from Escherichia coli (129 aa), FASTA scores: opt: 180, E(): 1.2e-05, (27.1% identity in 129 aa overlap). Contains PS00893 mutT domain signature.</t>
  </si>
  <si>
    <t>Nitrate reduction [catalytic activity: nitrite + acceptor = nitrate + reduced acceptor].</t>
  </si>
  <si>
    <t>Respiratory nitrate reductase (alpha chain) NarG</t>
  </si>
  <si>
    <t>Rv1161, (MTCI65.28), len: 1232 aa. narG, respiratory nitrate reductase alpha chain. Similar to others e.g. NARG_BACSU nitratereductase alpha chain from Bacillus subtilis (1228 aa), FASTA scores: opt: 4218, E(): 0, (50.3% identity in 1229 aa overlap); etc. Also highly similar to N-terminal part of Rv1736c|MTCY04C12.21c|NARX probable nitrate reductase from Mycobacterium tuberculosis (85.1% identity in 281 aa overlap). Contains prokaryotic molybdopterin oxidoreductase signatures 1 and 2 (PS00551, PS00490). Belongs to the prokaryotic molybdopterin-containing oxidoreductase family.</t>
  </si>
  <si>
    <t>Probable respiratory nitrate reductase (beta chain) NarH</t>
  </si>
  <si>
    <t>Rv1162, (MTCI65.29), len: 558 aa. Probable narH, respiratory nitrate reductase beta chain. Similar to others e.g. NARH_BACSU|P42176 nitrate reductase beta chain from Bacillus subtilis (487 aa), FASTA scores: opt: 2049, E(): 0, (56.8% identity in 488 aa overlap); etc. Contains PS00190 cytochrome c family heme-binding site signature.</t>
  </si>
  <si>
    <t>narJ</t>
  </si>
  <si>
    <t>Rv1163</t>
  </si>
  <si>
    <t>Probable respiratory nitrate reductase (delta chain) NarJ</t>
  </si>
  <si>
    <t>Rv1163, (MTCI65.30), len: 201 aa. Probable narJ, respiratory nitrate reductase delta chain. Similar to others e.g. P42178|NARJ_BACSU nitrate reductase delta chain from Bacillus subtilis (184 aa), FASTA scores: opt: 254, E(): 1.9e-10, (31.8% identity in 179 aa overlap); etc. Strong similarity to region from aa 260 - 410 of Rv1736c|MTCY04C12.21c|NARX probable nitrate reductase from Mycobacterium tuberculosis (64.8% identity in 159 aa overlap).</t>
  </si>
  <si>
    <t>Probable respiratory nitrate reductase (gamma chain) NarI</t>
  </si>
  <si>
    <t>Rv1164, (MTCI65.31), len: 246 aa. Probable narI, respiratory nitrate reductase gamma chain. Similar to others e.g. NARI_BACSU|P42177 nitrate reductase gamma chain from Bacillus subtilis (223 aa), FASTA scores: opt: 652, E(): 0; (41.6% identity in 221 aa overlap); etc. Highly similar to C-terminal part of Rv1736c|MTCY04C12.21c|NARX probable nitrate reductase (gamma chain) from Mycobacterium tuberculosis (68.6% identity in 239 aa overlap).</t>
  </si>
  <si>
    <t>Unknown; probably interacts with the ribosomes in a GTP dependent manner</t>
  </si>
  <si>
    <t>Possible GTP-binding translation elongation factor TypA (tyrosine phosphorylated protein A) (GTP-binding protein)</t>
  </si>
  <si>
    <t>Rv1165, (MTV005.01-MTCI65.32), len: 628 aa. Possible typA (alternate gene name: bipA), GTP-binding translation elongation factor, similar to several e.g. P32132|TYPA_ECOLI|BIPA|B387 Escherichia coli (591 aa); YIHK_SYNY3|P72749 gtp-binding protein TYPA/BIPA homolog from synechocystis sp. (597 aa), FASTA scores: E(): 0, (46.9% identity in 610 aa overlap); and to elongation factor EF-G from many organims e.g. EFG_MICLU|P09952 micrococcus luteus (701 aa), FASTA scores: E(): 3e-24, (29.8% identity in 500 aa overlap). Belongs to the GTP-binding elongation factor family, TYPA subfamily.</t>
  </si>
  <si>
    <t>Probable conserved lipoprotein LpqW</t>
  </si>
  <si>
    <t>Rv1166, (MTV005.02), len: 635 aa. Probable lpqW, conserved lipoprotein, almost identical in part to G2384665|AF009358 Mycobacterium tuberculosis gene fragment ORFA2-898 (fragment) (59 aa) (93.9% identity in 49 aa overlap) (see * below). Also similar to Rv1280c and Rv2585c. Contains possible N-terminal signal sequence and appropriately positioned PS00013 Prokaryotic membrane lipoprotein lipid attachment site. [* Note: Unpublished. Identification of Mycobacterium tuberculosis peptides that stimulate immune human peripheral blood monocytes. Nano F.E., Doran J.L., Treit J.D., Moran A.J.]</t>
  </si>
  <si>
    <t>Rv1167c, (MTV005.03c), len: 201 aa. Probable transcriptional regulator, similar to several e.g. D1022772|D85417 hemR from Propionibacterium freudenreichii (243 aa), FASTA scores: opt: 268, E(): 5.4e-16, (35.9% identity in 198 aa overlap) and AL022268|SC4H2.32 Streptomyces coelicolor (111 aa), FASTA scores: opt: 274, E(): 5e-11, (55.1% identity in 89 aa overlap).</t>
  </si>
  <si>
    <t>PPE17</t>
  </si>
  <si>
    <t>PPE family protein PPE17</t>
  </si>
  <si>
    <t>Rv1168c, (MTV005.04c), len: 346 aa. PPE17, Member of the Mycobacterium tuberculosis PPE family of glycine-rich proteins, similar to many e.g. E332789|Z98268|MTCI125.27C (385 aa), FASTA scores: opt: 504, E(): 0, (36.6% identity in 388 aa overlap).</t>
  </si>
  <si>
    <t>lipX</t>
  </si>
  <si>
    <t>Rv1169c</t>
  </si>
  <si>
    <t>PE family protein. Possible lipase LipX.</t>
  </si>
  <si>
    <t>Rv1169c, (MTV005.05c), len: 100 aa. Possible lipX, lipase. Member of the Mycobacterium tuberculosis PE family of proteins (see Brennan &amp; Delogu 2002), e.g. O05297|Z93777|MTCI364.07 (99 aa), FASTA scores: opt: 209, E(): 1.6e-15, (37.4% identity in 99 aa overlap). Also simlar to the N-terminus of P77909|U76006 esterase/lipase from Mycobacterium tuberculosis (437 aa), FASTA scores: opt: 193, E(): 4.4e-14, (37.2% identity in 94 aa overlap). Contains a helix-turn-helix motif from aa 88-109 (+2.76 SD). Predicted possible vaccine candidate (See Zvi et al., 2008).</t>
  </si>
  <si>
    <t>Involved in mycothiol biosynthesis. 1-D-myo-inosityl-2-acetamido-2-deoxy-alpha-D-glucopyranoside (GlcNAc-Ins) is converted to 1-D-myo-inosityl-2-amino-2-deoxy-alpha-D-glucopyranoside (GlcN-Ins) by this enzyme. Seems to possess weak mycothiol conjugate amidase activity but SHOWS substantial deacetylation activity with 1-D-myo-inosityl-2-acetamido-2-deoxy-alpha-D-glucopyranoside (GlcNAc-Ins), a hypothetical mycothiol biosynthetic precursor. GlcNAc-Ins is an intermediate in MSH biosynthesis.</t>
  </si>
  <si>
    <t>N-acetyl-1-D-myo-inosityl-2-amino-2-deoxy-alpha-D-glucopyranoside deacetylase MshB (GlcNAc-Ins deacetylase)</t>
  </si>
  <si>
    <t>Rv1170, (MTV005.06), len: 303 aa. MshB, N-Acetyl-1-D-myo-Inosityl-2-Amino-2-Deoxy-alpha-D-Glucopyranoside Deacetylase (GlcNAc-Ins deacetylase) (see citation below), similar to Q54358|X79146 lmbE gene from Streptomyces lincolnensis (270 aa), FASTA scores: opt: 308, E(): 1.2e-15, (32.0% identity in 278 aa overlap). Also similar to Rv1082|MCA Mycothiol conjugate amidase from Mycobacterium tuberculosis (288 aa).</t>
  </si>
  <si>
    <t>Rv1171</t>
  </si>
  <si>
    <t>Rv1171, (MTV005.07), len: 146 aa. Conserved hypothetical protein, possibly transmembrane protein. Start has been changed since first submission.</t>
  </si>
  <si>
    <t>PE12</t>
  </si>
  <si>
    <t>Rv1172c</t>
  </si>
  <si>
    <t>PE family protein PE12</t>
  </si>
  <si>
    <t>Rv1172c, (MTV005.08c), len: 308 aa. PE12, Member of the Mycobacterium tuberculosis PE family of proteins (see Brennan &amp; Delogu 2002), e.g. P71748|Z81368|MTCY253.25C (361 aa), FASTA scores: opt: 483, E(): 7.8e-22, (46.4% identity in 192 aa overlap).</t>
  </si>
  <si>
    <t>Essential for coenzyme F420 production: participates in a portion of the F420 biosynthetic pathway between pyrimidinedione and FO (biosynthesis intermediate), before the deazaflavin ring is formed.</t>
  </si>
  <si>
    <t>Probable F420 biosynthesis protein FbiC</t>
  </si>
  <si>
    <t>Rv1173, (MTV005.09), len: 856 aa. Probable fbiC, F420 biosynthesis protein, equivalent to AAL91922|FBIC F420 biosynthesis protein fbiC from Mycobacterium bovis BCG (856 aa) (see citation below). The N-terminus (aa 80-420) is similar to Y446_METJA|Q57888 hypothetical protein mj0446 from methanococcus jannaschii (361 aa), FASTA scores: opt: 801, E(): 0, (41.2% identity in 337 aa overlap); and the C-terminus region (aa 530-856) is similar to e.g. YE31_METJA|Q58826 hypothetical protein mj1431 from methanococcus jannaschii (359 aa), FASTA scores: opt: 1089, E(): 0, (48.7% identity in 337 aa overlap).</t>
  </si>
  <si>
    <t>TB8.4</t>
  </si>
  <si>
    <t>Unknown function (secreted protein)</t>
  </si>
  <si>
    <t>Low molecular weight T-cell antigen TB8.4</t>
  </si>
  <si>
    <t>Rv1174c, (MTV005.10c), len: 110 aa. TB8.4, low molecular weight T-cell antigen (see citations below), hypothetical unknown secreted protein. Predicted to be an outer membrane protein (See Song et al., 2008). Predicted possible vaccine candidate (See Zvi et al., 2008).</t>
  </si>
  <si>
    <t>Catalyzes the NADP-dependent reduction of 2,4-dienoyl-CoA to yield trans-2- enoyl-CoA [catalytic activity: trans-2,3-didehydroacyl-CoA + NADP(+) = trans,trans-2,3,4,5-tetradehydroacyl-CoA + NADPH].</t>
  </si>
  <si>
    <t>Probable NADPH dependent 2,4-dienoyl-CoA reductase FadH (2,4-dienoyl coenzyme A reductase) (4-enoyl-CoA reductase)</t>
  </si>
  <si>
    <t>Rv1175c, (MTV005.11c), len: 674 aa. Probable fadH, NADPH-dependent 2,4-dienoyl-CoA reductase, highly similar to others e.g. NP_251782.1|NC_002516 2,4-dienoyl-CoA reductase FadH1 from Pseudomonas aeruginosa (679 aa); CAC01564.1|AL391039 2,4-dienoyl-CoA reductase [NADPH] from Streptomyces coelicolor (671 aa); P42593|FADH_ECOLI 2,4-dienoyl-CoA reductase from Escherichia coli (671 aa), FASTA scores: opt: 2344, E(): 0, (53.1% identity in 671 aa overlap); etc. Also similar to Rv3359|MTV004.16 putative oxidoreductase from Mycobacterium tuberculosis (396 aa).</t>
  </si>
  <si>
    <t>Rv1176c</t>
  </si>
  <si>
    <t>Rv1176c, (MTV005.12c), len: 189 aa. Conserved hypothetical protein, some similarity to P94443|D78508 hypothetical protein from Bacillus subtilis (182 aa), FASTA scores: opt: 219, E(): 1.7e-15, (25.1% identity in 183 aa overlap). Similar to Mycobacterium tuberculosis hypothetical protein Rv0047c.</t>
  </si>
  <si>
    <t>Probable ferredoxin FdxC</t>
  </si>
  <si>
    <t>Rv1177, (MTV005.13), len: 108 aa. Probable fdxC, ferredoxin, equivalent to NP_302047.1|NC_002677 ferredoxin from Mycobacterium leprae (108 aa); P00215|FER_MYCSM ferredoxin from Mycobacterium smegmatis (106 aa), FASTA scores: opt: 705, E(): 0, (87.7% identity in 106 aa overlap). Also highly similar to many e.g. JH0239 ferredoxin precursor from Saccharopolyspora erythraea (105 aa); P24496|FER_SACER ferredoxin from Saccharopolyspora erythraea (106 aa); etc. Contains PS00198 4Fe-4S ferredoxins, iron-sulfur binding region signature. Belongs to the bacterial type ferredoxin family. Cofactor: binds 1 4FE-4S cluster and a 3FE-4S cluster (by similarity).</t>
  </si>
  <si>
    <t>Rv1178, (MTV005.14), len: 362 aa. Probable aminotransferase, weak similarity to many aspartate aminotransferases e.g. Q55679|D64000 SLL0006 aspartate aminotransferase from Synechocystis sp. (394 aa), FASTA scores: opt: 218, E(): 1.3e-25, (32.5% identity in 379 aa overlap). Contains PS00105 Aminotransferases class-I pyridoxal-phosphate attachment site. Also similar to Mycobacterium tuberculosis aminotransferases Rv2294, Rv0075, etc.</t>
  </si>
  <si>
    <t>Rv1179c, MTV005.15c, len: 939 aa. Unknown protein.</t>
  </si>
  <si>
    <t>Potentially involved in some intermediate steps for the synthesis of a polyketide molecule which may be involved in secondary metabolism. Supposedly involved in stationary-phase survival.</t>
  </si>
  <si>
    <t>Probable polyketide beta-ketoacyl synthase Pks3</t>
  </si>
  <si>
    <t>Rv1180, (MTV005.16), len: 488 aa. Probable polyketide beta-ketoacyl synthase, equivalent to a predicted homologous protein from Mycobacterium smegmatis (see citation below), and similar to the N-terminus of many polyketide synthases e.g. MCAS_MYCBO|Q02251 mycocerosic acid synthase from Mycobacterium bovis (2110 aa), FASTA scores: opt: 2115, E(): 0, (66.5% identity in 472 aa overlap). Also similar to, and same length as P96284|Z83858|MTCY24G1.02 M. tuberculosis (496 aa), FASTA scores: opt: 1424, E(): 0, (50.9% identity in 444 aa overlap). Contains possible signal sequence and PS00013 Prokaryotic membrane lipoprotein lipid attachment site, also PS00606 Beta-ketoacyl synthases active site. Belongs to the beta-ketoacyl-ACP synthases family. Alternative nucleotide at position 1315191 (a-&gt;C; Stop489Y) has been observed. Rv1180/Rv1181 fusion has been called msl3.</t>
  </si>
  <si>
    <t>pks4</t>
  </si>
  <si>
    <t>Probable polyketide beta-ketoacyl synthase Pks4</t>
  </si>
  <si>
    <t>Rv1181, (MTV005.17), len: 1582 aa. Probable pks4, polyketide synthase, similar to many e.g. MCAS_MYCBO|Q02251 mycocerosic acid synthase from Mycobacterium bovis (2110 aa), FASTA scores: opt: 3518, E(): 0, (59.7% identity in 1614 aa overlap). Note that this similarity extends upstream of the first initiation codon into the upstream MTV005.16; the stop codon at the end of MTV005.16 is present in at least 4 independent clones (BAC, cosmid and pUC) from the genome (however an alternative nucleotide at position 1315191 (a-&gt;C; Stop489Y) has also been observed). The two CDS's may represent separate modules of the polyketide synthase. Rv1180/Rv1181 fusion has been called msl3.</t>
  </si>
  <si>
    <t>Function unknown; thought to be involved in lipid metabolism.</t>
  </si>
  <si>
    <t>Probable conserved polyketide synthase associated protein PapA3</t>
  </si>
  <si>
    <t>Rv1182, (MTV005.18), len: 472 aa. Probable papA3, conserved polyketide synthase (PKS) associated protein, similar to other Mycobacterial hypothetical proteins e.g. Q49618|U00010 B1170_C1_180 from Mycobacterium leprae (471 aa), FASTA scores: opt: 2526, E(): 0, (75.6% identity in 471 aa overlap). Similar to other Mycobacterium tuberculosis hypothetical papA proteins; Rv3824c, Rv3820c, Rv1528c.</t>
  </si>
  <si>
    <t>Probable conserved transmembrane transport protein MmpL10</t>
  </si>
  <si>
    <t>Rv1183, (MTV005.19), len: 1002 aa. Probable mmpL10, conserved transmembrane transport protein (see Tekaia et al., 1999), member of RND superfamily, similar to many Mycobacterial hypothetical membrane proteins e.g. Q49619|U00010 from Mycobacterium leprae (1008 aa), FASTA scores: opt: 4545, E(): 0, (70.6% identity in 978 aa overlap); etc. Belongs to the MmpL family.</t>
  </si>
  <si>
    <t>Rv1184c, (MTV005.20c), len: 359 aa. Possible exported protein with potential N-terminal signal sequence. Similar to several Mycobacterial hypothetical proteins e.g. Q49633|U00010 Protein B1170_F3_112 from M. leprae (391 aa), FASTA scores: opt: 1422, E(): 0, (62.7% identity in 338 aa overlap). Also similar to Rv3822, Rv3539, Rv1430, Rv0151c, etc. A core mycobacterial gene; conserved in mycobacterial strains (See Marmiesse et al., 2004). Predicted to be an outer membrane protein (See Song et al., 2008). This region is a possible MT-complex-specific genomic island (See Becq et al., 2007).</t>
  </si>
  <si>
    <t>Function unknown, but supposedly involved in lipid degradation.</t>
  </si>
  <si>
    <t>Probable fatty-acid-AMP ligase FadD21 (fatty-acid-AMP synthetase) (fatty-acid-AMP synthase)</t>
  </si>
  <si>
    <t>Rv1185c, (MTV005.21c), len: 578 aa. Probable fadD21, fatty-acid-AMP synthetase, highly similar to several from Mycobacteria e.g. NP_301895.1|NC_002677 possible acyl-CoA synthase from Mycobacterium leprae (579 aa); P71495|U75685 acyl-CoA synthase from Mycobacterium bovis (582 aa), FASTA scores: opt: 2388, E(): 0, (61.8% identity in 579 aa overlap); etc. Seems to belong to the ATP-dependent AMP-binding enzyme family. Nucleotide position 1327402 in the genome sequence has been corrected, T:C resulting in E37E.</t>
  </si>
  <si>
    <t>Rv1186c, (MTV005.22c), len: 538 aa. Conserved protein, similar to AL117385|SC5G9.24 hypothetical protein from Streptomyces coelicolor (555 aa), FASTA scores: opt: 485, E(): 2.3e-23, (32.6% identity in 568 aa overlap). Contains helix turn helix motif from aa 488-509 (+2.81 SD).</t>
  </si>
  <si>
    <t>Involved in the arginase pathway [catalytic activity: 1-pyrroline-5-carboxylate + NAD(+) + H(2)O = L-glutamate + NADH]</t>
  </si>
  <si>
    <t>Probable pyrroline-5-carboxylate dehydrogenase RocA</t>
  </si>
  <si>
    <t>Rv1187, (MTV005.23), len: 543 aa. Probable rocA, pyrroline-5-carboxylate dehydrogenase, similar to many e.g. PUT2_HUMAN|P30038 human delta-1-pyrroline-5-carboxylate dehydrogenase (563 aa), FASTA scores: opt: 1596, E():0, (46.0% identity in 531 aa overlap). Also similar to other Mycobacterium tuberculosis hypothetical dehydrogenases e.g. Rv0768, Rv2858c, etc. Contains PS00687 Aldehyde dehydrogenases glutamic acid active site and PS00070 Aldehyde dehydrogenases cysteine active site.</t>
  </si>
  <si>
    <t>Rv1188</t>
  </si>
  <si>
    <t>Oxidizes proline to glutamate for use as a carbon and nitrogen source [catalytic activity: L-proline + acceptor + H2O = (S)-1-pyrroline-5-carboxylate + reduced acceptor]</t>
  </si>
  <si>
    <t>Probable proline dehydrogenase</t>
  </si>
  <si>
    <t>Rv1188, (MTV005.24), len: 329 aa. Possible putA, proline dehydrogenase, similar to part of Q52711|X78346 proline dehydrogenase from Rhodobacter capsulatus (1127 aa), FASTA scores: opt: 194, E(): 1.5e-07, (31.2% identity in 349 aa overlap). Also similar to two Bacillus subtilis proline dehydrohenases E1184363|Z99120 (302 aa), FASTA scores: opt: 509, E(): 0, (37.1% identity in 313 aa overlap); and E1182272|Z99105 (303 aa), FASTA scores: opt: 513, E(): 0, (32.5% identity in 311 aa overlap). Highly similar to AL035569|SC8D9.31 Streptomyces coelicolor (308 aa), FASTA scores: opt: 984, E(): 0, (50.0% identity in 312 aa overlap). Nucleotide position 1331696 in the genome sequence has been corrected, A:C resulting in R226R.</t>
  </si>
  <si>
    <t>The sigma factor is an initiation factor that promotes attachment of the RNA polymerase to specific initiation sites and then is released</t>
  </si>
  <si>
    <t>Possible alternative RNA polymerase sigma factor SigI</t>
  </si>
  <si>
    <t>Rv1189, (MTV005.25-MTCI364.01), len: 290 aa. Possible sigI, alternative RNA polymerase sigma factor (see Gomez et al., 1997; Chen et al., 2000), similar to several e.g. O05767|U87307 extracytoplasmic function alternative sigma factor (sigE) from Mycobacterium smegmatis (204 aa), FASTA scores: opt: 239, E(): 1.3e-09, (32.9% identity in 167 aa overlap).</t>
  </si>
  <si>
    <t>Rv1190</t>
  </si>
  <si>
    <t>Rv1190, (MTCI364.02), len: 292 aa. Conserved hypothetical protein, similar to Rv1833c|Y0DA_MYCTU|Q50600 hypothetical 32.2 kDa protein cy1a11.10 (286 aa), fasta scores: opt: 331, E(): 1.4e-15, (29.0% identity in 272 aa overlap), also YU14_MYCTU|Q50670 putative haloalkane dehalogenase (300 aa), FASTA scores: opt: 239, E(): 2.2e-09, (29.9% identity in 298 aa overlap).</t>
  </si>
  <si>
    <t>Rv1191</t>
  </si>
  <si>
    <t>Rv1191, (MTCI364.03), len: 304 aa. Conserved protein, similar to Q54528 RDMC from Streptomyces purpurascens (298 aa), FASTA scores: opt: 196, E(): 1.5e-05, (27.5% identity in 269 aa overlap); Rv0134|MTCI5.08 (300 aa), FASTA scores: opt: 197, E(): 6.6e-06, (26.4% identity in 299 aa overlap), some similarity to PIP_NEIGO|P42786 proline iminopeptidase (310 aa), FASTA scores: opt: 196, E(): 1.3e-05, (32.2% identity in 152 aa overlap). Contains PS00044 Bacterial regulatory proteins, lysR family signature.</t>
  </si>
  <si>
    <t>Rv1192, (MTCI364.04), len: 275 aa. Unknown protein, contains PS00120 lipases, serine active site.</t>
  </si>
  <si>
    <t>Probable fatty-acid-CoA ligase FadD36 (fatty-acid-CoA synthetase) (fatty-acid-CoA synthase)</t>
  </si>
  <si>
    <t>Rv1193, (MTCI364.05), len: 473 aa. Probable fadD36, fatty-acid-CoA synthetase, highly similar to Q50017|U15181 4-coumarate-CoA ligase from Mycobacterium leprae (476 aa), FASTA scores: opt: 2594, E(): 0, (81.3% identity in 476 aa overlap). Also highly similar to others e.g. CAB86109.1|AL163003 putative fatty acid synthase from Streptomyces coelicolor (485 aa); LCFA_ECOLI|P29212 long-chain-fatty-acid--CoA ligase from Escherichia coli (561 aa), FASTA scores: opt: 605, E(): 8.4e-30, (33.0% identity in 364 aa overlap); etc. Contains PS00455 Putative AMP-binding domain signature. Belongs to the ATP-dependent AMP-binding enzyme family.</t>
  </si>
  <si>
    <t>Rv1194c, (MTCI364.06c), len: 421 aa. Conserved protein, highly similar to Q50018 possible transcriptional activator from Mycobacterium leprae (517 aa), FASTA scores: opt: 1960, E(): 0, (69.8% identity in 421 aa overlap). Also similar to Mycobacterium tuberculosis Rv2370c|MTCY27.10, (62.0% identity in 421 aa overlap) and Rv1453|MTCY493.01c.</t>
  </si>
  <si>
    <t>PE family protein PE13</t>
  </si>
  <si>
    <t>Rv1195, (MTCI364.07), len: 99 aa. PE13, Member of Mycobacterium tuberculosis PE family (see Brennan &amp; Delogu 2002), e.g. Y0DP_MYCTU|Q50615 hypothetical glycine-rich 40.8 kd protein (498 aa), FASTA scores: opt: 307, E(): 1.4e-12, (56.3% identity in 96 aa overlap), similar to MTCY21C12.10c (99 aa), FASTA scores: opt:295, E(): 1.9e-11, (51.5% identity in 97 aa overlap).</t>
  </si>
  <si>
    <t>PPE family protein PPE18</t>
  </si>
  <si>
    <t>Rv1196, (MTCI364.08), len: 391 aa. PPE18 (alternate gene name: mtb39a). Member of the Mycobacterium tuberculosis PPE family of glycine-rich proteins, highly similar to others e.g. Y07P_MYCTU|Q11031 hypothetical 40.0 kDa protein cy02b10.25c (396 aa), FASTA scores: opt: 2124, E(): 0, (85.1% identity in 397 aa overlap). Note that expression of Rv1196 was demonstrated in lysates by immunodetection (see Dillon et al., 1999).</t>
  </si>
  <si>
    <t>esxK</t>
  </si>
  <si>
    <t>Rv1197</t>
  </si>
  <si>
    <t>ESAT-6 like protein EsxK (ESAT-6 like protein 3)</t>
  </si>
  <si>
    <t>Rv1197, (MT1235, MTCI364.09), len: 98 aa. EsxK, ESAT-6 like protein (see citation below). Member of M. tuberculosis hypothetical QILSS protein family with Rv1038c, etc. Almost identical to MTCY98.023c (98 aa) (99.0% identity in 98 aa overlap) and MTCY10G2.11 (98 aa), FASTA scores: opt: 643, E(): 0, (99.0% identity in 98 aa overlap); highly similar to Q49945|U1756C from Mycobacterium leprae (100 aa), FASTA scores: opt: 377, E(): 8e-21, (58.3% identity in 96 aa overlap). Belongs to the ESAT6 family.</t>
  </si>
  <si>
    <t>esxL</t>
  </si>
  <si>
    <t>Rv1198</t>
  </si>
  <si>
    <t>Putative ESAT-6 like protein EsxL (ESAT-6 like protein 4)</t>
  </si>
  <si>
    <t>Rv1198, (MT1236, MTCI364.10), len: 94 aa. EsxL, ESAT-6 like protein (see citation below). Member of the ESAT-6 family with Rv3619c, Rv1037c, etc. Almost identical to MTCY10G2.12 (94 aa) (97.9% identity in 94 aa overlap) and MTCY98.022c (94 aa) (94.7% identity in 94 aa overlap). Highly similar to Q49946|U1756D Mycobacterium leprae (95 aa), FASTA scores: opt: 403, E(): 1.1e-22, (64.1% identity in 92 aa overlap). seems to belong to the ESAT6 family.</t>
  </si>
  <si>
    <t>Rv1199c</t>
  </si>
  <si>
    <t>Rv1199c, (MTCI364.11c), len: 415 aa. Possible transposase for IS1081, identical to TRA1_MYCBO|P35882 transposase for insertion sequence element (415 aa); region identical to MTCY441.35 (100.0% identity in 261 aa overlap); and almost identical to MTCY10G2.02c (415 aa) (99.8% identity in 415 aa overlap). Contains PS01007 Transposases, Mutator family, signature, PS00435 Peroxidases proximal heme-ligand signature.</t>
  </si>
  <si>
    <t>Unknown; probably involved in transport accross the membrane (probably sugar transport).</t>
  </si>
  <si>
    <t>Rv1200, (MTCI364.12), len: 425 aa. Probable conserved integral membrane transport protein, possibly member of major facilitator superfamily (MFS), similar to others e.g. YHJE_ECOLI|P37643 hypothetical metabolite transport protein from Escherichia coli (440 aa), FASTA scores: opt: 1047, E(): 0, (39.1% identity in 427 aa overlap); etc. Contains PS00217 Sugar transport proteins signature 2. The transcription of this CDS seems to be activated in macrophages (see citation below).</t>
  </si>
  <si>
    <t>dapD</t>
  </si>
  <si>
    <t>Involved in biosynthesis of diaminopimelate and lysine from aspartate semialdehyde (at the third step) [catalytic activity: tetrahydrodipicolinate + succinyl-CoA + H2O = N-succinyl-2-amino-6-ketopimelate + coenzyme A]</t>
  </si>
  <si>
    <t>Tetrahydrodipicolinate N-succinyltransferase DapD</t>
  </si>
  <si>
    <t>Rv1201c, (MTCI364.13c), len: 317 aa. dapD, tetrahydrodipicolinate N-succinyltransferase. Highly similar to Q49948|U1756F Mycobacterium leprae (317 aa), FASTA scores: opt: 1776, E(): 0, (84.9% identity in 317 aa overlap), also Q46064 ORF3 protein from corynebacterium glutamicum (316 aa), FASTA scores: opt: 864, E(): 0, (44.1% identity in 311 aa overlap).</t>
  </si>
  <si>
    <t>Involved in biosynthesis of diaminopimelate and lysine from aspartate semialdehyde (at the fifth step) [catalytic activity: N-succinyl-ll-2,6-diaminoheptanedioate + H2O = succinate + ll-2,6-diaminoheptanedioate]</t>
  </si>
  <si>
    <t>Probable succinyl-diaminopimelate desuccinylase DapE</t>
  </si>
  <si>
    <t>Rv1202, (MTCI364.14), len: 354 aa. Probable dapE, succinyl-diaminopimelate desuccinylase, similar to DAPE_CORGL|Q59284 succinyl-diaminopimelate desuccinylase from Corynebacterium glutamicum (369 aa), FASTA scores: opt: 1301, E(): 0, (55.7% identity in 359 aa overlap), highly similar to Q49949|U1756G (400 aa), FASTA scores: opt: 2045, E(): 0, (87.0% identity in 354 aa overlap).</t>
  </si>
  <si>
    <t>Rv1203c</t>
  </si>
  <si>
    <t>Rv1203c, (MTCI364.15c), len: 194 aa. Hypothetical unknown protein.</t>
  </si>
  <si>
    <t>Rv1204c, (MTCI364.16c), len: 562 aa. Conserved hypothetical protein, some similarity to Q55103 CHO-ORF2 from streptomyces SP. (642 aa), FASTA scores: opt: 215, E(): 3.6e-06, (26.4% identity in 576 aa overlap). Contains PS00017 ATP/GTP-binding site motif A.</t>
  </si>
  <si>
    <t>Rv1205, (MTCI364.17), len: 187 aa. Conserved hypothetical protein, similar to Q49952 cosmid B1756 from Mycobacterium leprae (187 aa), FASTA scores: opt: 865, E(): 0, (72.4% identity in 174 aa overlap), also similar to FAS6_RHOFA|P46378 hypothetical 21.1 kDa protein in fasciation locus (ORF6) (198 aa), FASTA scores: opt: 368, E(): 1.3e-17, (37.4% identity in 174 aa overlap). Some similarity to YJL055W Hypothetical protein in BTN1-PEP8 intergenic region from Saccharomyces cerevisiae and P48636 hypothetical protein in AZU 5'region from Pseudomonas aeruginosa. The transcription of this CDS seems to be activated specifically in host granulomas (see citation below).</t>
  </si>
  <si>
    <t>Function unknown, but supposed involvement in lipid degradation.</t>
  </si>
  <si>
    <t>Probable fatty-acid-CoA ligase FadD6 (fatty-acid-CoA synthetase) (fatty-acid-CoA synthase)</t>
  </si>
  <si>
    <t>Rv1206, (MTCI364.18), len: 597 aa. Probable fadD6, fatty-acid-CoA synthetase, highly similar to several e.g. NP_251583.1|NC_002516 probable very-long-chain acyl-CoA synthetase from Pseudomonas aeruginosa (608 aa); Q60714 mouse fatty acid transport protein fatp (646 aa), FASTA scores: opt:712, E(): 0, (36.8% identity in 600 aa overlap); etc. Contains PS00017 ATP/GTP-binding site motif A (P-loop), and PS00455 Putative AMP-binding domain signature. Belongs to the ATP-dependent AMP-binding enzyme family.</t>
  </si>
  <si>
    <t>Involved in dihydrofolate biosynthesis [catalytic activity: 2-amino-4-hydroxy-6-hydroxymethyl-7,8-dihydropteridine diphosphate + 4-aminobenzoate = diphosphate + dihydropteroate]</t>
  </si>
  <si>
    <t>Dihydropteroate synthase 2 FolP2 (DHPS 2) (dihydropteroate pyrophosphorylase 2)</t>
  </si>
  <si>
    <t>Rv1207, (MTCI364.19), len: 318 aa. folP2, Dihydropteroate synthase 2, similar to many e.g. DHPS_ECOLI|P26282 Escherichia coli (282 aa), FASTA scores: opt: 480, E(): 1.9e-22, (34.4% identity in 270 aa overlap). Contains PS00792 dihydropteroate synthase signature 1, PS00793 dihydropteroate synthase signature 2.</t>
  </si>
  <si>
    <t>gpgS</t>
  </si>
  <si>
    <t>Glucosylglycerate biosynthesis [catalytic activity: NDP-glucose + 3-phosphoglycerate = glucosyl-3-phsophoglycerate + NDP]</t>
  </si>
  <si>
    <t>Probable glucosyl-3-phosphoglycerate synthase GpgS</t>
  </si>
  <si>
    <t>Rv1208, (MTCI364.20), len: 324 aa. Probable gpgS, glucosyl-3-phosphoglycerate synthase (See Empadinhas et al., 2008), similar to Q49955|U1756L Mycobacterium leprae (318 aa), FASTA scores, opt: 1621, E(): 0, (80.5% identity in 318 aa overlap). Belongs to retaining glycosyltransferase family 81.</t>
  </si>
  <si>
    <t>Rv1209, (MTCI364.21), len: 122 aa. Conserved protein, containing a hydrophobic N-terminus. Similar to Q49956|U1756M hypothetical protein from Mycobacterium leprae (114 aa), FASTA scores: opt: 524, E(): 8.9e-29, (78.6% identity in 112 aa overlap). A core mycobacterial gene; conserved in mycobacterial strains (See Marmiesse et al., 2004). Predicted to be an outer membrane protein (See Song et al., 2008).</t>
  </si>
  <si>
    <t>Involved in base excision repair. Hydrolysis of the deoxyribose N-glycosidic bond to excise 3-methyladenine from the damaged DNA polymer formed by alkylation lesions</t>
  </si>
  <si>
    <t>Probable DNA-3-methyladenine glycosylase I TagA (tag I) (3-methyladenine-DNA glycosylase I, constitutive) (DNA-3-methyladenine glycosidase I)</t>
  </si>
  <si>
    <t>Rv1210, (MTCI364.22), len: 204 aa. Probable tagA, DNA-3-methyladenine glycosidase I (see citation below), similar to several e.g. 3MG1_ECOLI|P05100 DNA-3-methyladenine glycosidase I from Escherichia coli (187 aa), FASTA scores: opt: 530, E(): 1.3e-27, (44.2% identity in 190 aa overlap); similar to Q49957 Mycobacterium leprae cosmid B1756 (192 aa), FASTA scores: opt: 1042, E(): 0, (80.2% identity in 192 aa overlap).</t>
  </si>
  <si>
    <t>Rv1211, (MTCI364.23), len: 75 aa. Conserved protein, similar to Q49958|U1756N Mycobacterium leprae (75 aa), FASTA scores: opt: 460, E(): 0, (90.7% identity in 75 aa overlap).</t>
  </si>
  <si>
    <t>glgA</t>
  </si>
  <si>
    <t>Putative glycosyl transferase GlgA</t>
  </si>
  <si>
    <t>Rv1212c, (MTCI364.24c), len: 387 aa. Putative glgA, glycosyl transferase, highly similar to AJ243803|SCO243803_2 Putative glycosyl transferase from Streptomyces coelicolor (387 aa), FASTA scores: opt: 1344, E(): 0, (54.9% identity in 388 aa overlap). Also similar to MJ1607 probable hexosyltransferase from Methanococcus jannaschii (390 aa), FASTA scores: opt: 445, E(): 7.8e-23, (27.9% identity in 401 aa overlap). The region from aa 267-355 highly similar to Q49959 cosmid B1756 from Mycobacterium leprae (91 aa), FASTA scores, opt: 471, E(): 4.8e-25, (80.9% identity in 89 aa overlap). Similar to Mycobacterium tuberculosis hypothetical protein, Rv3032.</t>
  </si>
  <si>
    <t>Involved in glycogen biosynthesis (first step) [catalytic activity:ATP + alpha-D-glucose 1-phosphate = diphosphate + ADP-glucose].</t>
  </si>
  <si>
    <t>Glucose-1-phosphate adenylyltransferase GlgC (ADP-glucose synthase) (ADP-glucose pyrophosphorylase)</t>
  </si>
  <si>
    <t>Rv1213, (MTCI364.25), len: 404 aa. glgC, glucose-1-phosphate adenylyltransferase, similar to many e.g. GLGC_ECOLI|P00584 Escherichia coli (430 aa), FASTA scores: opt: 1075, E(): 0, (40.3% identity in 407 aa overlap); highly similar to Q49961 GLGC from Mycobacterium leprae (419 aa), FASTA scores: opt: 2532, E(): 0, (92.6% identity in 404 aa overlap). Belongs to the bacterial and plants glucose-1-phosphate adenylyltransferase family.</t>
  </si>
  <si>
    <t>PE family protein PE14</t>
  </si>
  <si>
    <t>Rv1214c, (MTCI364.26c), len: 110 aa. PE14, Member of Mycobacterium tuberculosis PE family (see citation below), appears to be frameshifted but sequence appears to be correct. The 5'-end is atypical as first 9 aa appear to be missing.</t>
  </si>
  <si>
    <t>Rv1215c, (MTCI364.27c), len: 561 aa. Conserved protein, low similarity to Rv1835c|Y0D8_MYCTU|Q50598 hypothetical 69.9 kDa protein cy1a11.08 (628 aa), FASTA scores: opt: 257, E(): 1.3e-09, (34.1% identity in 185 aa overlap).</t>
  </si>
  <si>
    <t>Rv1216c, (MTCI364.28c), len: 224 aa. Probable conserved integral membrane protein, C-terminal region similar to Q49963|U1756P from Mycobacterium leprae (134 aa), FASTA scores: opt: 311, E(): 3.3e-15, (52.2% identity in 113 aa overlap).</t>
  </si>
  <si>
    <t>Thought to be involved in active transport of tetronasin across the membrane (export): tetronasin resistance by an export mechanism. Responsible for the translocation of the substrate across the membrane.</t>
  </si>
  <si>
    <t>Probable tetronasin-transport integral membrane protein ABC transporter</t>
  </si>
  <si>
    <t>Rv1217c, (MTCI364.29c), len: 548 aa. Probable tetronasin-transport integral membrane ABC transporter (see citation below), similar to many e.g. AL049754|SCH10_12 probable ABC-type transport system membrane-spanning protein from Streptomyces coelicolor (539 aa), FASTA scores: opt: 1309, E(): 0, (40.9% identity in 550 aa overlap); Q54407|X73633 TnrB3 protein from Streptomyces longisporoflavus (337 aa), FASTA scores: opt: 692, E(): 0, (39.5% identity in 324 aa overlap); etc. Also has regions similar to Mycobacterium leprae proteins Q49964|U1756Q (109 aa), FASTA scores: opt: 431, E(): 3.1e-20, (64.8% identity in 105 aa overlap) and Q49965|U1756R (82 aa), FASTA scores: opt:154, E(): 0.0028, (61.0% identity in 41 aa overlap).</t>
  </si>
  <si>
    <t>Thought to be involved in active transport of tetronasin across the membrane (export): tetronasin resistance by an export mechanism. Responsible for energy coupling to the transport system.</t>
  </si>
  <si>
    <t>Probable tetronasin-transport ATP-binding protein ABC transporter</t>
  </si>
  <si>
    <t>Rv1218c, (MTCI61.01c), len: 311 aa. Probable tetronasin-transport ATP-binding protein ABC transporter (see citation below), similar to many e.g. Q54406|X73633|TNRB2 TNRB2 protein from Streptomyces longisporoflavus (300 aa), FASTA scores: opt: 1133, E(): 0, (60.8% identity in 291 aa overlap); etc. Also similar to others in Mycobacterium tuberculosis e.g. MTCY19H9.04 (30.0% identity in 297 aa overlap); etc. Contains PS00211 ABC transporters family signature and PS00017 ATP/GTP-binding site motif A (P-loop). Belongs to the ATP-binding transport protein family (ABC transporters).</t>
  </si>
  <si>
    <t>Rv1219c, (MTCI61.02c), len: 212 aa. Probable transcriptional regulatory protein, some similarity in N-terminus to YBIH_ECOLI|P41037 hypothetical transcriptional regulator from Escherichia coli (103 aa), FASTA scores: opt: 143, E(): 8.9e-06, (39.7% identity in 63 aa overlap); Helix turn helix motif from aa 28-49.</t>
  </si>
  <si>
    <t>Function unknown; involved in cellular metabolism</t>
  </si>
  <si>
    <t>Probable methyltransferase</t>
  </si>
  <si>
    <t>Rv1220c, (MTCI61.03c), len: 215 aa. Possible methyltransferase, some similarity to MDMC_STRMY|Q00719 o-methyltransferase from Streptomyces mycarofaciens (221 aa), FASTA scores; opt: 289, E(): 1.3e-07, (30.0% identity in 203 aa overlap). Also similar to Mycobacterium tuberculosis methyltransferases Rv0187|MTCI28.26 (32.9% identity in 222 aa overlap) and Rv1703c. Start site chosen by homology; other possible start sites exist upstream.</t>
  </si>
  <si>
    <t>The sigma factor is an initiation factor that promotes attachment of the RNA polymerase to specific initiation sites and then is released. Seems to be regulated by sigh (Rv3223c product). Seems to regulate the heat-shock response.</t>
  </si>
  <si>
    <t>Alternative RNA polymerase sigma factor SigE</t>
  </si>
  <si>
    <t>Rv1221, (MTCI61.04), len: 257 aa. SigE, alternative sigma factor of extracytoplasmic function (ECF) family (see citations below). Similar to many e.g. RPOE_HAEIN|P44790 RNA polymerase sigma-e factor from Haemophilus influenzae (189 aa), FASTA scores: opt: 247, E(): 3.4e-06, (28.5% identity in 186 aa overlap); etc. Also similar to MTCY07D11.03 rpoE from Mycobacterium tuberculosis (35.2% identity in 159 aa overlap). Belongs to the sigma-70 factor family, ECF subfamily. Three promoters and three translational start codons have been detected (See Dona et al., 2008). Fourth transcriptional start point has been identified (See Pang et al., 2007). Note that in Mycobacterium bovis BCG, the sigE gene is transcribed from two promoters, P1 and P2, and that these promoters were expressed at temperatures from 30-50 degrees Celsius.</t>
  </si>
  <si>
    <t>rseA</t>
  </si>
  <si>
    <t>Regulates negatively SIGE|Rv1221</t>
  </si>
  <si>
    <t>Anti-sigma factor RseA</t>
  </si>
  <si>
    <t>Rv1222, (MTCI61.05), len: 154 aa. RseA, anti-sigma factor (See Dona et al., 2008). Identical to O06290|MTU87242 (but shorter due to different start site chosen by proximity of RBS). Equivalent to O05736|U87308|MAU87308_2 hypothetical protein from Mycobacterium avium (133 aa), FASTA scores: opt: 644, E(): 7e-32, (86.2% identity in 109 aa overlap). A core mycobacterial gene; conserved in mycobacterial strains (See Marmiesse et al., 2004).</t>
  </si>
  <si>
    <t>Possibly hydrolyzes peptides and/or proteins (seems to cleave preferentially after serine residue).</t>
  </si>
  <si>
    <t>Probable serine protease HtrA (DEGP protein)</t>
  </si>
  <si>
    <t>Rv1223, (MTCI61.06), len: 528 aa. Probable htrA (alternate gene name: degP), serine protease precursor (see citations below), equivalent to U15180|MLU15180_31|Q49972|ML1078|HTRA possible serine protease from Mycobacterium leprae (533 aa), FASTA scores: opt: 2777, E(): 4.1e-141, (81.6% identity in 533 aa overlap). Also similar to many others e.g. HTRA_ECOLI|P09376 protease do precursor from Escherichia coli (474 aa), FASTA scores: opt: 581, E(): 9.1e-27, (36.3% identity in 278 aa overlap); etc. Contains PS00017 ATP/GTP-binding site motif A (P-loop). Start changed since first submission (-21 aa). Conserved in M. tuberculosis, M. leprae, M. bovis and M. avium paratuberculosis; predicted to be essential for in vivo survival and pathogenicity (See Ribeiro-Guimaraes and Pessolani, 2007).</t>
  </si>
  <si>
    <t>Involved in proteins export. This sec-independent pathway is termed tat for twin-arginine translocation system. This system mainly transports proteins with bound cofactors that require folding prior to export.</t>
  </si>
  <si>
    <t>Probable protein TatB</t>
  </si>
  <si>
    <t>Rv1224, (MTCI61.07), len: 131 aa. Probable tatB, component of twin-arginine translocation protein export system (see citation below). Possible exported protein with hydrophobic stretch at N-terminus. Highly similar to Q49973|U15180 hypothetical protein U1756Y from Mycobacterium leprae (120 aa), FASTA scores: opt: 601, E(): 0, (73.3% identity in 131 aa overlap). A core mycobacterial gene; conserved in mycobacterial strains (See Marmiesse et al., 2004).</t>
  </si>
  <si>
    <t>Rv1225c, (MTCI61.08c), len: 276 aa. Conserved hypothetical protein, some similarity to other hypothetical proteins e.g. AE001078|AE001078_2 Archaeoglobus fulgidus (265 aa), FASTA scores: opt: 339, E(): 5.1e-15, (27.1% identity in 262 aa overlap), and to NAGD_ECOLI|P15302 nagd protein from Escherichia coli (250 aa), FASTA scores: opt: 167, E(): 6.4e-12, (24.8% identity in 258 aa overlap). Also weakly similar to Mycobacterium tuberculosis hypothetical protein Rv3400|MTCY78.28c (29.1% identity in 251 aa overlap).</t>
  </si>
  <si>
    <t>Rv1226c, (MTCI61.09c), len: 487 aa. Probable transmembrane protein. Some similarity to AL049841|SCE9.01 Streptomyces coelicolor (436 aa), FASTA scores: opt: 203, E(): 1.2e-05, (29.8% identity in 346 aa overlap).</t>
  </si>
  <si>
    <t>Rv1227c, (MTCI61.10c), len: 177 aa. Possible transmembrane protein, similar to P96615 hypothetical protein ydbS from Bacillus subtilis (159 aa), fasta scores: E(): 3.6e-07, (30.1% identity in 163 aa overlap).</t>
  </si>
  <si>
    <t>Probable lipoprotein LpqX</t>
  </si>
  <si>
    <t>Rv1228, (MTCI61.11), len: 185 aa. Probable lipoprotein LpqX. Contains possible signal sequence and appropriately positioned PS00013 Prokaryotic membrane lipoprotein lipid attachment site.</t>
  </si>
  <si>
    <t>Unknown: thought to be a ATP-binding protein.</t>
  </si>
  <si>
    <t>Probable Mrp-related protein Mrp</t>
  </si>
  <si>
    <t>Rv1229c, (MT1267, MTCI61.12c, MTV006.01c), len: 390 aa. Probable Mrp protein, similar to others e.g. MRP_ECOLI|P21590 mrp protein from Escherichia coli (379 aa), FASTA scores: E(): 0, (34.1% identity in 355 aa overlap). Contains PS00017 ATP/GTP-binding site motif A (P-loop); and PS01215 MRP Prosite domain. Belongs to the MRP/NBP35 family of ATP-binding proteins.</t>
  </si>
  <si>
    <t>Rv1230c, (MTV006.02c), len: 411 aa. Possible membrane protein with two hydrophobic stretches near N-terminus. Some similarity to Rv1022|MTCY10G2.27c|Z92539 probable lpqU protein Mycobacterium tuberculosis (243 aa), FASTA score: opt: 408, E(): 1e-11, (43.6% identity in 172 aa overlap). Similar to AL133423|SC4A7.37 hypothetical protein from Streptomyces coelicolor (421 aa), FASTA score: opt: 679, E(): 5.1e-23, (36.4% identity in 398 aa overlap).</t>
  </si>
  <si>
    <t>Rv1231c, (MTV006.03c), len: 180 aa. Probable membrane protein, similar to others e.g. AL390975 Streptomyces coelicolor (198 aa).</t>
  </si>
  <si>
    <t>Rv1232c, (MTV006.04c), len: 435 aa. Conserved protein, similar to other hypothetical proteins e.g. AB013374|AB013374_2 Bacillus halodurans C-125 mamX (449 aa), FASTA scores: opt: 381, E(): 1e-16, (29.9% identity in 251 aa overlap). Some similarity in N-terminus to U15180|MLU1518033 hypothetical Mycobacterium leprae protein u1756u (329 aa), FASTA scores: opt: 300, E(): 4.1e-12, (69.3% identity in 75 aa overlap).</t>
  </si>
  <si>
    <t>Rv1233c, (MTV006.05c), len: 198 aa. Conserved hypothetical membrane protein, N-terminus is highly proline rich, C-terminus has two hydrophobic stretches. Proline-rich N-terminus has some similarity to CBPA_DICDI calcium binding protein from Dictyostelium discoideum (467 aa), FASTA scores: E(): 4.8e-06, (35.5% identity in 183 aa overlap). Both sequences share multiple copies of a Tyr-Pro-Pro motif.</t>
  </si>
  <si>
    <t>Rv1234, (MTV006.06), len: 175 aa. Possible transmembrane protein with two TM helices.</t>
  </si>
  <si>
    <t>Thought to be involved in active transport of sugar across the membrane (import).</t>
  </si>
  <si>
    <t>Probable sugar-binding lipoprotein LpqY</t>
  </si>
  <si>
    <t>Rv1235, (MTV006.07), len: 468 aa. Probable lpqY, sugar-binding lipoprotein component of sugar transport system (see citation below), equivalent to MLU1518034 protein u1756v from Mycobacterium leprae (469 aa), FASTA scores: opt: 2442, E(): 0, (77.4% identity in 470 aa overlap). Also similar to P18815|MALE_ENTAE maltose-binding periplasmic protein from Enterobacter aerogenes (396 aa), FASTA scores: opt: 193, E(): 2.3e-05, (24.2% identity in 297 aa overlap). Contains PS00013 Prokaryotic membrane lipoprotein lipid attachment site.</t>
  </si>
  <si>
    <t>Involved in active transport of sugar across the membrane (import). Responsible for the translocation of the substrate across the membrane.</t>
  </si>
  <si>
    <t>Probable sugar-transport integral membrane protein ABC transporter SugA</t>
  </si>
  <si>
    <t>Rv1236, (MTV006.08), len: 307 aa. Probable sugA, sugar-transport integral membrane protein ABC transporter (see citation below), equivalent to U15180|MLU1518035 protein malFM from Mycobacterium leprae (310 aa), FASTA scores: opt: 1566, E(): 0, (81.8% identity in 292 aa overlap). Also similar to numerous bacterial sugar transport system components. Also similar to Rv2316|MTCY3G12.18c from Mycobacterium tuberculosis (290 aa), FASTA scores: opt: 514, E(): 7.3e-27, (33.2% identity in 283 aa overlap). Contains PS00402 Binding-protein-dependent transport systems inner membrane comp signature.</t>
  </si>
  <si>
    <t>Probable sugar-transport integral membrane protein ABC transporter SugB</t>
  </si>
  <si>
    <t>Rv1237, (MTV006.09), len: 274 aa. Probable sugB, sugar-transport integral membrane protein ABC transporter (see citation below), equivalent to U15180|MLU1518036 protein MalGM from Mycobacterium leprae (296 aa), FASTA scores: opt: 1571, E(): 0, (89.8% identity in 274 aa overlap). Also similar to numerous bacterial sugar transport protein. Related to Rv2834c|MTCY16B7.08 from Mycobacterium tuberculosis (275 aa), FASTA scores: opt: 370, E(): 2.4e-17, (26.8% identity in 269 aa overlap).</t>
  </si>
  <si>
    <t>Involved in active transport of sugar across the membrane (import). Responsible for energy coupling to the transport system.</t>
  </si>
  <si>
    <t>Probable sugar-transport ATP-binding protein ABC transporter SugC</t>
  </si>
  <si>
    <t>Rv1238, (MTV006.10), len: 393 aa. Probable sugC, sugar-transport ATP-binding protein ABC transporter (see citation below). Highly similar to U15180 protein ugpC from Mycobacterium leprae (392 aa), FASTA score: opt: 2007, E(): 0, (79.9% identity in 389 aa overlap). Contains PS00017 ATP/GTP-binding site motif A (P-loop) and PS00211 ABC transporters family signature. Belongs to the ATP-binding transport protein family (ABC transporters).</t>
  </si>
  <si>
    <t>Thought to be involved in transport of magnesium and cobalt ions across the membrane. Responsible for the translocation of the substrate across the membrane.</t>
  </si>
  <si>
    <t>Possible magnesium and cobalt transport transmembrane protein CorA</t>
  </si>
  <si>
    <t>Rv1239c, (MTV006.11c), len: 366 aa. Possible corA, magnesium and cobalt transport transmembrane protein, highly similar to U15180 corA protein from Mycobacterium leprae (373 aa), FASTA scores: opt: 1985, E(): 0, (79.1% identity in 369 aa overlap). Also similar to various CorA proteins of Gram negative bacteria e.g. P27841|CORA_ECOLI|B3816|Z5333|ECS4746 Magnesium and cobalt transport protein from Escherichia coli strains K12 and O157:H7 (316 aa), FASTA scores: opt: 236, E(): 8e-08, (24.5% identity in 306 aa overlap); etc. Seems to belong to the MIT family.</t>
  </si>
  <si>
    <t>Involved in the conversion of malate to oxaloacetate [catalytic activity: (S)-malate + NAD+ = oxaloacetate + NADH].</t>
  </si>
  <si>
    <t>Probable malate dehydrogenase Mdh</t>
  </si>
  <si>
    <t>Rv1240, (MTV006.12), len: 329 aa. Probable mdh, Malate dehydrogenase. Most similar to P50917|MDH_MYCLE malate dehydrogenase from Mycobacterium leprae (329 aa), FASTA scores: opt: 1887, E(): 0, (89.1% identity in 329 aa overlap). Contains PS00068 Malate dehydrogenase active site signature. Belongs to the LDH family. MDH subfamily.</t>
  </si>
  <si>
    <t>vapB33</t>
  </si>
  <si>
    <t>Rv1241</t>
  </si>
  <si>
    <t>Possible antitoxin VapB33</t>
  </si>
  <si>
    <t>Rv1241, (MTV006.13), len: 86 aa. Possible vapB33, antitoxin, part of toxin-antitoxin (TA) operon with Rv1242, see Arcus et al. 2005. Member of family of 16 hypothetical Mycobacterium tuberculosis proteins including: Rv2871|Q10799|YS71_MYCTU hypothetical 13.2 kDa protein CY2 (124 aa), FASTA scores: opt: 172, E(): 9.5e-06, (37.2% identity in 86 aa overlap); Rv2132, Rv3321c, etc.</t>
  </si>
  <si>
    <t>vapC33</t>
  </si>
  <si>
    <t>Rv1242</t>
  </si>
  <si>
    <t>Possible toxin VapC33. Contains PIN domain.</t>
  </si>
  <si>
    <t>Rv1242, (MTV006.14), len: 143 aa. Possible vapC33, toxin, part of toxin-antitoxin (TA) operon with Rv1241, contains PIN domain, see Arcus et al. 2005. Member of family of 14 hypothetical Mycobacterium tuberculosis proteins including: Rv2872|Q10800|YS72_MYCTU (147 aa), FASTA scores: opt: 226, E(): 2.7e-09, (32.1% identity in 137 aa overlap); Rv0749, Rv0277c, Rv2530c, etc.</t>
  </si>
  <si>
    <t>PE_PGRS23</t>
  </si>
  <si>
    <t>Rv1243c</t>
  </si>
  <si>
    <t>PE-PGRS family protein PE_PGRS23</t>
  </si>
  <si>
    <t>Rv1243c, (MTV006.15c), len: 562 aa. PE_PGRS23, Member of the Mycobacterium tuberculosis PE family, PGRS subfamily of gly-rich proteins (see Brennan &amp; Delogu 2002).</t>
  </si>
  <si>
    <t>Probable lipoprotein LpqZ</t>
  </si>
  <si>
    <t>Rv1244, (MTV006.16), len: 286 aa. Probable lipoprotein lpqZ, equivalent toU15180|MLU1518042 protein u1756x from Mycobacterium leprae (228 aa), FASTA scores: opt: 1039, E(): 0, (72.5% identity in 229 aa overlap). Similar to Mycobacterium tuberculosis hypothetical protein Rv3759c. Contains PS00013 Prokaryotic membrane lipoprotein lipid attachment site.</t>
  </si>
  <si>
    <t>Rv1245c, (MTV006.17c), len: 276 aa. Probable short-chain dehydrogenase/reductase, equivalent to NP_301801.1|NC_002677 short chain alcohol dehydrogenase from Mycobacterium leprae (277 aa). Also highly similar to various dehydrogenases and oxidoreductases e.g. NP_250228.1|NC_002516 probable short-chain dehydrogenase from Pseudomonas aeruginosa (295 aa); NP_421969.1|NC_002696 short chain dehydrogenase family protein from Caulobacter crescentus (278 aa); etc. Also highly similar to others from Mycobacterium tuberculosis e.g. Rv3085|MTV013.06 probable short-chain type dehydrogenase/reductase (276 aa), FASTA scores: opt: 368, E(): 1.2e-16, (35.3% identity in 224 aa overlap); Rv3057c|MTCY22D7.24 putative short chain alcohol dehydrogenase/reductase (287 aa), FASTA scores: opt: 471, E(): 1.3e-21, (32.4% identity in 281 aa overlap); etc. Contains PS00061 Short-chain dehydrogenases/reductases family signature. Belongs to the short-chain dehydrogenases/reductases (SDR) family.</t>
  </si>
  <si>
    <t>relE</t>
  </si>
  <si>
    <t>Rv1246c</t>
  </si>
  <si>
    <t>Toxin RelE</t>
  </si>
  <si>
    <t>Rv1246c, (MTV006.18c), len: 97 aa. RelE, toxin, part of toxin-antitoxin (TA) operon with Rv1247c (See Pandey and Gerdes, 2005), highly similar to Rv2866|MTV003.12 hypothetical Mycobacterium tuberculosis protein (87 aa), FASTA scores: opt: 290, E(): 3.9e-24, (54.1% identity in 85 aa overlap).</t>
  </si>
  <si>
    <t>relB</t>
  </si>
  <si>
    <t>Rv1247c</t>
  </si>
  <si>
    <t>Antitoxin RelB</t>
  </si>
  <si>
    <t>Rv1247c, (MTV006.19c), len: 89 aa. RelB, antitoxin, part of toxin-antitoxin (TA) operon with Rv1246c (See Pandey and Gerdes, 2005), some similarity to hypothetical proteins including Mycobacterium tuberculosis proteins Rv2865|MTV003.11 (93 aa), FASTA scores: opt: 249, E(): 5.4e-13, (44.2% identity in 86 aa overlap); Rv0268|Z86089|P95225 (169 aa) opt: 125, E(): 0.0089, (41.8% identity in 55 aa overlap); etc. and Escherichia coli AE000293|ECAE0002933 (92 aa), FASTA scores: opt: 127, E(): 0.0038, (29.3% identity in 82 aa overlap).</t>
  </si>
  <si>
    <t>Involved in cellular metabolism. Has alpha-ketoglutarate dehydrogenase (KDH) [catalytic activity: 2-oxoglutarate + lipoamide = S-succinyldihydrolipoamide + CO2], alpha-ketoglutarate decarboxylase (KGD) [catalytic activity: 2-oxoglutarate = succinate semialdehyde + CO2], and 2-hydroxy-3-oxoadipate (HOA) synthase [catalytic activity: 2-oxoglutarate + glyoxylate + H+ = 2-hydroxy-3-oxoadipate + CO2] activities.</t>
  </si>
  <si>
    <t>Multifunctional alpha-ketoglutarate metabolic enzyme</t>
  </si>
  <si>
    <t>Rv1248c, (MTV006.20c), len: 1231 aa. Multifunctional alpha-ketoglutarate metabolic enzyme, highly similar to D84102 Corynebacterium glutamicum (1257 aa), FASTA scores: opt: 4418, E(): 0, (59.4% identity in 1223 aa overlap). Cofactor: thiamine diphosphate. Start changed since first submission (+17 aa).</t>
  </si>
  <si>
    <t>Rv1249c, (MTV006.21c), len: 262 aa. Possible membrane protein. Start uncertain. A core mycobacterial gene; conserved in mycobacterial strains (See Marmiesse et al., 2004).</t>
  </si>
  <si>
    <t>Thought to be involved in transport of drug across the membrane (export): drug resistance by an export mechanism (conferes resistance to toxic compounds by removing them for the cells). Responsible for the translocation of the substrate across the membrane.</t>
  </si>
  <si>
    <t>Probable drug-transport integral membrane protein</t>
  </si>
  <si>
    <t>Rv1250, (MTV006.22), len: 579 aa. Probable drug-transport integral membrane protein, member of major facilitator superfamily (MFS), highly similar to several including P39886|TCMA_STRGA tetracenomycin C resistance protein from Streptomyces glaucescens (538 aa), FASTA scores: opt: 847, E(): 0, (32.9% identity in 517 aa overlap); etc. Also similar to MTCY20B11.14c|Rv3239C from Mycobacterium tuberculosis (1048 aa), FASTA scores: opt: 629, E(): 6.7e-13, (31.9% identity in 423 aa overlap).</t>
  </si>
  <si>
    <t>Rv1251c, (MTV006.23c), len: 1139 aa. Conserved hypothetical protein, showing some similarity in C-terminal region with other proteins from eukaryotes and bacteria e.g. NP_142121.1 hypothetical protein from Pyrococcus horikoshii (1188 aa); and some similarity to GTP-binding proteins e.g. P23249|MV10_MOUSE putative GTP-binding protein (1004 aa), FASTA scores: opt: 228, E(): 1.7e-06, (27.7% identity in 560 aa overlap). Contains PS00017 ATP/GTP-binding site motif A (P-loop). A core mycobacterial gene; conserved in mycobacterial strains (See Marmiesse et al., 2004).</t>
  </si>
  <si>
    <t>Probable lipoprotein LprE</t>
  </si>
  <si>
    <t>Rv1252c, (MTCY50.30), len: 202 aa. Probable lipoprotein lprE, some similarity to Mycobacterium tuberculosis protein Rv3483c|MTCY13E12.36C (220 aa), FASTA scores: E(): 7e-05, (29.5% identity in 200 aa overlap). Contains possible N-terminal signal sequence and appropriately positioned prokaryotic lipoprotein lipid attachment site (PS00013). A core mycobacterial gene; conserved in mycobacterial strains (See Marmiesse et al., 2004).</t>
  </si>
  <si>
    <t>Has a helix-destabilizing activity</t>
  </si>
  <si>
    <t>Probable cold-shock DeaD-box protein A homolog DeaD (ATP-dependent RNA helicase dead homolog)</t>
  </si>
  <si>
    <t>Rv1253, (MTCY50.29c), len: 563 aa. Probable deaD, Cold-shock dead-box protein A homolog, similar to many e.g. DEAD_ECOLI|P23304 Escherichia coli (646 aa), FASTA scores: opt: 1490, E(): 0, (46.7% identity in 578 aa overlap); similar to Mycobacterium tuberculosis Rv3211. Contains PS00017 ATP/GTP-binding site motif A, PS00039 dead-box subfamily ATP-dependent helicases signature. Belongs to the dead box family helicase.</t>
  </si>
  <si>
    <t>Catalyzes the acylation of the mycaminose sugar during midecamycin biosynthesis</t>
  </si>
  <si>
    <t>Probable acyltransferase</t>
  </si>
  <si>
    <t>Rv1254, (MTCY50.28c), len: 383 aa. Probable Acyltransferase, similar to G927228 midecamycin 4-0-propionyl transferase (fragment) (388 aa), FASTA scores, opt: 305, E(): 5.6e-14, (28.4% identity in 377 aa overlap). Also similar to other Mycobacterium tuberculosis acyltransferases e.g. Rv0111, Rv0228, etc. Contains PS00881 Protein splicing signature.</t>
  </si>
  <si>
    <t>Rv1255c, (MTCY50.27), len: 202 aa. Possible regulatory protein, similar to others e.g. ACRR_ECOLI|P34000 potential acrab operon repressor from E. coli (215 aa), FASTA scores: opt: 128, E(): 0.25, (42.1% identity in 57 aa overlap). Helix turn helix motif present at aa 36-57 (+5.48 SD).</t>
  </si>
  <si>
    <t>cyp130</t>
  </si>
  <si>
    <t>Rv1256c</t>
  </si>
  <si>
    <t>Probable cytochrome P450 130 Cyp130</t>
  </si>
  <si>
    <t>Rv1256c, (MT1295, MTCY50.26), len: 405 aa. Probable cyp130, cytochrome P450, similar to other cytochromes P-450 e.g. S51594 cytochrome P450 mycG from Micromonospora griseorubida (397 aa); T36526 probable cytochrome P450 hydroxylase from Streptomyces coelicolor (411 aa); CPXK_SACER|P33271|107B1 cytochrome P450 from Saccharopolyspora erythraea (405 aa), FASTA scores: opt: 639, E(): 2.7e-33, (33.2% identity in 391 aa overlap); etc. Also similar to others from Mycobacterium tuberculosis e.g. Rv0766c|MTCY369.11c cytochrome P450 (402 aa); etc. Contains PS00086 Cytochrome P450 cysteine heme-iron ligand signature. Belongs to the cytochrome P450 family.</t>
  </si>
  <si>
    <t>Rv1257c</t>
  </si>
  <si>
    <t>Rv1257c, (MTCY50.25), len: 455 aa. Probable oxidoreductase, similar to e.g. GLCD_ECOLI|P52075 glycolate oxidase subunit glcd (499 aa), FASTA scores: E(): 0, (38.9% identity in 458 aa overlap). Similar to Mycobacterium tuberculosis oxidoreductases e.g. Rv3107c</t>
  </si>
  <si>
    <t>Thought to be involved in transport of undetermined substrate (possibly macrolide) across the membrane (export). Responsible for the translocation of the undetermined substrate across the membrane.</t>
  </si>
  <si>
    <t>Rv1258c, MTCY50.24, len: 419 aa. Probable conserved integral membrane transport (efflux) protein, possibly member of major facilitator superfamily (MFS), highly similar to O32859|tap protein multidrug-resistance efflux pump from Mycobacterium fortuitum (409 aa), FASTA scores: E(): 0, (68.4% identity in 408 aa overlap). Contains PS00216 Sugar transport proteins signature 1.</t>
  </si>
  <si>
    <t>udgB</t>
  </si>
  <si>
    <t>Involved in base excision repair. Excises uracil residues from the DNA which can arise as a result of misincorporation of dUMP residues by DNA polymerase or due to deamination of cytosine.</t>
  </si>
  <si>
    <t>Probable uracil DNA glycosylase, UdgB</t>
  </si>
  <si>
    <t>Rv1259, (MTCY50.23c), len: 299 aa. Probable udgB, uracil DNA glycosylase. Similar to AL109732|SC7H2.04 hypothetical protein from Streptomyces coelicolor (237 aa), FASTA scores: opt: 870, E(): 0, (57.1% identity in 231 aa overlap).</t>
  </si>
  <si>
    <t>Rv1260, (MTCY50.22c), len: 372 aa. Probable oxidoreductase, highly similar to E1245747|AL021411 putative oxidoreductase SC7H1.18 from Streptomyces coelicolor (397 aa), FASTA scores: E(): 1.4e-29, (45.9% identity in 355 aa overlap); also some similarity to G912582 FAD binding protein homologue from Pseudomonas aeruginosa (286 aa), FASTA scores: opt: 245, E(): 2e-09, (27.5% identity in 251 aa overlap); PCPB_FLASP|P42535 pentachlorophenol 4-monooxygenase (537 aa), FASTA scores: opt: 219, E(): 1.7e-07, (23.3% identity in 360 aa overlap); TETX_BACFR|Q01911 tetracycline resistance protein (388 aa), FASTA scores: opt: 183, E(): 3e-05, (22.8% identity in 373 aa overlap). Also similar to Mycobacterium tuberculosis hypothetical proteins Rv0575c and Rv1751.</t>
  </si>
  <si>
    <t>Rv1261c, (MTCY50.21), len: 149 aa. Conserved protein, similar to Mycobacterium tuberculosis hypothetical proteins e.g. Rv1558|MTCY48.07c (39.2% identity in 125 aa overlap); Rv3547 and Rv3178.</t>
  </si>
  <si>
    <t>Hypothetical hit-like protein</t>
  </si>
  <si>
    <t>Rv1262c, (MTCY50.20), len: 144 aa. Hypothetical hit-like protein, similar to Q04344|HIT_YEAST hit1 protein (orf u) (144 aa), FASTA scores: opt: 306, E(): 3e-14, (35.9 % identity in 142 aa overlap); also similar to YHIT_MYCGE|P47378 hypothetical 15.6 kDa protein (141 aa), FASTA scores: opt: 250, E(): 1.6e-10, (35.5% identity in 107 aa overlap); and YHIT_MYCLE|P49774 hypothetical 17.0 kDa protein hit-like (155 aa), FASTA scores: opt: 196, E(): 7e-07, (30.6% identity in 144 aa overlap). Similar to other proteins from Mycobacterium tuberculosis e.g. Rv2613c, Rv0759c. Contains PS00892 hit family signature. Belongs to the hit family.</t>
  </si>
  <si>
    <t>Involved in cellular metabolism, active on 2- to 6- carbon aliphatic amides and on many aromatic amides [catalytic activity: a monocarboxylic acid amide + H(2)O = a monocarboxylate + NH(3)].</t>
  </si>
  <si>
    <t>Probable amidase AmiB2 (aminohydrolase)</t>
  </si>
  <si>
    <t>Rv1263, (MTCY50.19c), len: 462 aa. Probable amiB2, amidase. Similar to G1001278 hypothetical 54.3 kDa protein (506 aa), FASTA scores: opt: 767, E(): 7.6e-40, (32.8% identity in 461 aa overlap), also similar to G580673 rhodococcus enantiose lective amidase gene (462 aa), FASTA scores, opt: 668, E(): 7.4e-34, (33.5% identity in 484 aa overlap) also to NYLA_PSES8|P13398 6-aminohexanoate-cyclic-dimer hydrolase (492 aa), FASTA scores opt: 543, E(): 3.1e-26, (33.5% identity in 493 aa overlap). Also similar to MTCY274.19c (33.5% identity in 427 aa overlap). Similar to other putative amidases in M. tuberculosis; Rv2363, Rv2888c, etc. Contains PS00017 ATP/GTP-binding site motif A. Belongs to the amidase family.</t>
  </si>
  <si>
    <t>Adenylyl cyclase (ATP pyrophosphate-lyase) (adenylate cyclase)</t>
  </si>
  <si>
    <t>Rv1264, (MTCY50.18c), len: 397 aa. Adenylate cyclase (function proven experimentally: see Linder et al., 2002), showing some similarity to other adenylate cyclases e.g. CYAA_BRELI|P27580 (403 aa), FASTA scores, opt: 270, E(): 1.3e-10, (29.3% identity in 317 aa overlap); etc. Similar to other putative cyclases in M. tuberculosis e.g. Rv2212, Rv1647. The C terminus seems to code for a catalytic domain belonging to a subfamily of adenylyl cyclase isozymes (mostly found in Gram-positive bacteria). The N terminus seems to be a potential novel regulator of adenylyl cyclase activity (autoinhibitory domain). Belongs to the adenylyl cyclase class-4/guanylyl cyclase family.</t>
  </si>
  <si>
    <t>Unknown. Seems to be expressed during macrophage infection.</t>
  </si>
  <si>
    <t>Rv1265, (MTCY50.17c), len: 226 aa. Unknown protein (see citation below).</t>
  </si>
  <si>
    <t>Involved in signal transduction (via phosphorylation). Thought to be involved in arabinan metabolism, phosphorylating perhaps EMBR|Rv1267c [catalytic activity: ATP + a protein = ADP + a phosphoprotein].</t>
  </si>
  <si>
    <t>Probable transmembrane serine/threonine-protein kinase H PknH (protein kinase H) (STPK H)</t>
  </si>
  <si>
    <t>Rv1266c, (MTCY50.16), len: 626 aa. Probable pknH, transmembrane serine/threonine-protein kinase (see citation below), similar to many e.g. PKN1_MYXXA|P33973 pkn1 (693 aa), FASTA scores: opt: 611, E(): 1.4e- 14, (29.7% identity in 492 aa overlap); etc. Contains PS00107 Protein kinases ATP-binding region signature; PS00108 Serine/Threonine protein kinases active-site signature. Contains Hank's kinase subdomain. Belongs to the Ser/Thr family of protein kinases. Experimental studies show evidence of auto-phosphorylation.</t>
  </si>
  <si>
    <t>Involved in transcriptional mechanism. Thought to regulate the biosynthesis of the mycobacterial cell wall arabinan and resistance to ethambutol (EMB; dextro-2,2'-(ethylenediimino)-DI-1-butanol), regulating EMBA|Rv3794 and EMBB|Rv3795.</t>
  </si>
  <si>
    <t>Probable transcriptional regulatory protein EmbR</t>
  </si>
  <si>
    <t>Rv1267c, (MT1305, MTCY50.15), len: 388 aa. Probable embR, regulatory protein (see citation below), similar to many e.g. AFSR_STRCO|P25941 regulatory protein AfsR from Streptomyces coelicolor (993 aa), FASTA scores: opt: 489, E(): 1e-25, (33.5% identity in 361 aa overlap); etc. Belongs to the AFSR/DNRI/REDD family of regulators. Phosphorylated in vitro by PknJ|Rv2088 (See Jang et al., 2010).</t>
  </si>
  <si>
    <t>Rv1268c</t>
  </si>
  <si>
    <t>Rv1268c, (MTCY50.14), len: 232 aa. Hypothetical unknown protein, probably secreted protein : contains possible signal peptide sequence (score 7.9 at residue 28). Predicted to be an outer membrane protein (See Song et al., 2008).</t>
  </si>
  <si>
    <t>Rv1269c</t>
  </si>
  <si>
    <t>Conserved probable secreted protein</t>
  </si>
  <si>
    <t>Rv1269c, (MTCY50.13), len: 124 aa. Conserved probable exported protein with putative N-terminal signal sequence. Similar to Mycobacterium tuberculosis protein Rv1813c|Y0DU_MYCTU|Q50620 hypothetical protein cy1a11.30 (137 aa), FASTA scores: E(): 9e-21, (41.6% identity in 137 aa overlap).</t>
  </si>
  <si>
    <t>Possible lipoprotein LprA</t>
  </si>
  <si>
    <t>Rv1270c, (MTCY50.12), len: 244 aa. Possible lprA, lipoprotein. Similar to O32852|AJ000500 lipoprotein from Mycobacterium bovis (236 aa), fasta scores: E(): 5.2e-23, (35.1% identity in 245 aa overlap). Similar to M. tuberculosis lipoproteins: Rv1368, Rv1411c, Rv2945c. Contains probable N-terminal signal sequence.</t>
  </si>
  <si>
    <t>Conserved hypothetical secreted protein</t>
  </si>
  <si>
    <t>Rv1271c, (MTCY50.11), len: 113 aa. Conserved hypothetical exported protein with potential N-terminal signal sequence. Similar to Mycobacterium tuberculosis hypothetical proteins Rv1804c, Rv1810, Rv0622, etc.</t>
  </si>
  <si>
    <t>Thought to be involved in active transport of drugs across the membrane (export): multidrugs resistance by an export mechanism. Responsible for energy coupling to the transport system and for the translocation of the substrate across the membrane.</t>
  </si>
  <si>
    <t>Probable drugs-transport transmembrane ATP-binding protein ABC transporter</t>
  </si>
  <si>
    <t>Rv1272c, (MTCY50.10), len: 631 aa. Probable drugs-transport transmembrane ATP-binding protein ABC transporter (see citation below), similar to e.g. Y015_MYCGE|P47261 hypothetical ABC transporter mg015m from Mycoplasma genitalium (589 aa), FASTA scores: opt: 1054, E(): 0, (34.3% identity in 522 aa overlap); etc. Contains PS00017 ATP/GTP-binding site motif A (P-loop); and PS00211 ABC transporters family signature. Belongs to the ATP-binding transport protein family (ABC transporters), MSBA subfamily.</t>
  </si>
  <si>
    <t>Rv1273c, (MTCY50.09), len: 582 aa. Probable drugs-transport transmembrane ATP-binding protein ABC transporter (see citation below), similar to e.g. YWJA_BACSU|P45861 hypothetical abc transporter from B. subtilis (575 aa), FASTA scores: opt: 810, E(): 0, (27.0% identity in 578 aa overlap); etc. Contains PS00136 Serine proteases, subtilase family, aspartic acid active site; 2 x PS00211 ABC transporters family signature; and PS00017 ATP/GTP-binding site motif A (P-loop). Belongs to the ATP-binding transport protein family (ABC transporters), MSBA subfamily.</t>
  </si>
  <si>
    <t>Possible lipoprotein LprB</t>
  </si>
  <si>
    <t>Rv1274, (MTCY50.08c), len: 185 aa. Possible lprB, lipoprotein; contains possible N-terminal signal sequence and appropriately positioned prokaryotic lipoprotein lipid attachment site (PS00013). Some similarity to Rv1275. A core mycobacterial gene; conserved in mycobacterial strains (See Marmiesse et al., 2004).</t>
  </si>
  <si>
    <t>Possible lipoprotein LprC</t>
  </si>
  <si>
    <t>Rv1275, (MTCY50.07c), len: 180 aa. Possible lprC, lipoprotein; contains possible N-terminal signal sequence and appropriately positioned prokaryotic lipoprotein lipid attachment site (PS00013). Some similarity to Rv1274. A core mycobacterial gene; conserved in mycobacterial strains (See Marmiesse et al., 2004).</t>
  </si>
  <si>
    <t>Rv1276c, (MTCY50.06), len: 158 aa. Conserved hypothetical protein, similar to AL096844|SCI28.03 hypothetical protein from Streptomyces coelicolor (172 aa), FASTA scores: opt: 385, E(): 3.3e-19, (43.5% identity in 161 aa overlap). Some similarity to P76502|SIXA_ECOLI phosphohistidine phosphatase SIXA (161 aa), FASTA scores: opt: 146, E(): 0.0047, (31.9% identity in 116 aa overlap). Belongs to the SixA family of phosphatases.</t>
  </si>
  <si>
    <t>Rv1277, (MTCY50.05c), len: 417 aa. Conserved hypothetical protein, some similarity to 3914967|O68033|SBCD_RHOCA exonuclease SBCD homolog from Rhodobacter capsulatus (405 aa). May be sbcD protein (see Mizrahi &amp; Andersen 1998)</t>
  </si>
  <si>
    <t>Rv1278, (MTCY50.04c), len: 875 aa. Hypothetical unknown protein, possible coiled-coil regions, contains PS00017 ATP/GTP-binding site motif A. A core mycobacterial gene; conserved in mycobacterial strains (See Marmiesse et al., 2004).</t>
  </si>
  <si>
    <t>Function unknown; probably involved in cellular metabolism, probably electron-transfer-linked.</t>
  </si>
  <si>
    <t>Probable dehydrogenase FAD flavoprotein GMC oxidoreductase</t>
  </si>
  <si>
    <t>Rv1279, (MTCY50.03c), len: 528 aa. Probable dehydrogenase, FAD flavoprotein GMC oxidoreductase, similar to several e.g. dBETA_ECOLI|P17444 choline dehydrogenase from Escherichia coli (556 aa), FASTA scores, opt: 1047, E(): 0, (37.7% identity in 541 aa overlap). Similar to Rv0697 putative Mycobacterium tuberculosis GMC oxidoreductase. Contains PS00623 GMC oxidoreductases signature 1, and PS00624 GMC oxidoreductases signature 2. Belongs to the GMC oxidoreductases family.</t>
  </si>
  <si>
    <t>Involved in active transport of oligopeptide across the membrane (import). This protein is a component of the oligopeptide permease, a binding protein-dependent transport system; it binds peptides up to five amino acids long with high affinity.</t>
  </si>
  <si>
    <t>Probable periplasmic oligopeptide-binding lipoprotein OppA</t>
  </si>
  <si>
    <t>Rv1280c, (MTCY50.02), len: 591 aa. Probable oppA, oligopeptide-binding lipoprotein component of peptide transport system (see citation below), sharing some similarity to other periplasmic solute binding proteins e.g. OPPA_SALTY|P06202 periplasmic oligopeptide-binding protein from Salmonella typhimurium (542 aa), FASTA scores: E(): 5.1e-05, (22.1% identity in 458 aa overlap); etc. Also similar to Rv1166 and Rv2585c from Mycobacterium tuberculosis. Has possible N-terminal signal sequence and prokaryotic lipoprotein lipid attachment site (PS00013). Belongs to the bacterial extracellular solute-binding protein family 5.</t>
  </si>
  <si>
    <t>Involved in active transport of oligopeptide across the membrane (import). Responsible for energy coupling to the transport system.</t>
  </si>
  <si>
    <t>Probable oligopeptide-transport ATP-binding protein ABC transporter OppD</t>
  </si>
  <si>
    <t>Rv1281c, (MTCY50.01), len: 612 aa. Probable oppD, oligopeptide-transport ATP-binding protein ABC transporter (see citation below), similar to others e.g. DPPD_BACSU|P26905 dipeptide transport ATP-binding protein from Bacillus subtilis (335 aa), FASTA scores: opt: 983, E(): 0, (48.6% identity in 319 aa overlap); etc. Contains 2 x PS00017 ATP/GTP-binding site motif A (P-loop); 2 x PS00211 ABC transporters family signature. Belongs to the ATP-binding transport protein family (ABC transporters).</t>
  </si>
  <si>
    <t>Involved in active transport of oligopeptide across the membrane (import). Responsible for the translocation of the substrate across the membrane.</t>
  </si>
  <si>
    <t>Probable oligopeptide-transport integral membrane protein ABC transporter OppC</t>
  </si>
  <si>
    <t>Rv1282c, (MTCY373.01c-MTCY3H3.01), len: 291 aa. Probable oppC, oligopeptide-transport integral membrane protein ABC transporter (see Braibant et al., 2000), similar to other integral membrane proteins e.g. OPPC_ECOLI|P77664 oligopeptide transport system permease from Escherichia coli (302 aa), FASTA scores: E(): 4.6e-33, (40.7% identity in 275 aa overlap); etc. Also similar to Rv3664c|DPPC probable peptide-transport integral membrane protein from Mycobacterium tuberculosis.</t>
  </si>
  <si>
    <t>Probable oligopeptide-transport integral membrane protein ABC transporter OppB</t>
  </si>
  <si>
    <t>Rv1283c, (MTCY373.02c), len: 325 aa. Probable oppB, oligopeptide-transport integral membrane protein ABC transporter (see citation below), similar to other integral membrane proteins e.g. DPPB_ECOLI|P37316 dipeptide transport system permease protein from Escherichia coli (339 aa), FASTA scores: opt: 402, E(): 3.4e-20, (31.0% identity in 345 aa overlap); etc. Also similar to Rv3665c|DppB probable peptide-transport integral membrane protein from Mycobacterium tuberculosis. Contains PS00402 Binding-protein-dependent transport systems inner membrane comp signature.</t>
  </si>
  <si>
    <t>canA</t>
  </si>
  <si>
    <t>Rv1284</t>
  </si>
  <si>
    <t>Catalyzes reversible dehydration of CO2 to form bicarbonate</t>
  </si>
  <si>
    <t>Beta-carbonic anhydrase</t>
  </si>
  <si>
    <t>Rv1284, (MTCY373.03), len: 163 aa. CanA, Beta-carbonic anhydrase, proven biochemically (See Suarez Covarrubias et al. 2005) similar to others e.g. AL109663|SC4A10.26 hypothetical protein from Streptomyces coelicolor (167 aa), FASTA scores: opt: 567, E(): 1.5e-32, (53.4% identity in 163 aa overla); shows some similarity to hypothetical protein from Methanobacterium thermoautotrophicum. Weak similarity to carbonic anhydrases e.g. U51624|MTU516242|P17582 Methanothermobacter thermautotrophicus (171 aa), FASTA score: opt: 305, E(): 1.2e-14, (35.2% identity in 165 aa overlap).</t>
  </si>
  <si>
    <t>Involved in sulfate activation pathway. First step in the sulfate activation pathway. This reaction occurs early in the reductive branch of the cysteine biosynthetic pathway [catalytic activity:ATP + sulfate = diphosphate + adenylylsulfate]</t>
  </si>
  <si>
    <t>Probable sulfate adenylyltransferase subunit 2 CysD</t>
  </si>
  <si>
    <t>Rv1285, (MTCY373.04), len: 332 aa. Probable cysD, sulfate adenylyltransferase subunit 2 (see Wooff et al., 2002), homology suggests start site at aa 24 or 28, similar to e.g. CYSD_ECOLI|P21156 sulfate adenylate transferase subunit 2 from Escherichia coli (302 aa), FASTA score: opt: 973, E():0, (52.5% identity in 303 aa overlap). Also similar to Mycobacterium tuberculosis Rv2392, 3'-phosphoadenylylsulfate reductase. Belongs to the PAPS reductase family. CYSD subfamily. Thought to be differentially expressed within host cells (see Triccas et al., 1999).</t>
  </si>
  <si>
    <t>ATP sulfurylase may be the GTPase, regulating ATP sulfurylase activity [catalytic activity 1: ATP + sulfate = diphosphate + adenylylsulfate] and APS kinase catalyzes the synthesis of activated sulfate [catalytic activity 2: ATP + adenylylsulfate = ADP + 3'- phosphoadenylylsulfate]. First and second steps in the sulfate activation pathway. These reactions occurs early in the reductive branch of the cysteine biosynthetic pathway.</t>
  </si>
  <si>
    <t>Probable bifunctional enzyme CysN/CysC: sulfate adenyltransferase (subunit 1) + adenylylsulfate kinase</t>
  </si>
  <si>
    <t>Rv1286, (MTCY373.05), len: 614 aa. Probable cysN/cysC bifunctional enzyme, sulfate adenylyltransferase subunit 1 and Adenylylsulfate kinase (see Wooff et al., 2002), similar to CYSN_ECOLI|P23845 sulfate adenylate transferase subunit 1 from Escherichia coli (475 aa), FASTA scores: opt: 1291, E():0, (50.2% identity in 428 aa overlap). Contains 2 x PS00017 ATP/GTP-binding site motif A, PS00301 GTP-binding elongation factors signature.</t>
  </si>
  <si>
    <t>Rv1287, (MTCY373.06), len: 161 aa. Conserved hypothetical protein, similar to VjeB family of proteins e.g. FASTA score: P44675|Y379_HAEIN hypothetical protein HI0379 (150 aa), FASTA scores: opt: 213, E(): 2.5e-08, (30.0% identity in 130 aa overlap) and YJEB_ECOLI|P21498 hypothetical 15.6 kDa protein in pura-vacb (141 aa), opt: 167, E(): 9.5e-06, (25.0% identity in 136 aa overlap). Belongs to the UPF0074 (RFF2) family.</t>
  </si>
  <si>
    <t>Rv1288, (MTCY373.07), len: 456 aa. Conserved protein, some similarity to A85B_MYCTU|P31952 antigen 85-b precursor (85b) (325 aa), FASTA scores: opt: 199, E(): 2.7e-06, (24.7% identity in 279 aa overlap). Also similar to Q01377|CSP1_CORGL PS1 protein precursor (related to antigen 85 complex) from Corynebacterium glutamicum (657 aa), FASTA scores: opt: 280, E(): 1.9e-10, (26.4% identity in 352 aa overlap). Seems to contain 3 LYSM repeats</t>
  </si>
  <si>
    <t>Rv1289, (MTCY373.08), len: 210 aa. Unknown protein.</t>
  </si>
  <si>
    <t>Rv1290A</t>
  </si>
  <si>
    <t>Rv1290A, len: 104 aa. Hypothetical unknown protein, equivalent to AAK45590 from Mycobacterium tuberculosis strain CDC1551 (122 aa) but shorter 18 aa.</t>
  </si>
  <si>
    <t>Function unknown. Thought to be involved in virulence.</t>
  </si>
  <si>
    <t>Rv1290c, (MTCY373.09c), len: 521 aa. Conserved protein (see citation below), similar to AL031013|SC8A6.09 hypothetical protein from Streptomyces coelicolor (443 aa), FASTA scores: opt: 371, E(): 9.5e-17, (28.3% identity in 446 aa overlap).</t>
  </si>
  <si>
    <t>Rv1291c</t>
  </si>
  <si>
    <t>Rv1291c, (MTCY373.10c), len: 111 aa. Conserved hypothetical secreted protein, similar to others in Mycobacterium tuberculosis e.g. Rv1271c|Q11048|YC71_MYCTU hypothetical 11.6 kDa protein (113 aa), FASTA score: opt: 246, E(): 1.7e-09, (40.0% identity in 110 aa overlap); Rv1804c, Rv1810, Rv0622, etc.</t>
  </si>
  <si>
    <t>Involved in translation mechanism [catalytic activity: ATP + L-arginine + tRNA(ARG) = AMP + diphosphate + L-arginyl-tRNA(ARG)].</t>
  </si>
  <si>
    <t>Probable arginyl-tRNA synthetase ArgS (ARGRS) (arginine--tRNA ligase)</t>
  </si>
  <si>
    <t>Rv1292, (MTCY373.12), len: 550 aa. Probable argS, Arginyl-tRNA synthetase, highly similar to SYR_MYCLE|P45840 Mycobacterium leprae (550 aa), FASTA scores: opt: 3115, E(): 0, (84.9% identity in 550 aa overlap). Contains PS00178 Aminoacyl-transfer RNA synthetases class-I signature. Belongs to class-I aminoacyl-tRNA synthetase family.</t>
  </si>
  <si>
    <t>Involved in biosynthesis of lysine (last step) [catalytic activity: MESO-2,6-diaminoheptanedioate = L-lysine + CO(2)].</t>
  </si>
  <si>
    <t>Diaminopimelate decarboxylase LysA (DAP decarboxylase)</t>
  </si>
  <si>
    <t>Rv1293, (MTCY373.13), len: 447 aa. lysA, diaminopimelate decarboxylase (see citation below), almost identical to DCDA_MYCTU|P31848. Contains PS00878 Orn/DAP/Arg decarboxylases family 2 pyridoxal-P attachment site, PS00879 Orn/DAP/Arg decarboxylases family 2 signature 2. Belongs to family 2 of ornithine, DAP, and arginine decarboxylases.</t>
  </si>
  <si>
    <t>Involved in the conversion of L-aspartate to homoserine (third step). Homoserine participates in the biosynthesis of threonine and then isoleucine and in the biosynthesis of methionine [catalytic activity: L-homoserine + NAD(P)(+) = L-aspartate 4-semialdehyde + NAD(P)H.]</t>
  </si>
  <si>
    <t>Probable homoserine dehydrogenase ThrA</t>
  </si>
  <si>
    <t>Rv1294, (MTCY373.14), len: 441 aa. Probable thrA (hom), homoserine dehydrogenase, highly similar to DHOM_MYCLE|P46806 from Mycobacterium leprae (441 aa), FASTA scores: opt: 2437, E():0, (89.5% identity in 438 aa overlap). Contains PS00017 ATP/GTP-binding site motif A; PS01042 Homoserine dehydrogenase signature. Belongs to the homoserine dehydrogenase family.</t>
  </si>
  <si>
    <t>Involved in threonine biosynthesis [catalytic activity: O-phospho-L-homoserine + H(2)O = L-threonine + phosphate]</t>
  </si>
  <si>
    <t>Threonine synthase ThrC (ts)</t>
  </si>
  <si>
    <t>Rv1295, (MTCY373.15), len: 360 aa. thrC, threonine synthase (see Parish et al., 1999), highly similar to THRC_MYCLE|P45837 Mycobacterium leprae (360 aa), FASTA scores: opt: 2202, E(): 0, (93.9% identity in 359 aa overlap). Contains PS00165 Serine/threonine dehydratases pyridoxal-phosphate attachment site.</t>
  </si>
  <si>
    <t>Threonine biosynthesis from asparate (fourth step) [catalytic activity: ATP + L-homoserine = ADP + O-phospho-L-homoserine].</t>
  </si>
  <si>
    <t>Probable homoserine kinase ThrB</t>
  </si>
  <si>
    <t>Rv1296, (MTCY373.16), len: 316 aa. Probable thrB, homoserine kinase (see citation below), highly similar to KHSE_MYCLE|P45836 from Mycobacterium leprae (314 aa), FASTA scores, opt: 1657, E(): 0, (82.0% identity in 311 aa overlap). Contains PS00639 Eukaryotic thiol (cysteine) proteases histidine active site, and PS00627 GHMP kinases putative ATP-binding domain.</t>
  </si>
  <si>
    <t>Facilitates transcription termination by a mechanism that involves rho binding to the nascent RNA, activation of rho'S RNA-dependent ATPase activity, and release of the mRNA from the DNA template</t>
  </si>
  <si>
    <t>Probable transcription termination factor Rho homolog</t>
  </si>
  <si>
    <t>Rv1297, (MTCY373.17), len: 602 aa. Probable rho, transcription termination factor homolog, highly similar to many e.g. RHO_MYCLE|P45835 Mycobacterium leprae (610 aa), FASTA scores: (81.5% identity in 612 aa overlap). Contains 1 RNA recognition motif (RRM). Nucleotide position 1453608 in the genome sequence has been corrected, T:C resulting in G135G.</t>
  </si>
  <si>
    <t>Involved in translation</t>
  </si>
  <si>
    <t>50S ribosomal protein L31 RpmE</t>
  </si>
  <si>
    <t>Rv1298, (MTCY373.18), len: 80 aa. rpmE, 50s ribosomal protein L31, highly similar to many e.g. RL31_MYCLE|P45834 50s ribosomal protein L31 from Mycobacterium leprae (84 aa), FASTA scores: opt: 490, E(): 5.5e-28, (89.6% identity in 77 aa overlap). Contains PS01143 Ribosomal protein L31 signature. Belongs to the L31P family of ribosomal proteins.</t>
  </si>
  <si>
    <t>Peptide chain release factor 1 directs the termination of translation in response to the peptide chain termination codons UAG and UAA</t>
  </si>
  <si>
    <t>Probable peptide chain release factor 1 PrfA (RF-1)</t>
  </si>
  <si>
    <t>Rv1299, (MTCY373.19), len: 357 aa. Probable prfA, peptide chain release factor 1 (rf-1), highly similar to many e.g. RF1_MYCLE|P45833 peptide chain release factor 1 (rf-1) from Mycobacterium leprae (357 aa), FASTA scores: opt: 2047, E(): 0, (89.3% identity in 356 aa overlap); also similar to Mycobacterium tuberculosis Rv3105c, prfB peptide chain release factor 2. Contains PS00745 Prokaryotic-type class I peptide chain release factors signature. Belongs to the prokaryotic and mitochondrial release factors family.</t>
  </si>
  <si>
    <t>Possibly involved in the oxidation of protoporphyrinogen into protoporphyrin IX</t>
  </si>
  <si>
    <t>Probable HemK protein homolog HemK</t>
  </si>
  <si>
    <t>Rv1300, (MTCY373.20), len: 325 aa. Probable hemK protein homolog, homology suggests translation may start at aa 22, highly similar to many e.g. HEMK_MYCLE|P45832 Mycobacterium leprae (288 aa), FASTA scores: opt: 936, E(): 0, (76.7% identity in 189 aa overlap). Belongs to the HemK family of modification methylases.</t>
  </si>
  <si>
    <t>Rv1301, (MTCY373.21), len: 217 aa. Conserved protein, highly similar to YRFE_MYCLE|P45831 hypothetical 22.7 kDa protein in rfe-hemk intergenic region, (220 aa), FASTA scores: opt: 1168, E(): 0, (82.8% identity in 215 aa overlap). Contains PS01147 Hypothetical SUA5/yciO/yrdC family signature. Belongs to the SUA5/YRDC/YCIO/YWLC family.</t>
  </si>
  <si>
    <t>Thought to be involved in AG biosynthesis. May be the tunicamycin sensitive transferase that catalyzes the synthesis of GlcNAc-pyrophosphorylundecaprenol (lipid I), the first lipid-linked intermediate involved in ECA synthesis.</t>
  </si>
  <si>
    <t>Probable undecapaprenyl-phosphate alpha-N-acetylglucosaminyltransferase Rfe (UDP-GlcNAc transferase)</t>
  </si>
  <si>
    <t>Rv1302, (MTCY373.22), len: 404 aa. Probable rfe (alternate gene name: wecA), undecaprenyl-phosphate alpha-N-acetylglucosaminyltransferase (see citation below), equivalent to RFE_MYCLE|P45830 Mycobacterium leprae (398 aa), FASTA scores, opt: 2285, E(): 0, (89.2% identity in 398 aa overlap).</t>
  </si>
  <si>
    <t>Conserved hypothetical transmembrane protein</t>
  </si>
  <si>
    <t>Rv1303, (MTCY373.23), len: 161 aa. Conserved hypothetical transmembrane protein, highly similar to P53431|Y02N_MYCLE hypothetical Mycobacterium leprae protein (153 aa), FASTA score: opt: 636, E():0, (69.8% identity in 149 aa overlap). A core mycobacterial gene; conserved in mycobacterial strains (See Marmiesse et al., 2004).</t>
  </si>
  <si>
    <t>Key component of the proton channel; it may play a direct role in the translocation of protons (H+) across the membrane</t>
  </si>
  <si>
    <t>Probable ATP synthase a chain AtpB (protein 6)</t>
  </si>
  <si>
    <t>Rv1304, (MTCY373.24), len: 250 aa. Probable atpB, ATP synthase a chain, highly similar to ATP6_MYCLE|P45829 Mycobacterium leprae (251 aa), FASTA scores: opt: 1382, E(): 0, (84.0% identity in 250 aa overlap). Contains PS00449 ATP synthase a subunit signature. subunit: F-type ATPases have 2 components, cf(1) - the catalytic core - and cf(0) - the membrane proton channel. cf(1) has five subunits: alpha(3), beta(3), gamma(1), delta(1), epsilon(1). cf(0) has three main subunits: A, B and C. Belongs to the ATPase a chain family.</t>
  </si>
  <si>
    <t>This is one of the three chains of the nonenzymatic component (cf(0) subunit) of the ATPase complex.</t>
  </si>
  <si>
    <t>Probable ATP synthase C chain AtpE (lipid-binding protein) (dicyclohexylcarbodiimide-binding protein)</t>
  </si>
  <si>
    <t>Rv1305, (MTCY373.25), len: 81 aa. Probable atpE, ATP synthase C chain, highly similar to P45828|ATPL_MYCLE Mycobacterium leprae (92.6% identity in 81 aa overlap). Contains PS00605 ATP synthase C subunit signature. subunit: F-type ATPases have 2 components, cf(1) - the catalytic core - and cf(0) - the membrane proton channel. cf(1) has five subunits: alpha(3), beta(3), gamma(1), delta(1), epsilon(1). cf(0) has three main subunits: A, B and C. Belongs to the ATPase C chain family.</t>
  </si>
  <si>
    <t>Probable ATP synthase B chain AtpF</t>
  </si>
  <si>
    <t>Rv1306, (MTCY373.26), len: 171 aa. Probable atpF, ATP synthase B chain, highly similar to ATPF_MYCLE P45827 (170 aa), FASTA scores, opt: 802, E(): 0, (79.5% identity in 171 aa overlap). subunit: F-type ATPases have 2 components, cf(1) - the catalytic core - and cf(0) - the membrane proton channel. cf(1) has five subunits: alpha(3), beta(3), gamma(1), delta(1), epsilon(1). cf(0) has three main subunits: A, B and C. Belongs to the ATPase B chain family.</t>
  </si>
  <si>
    <t>This protein seems to be part of the stalk that LINKS cf(0) to cf(1). It either transmits conformational changes from cf(0) into cf(1) or is implicated in proton conduction [catalytic activity: ATP + H(2)O + H(+)(in) = ADP + phosphate + H(+)(out)]</t>
  </si>
  <si>
    <t>Probable ATP synthase delta chain AtpH</t>
  </si>
  <si>
    <t>Rv1307, (MTCY373.27), len: 446 aa. Probable atpH, ATP synthase delta chain. This protein is much longer than that of other bacterial delta chains, the C-terminal region is homologous to delta chains while the N-terminal region is similar to B/B' subunits e.g. ATPD_STRLI|P50008 ATP synthase delta chain from Streptomyces lividans (273 aa), FASTA scores: opt: 505, E(): 5.4e-23, (35.0% identity in 277 aa overlap); and ATPF_HAEIN|P43720 ATP synthase B chain from Haemophilus influenzae (156 aa), FASTA scores: opt: 216, E(): 1.2e-06, (26.1% identity in 153 aa overlap). subunit: F-type ATPases have 2 components, cf(1) - the catalytic core - and cf(0) - the membrane proton channel. cf(1) has five subunits: alpha(3), beta(3), gamma(1), delta(1), epsilon(1). cf(0) has three main subunits: A, B and C. Belongs to the ATPase delta chain family.</t>
  </si>
  <si>
    <t>Produces ATP from ADP in the presence of a proton gradient across the membrane. The alpha chain is a regulatory subunit [catalytic activity:ATP + H(2)O + H(+)(in) = ADP + phosphate + H(+)(out)]</t>
  </si>
  <si>
    <t>Probable ATP synthase alpha chain AtpA</t>
  </si>
  <si>
    <t>Rv1308, (MTCY373.28), len: 549 aa. Probable atpA, ATP synthase alpha chain, highly similar to ATPA_MYCLE|P45825 from Mycobacterium leprae (558 aa), FASTA scores: opt: 3233, E(): 0, (90.3% identity in 547 aa overlap). Contains PS00017 ATP/GTP-binding site motif A, PS00152 ATP synthase alpha and beta subunits signature. subunit: F-type ATPases have 2 components, cf(1) - the catalytic core - and cf(0) - the membrane proton channel. cf(1) has five subunits: alpha(3), beta(3), gamma(1), delta(1), epsilon(1). cf(0) has three main subunits: A, B and C. Belongs to the ATPase alpha/beta chains family.</t>
  </si>
  <si>
    <t>Produces ATP from ADP in the presence of a proton gradient across the membrane. The gamma chain is believed to be important in regulating ATPase activity and the flow of protons through the cf(0) complex.</t>
  </si>
  <si>
    <t>Probable ATP synthase gamma chain AtpG</t>
  </si>
  <si>
    <t>Rv1309, (MTCY373.29), len: 305 aa. Probable atpG, ATP synthase gamma chain, highly similar to ATPG_MYCLE|P45824 ATP synthase gamma chain from Mycobacterium leprae (298 aa), FASTA scores: opt: 1579, E():0, (83.9% identity in 305 aa overlap). Contains PS00153 ATP synthase gamma subunit signature. subunit: F-type ATPases have 2 components, cf(1) - the catalytic core - and cf(0) - the membrane proton channel. cf(1) has five subunits: alpha(3), beta(3), gamma(1), delta(1), epsilon(1). cf(0) has three main subunits: A, B and C. Belongs to the ATPase gamma chain family.</t>
  </si>
  <si>
    <t>Produces ATP from ADP in the presence of a proton gradient across the membrane. The beta chain is the catalytic subunit [catalytic activity: ATP + H(2)O + H(+)(in) = ADP + phosphate + H(+)(out)]</t>
  </si>
  <si>
    <t>Probable ATP synthase beta chain AtpD</t>
  </si>
  <si>
    <t>Rv1310, (MTCY373.30), len: 486 aa. Probable atpD, ATP synthase beta chain, highly similar to ATPB_MYCLE|P45823 Mycobacterium leprae (485 aa), FASTA score: opt: 2916, E(): 0, (92.6% identity in 484 aa overlap). Contains PS00017 ATP/GTP-binding site motif A, PS00152 ATP synthase alpha and beta subunits signature. subunit: F-type ATPases have 2 components, cf(1) - the catalytic core - and cf(0) - the membrane proton channel. cf(1) has five subunits: alpha(3), beta(3), gamma(1), delta(1), epsilon(1). cf(0) has three main subunits: A, B and C. Belongs to the ATPase alpha/beta chains family.</t>
  </si>
  <si>
    <t>Produces ATP from ADP in the presence of a proton gradient across the membrane [catalytic activity: ATP + H(2)O + H(+)(in) = ADP + phosphate + H(+)(out)]</t>
  </si>
  <si>
    <t>Probable ATP synthase epsilon chain AtpC</t>
  </si>
  <si>
    <t>Rv1311, (MTCY373.31), len: 121 aa. Probable atpC, ATP synthase epsilon chain, highly similar to ATPE_MYCLE|P45822 Mycobacterium leprae (124 aa), FASTA scores: opt: 682, E(): 5.4e-40, (87.6% identity in 121 aa overlap). subunit: F-type ATPases have 2 components, cf(1) - the catalytic core - and cf(0) - the membrane proton channel. cf(1) has five subunits: alpha(3), beta(3), gamma(1), delta(1), epsilon(1). cf(0) has three main subunits: A, B and C. Belongs to the ATPase epsilon chain family.</t>
  </si>
  <si>
    <t>Rv1312, (MTCY373.32), len: 147 aa. Conserved hypothetical secreted protein with potential N-terminal signal sequence. Highly similar to P53432|Y02W_MYCLE hypothetical Mycobacterium leprae protein (147 aa), FASTA score: opt: 884, E(): 0, (88.4% identity in 147 aa overlap). N-terminus hydrophobic.</t>
  </si>
  <si>
    <t>Rv1313c</t>
  </si>
  <si>
    <t>Possibly required for the transposition of the insertion element IS1557.</t>
  </si>
  <si>
    <t>Rv1313c, (MTCY373.33c), len: 444 aa. Possible IS1557 transposase, similar to several transposases e.g. U57649|DBU57649 ORF1 from dibenzofuran-degrading bacterium DPO360 (163 aa), FASTA scores: opt: 767, E(): 0, (67.3% identity in 168 aa overlap); TNPA_BORPA|Q06126 transposase for insertion sequence element IS1001 from Bordetella parapertussis (406 aa), FASTA scores: opt: 254, E(): 3.3e-10, (24.9% identity in 402 aa overlap). Also similar to putative Mycobacterium tuberculosis transposases, Rv3798 and Rv0741.</t>
  </si>
  <si>
    <t>Rv1314c, (MTCY373.34c), len: 193 aa. Conserved protein, highly similar to P53523|Y02Y_MYCLE hypothetical Mycobacterium leprae protein (191 aa), FASTA score: opt:1019, E(): 0, (81.2% identity in 191 aa overlap). Some similarity with YDHW_CITFR|P45515 hypothetical 19.8 kDa protein in dhar-dhat intergenic region (176 aa), FASTA scores: opt: 297, E(): 1.6e-13, (37.6% identity in 178 aa overlap). Also similar to hypothetical protein AE002007|AE002007_3 Deinococcus radiodurans (185 aa), FASTA score: opt: 386, E(): 7.7e-19, (42.4% identity in 172 aa overlap).</t>
  </si>
  <si>
    <t>Involved in cell wall formation; peptidoglycan biosynthesis. Adds enolpyruvyl to UDP-N-acetylglucosamine [catalytic activity: phosphoenolpyruvate + UDP-N-acetyl-D- glucosamine = phosphate + UDP-N-acetyl-3-O-(1-carboxyvinyl)-D-glucosamine]</t>
  </si>
  <si>
    <t>Probable UDP-N-acetylglucosamine 1-carboxyvinyltransferase MurA</t>
  </si>
  <si>
    <t>Rv1315, (MTCY373.35-MTCY149.01), len: 418 aa. Probable murA, UDP-N-acetylglucosamine 1-carboxyvinyltransferase (see Belanger &amp; Inamine 2000), highly similar to many e.g. MURA_MYCLE|P45821 (418 aa), FASTA scores: opt: 2495, E(): 0, (96.2% identity in 396 aa overlap). Belongs to the EPSP synthase family. MURA subfamily.</t>
  </si>
  <si>
    <t>Repair of alkylated guanine in DNA by stoichiometrically transferring the alkyl group at the O-6 position to a cysteine residue in the enzyme. This is a suicide reaction: the enzyme is irreversibly inactivated [catalytic activity: DNA (containing 6-O-methylguanine) + [protein]-L-cysteine = DNA (without 6-O-methylguanine) + protein S-methyl-L-cysteine.]</t>
  </si>
  <si>
    <t>Methylated-DNA--protein-cysteine methyltransferase Ogt (6-O-methylguanine-DNA methyltransferase) (O-6-methylguanine-DNA-alkyltransferase)</t>
  </si>
  <si>
    <t>Rv1316c, (MTCY130.01c), len: 165 aa. Ogt, methylated-dna--protein-cysteine methytransferase (see citation below), similar to many e.g. OGT_HAEIN|P44687 Haemophilus influenzae (190 aa), FASTA scores: opt: 405, E(): 6.5e-20, (41.9% identity in 155 aa overlap). Contains PS00374 Methylated-DNA--protein-cysteine methyltransferase active site.</t>
  </si>
  <si>
    <t>Involved in the adaptive response to alkylation damage in DNA caused by alkylating agents. Repairs the SP diastereomer of DNA methylphosphotriester lesions by a direct and irreversible transfer of the methyl group to one of its own cysteine residues. The methylated ALKA protein acts as a positive regulator of its own synthesis, as well as that of other proteins.</t>
  </si>
  <si>
    <t>Probable bifunctional regulatory protein and DNA repair enzyme AlkA (regulatory protein of adaptative response) (methylphosphotriester-DNA--protein-cysteine S-methyltransferase)</t>
  </si>
  <si>
    <t>Rv1317c, (MTCY130.02c), len: 496 aa. Probable alkA (alternate gene name: ada), bifunctional regulatory protein (see citation below) and DNA repair enzyme, similar to 3MG2_ECOLI|P04395 dna-3-methyladenine glycosidase II from Escherichia coli (282 aa), FASTA scores, opt: 437, E(): 8.6e-22, (32.8% identity in 293 aa overlap), also similar to other ada proteins e.g. ADA_SALTY|P26189 Salmonella typhimurium (352 aa), FASTA scores: E(): 5.3e-08, (35.9% identity in 156 aa overlap). Contains PS00041 Bacterial regulatory proteins, araC family signature.</t>
  </si>
  <si>
    <t>Possible adenylate cyclase (ATP pyrophosphate-lyase) (adenylyl cyclase)</t>
  </si>
  <si>
    <t>Rv1318c, (MTCY130.03c), len: 541 aa. Possible adenylate cyclase. Some similarity at the c-terminus to CYAA_RHIME|P19485 adenylate cyclase from Rhizobium meliloti (193 aa), FASTA scores, opt: 270, E(): 2.5e-11, (28.8% identity in 184 aa overlap); similar to other mycbacterium tuberculosis putative adenylate cyclases e.g. Rv1319c|MTCY130.04c (535 aa), FASTA scores: opt: 2505, E(): 0, (71.0% identity in 534 aa overlap), also similar to Rv1320c|MTCY130.05c (567 aa), FASTA scores, opt: 2423, E(): 0, (68.7% identity in 534 aa overlap). N-terminus is hydrophobic. Belongs to adenylyl cyclase class-3 family.</t>
  </si>
  <si>
    <t>Rv1319c, (MTCY130.04c), len: 535 aa. Possible adenylate cyclase. Some similarity at the C-terminus to CYAA_RHIME|P19485 adenylate cyclase from Rhizobium meliloti (193 aa), FASTA scores: opt: 254, E(): 2.4e-10, (33.3% identity in 144 aa overlap); similar to other mycbacterium tuberculosis putative adenylate cyclases e.g. Rv1318c|MTCY130.03c (541 aa), FASTA scores: opt: 2505, E(): 0, (71.0% identity in 534 aa overlap); Rv1320c|MTCY130.05c (567 aa), FASTA scores: opt: 2354, E(): 0, (66.3% identity in 534 aa overlap). N-terminus is hydrophobic. Belongs to adenylyl cyclase class-3 family.</t>
  </si>
  <si>
    <t>Rv1320c, (MTCY130.05c), len: 567 aa. Possible adenylate cyclase (see Rindi et al., 1999). Some similarity at the C-terminus to CYAA_RHIME|P19485 adenylate cyclase from Rhizobium meliloti (193 aa), FASTA scores: opt: 277, E(): 2e-12, (34.0% identity in 156 aa overlap); similar to other mycbacterium tuberculosis putative adenylate cyclases e.g. Rv1318c|MTCY130.03c (541 aa), FASTA scores: opt: 2423, E(): 0, (68.7% identity in 534 aa overlap); Rv1319c|MTCY130.04c (535 aa), FASTA scores: opt: 2354, E(): 0, (66.3% identity in 534 aa overlap). N-terminus is hydrophobic. Belongs to adenylyl cyclase class-3 family.</t>
  </si>
  <si>
    <t>Rv1321, (MTCY130.06), len: 226 aa. Conserved hypothetical protein. Equivalent to P53524|YD21_MYCLE hypothetical protein from Mycobacterium leprae (201 aa), FASTA scores: opt: 1144, E(): 0, (87.6% identity in 193 aa overlap). Some similarity to hypothetical proteins from other organisms e.g. Y225_METJA|Q57678 Methanococcus jannaschii (263 aa), FASTA scores: E(): 6.5e-05, (25.0% identity in 212 aa overlap).</t>
  </si>
  <si>
    <t>Rv1322, (MTCY130.07), len: 98 aa. Conserved hypothetical protein.</t>
  </si>
  <si>
    <t>Rv1322A, len: 152 aa. Conserved protein, similar to proteins from Mycobacterium leprae and Streptomyces coelicolor e.g. AL583921_2|ML1157 from M. leprae strain tn (155 aa), FASTA scores: opt: 771, E(): 5.1e-43, (75.3% identity in 154 aa overlap); and AL137242_2 from Streptomyces coelicolor (146 aa), FASTA scores: opt: 404, E(): 2e-19, (43.165% identity in 139 aa overlap).</t>
  </si>
  <si>
    <t>Function unknown, but supposed involvement in lipid degradation [catalytic activity: 2 acetyl-CoA = CoA + acetoacetyl-CoA].</t>
  </si>
  <si>
    <t>Probable acetyl-CoA acetyltransferase FadA4 (acetoacetyl-CoA thiolase)</t>
  </si>
  <si>
    <t>Rv1323, (MTCY130.08), len: 389 aa. Probable fadA4, acetyl-CoA acetyltransferase, equivalent to THIL_MYCLE|P46707 possible acetyl-CoA C-acetyltransferase from Mycobacterium leprae (393 aa), FASTA scores: opt: 2218, E(): 0, (87.0% identity in 392 aa overlap). Also highly similar to others e.g. CAB70629.1|AL137242 probable acetoacetyl-CoA thiolase from Streptomyces coelicolor (401 aa); T51772 acetyl-CoA C-acetyltransferase [validated] from Alcaligenes latus (392 aa); etc. Some homologies indicate ATA start codon. Contains PS00098 Thiolases acyl-enzyme intermediate signature, PS00737 Thiolases signature 2, and PS00099 Thiolases active site. Belongs to the thiolase family.</t>
  </si>
  <si>
    <t>Thioredoxin participates in various redox reactions through the reversible oxidation of its active center dithiol, to a disulfide, &amp; catalyzes dithiol-disulfide exchange reactions</t>
  </si>
  <si>
    <t>Possible thioredoxin</t>
  </si>
  <si>
    <t>Rv1324, (MTCY130.09), len: 304 aa. Possible thioredoxin, similar to several e.g. U00014|Q49716 TRXA from Mycobacterium leprae (255 aa), FASTA scores: opt: 1014, E(): 0, (69.7% identity in 228 aa overlap); THIO_RHOSH|P08058 TrxA from Rhodobacter sphaeroides (105 aa), FASTA scores: opt 196, E(): 1.9e-06, (33.0% identity in 103 aa overlap). Contains PS00339 Aminoacyl-transfer RNA synthetases class-II signature 2. A core mycobacterial gene; conserved in mycobacterial strains (See Marmiesse et al., 2004).</t>
  </si>
  <si>
    <t>PE_PGRS24</t>
  </si>
  <si>
    <t>Rv1325c</t>
  </si>
  <si>
    <t>PE-PGRS family protein PE_PGRS24</t>
  </si>
  <si>
    <t>Rv1325c, (MTCY130.10c), len: 603 aa. PE_PGRS24, Member of the Mycobacterium tuberculosis PE family, PGRS subfamily of ala-, gly-rich proteins (see Brennan &amp; Delogu 2002), similar to many e.g. YQ04_MYCTU|P71933 hypothetical 63.1 kDa glycine-rich protein (778 aa), FASTA scores: E(): 0, (52.3% identity in 724 aa overlap). Predicted to be an outer membrane protein (See Song et al., 2008).</t>
  </si>
  <si>
    <t>Involved in glycogen biosynthesis (cytoplasmic polysaccharides) (third step) [catalytic activity: formation of 1,6-glucosidic linkages of glycogen].</t>
  </si>
  <si>
    <t>1,4-alpha-glucan branching enzyme GlgB (glycogen branching enzyme)</t>
  </si>
  <si>
    <t>Rv1326c, (MTCY130.11c), len: 731 aa. glgB, 1,4-alpha-glucan branching enzyme, similar to others e.g. GLGB_ECOLI|P07762 Escherichia coli (728 aa), FASTA scores: opt: 2330, E(): 0, (48.7% identity in 719 aa overlap). Similar to other Mycobacterium tuberculosis putative alpha-glucan branching enzymes Rv1562c, Rv1563c. Belongs to family 13 of glycosyl hydrolases, also known as the alpha-amylase family.</t>
  </si>
  <si>
    <t>Function unknown; probably involved in polysaccharides degradation.</t>
  </si>
  <si>
    <t>Probable glucanase GlgE</t>
  </si>
  <si>
    <t>Rv1327c, (MTCY130.12c), len: 701 aa. Probable glgE, glucanase, similar to AF172946|AF172946_2 putative glucanase GlgE from Mycobacterium smegmatis (697 aa), FASTA scores: opt: 3816, E(): 0, (78.5% identity in 692 aa overlap). Similar to putative alpha-amylases e.g. Q9L1K2 Streptomyces coelicolor (675 aa), FASTA scores: opt: 2243, E(): 7.4e-132, (54.2% identity in 684 aa overlap). Start changed since original submission (-36) based on similarity to GlgE of Mycobacterium smegmatis; previous start at position 1494531.</t>
  </si>
  <si>
    <t>Phosphorylase is an important allosteric enzyme in carbohydrate metabolism. Enzymes from different sources differ in their regulatory mechanisms and in their natural substrates. However, all known phosphorylases share catalytic and structural properties [catalytic activity: {(1,4)-alpha-D-glucosyl}(N) + phosphate = {(1,4)-alpha-D-glucosyl}(N-1) + alpha-D-glucose 1-phosphate].</t>
  </si>
  <si>
    <t>Probable glycogen phosphorylase GlgP</t>
  </si>
  <si>
    <t>Rv1328, (MTCY130.13), len: 863 aa. Probable glgP, glycogen phosphorylase, similar to many e.g. PHSG_HAEIN|P45180 glycogen phosphorylase from Haemophilus influenzae (821 aa), FASTA scores: E(): 6.9e-08, (25.6% identity in 675 aa overlap). Belongs to the glycogen phosphorylase family.</t>
  </si>
  <si>
    <t>Probable helicase involved in DNA repair and perhaps also replication.</t>
  </si>
  <si>
    <t>Probable ATP-dependent helicase DinG</t>
  </si>
  <si>
    <t>Rv1329c, (MTCY130.14c), len: 664 aa. Probable dinG, ATP-dependent helicase (see citation below), similar to several e.g. DING_HAEIN|P44680 probable ATP-dependent helicase ding from Haemophilus influenzae (640 aa), FASTA scores: opt: 685, E(): 2.3e-38, (32.8% identity in 644 aa overlap). Contains PS00017 ATP/GTP-binding site motif A.</t>
  </si>
  <si>
    <t>pncB1</t>
  </si>
  <si>
    <t>Nicotinic acid phosphoribosyltransferase PncB1</t>
  </si>
  <si>
    <t>Rv1330c, (MTCY130.15c), len: 448 aa. PncB1, nicotinic acid phosphoribosyltransferase (See Boshoff et al., 2008). Similar to e.g. O32090 YUEK protein from Bacillus subtilis (490 aa), FASTA scores: E(): 8.6e-22, (37.9% identity in 369 aa overlap). Also similar to Mycobacterium tuberculosis Rv0573c|MTV039.11c (38.0% identity in 437 aa overlap). Start changed since original submission based on similarity; previous start at position 1500740 (-61 aa).</t>
  </si>
  <si>
    <t>Rv1331, (MTCY130.16), len: 101 aa. Conserved hypothetical protein, highly similar to U00014|ML014 B1549_C2_207 from Mycobacterium leprae (94 aa), FASTA scores: opt: 573, E(): 2.9e-40, (90.3% identity in 93 aa overlap). Similar to AL096852|SCE19A_16 hypothetical protein from Streptomyces coelicolor (105 aa), FASTA scores: opt: 377, E(): 2.9e-22, (60.0% identity in 105 aa overlap).</t>
  </si>
  <si>
    <t>Rv1332, (MTCY130.17), len: 218 aa. Possible regulatory protein, high similarity to ML014|U00014 M. leprae B1549_C3_236 (222 aa), FASTA scores: opt: 1158, E(): 0, (75.6% identity in 221 aa overlap). Helix turn helix motif fram aa 8-29 (+3.03 SD).</t>
  </si>
  <si>
    <t>Probable hydrolase</t>
  </si>
  <si>
    <t>Rv1333, (MTCY130.18), len: 344 aa. Possible hydrolase, similar to Q57326|D26094 endo-type 6-aminohexanoate oligomer hydrolase (355 aa), fasta scores: E(): 1.4e-10, (31.9% identity in 339 aa overlap). Equivalent to P53425|YD33_MYCLE hypothetical 36.1 KD protein B154 Mycobacterium leprae (362 aa), FASTA scores: opt: 1735, E(): 0, (76.7% identity in 352 aa overlap).</t>
  </si>
  <si>
    <t>mec</t>
  </si>
  <si>
    <t>Possibly involved in cysteine biosynthesis. Generates cysteine from hydrolysis of CysO-CYS.</t>
  </si>
  <si>
    <t>Rv1334, (MTCY130.19), len: 146 aa. Possible mec, hydrolase (See Burns et al., 2005), similar to AL096852|SCE19A_13 hypothetical protein from Streptomyces coelicolor (140 aa), Fasta scores: opt: 579, E(): 0, (65.0% identity in 140 aa overlap); and Q54330|M29166 MEC+ from Streptomyces kasugaensis (115 aa), FASTA scores; E(): 7.6e-33, (56.9% identity in 109 aa overlap).</t>
  </si>
  <si>
    <t>cysO</t>
  </si>
  <si>
    <t>Probably involved in cysteine biosynthesis, as sulfur donor in thiocarboxylated form.</t>
  </si>
  <si>
    <t>Sulfur carrier protein CysO</t>
  </si>
  <si>
    <t>Rv1335, (MT1376.1, MTCY130.20), len: 93 aa. CysO, sulfur carrier protein (See Burns et al., 2005). Note that previously known as cfp10A. Similar to hypothetical proteins from other organisms e.g. P74060|D90911 Synechocystis (109 aa), FASTA scores: E(): 2.3e-20, (49.5% identity in 93 aa overlap).</t>
  </si>
  <si>
    <t>Involved in cysteine biosynthesis [catalytic activity: O-phospho-L-serine + H(2)S = L-cysteine + phosphate]</t>
  </si>
  <si>
    <t>Cysteine synthase B CysM (CSASE B) (O-phosphoserine sulfhydrylase B) (O-phosphoserine (thiol)-lyase B)</t>
  </si>
  <si>
    <t>Rv1336, (MTCY130.21), len: 323 aa. cysM, cysteine synthase B, similar to many e.g. CYSM_ECOLI|P16703 Escherichia coli (303 aa), FASTA scores: opt: 720, E(): 4.6e-40, (41.1% identity in 302 aa overlap). Also similar to other Mycobacterium tuberculosis cysteine synthase subunits e.g. Rv1077, Rv2334, Rv0848, etc. Contains PS00901 Cysteine synthase/cystathionine beta-synthase P-phosphate attachment site. Belongs to the cysteine synthase/cystathionine beta-synthase family.</t>
  </si>
  <si>
    <t>Rv1337, (MTCY130.22), len: 240 aa. Probable integral membrane protein. Highly similar to P53426 hypothetical protein B1549_C3_240 from M.leprae (251); and P74553|D90916 hypothetical protein from Synechocystis sp. (198 aa), FASTA scores: E(): 2.3e-25, (43.6% identity in 181 aa overlap).</t>
  </si>
  <si>
    <t>Involved in peptidoglycan biosynthesis. Provides the (R)-glutamic acid required for cell wall biosynthesis [catalytic activity: L-glutamate = D-glutamate]</t>
  </si>
  <si>
    <t>Probable glutamate racemase MurI</t>
  </si>
  <si>
    <t>Rv1338, (MTCY130.23), len: 271 aa. Probable murI, glutamate racemase, highly similar to many e.g. MURI_MYCLE|P46705 (272 aa), FASTA scores: opt: 1559, E(): 0, (88.9% identity in 271 aa overlap). Contains PS00924 Aspartate and glutamate racemases signature 2.</t>
  </si>
  <si>
    <t>Rv1339, (MTCY130.24), len: 273 aa. Conserved protein, highly similar to Y211_MYCLE|P50474 hypothetical protein b1549_c2_211 from Mycobacterium leprae (284 aa), FASTA scores: opt: 1672, E(): 0, (86.2% identity in 276 aa overlap). Also similar to AL096852|SCE19A.08 hypothetical protein from Streptomyces coelicolor (250 aa), FASTA scores: opt: 630, E(): 0, (42.2% identity in 256 aa overlap). Similar to M. tuberculosis hypothetical proteins Rv3796, Rv2407. Predicted to be an outer membrane protein (See Song et al., 2008).</t>
  </si>
  <si>
    <t>rphA</t>
  </si>
  <si>
    <t>RNase PH is a phosphorolytic exoribonuclease that removes nucleotide residues following the -CCA terminus of tRNA and adds nucleotides to the ends of RNA molecules by using nucleoside diphosphates as substrates [catalytic activity: {tRNA}(N+1) + phosphate = {tRNA}(N) + a nucleoside diphosphate].</t>
  </si>
  <si>
    <t>Probable ribonuclease RphA (RNase PH) (tRNA nucleotidyltransferase)</t>
  </si>
  <si>
    <t>Rv1340, (MTCY130.25), len: 259 aa. Probable rphA, Ribonuclease ph, highly similar to others e.g. RNPH_MYCLE|P37939 Mycobacterium leprae (259 aa), FASTA scores: opt: 1524, E(): 0, (88.8% identity in 259 aa overlap). Belongs to the RNASE PH family.</t>
  </si>
  <si>
    <t>Rv1341, (MTCY130.26), len: 204 aa. Conserved protein, some similarity to P52061|YGGV_ECOLI hypothetical protein yggV (197 aa), FASTA scores: opt: 521, E(): 7.9e-27, (46.0% identity in 200 aa overlap). Equivalent to ML014|U00014 hypothetical protein B1549_C2_213 from Mycobacterium leprae (285 aa), FASTA scores: opt: 1073, E(): 0, (83.0% identity in 206 aa overlap).</t>
  </si>
  <si>
    <t>Rv1342c</t>
  </si>
  <si>
    <t>Rv1342c, (MTCY02B10.06c), len: 120 aa. Conserved membrane protein. Highly similar to G466926|P54133 hypothetical protein B1549_F2_59 from Mycobacterium leprae (119 aa), FASTA scores, opt: 544, E(): 1.9e-29, (68.3 % identity in 120 aa overlap). A core mycobacterial gene; conserved in mycobacterial strains (See Marmiesse et al., 2004).</t>
  </si>
  <si>
    <t>Probable conserved lipoprotein LprD</t>
  </si>
  <si>
    <t>Rv1343c, (MTCY02B10.07c), len: 126 aa. Probable lprD, conserved lipoprotein, highly similar to G466928 Mycobacterium leprae protein B1549_F3_106 (126 aa), FASTA scores, opt: 704, E(): 7.5e-36, (78.4 % identity in 125 aa overlap). Has N-terminal signal sequence and appropriately positioned prokaryotic lipoprotein attachment site. Contains PS00013 Prokaryotic membrane lipoprotein lipid attachment site. A core mycobacterial gene; conserved in mycobacterial strains (See Marmiesse et al., 2004).</t>
  </si>
  <si>
    <t>mbtL</t>
  </si>
  <si>
    <t>Rv1344</t>
  </si>
  <si>
    <t>Thought to be involved in the biogenesis of the hydroxyphenyloxazoline-containing siderophore mycobactins</t>
  </si>
  <si>
    <t>Acyl carrier protein (ACP) MbtL</t>
  </si>
  <si>
    <t>Rv1344, (MTCY02B10.08), len: 106 aa. mbtL, acyl carrier protein, similar to others e.g. ACP_RHIME|P19372 Rhizobium meliloti (77 aa), FASTA scores: opt: 117, E(): 0.03, (29.9% identity in 67 aa overlap) and ACP_SYNY3|P20804 acyl carrier protein (acp) from Synechocystis sp (77 aa), FASTA scores: E(): 7.1e-05, (34.8% identity in 66 aa overlap). Also similar to Rv2244 and Rv0033 from Mycobacterium tuberculosis. This region is a possible MT-complex-specific genomic island (See Becq et al., 2007).</t>
  </si>
  <si>
    <t>Probable fatty acyl-AMP ligase MbtM</t>
  </si>
  <si>
    <t>Rv1345, (MTCY02B10.09), len: 521 aa. Probable mbtM, fatty acyl-AMP ligase. Similar to N-terminus of T34918 polyketide synthase from Streptomyces coelicolor (2297 aa); and PKSJ_BACSU|P40806 putative polyketide biosynthesis protein from Bacillus subtilis (557 aa), FASTA scores: opt: 537, E(): 8.2e-27, (27.1% identity in 468 aa overlap). Also similar to other proteins from Mycobacterium tuberculosis eg Rv1013|MTCI237.30|MTCY10G2.36c|pks16 putative polyketide synthase (544 aa); etc. Note that previously known as fadD33.</t>
  </si>
  <si>
    <t>Acyl-CoA dehydrogenase MbtN</t>
  </si>
  <si>
    <t>Rv1346, (MTCY02B10.10), len: 386 aa. mbtN, acyl-CoA dehydrogenase, similar to many e.g. NP_251579.1|NC_002516 probable acyl-CoA dehydrogenase from Pseudomonas aeruginosa (386 aa); NP_036951.1|NM_012819|ACDL_RAT|P15650 acyl Coenzyme A dehydrogenase (long chain) from Rattus norvegicus (430 aa), FASTA scores: opt: 414, E(): 1.2e-18, (26.1% identity in 376 aa overlap); etc. Note that previously known as fadE14.</t>
  </si>
  <si>
    <t>Involved in the biogenesis of the hydroxyphenyloxazoline-containing siderophore mycobactins</t>
  </si>
  <si>
    <t>Lysine N-acetyltransferase MbtK</t>
  </si>
  <si>
    <t>Rv1347c, (MTCY02B10.11c), len: 210 aa. MbtK, lysine N-acetyltransferase. Contains GNAT (Gcn5-related N-acetyltransferase) domain. See Vetting et al. 2005. Some similarity to the C-terminus of malonyl-coenzyme A carboxylases e.g. G545170 malonyl-coenzyme A carboxylase (417 aa), FASTA scores: opt: 392, E(): 4.9 e-20, (35.6% identity in 174 aa overlap).</t>
  </si>
  <si>
    <t>Involved in iron homeostasis. Responsible for energy coupling to the transport system and for the translocation of the substrate across the membrane.</t>
  </si>
  <si>
    <t>Iron-regulated transporter IrtA</t>
  </si>
  <si>
    <t>Rv1348, (MTCY02B10.12), len: 859 aa. IrtA, iron-regulated transporter. Probable transmembrane protein, similar to HMT1_SCHPO|Q02592 heavy metal tolerance protein precursor from Schizosaccharomyces pombe (830 aa), FASTA scores: opt: 806, E(): 5.1e-39, (32.9% identity in 504 aa overlap); etc. Also similar to MTCY02B10.13 from Mycobacterium tuberculosis, FASTA score: (31.9% identity in 576 aa overlap). Contains PS00017 ATP/GTP-binding site motif A (P-loop), and PS00211 ABC transporters family signature. Belongs to the ATP-binding transport protein family (ABC transporters). Cofactor: FAD</t>
  </si>
  <si>
    <t>Iron-regulated transporter IrtB</t>
  </si>
  <si>
    <t>Rv1349, (MTCY02B10.13), len: 579 aa. IrtB, iron-regulated transporter. Probable transmembrane protein, most similar to YWJA_BACSU|P45861 hypothetical ABC transporter from Bacillus subtilis (575 aa), FASTA scores: opt: 721, E(): 1.8e-35, (28.9% identity in 567 aa overlap); etc. Also similar to MTCY02B10.12 from Mycobacterium tuberculosis, FASTA score: (31.9% identity in 576 aa overlap). Contains PS00017 ATP/GTP-binding site motif A (P-loop), and PS00211 ABC transporters family signature. Belongs to the ATP-binding transport protein family (ABC transporters). Predicted possible vaccine candidate (See Zvi et al., 2008).</t>
  </si>
  <si>
    <t>fabG2</t>
  </si>
  <si>
    <t>Probable 3-oxoacyl-[acyl-carrier protein] reductase FabG2 (3-ketoacyl-acyl carrier protein reductase)</t>
  </si>
  <si>
    <t>Rv1350, (MTCY02B10.14), len: 247 aa. Probable fabG2, 3-oxoacyl-[acyl-carrier protein] reductase, highly similar to many e.g. NP_350157.1|NC_003030 3-ketoacyl-acyl carrier protein reductase from Clostridium acetobutylicum (249 aa); NP_229523.1|NC_000853 3-oxoacyl-(acyl carrier protein) reductase from Thermotoga maritima (246 aa); AAC44307.1|U59433 3-ketoacyl-acyl carrier protein reductase from Bacillus subtilis (246 aa); etc. Contains PS00061 Short-chain dehydrogenases/reductases family signature. Belongs to the short-chain dehydrogenases/reductases (SDR) family.</t>
  </si>
  <si>
    <t>Rv1351, (MTCY02B10.15), len: 109 aa. Hypothetical unknown protein. Predicted to be an outer membrane protein (See Song et al., 2008). This region is a possible MT-complex-specific genomic island (See Becq et al., 2007).</t>
  </si>
  <si>
    <t>Rv1352, (MTCY02B10.16), len: 123 aa. Conserved protein, some similarity to Rv1906c|MTCY180.12 hypothetical protein from Mycobacterium tuberculosis (156 aa), FASTA scores: E(): 4e-05, (36.2% identity in 116 aa overlap).</t>
  </si>
  <si>
    <t>Rv1353c</t>
  </si>
  <si>
    <t>Rv1353c, (MTCY02B10.17c), len: 261 aa. Probable transcriptional regulatory protein, similar to TER1_ECOLI|P03038 tetracycline repressor protein class a from Escherichia coli (216 aa), FASTA scores, opt: 231, E(): 1.6e-08, (31.3% identity in 211 aa overlap). Helix turn helix motif present at aa 3859 (+3.59 SD). Belongs to the TetR/AcrR family of transcriptional regulators.</t>
  </si>
  <si>
    <t>Rv1354c, (MTCY02B10.18c), len: 623 aa. Conserved hypothetical protein, similar to many hypothetical proteins e.g. the C-terminus of G1001455 Synechocystis sp. (1244 aa), FASTA scores: opt: 933, E(): 0, (36.8% identity in 462 aa overlap); also similar to Rv1357c|MTCY02B10.21c (34.0% identity in 253 aa overlap).</t>
  </si>
  <si>
    <t>Involved in biosynthesis of a demolybdo cofactor (molybdopterin), necessary for molybdoenzymes. Plays a role in the activation of the small subunit of the molybdopterin converting factor (MOAD)</t>
  </si>
  <si>
    <t>Possible molybdopterin biosynthesis protein MoeY</t>
  </si>
  <si>
    <t>Rv1355c, (MTCY02B10.19c), len: 715 aa. Possible moeY, Molybdopterin biosynthesis protein, very weak similarity to MOEB_ECOLI|P12282 molybdopterin biosynthesis moeb protein (249 aa), FASTA scores, opt: 180, E(): 8.5e-05, (29.3% identity in 174 aa overlap).</t>
  </si>
  <si>
    <t>Rv1356c</t>
  </si>
  <si>
    <t>Rv1356c, (MTCY02B10.20c), len: 263 aa. Hypothetical unknown protein. This region is a possible MT-complex-specific genomic island (See Becq et al., 2007).</t>
  </si>
  <si>
    <t>Rv1357c</t>
  </si>
  <si>
    <t>Rv1357c, (MTCY02B10.21c), len: 307 aa. Conserved hypothetical protein, similar to members of the YEGE/YHJK/YJCC family e.g. Y4LL_RHISN|P55552 hypothetical protein Y4ll from Rhizobium sp. (827 aa), FASTA scores: E(): 0, (37.7% identity in 257 aa overlap), also similar to Rv1354c|MTCY02B10.18c (34.0% identity in 253 aa overlap). Belongs to the YEGE/YHDA/YHJK/YJCC family.</t>
  </si>
  <si>
    <t>Rv1358, (MTCY02B10.22), len: 1159 aa. Probable transcriptional regulatory protein, some similarity to AFSR_STRCO|P25941 regulatory protein afsr from Streptomyces coelicolor (993 aa), FASTA scores: opt: 210, E(): 5.5e-06, (27.5% identity in 739 aa overlap). Similar also to Rv0890C|MTCY31.18c (65.5% identity in 884 aa overlap) and to Rv1359|MTCY02B10.23 (43.7% identity in 197 aa overlap). Contains PS00017 ATP/GTP-binding site motif A, PS00622 Bacterial regulatory proteins, luxR family signature. Helix turn helix motif present at aa 1116-1137, (Score 1291, +3.59 SD).</t>
  </si>
  <si>
    <t>Rv1359, (MTCY02B10.23), len: 250 aa. Probable transcriptional regulatory protein, similar to Rv0891c|MTCY31.19c, (48.5% identity in 204 aa overlap) and to Rv1358|MTCY02B10.22 (43.7% identity in 197 aa overlap).</t>
  </si>
  <si>
    <t>Rv1360, (MTCY02B10.24), len: 340 aa. Probable oxidoreductase. Similar to Q49598|G1002714 coenzyme F420-dependent n5, n10-methylenetetrahydromethanopterin reductase from Methanopyrus kandleri (349 aa), FASTA scores: opt: 264, E(): 4.4e-11, (26.3% identity in 323 aa overlap).</t>
  </si>
  <si>
    <t>PPE family protein PPE19</t>
  </si>
  <si>
    <t>Rv1361c, (MTCY02B10.25c), len: 396 aa. PPE19 (alternate gene name: mtb39b). Member of the Mycobacterium tuberculosis PPE family of glycine-rich proteins, highly similar to many e.g. Rv1196|MTCI364.08|PPE18, FASTA scores: E(): 0, (84.9% identity in 397 aa overlap); MTCY274.23c (42.3% identity in 416 aa overlap); etc. Contains PS00501 Signal peptidases I serine active site. Note that expression of Rv1361c was demonstrated in lysates by immunodetection (see Dillon et al., 1999). A core mycobacterial gene; conserved in mycobacterial strains (See Marmiesse et al., 2004).</t>
  </si>
  <si>
    <t>Rv1362c, (MTCY02B10.26c), len: 220 aa. Possible membrane protein, similar to Mycobacterium tuberculosis hypothetical proteins e.g. Rv1362c|MTCY02B10.27c (25.9% identity in 216 aa overlap), Rv0177, Rv1973, Rv1972, etc.</t>
  </si>
  <si>
    <t>Rv1363c, (MTCY02B10.27c), len: 261 aa. Possible membrane protein, similar to Mycobacterium tuberculosis hypothetical proteins Rv1362c|MTCY02B10.26c (25.9% identity in 216 aa overlap); Rv1972|MTV051.10 and Rv0177 etc.</t>
  </si>
  <si>
    <t>May be involved in regulating SIGF|Rv3286c</t>
  </si>
  <si>
    <t>Possible sigma factor regulatory protein</t>
  </si>
  <si>
    <t>Rv1364c, (MTCY02B10.28c), len: 653 aa. Possible sigma factor regulatory protein, some similarity to RSBU_BACSU|P40399 sigma factor sibg regulation protein from Bacillus subtilis (335 aa), FASTA scores: opt: 224, E(): 2e-07, (25.8% identity in 244 aa overlap). Also known as mursiF.</t>
  </si>
  <si>
    <t>rsfA</t>
  </si>
  <si>
    <t>Rv1365c</t>
  </si>
  <si>
    <t>Regulates negatively Rv3287c|RSBW|USFX. Regulated by redox potential.</t>
  </si>
  <si>
    <t>Anti-anti-sigma factor RsfA (anti-sigma factor antagonist) (regulator of sigma F A)</t>
  </si>
  <si>
    <t>Rv1365c, (MTCY02B10.29c), len: 128 aa. RsfA, anti-anti-sigma factor (see citation below), similar to other Mycobacterium tuberculosis proteins e.g. Rv2638|MTCY441.08 (148 aa), FASTA scores: E(): 0, (53.6% identity in 125 aa overlap); Rv1904, Rv3687c. Weak similarity to putative anti-anti-sigma factors e.g. AF134889|AF134889_1 Streptomyces coelicolor (113 aa), FASTA scores: opt: 137, E(): 0.004, (26.0% identity in 100 aa overlap).</t>
  </si>
  <si>
    <t>Rv1366, (MTCY02B10.30), len: 273 aa. Hypothetical unknown protein.</t>
  </si>
  <si>
    <t>Rv1366A</t>
  </si>
  <si>
    <t>Rv1366A, len: 86 aa. Conserved protein.</t>
  </si>
  <si>
    <t>Function unknown (possibly involved in cell wall biosynthesis).</t>
  </si>
  <si>
    <t>Rv1367c, (MTCY02B12.01c,MTCY02B10.31c), len: 377 aa. Conserved protein. Some similarity to penicillin binding proteins e.g. PBPE_BACSU|P32959 penicillin-binding protein 4* (pbp 4*) from Bacillus subtilis (451 aa), FASTA scores: E(): 6.9e-06, (23.6% identity in 373 aa overlap). Similar to AL031107|SC5A7.06 hypothetical protein from Streptomyces coelicolor (409 aa), FASTA scores: opt: 675, E(): 0, (40.4% identity in 339 aa overlap).</t>
  </si>
  <si>
    <t>Probable conserved lipoprotein LprF</t>
  </si>
  <si>
    <t>Rv1368, (MTCY02B12.02), len: 261 aa. Probable lprF, conserved lipoprotein; similar to Mycobacterium tuberculosis hypothetical lipoproteins e.g. Rv1270c|Y08C_MYCTU|Q11049 hypothetical 26.4 kDa protein cy50.12. (257 aa), FASTA scores: opt: 286, E(): 5.3e-11, (26.3% identity in 270 aa overlap), also Rv1411c|MTCY21B4.28c, (32.8% identity in 253 aa overlap) and Rv2945c. Contains possible N-terminal signal sequence and appropriately positioned prokaryotic lipoprotein lipid attachment site (PS00013). Belongs to the LPPX/lprafg family of lipoproteins.</t>
  </si>
  <si>
    <t>Rv1369c</t>
  </si>
  <si>
    <t>Possibly required for the transposition of the insertion element IS6110.</t>
  </si>
  <si>
    <t>Rv1369c, (MTCY02B12.03c), len: 328 aa. Probable transposase subunit for IS6110. Identical to many other M. tuberculosis IS6110 transposase subunits. The transposase described here may be made by a frame shifting mechanism during translation that fuses Rv1368c and Rv1369c, the sequence UUUUAAAG (directly upstream of Rv1369c) maybe responsible for such a frameshifting event (see McAdam et al., 1990). Start changed since first submission (+ 34 aa).</t>
  </si>
  <si>
    <t>Rv1370c</t>
  </si>
  <si>
    <t>Rv1370c, (MTCY02B12.04c), len: 108 aa. Putative transposase for IS6110 (fragment), identical to many other Mycobacterium tuberculosis IS6110 transposase subunits e.g. Q50686|YIA4_MYCTU Insertion element IS6110 hypothetical 12.0 kDa protein (108 aa), fasta scores: E(): 1.4e-43, (100.00% identity in 108 aa overlap). The transposase described here may be made by a frame shifting mechanism during translation that fuses Rv1368c and Rv1369c, the sequence UUUUAAAG (directly upstream of Rv1369c) maybe responsible for such a frameshifting event (see McAdam et al., 1990).</t>
  </si>
  <si>
    <t>Rv1371, (MTCY02B12.05), len: 489 aa. Probable membrane protein. Weak similarity to delta 5 fatty acid desaturases e.g. AB022097|AB022097_1 Dictyostelium discoideum (467 aa), FASTA score: opt: 173, E(): 0.00052, (22.4% identity in 438 aa overlap); and Homo sapiens.</t>
  </si>
  <si>
    <t>Rv1372, (MTCY02B12.06), len: 393 aa. Conserved hypothetical protein, similar to several chalcone synthases e.g. CHS2_GERHY|P48391 chalcone synthase 2 from gerbra hybrid (402 aa), FASTA scores: opt: 511, E(): 7e-26, (28.4% identity in 380 aa overlap). Also similar to Mycobacterium tuberculosis hypothetical chalcone synthases, Rv1665, Rv1660.</t>
  </si>
  <si>
    <t>Involved in sulfation: activity towards typical ceramide glycolipids and trehalose glycolipids.</t>
  </si>
  <si>
    <t>Glycolipid sulfotransferase</t>
  </si>
  <si>
    <t>Rv1373, (MTCY02B12.07), len: 326 aa. Glycolipid sulfotransferase (see citation below); slight similarity to sulfotransferases e.g. SUOE_CAVPO|P49887 estrogen sulfotransferase from Cavia porcellus (Guinea pig) (296 aa), FASTA scores, opt: 165, E():0.00054, (24.5% identity in 294 aa overlap).</t>
  </si>
  <si>
    <t>Rv1374c, (MTCY02B12.08c), len: 152 aa. Hypothetical unknown protein.</t>
  </si>
  <si>
    <t>Rv1375, (MTCY02B12.09), len: 439 aa. Conserved hypothetical protein, similar to hypothetical proteins from several organisms e.g. Q52871|U39409 Rhizobium leguminosarum (420 aa), FASTA scores: E(): 2e-30, (34.4% identity in 378 aa overlap). Predicted to be an outer membrane protein (See Song et al., 2008).</t>
  </si>
  <si>
    <t>Rv1376, (MTCY02B12.10), len: 497 aa. Conserved hypothetical protein, some similarity to hypothetical proteins from several organisms e.g. Q52872|U39409 Rhizobium leguminosarum (247 aa), FASTA scores: E(): 2.1e-12, (34.7% identity in 219 aa overlap).</t>
  </si>
  <si>
    <t>Putative transferase</t>
  </si>
  <si>
    <t>Rv1377c, (MTCY02B12.11c), len: 212 aa. Putative transferase, similar to YQEM_BACSU|P54458 hypothetical 28.3 kDa protein from Bacillus subtilis (247 aa), FASTA scores: opt: 221, E(): 7.6e-08, (30.6% identity in 144 aa overlap); some similarity to methyltransferases, also similar to Mycobacterium tuberculosis hypothetical proteins Rv0560c, Rv3699, and Rv2675c (~ 39.1% identity in 197 aa overlap).</t>
  </si>
  <si>
    <t>Rv1378c, (MTCY02B12.12c), len: 475 aa. Conserved hypothetical protein, similar to other Mycobacterium tuberculosis hypothetical proteins e.g. Rv3074|MTCY22D7.07C (424 aa), FASTA scores: E(): 0, (73.0% identity in 429 aa overlap).</t>
  </si>
  <si>
    <t>Binds to the conserved sequence in the PYR operon mRNA and disrupts the antiterminator, permitting terminator hairpin formation and promoting transcription termination</t>
  </si>
  <si>
    <t>Probable pyrimidine operon regulatory protein PyrR</t>
  </si>
  <si>
    <t>Rv1379, (MTCY02B12.13), len: 193 aa. Probable pyrR, pyrimidine operon regulatory protein, similar to PYRR_BACCL|P41007 pyrimidine operon regulatory protein from Bacillus caldolyticus (179 aa), FASTA scores: opt: 544, E(): 1.1e-30, (54.2% identity in 179 aa overlap).</t>
  </si>
  <si>
    <t>Involved in pyrimidine biosynthesis (second step) [catalytic activity: carbamoyl phosphate + L-aspartate = phosphate + N-carbamoyl-L-aspartate]</t>
  </si>
  <si>
    <t>Probable aspartate carbamoyltransferase PyrB (ATCase) (aspartate transcarbamylase)</t>
  </si>
  <si>
    <t>Rv1380, (MTCY02B12.14), len: 319 aa. Probable pyrB, aspartate carbamoyltransferase, similar to many e.g. PYRB_BACCL|P41008 aspartate carbamoyltransferase from Bacillus caldolyticus (308 aa), FASTA scores, opt: 639, E(): 7.3e-36, (39.5% identity in 311 aa overlap). Contains PS00097 Aspartate and ornithine carbamoyltransferases signature. Belongs to the ATCases/OTCases family.</t>
  </si>
  <si>
    <t>Involved in pyrimidine biosynthesis (third step) [catalytic activity: (S)-dihydroorotate + H(2)O = N-carbamoyl-L-aspartate]</t>
  </si>
  <si>
    <t>Probable dihydroorotase PyrC (DHOase)</t>
  </si>
  <si>
    <t>Rv1381, (MTCY02B12.15), len: 430 aa. Probable pyrC, dihydroorotase, similar to many e.g. PYRC_BACCL|P46538 (40.5% identity in 395 aa overlap). Contains PS00483 Dihydroorotase signature 2. Belongs to the DHOase family. subfamily 2.</t>
  </si>
  <si>
    <t>Rv1382</t>
  </si>
  <si>
    <t>Probable export or membrane protein</t>
  </si>
  <si>
    <t>Rv1382, (MTCY02B12.16), len: 165 aa. Possible exported or membrane protein, hydrophobic domain at N-terminus. Predicted to be an outer membrane protein (See Song et al., 2008).</t>
  </si>
  <si>
    <t>Involved in both arginine and pyrimidine biosynthesis [catalytic activity: 2 ATP + L-glutamine + CO(2) + H(2)O = 2 ADP + phosphate + glutamate + carbamoyl phosphate]</t>
  </si>
  <si>
    <t>Probable carbamoyl-phosphate synthase small chain CarA (carbamoyl-phosphate synthetase glutamine chain)</t>
  </si>
  <si>
    <t>Rv1383, (MTCY02B12.17), len: 376 aa. Probable carA, Carbamoyl-phosphate synthase small chain, similar to many e.g. CARA_ECOLI|P00907 carbamoyl-phosphate synthase small chain from Escherichia coli (382 aa), FASTA scores: opt: 796, E(): 0, (45.5% identity in 382 aa overlap). Contains PS00442 Glutamine amidotransferases class-I active site. The gatase domain belongs to type-1 glutamine amidotransferases. subunit: composed of two chains; the small (or glutamine) chain promotes the hydrolysis of glutamine to ammonia, which is used by the large (or ammonia) chain to synthesize carbamoyl phosphate.</t>
  </si>
  <si>
    <t>Involved in both arginine and pyrimidine biosynthesis [catalytic activity: 2 ATP + L-glutamine + CO(2) + H(2)O = 2 ADP + phosphate + glutamate + carbamoyl phosphate.]</t>
  </si>
  <si>
    <t>Probable carbamoyl-phosphate synthase large chain CarB (carbamoyl-phosphate synthetase ammonia chain)</t>
  </si>
  <si>
    <t>Rv1384, (MTCY02B12.18-MTCY21B4.01), len: 1115 aa. Probable carB, Carbamoyl-phosphate synthase large chain , similar to many e.g. CARB_ECOLI|P00968 E. coli (1072 aa), FASTA scores: E(): 0, (52.3% identity in 1118 aa overlap). Contains two PS00867 Carbamoyl-phosphate synthase subdomain signature 2 and PS00866 Carbamoyl-phosphatesynthase subdomain signature 1. subunit: composed of two chains; the small (or glutamine) chain promotes the hydrolysis of glutamine to ammonia, which is used by the large (or ammonia) chain to synthesize carbamoyl phosphate.</t>
  </si>
  <si>
    <t>pyrF</t>
  </si>
  <si>
    <t>Rv1385</t>
  </si>
  <si>
    <t>Involved in the biosynthesis of pyrimidines [catalytic activity: orotidine 5'-phosphate = UMP + CO(2)]</t>
  </si>
  <si>
    <t>Probable orotidine 5'-phosphate decarboxylase PyrF (OMP decarboxylase) (ompdecase)</t>
  </si>
  <si>
    <t>Rv1385, (MTCY21B4.02), len: 274 aa. Probable pyrF, orotidine 5'-phosphate decarboxylase, identical to DCOP_MYCBO|P42610 Mycobacterium bovis (274 aa). Contains PS00156 Orotidine 5'-phosphate decarboxylase active site. Belongs to the OMP decarboxylase family.</t>
  </si>
  <si>
    <t>PE15</t>
  </si>
  <si>
    <t>Rv1386</t>
  </si>
  <si>
    <t>PE family protein PE15</t>
  </si>
  <si>
    <t>Rv1386, (MTCY21B4.03), len: 102 aa. PE15, Member of Mycobacterium tuberculosis PE family (see Brennan &amp; Delogu 2002), similar to many e.g. G913039 ORF 3' of PGRS tandem repeat (polymorphic GC-rich sequence) (100 aa), FASTA scores: opt: 149, E(): 0.0013, (31.5% identity in 92 aa overlap); also similar to Q49943|U1756A (99 aa) (34.7% identity in 95 aa overlap) and G466937|U1620K (100 aa) (36.2% identity in 69 aa overlap). A core mycobacterial gene; conserved in mycobacterial strains (See Marmiesse et al., 2004). Predicted to be an outer membrane protein (See Song et al., 2008).</t>
  </si>
  <si>
    <t>PPE family protein PPE20</t>
  </si>
  <si>
    <t>Rv1387, (MTCY21B4.04), len: 539 aa. PPE20, Member of Mycobacterium tuberculosis PPE family of proteins, similar to many e.g. Y05F_MYCTU|Q10892 hypothetical 46.9 kd protein cy251.15 (463 aa), FASTA scores: E(): 4.2e-26, (37.7% identity in 531 aa overlap); similar also to MTCY274.23c (37.5% identity in 168 aa overlap). Contains PS00343 Gram-positive cocci surface proteins 'anchoring' hexapeptide. A core mycobacterial gene; conserved in mycobacterial strains (See Marmiesse et al., 2004).</t>
  </si>
  <si>
    <t>Putative integration host factor MihF</t>
  </si>
  <si>
    <t>Rv1388, (MTCY21B4.05), len: 190 aa. Putative mihF, integration host factor. Almost identical to, but longer than, P96802|U75344 Mycobacterium smegmatis integration host factor (mIHF) for mycobacteriophage L5 (105 aa), FASTA scores: E(): 0, (96.1% identity in 102 aa overlap). A core mycobacterial gene; conserved in mycobacterial strains (See Marmiesse et al., 2004).</t>
  </si>
  <si>
    <t>Essential for recycling GMP and indirectly, CGMP [catalytic activity: ATP + GMP = ADP + GDP]</t>
  </si>
  <si>
    <t>Probable guanylate kinase Gmk</t>
  </si>
  <si>
    <t>Rv1389, (MTCY21B4.06), len: 208 aa. Probable gmk, guanylate kinase, similar to e.g. KGUA_ECOLI|P24234 guanylate kinase from Escherichia coli (207 aa), FASTA scores: opt: 424, E(): 6.6e-20, (35.9% identity in 184 aa overlap). Contains PS00017 ATP/GTP-binding site motif A (P-loop), PS00856 Guanylate kinase signature. Belongs to the guanylate kinase family.</t>
  </si>
  <si>
    <t>Promotes RNA polymerase assembly. Latches the N-and C-terminal regions of the beta' subunit thereby faciltating its interaction with the beta and alpha subunits [catalytic activity: N nucleoside triphosphate = N diphosphate + {RNA}N].</t>
  </si>
  <si>
    <t>Probable DNA-directed RNA polymerase (omega chain) RpoZ (transcriptase omega chain) (RNA polymerase omega subunit)</t>
  </si>
  <si>
    <t>Rv1390, (MTCY21B4.07), len: 110 aa. Probable rpoZ, DNA-directed RNA polymerase omega chain. Belongs to the RNA polymerase omega chain family.</t>
  </si>
  <si>
    <t>Flavoprotein affecting synthesis of DNA and pantothenate metabolism</t>
  </si>
  <si>
    <t>Probable DNA/pantothenate metabolism flavoprotein homolog Dfp</t>
  </si>
  <si>
    <t>Rv1391, (MTCY21B4.08), len: 418 aa. Probable dfp, DNA/pantothenate metabolism flavoprotein homolog, similar to many e.g. DFP_ECOLI|P24285 Escherichia coli (430 aa), FASTA scores: opt: 763, E(): 0, (40.2% identity in 408 aa overlap).</t>
  </si>
  <si>
    <t>Involved in the activated methyl cycle. Catalyzes the formation of S-adenosylmethionine from methionine and ATP. The overall synthetic reaction is composed of two sequential steps, AdoMet formation and the subsequent tripolyphosphate hydrolysis which occurs prior to release of AdoMet from the enzyme. [catalytic activity : ATP + L-methionine + H(2)O = phosphate + diphosphate + S-adenosyl-L-methionine]</t>
  </si>
  <si>
    <t>Probable S-adenosylmethionine synthetase MetK (mat) (AdoMet synthetase) (methionine adenosyltransferase)</t>
  </si>
  <si>
    <t>Rv1392, (MTCY21B4.09), len: 403 aa. Probable metK, S-adenosylmethionine synthetase, similar to many e.g. METK_STAAU|P50307 Staphylococcus aureus (397 aa), FASTA scores: opt: 1484, E(): 0, (58.0% identity in 400 aa overlap). Contains PS00376 S-adenosylmethionine synthetase signature 1, PS00377 S-adenosylmethionine synthetase signature 2. Belongs to the adomet synthetase family.</t>
  </si>
  <si>
    <t>Probable monoxygenase</t>
  </si>
  <si>
    <t>Rv1393c, (MTCY21B4.10c), len: 492 aa. Probable monooxygenase, similar to others e.g. CYMO_ACISP|P12015 cyclohexanone monooxygenase from Acinetobacter sp. (542 aa), FASTA scores: E(): 0, (33.0% identity in 473 aa overlap); also to Rv3083|MTCY31.20|E241788 hypothetical 55.0 kDa protein from Mycobacterium tuberculosis (495 aa) (36.3% identity in 490 aa overlap); and Rv0565c, Rv3854c, Rv3049c, Rv0892.</t>
  </si>
  <si>
    <t>Cytochromes P450 are a group of heme-thiolate monooxygenases. It oxidizes a variety of structurally unrelated compounds, including steroids, fatty acids, and xenobiotics.</t>
  </si>
  <si>
    <t>Probable cytochrome P450 132 Cyp132</t>
  </si>
  <si>
    <t>Rv1394c, (MT1439, MTCY21B4.11c), len: 461 aa. Probable cyp132, cytochrome P450 132. Some similarity to others e.g. CP4B_HUMAN|P13584 human cytochrome p450 (511 aa), FASTA scores: opt: 486, E(): 7.4e-21, (28.6% identity in 423 aa overlap); etc. Contains PS00086 Cytochrome P450 cysteine heme-iron ligand signature. May belong to the cytochrome P450 family. Experimentally shown that the expression of cyp132 is induced by the transcriptional regulatory protein Rv1395 (Recchi et al., 2003).</t>
  </si>
  <si>
    <t>Rv1395, (MTCY21B4.12), len: 344 aa. Transcriptional regulatory protein (see citation below), similar to many e.g. URER_PROMI|Q02458 urease operon transcriptional activator from Proteus mirabilis (293 aa), FASTA scores: E():1.5e-08, (41.7% identity in 84 aa overlap); YHIX_ECOLI|P37639 hypothetical transcriptional regulatory protein from Escherichia coli (274 aa), FASTA scores: opt: 238, E(): 3.5e-09, (27.3% identity in 249 aa overlap); and G296916|X68281 possible virulence-regulating protein from Mycobacterium tuberculosis (339 aa), FASTA scores: opt: 228, E(): 1.9e-08, (27.0% identity in 278 aa overlap). Helix turn helix motif present, aa 261-282 (+4.68 SD). Belongs to the AraC/XylS family of transcriptional regulators. 3' part corrected since first submission (-14 aa). Experimentally shown to induce the expression of the cytochrome P450 gene (Rv1394c) and represses its own transcription.</t>
  </si>
  <si>
    <t>PE_PGRS25</t>
  </si>
  <si>
    <t>Rv1396c</t>
  </si>
  <si>
    <t>PE-PGRS family protein PE_PGRS25</t>
  </si>
  <si>
    <t>Rv1396c, (MTCY21B4.13c), len: 576 aa. PE_PGRS25, Member of the Mycobacterium tuberculosis PE family, PGRS subfamily of gly-rich proteins (see Brennan &amp; Delogu 2002), strong similarity to many e.g. glycine rich protein MTCY130.10C|E245019 (603 aa), FASTA scores: opt: 1945, E(): 0, (57.5% identity in 619 aa overlap). Contains PS00017 ATP/GTP-binding site motif A, similar to other PGRS-type sequences. This region is a possible MT-complex-specific genomic island (See Becq et al., 2007).</t>
  </si>
  <si>
    <t>vapC10</t>
  </si>
  <si>
    <t>Possible toxin VapC10</t>
  </si>
  <si>
    <t>Rv1397c, (MTCY21B4.14c), len: 133 aa. Possible vapC10, toxin, part of toxin-antitoxin (TA) operon with Rv1398c, contains PIN domain (See Arcus et al., 2005; Pandey and Gerdes, 2005). Conserved hypothetical protein, similar to Mycobacterium tuberculosis protein MTCY159.08C|Rv2548 (125 aa), FASTA scores: E(): 2.3e-14, (42.4% identity in 125 aa overlap). This region is a possible MT-complex-specific genomic island (See Becq et al., 2007).</t>
  </si>
  <si>
    <t>vapB10</t>
  </si>
  <si>
    <t>Possible antitoxin VapB10</t>
  </si>
  <si>
    <t>Rv1398c, (MTCY21B4.15c), len: 85 aa. Possible vapB10, antitoxin, part of toxin-antitoxin (TA) operon with Rv1397c (See Arcus et al., 2005; Pandey and Gerdes, 2005). Similar to others in Mycobacterium tuberculosis e.g. Rv2547|MTCY159.09C (85 aa), FASTA scores: E(): 0.0035, (37.1% identity in 62 aa overlap); Rv0581, Rv2871, Rv1241, etc. This region is a possible MT-complex-specific genomic island (See Becq et al., 2007).</t>
  </si>
  <si>
    <t>nlhH</t>
  </si>
  <si>
    <t>Probable non lipolytic carboxylesterase NlhH</t>
  </si>
  <si>
    <t>Rv1399c, (MTCY21B4.16c), len: 319 aa. Possible nlhH, non lipolytic carboxylesterase, most similar to G695278 lipase like enzyme from Ralstonia eutropha (364 aa), FASTA scores: opt: 648, E(): 4.4e-34, (37.3% identity in 327 aa ov erlap), similar to Mycobacterium tuberculosis hypothetical lipases e.g. Rv2284, Rv2485c, Rv1426c, etc. Previously known as lipH.</t>
  </si>
  <si>
    <t>Function unknown, but possibly involved in lipid metabolism</t>
  </si>
  <si>
    <t>Probable lipase LipH</t>
  </si>
  <si>
    <t>Rv1400c, (MTCY21B4.17c), len: 320 aa. Possible lipI, lipase, most similar to G695278 lipase like enzyme (364 aa), FASTA sscores: opt: 611, E(): 3.5e-30, (36.6% identity in 352 aa overlap); similar to M. tuberculosis hypothetical lipases e.g. Rv1399c|MTCY21B4.16c (58.1% identical in 315 aa overlap); Rv1426c, Rv2284, etc.</t>
  </si>
  <si>
    <t>Rv1401, (MTCY21B4.18), len: 200 aa. Possible membrane protein.</t>
  </si>
  <si>
    <t>Recognizes a specific hairpin sequence on PHIX SSDNA; this structure is then recognized and bound by proteins PRIB and PRIC. Formation of the primosome proceeds with the subsequent actions of DNAB, DNAC, DNAT and primase. PRIA then functions as a helicase within the primosome</t>
  </si>
  <si>
    <t>Putative primosomal protein N' PriA (replication factor Y)</t>
  </si>
  <si>
    <t>Rv1402, (MTCY21B4.19), len: 655 aa. Putative priA, primosomal protein N'. Similar to e.g. PRIA_ECOLI|P17888 primosomal protein N' (replication factor Y) (732 aa), FASTA scores, opt: 386, E(): 1.3e-16, (27.6% identity in 711 aa overlap). Compared to other bacterial priA, it has a very divergent helicase domain. Belongs to the helicase family. PRIA subfamily.</t>
  </si>
  <si>
    <t>Putative methyltransferase</t>
  </si>
  <si>
    <t>Rv1403c, (MTCY21B4.20c), len: 274 aa. Putative methyltransferase, similar to PMTA_RHOSH|Q05197 phosphatidylethanolamine m-methyltransferase (203 aa), FASTA scores: opt: 217, E(): 1.1e-07, (37.1% identity in 105 aa overlap); similar to Rv1405c|MTCY21B4.22c (59.3% identity in 273 aa overlap) and to Rv1523, Rv2952, etc.</t>
  </si>
  <si>
    <t>Rv1404, (MTCY21B4.21), len: 160 aa. Probable transcriptional regulatory protein, some similarity to MARR_ECOLI|P27245 multiple antibiotic resistance protein from Escherichia coli (125 aa), FASTA scores: opt: 136, E(): 0.004, (35.1% identity in 74 aa overlap).</t>
  </si>
  <si>
    <t>Rv1405c, (MTCY21B4.22c), len: 274 aa. Putative methyltransferase, most similar to PMTA_RHOSH|Q05197 phosphatidylethanolamine m-methyltransferase (203 aa), FASTA scores: opt: 219, E(): 2.6e-07, (29.9% identity in 144 aa overlap); similar to Rv1403c|MTCY21B4.20c (59.3% identity in 273 aa overlap), Rv1523, Rv2952, etc.</t>
  </si>
  <si>
    <t>Modify the free amino group of the aminoacyl moiety of methionyl-tRNA(fMet). The formyl group appears to play a dual role in the initiator identity of N-formylmethionyl-tRNA by:(I) promoting its recognition by IF2 and (II) impairing its binding to EFTU-GTP. [catalytic activity: 10-formyltetrahydrofolate + L-methionyl-tRNA + H(2)O = tetrahydrofolate + N-formylmethionyl-tRNA]</t>
  </si>
  <si>
    <t>Probable methionyl-tRNA formyltransferase Fmt</t>
  </si>
  <si>
    <t>Rv1406, (MTCY21B4.23), len: 312 aa. Probable fmt, methionyl-tRNA formyltransferase, similar to many e.g. FMT_ECOLI|P23882 Escherichia coli (314 aa), FASTA scores: opt: 616, E(): 6.7e-31, (39.3% identity in 303 aa overlap). Belongs to the FMT family.</t>
  </si>
  <si>
    <t>Probable Fmu protein (sun protein)</t>
  </si>
  <si>
    <t>Rv1407, (MTCY21B4.24), len: 457 aa. Probable fmu protein, similar to SUN_ECOLI|P36929 sun protein (fmu protein) from Escherichia coli (429 aa), FASTA scores: E(): 2.5e-20, (30.6% identity in 451 aa overlap).</t>
  </si>
  <si>
    <t>Involved in the calvin cycle [catalytic activity: D-ribulose 5-phosphate = D-xylulose 5- phosphate]</t>
  </si>
  <si>
    <t>Probable ribulose-phosphate 3-epimerase Rpe (PPE) (R5P3E) (pentose-5-phosphate 3-epimerase)</t>
  </si>
  <si>
    <t>Rv1408, (MTCY21B4.25), len: 232 aa. Probable rpe, ribulose-phosphate 3-epimerase, similar to many e.g. CXEC_ALCEU|P40117 (241 aa), FASTA scores: opt: 638, E(): 1.5e-34, (48.3% identity in 234 aa overlap); and RPE_ECOLI|P32661 ribulose-phosphate 3-epimerase (225 aa), FASTA scores: E(): 0, (46.2% identity in 221 aa overlap). Contains PS01085 Ribulose-phosphate 3-epimerase family signature 1. Belongs to the ribulose-phosphate 3-epimerase family.</t>
  </si>
  <si>
    <t>Involved in riboflavin biosynthesis (at the second and third steps). Converts 2,5-diamino-6-(ribosylamino)-4(3H)-pyrimidinone 5'-phosphate into 5-amino-6-(ribosylamino)-2,4(1H,3H)-pyrimidinedione 5'-phosphate [catalytic activity 1: 2,5-diamino-6-hydroxy-4-(5-phosphoribosylamino)pyrimidine + H(2)O = 5-amino-6-(5-phosphoribosylamino)uracil + NH(3)] [catalytic activity 2: 5-amino-6-(5-phosphoribitylamino)uracil + NADP(+) = 5-amino-6-(5-phosphoribosylamino)uracil + NADPH].</t>
  </si>
  <si>
    <t>Probable bifunctional riboflavin biosynthesis protein RibG : diaminohydroxyphosphoribosylaminopyrimidine deaminase (riboflavin-specific deaminase) + 5-amino-6-(5-phosphoribosylamino) uracil reductase (HTP reductase)</t>
  </si>
  <si>
    <t>Rv1409, (MTCY21B4.26), len: 339 aa. Probable ribG (alternate gene name: ribD), bifunctional riboflavin biosynthesis protein, including diaminohydroxyphosphoribosylaminopyrimidine deaminase and 5-amino-6-(5-phosphoribosylamino) uracil reductase, similar to many e.g. RIBD_ECOLI|P25539 riboflavin-specific deaminase from Escherichia coli (367 aa), FASTA scores: E(): 0, (39.8% identity in 364 aa overlap); etc. Contains PS00903 Cytidine and deoxycytidylate deaminases zinc-binding region signature. In the N-terminal section; belongs to the cytidine and deoxycytidylate deaminases family. In the C-terminal section; belongs to the HTP reductase family.</t>
  </si>
  <si>
    <t>Involved in transport of aminoglycosides and tetracycline across the membrane (export): drug resistance by an export mechanism (conferes resistance to toxic compounds by removing them for the cells). Responsible for the translocation of the substrate across the membrane.</t>
  </si>
  <si>
    <t>Aminoglycosides/tetracycline-transport integral membrane protein</t>
  </si>
  <si>
    <t>Rv1410c, (MTCY21B4.27c), len: 518 aa. Aminoglycoside/tetracycline-transport integral membrane protein (see citation below), member of major facilitator superfamily (MFS), similar to others e.g. AC22_STRCO|P46105 probable actinorhodin transporter from Streptomyces coelicolor (578 aa), FASTA scores: opt: 442, E(): 4.9e-21, (28.5% identity in 466 aa overlap); etc. Contains PS00216 Sugar transport proteins signature 1. Could be termed P55. Note that the Rv1410c-Rv1411c operon seems transcribed from two promoters in Mycobacterium bovis BCG (see Bigi et al., 2000).</t>
  </si>
  <si>
    <t>Conserved lipoprotein LprG</t>
  </si>
  <si>
    <t>Rv1411c, (MTCY21B4.28c), len: 236 aa. lprG (alternate gene name: P27), conserved lipoprotein, similar to Mycobacterium tuberculosis hypothetical lipoproteins e.g. Rv1270c|MTCY50.12 (35.1% identity in 245 aa overlap); Rv1368, Rv2945c. Contains N-terminal signal sequence and appropriately positioned prokaryotic lipoprotein lipid attachment site (PS00013). Note that the Rv1410c-Rv1411c operon seems transcribed from two promoters in Mycobacterium bovis BCG (see Bigi et al., 2000). A core mycobacterial gene; conserved in mycobacterial strains (See Marmiesse et al., 2004).</t>
  </si>
  <si>
    <t>Involved in riboflavin synthesis. Riboflavin synthase is a bifunctional enzyme complex catalyzing the formation of riboflavin from 5-amino-6-(1'-D)- ribityl-amino-2,4(1H,3H)-pyrimidinedione and L-3,4-dihydrohy-2- butanone-4-phosphate via 6,7-dimethyl-8-lumazine. The alpha subunit catalyzes the dismutation of 6,7-dimethyl-8-lumazine to riboflavin and 5-amino-6-(1'-D)-ribityl-amino-2,4(1H,3H)- pyrimidinedione.</t>
  </si>
  <si>
    <t>Probable riboflavin synthase alpha chain RibC (RibE)</t>
  </si>
  <si>
    <t>Rv1412, (MTCY21B4.29), len: 201 aa. Probable ribC (ribE), Riboflavin synthase alpha chain, strong similarity to e.g. RISA_ACTPL|P50854 (215 aa), FASTA scores: opt: 586, E(): 1.8e-33, (50.8% identity in 197 aa overlap). Contains 2 x PS00693 Riboflavin synthase alpha chain family signature.</t>
  </si>
  <si>
    <t>Rv1413, (MTCY21B4.30), len: 171 aa. Conserved hypothetical protein, similar to part of AB010956|AB010956_1 metal-activated pyridoxal enzyme from Arthrobacter sp. (379 aa), FASTA scores: opt: 187, E(): 0.00026, (29.0% identity in 162 aa overlap).</t>
  </si>
  <si>
    <t>Rv1414</t>
  </si>
  <si>
    <t>Rv1414, (MTCY21B4.31), len: 133 aa. Conserved hypothetical protein, similar to C-terminal part of AB010956|AB010956_1 novel metal-activated pyridoxal enzyme from Arthrobacter sp. (379 aa), FASTA scores: opt: 163, E(): 0.00063, (32.1% identity in 112 aa overlap). Rv1413 is similar to N-terminal part of same enzyme suggesting possible frameshift. Sequence has been checked and no errors found, it is identical in Mycobacterium bovis strain AF2122/97 and in Mycobacterium tuberculosis CDC1551.</t>
  </si>
  <si>
    <t>Involved in riboflavin biosynthesis [catalytic activity: GTP + 3 H(2)O = formate + 2,5-diamino-6-hydroxy-4-(5-phosphoribosylamino)pyrimidine + diphosphate].</t>
  </si>
  <si>
    <t>Probable riboflavin biosynthesis protein RibA2 : GTP cyclohydrolase II + 3,4-dihydroxy-2-butanone 4-phosphate synthase (DHBP synthase)</t>
  </si>
  <si>
    <t>Rv1415, (MTCY21B4.33), len: 425 aa. Probable ribA2, Riboflavin biosynthesis protein, similar to many e.g. GCH2_BACSU|P17620 Bacillus subtilis (398 aa), FASTA scores: opt: 1388, E(): 0, (55.4% identity in 399 aa overlap). Also similar to second Mycobacterium tuberculosis gtp cyclohydrolase Rv1940|ribA1 (353 aa). In the N-terminal section; belongs to the DHBP synthase family. In the C-terminal section; belongs to the GTP cyclohydrolase II family.</t>
  </si>
  <si>
    <t>Riboflavin synthase is a bifunctional enzyme complex involved in riboflavin synthesis. Riboflavin synthase catalyzes the formation of riboflavin from 5-amino-6-(1'-D)- ribityl-amino-2,4(1H,3H)-pyrimidinedione and L-3,4-dihydrohy-2- butanone-4-phosphate via 6,7-dimethyl-8-lumazine. The beta subunit catalyzes the condensation of 5-amino-6-(1'-D)-ribityl- amino-2,4(1H,3H)-pyrimidinedione with L-3,4-dihydrohy-2-butanone- 4-phosphate yielding 6,7-dimethyl-8-lumazine.</t>
  </si>
  <si>
    <t>Probable riboflavin synthase beta chain RibH (6,7-dimethyl-8-ribityllumazine synthase) (DMRL synthase) (lumazine synthase)</t>
  </si>
  <si>
    <t>Rv1416, (MTCY21B4.34), len: 160 aa. Probable ribH, riboflavin synthase beta chain, similar to many e.g. RISB_ECOLI|P25540 Escherichia coli (156 aa), FASTA scores: opt: 330, E(): 1.8e-15, (44.1% identity in 145 aa overlap). Note alternative GTG start possible overlapping the stop codon of Rv1415|MTCY21B4.33. Belongs to the DMRL synthase family. N-terminus extended since first submission (previously 154 aa).</t>
  </si>
  <si>
    <t>Rv1417, (MTCY21B4.35), len: 154 aa. Possible conserved membrane protein, similar to others e.g. AL133213|SC6D7_2 Streptomyces coelicolor (156 aa), FASTA scores: opt: 212, E(): 4.4e-07, (32.4% identity in 136 aa overlap).</t>
  </si>
  <si>
    <t>Probable lipoprotein LprH</t>
  </si>
  <si>
    <t>Rv1418, (MTCY21B4.36), len: 228 aa. Probable lprH, lipoprotein. Contains N-terminal signal sequence and appropriately positioned prokaryotic lipoprotein lipid attachment site (PS00013).</t>
  </si>
  <si>
    <t>Rv1419, (MTCY21B4.37), len: 157 aa. Unknown protein. Predicted to be an outer membrane protein (See Song et al., 2008).</t>
  </si>
  <si>
    <t>Involved in nucleotide excision repair. The ABC excision nuclease is a DNA repair enzyme that catalyzes the excision reaction of UV-damaged nucleotide segments producing oligomers having the modified base(S). Attaches to the UVRA-UVRB complex, displacing UVRA, and the damaged DNA strand is nicked on both sides of the damaged site</t>
  </si>
  <si>
    <t>Probable excinuclease ABC (subunit C - nuclease) UvrC</t>
  </si>
  <si>
    <t>Rv1420, (MTCY21B4.38), len: 646 aa. Probable uvrC, excinuclease ABC, subunit C; nuclease (see citations below), similar to many e.g. UVRC_PSEFL|P32966 Pseudomonas fluorescens (607 aa), fasta scores: opt: 738, E(): 8.4e-39, (36.6% identity in 629 aa overlap). Belongs to the UvrC family.</t>
  </si>
  <si>
    <t>Rv1421, (MTCY21B4.39), len: 301 aa. Conserved protein, similar to many hypothetical proteins e.g. YHBJ_ECOLI|P33995 hypothetical 32.5 kd protein from Escherichia coli (284 aa), FASTA scores: opt: 648, E(): 6.3e-36, (38.7% identity in 282aa overlap).</t>
  </si>
  <si>
    <t>Rv1422, (MTCY21B4.40), len: 342 aa. Conserved hypothetical protein, similar to many hypothetical proteins e.g. YAMB_THETU|P38541 Thermoanaerobacterium thermosulfurigenes (323 aa), FASTA scores: opt: 519, E(): 1.6e-25, (33.1% identity in 320 aa overlap); and AF106003|AF106003_3 Streptomyces coelicolor (363 aa), FASTA scores: opt: 1047, E(): 0, (54.5% identity in 308 aa overlap).</t>
  </si>
  <si>
    <t>Probable transcriptional regulatory protein WhiA</t>
  </si>
  <si>
    <t>Rv1423, (MTCY21B4.41-MTCY493.31c), len: 325 aa. Putative whiA, transcriptional regulator, probably equivalent to AL035591|SCC54.10 whiA protein from Streptomyces coelicolor (328 aa), FASTA scores: opt: 1505, E(): 0, (70.4% identity in 324 aa overlap). Also some similarity to O06975|YVCL hypothetical protein from Bacillus subtilis (316 aa), FASTA scores: E(): 1.8e-0 8, (25.7% identity in 304 aa overlap).</t>
  </si>
  <si>
    <t>Rv1424c, (MTCY21B4.42c,MTCY493.30), len: 253 aa. Possible membrane protein, contains PS00402 Binding-protein-dependent transport systems inner membrane comp signature. This region is a possible MT-complex-specific genomic island (See Becq et al., 2007).</t>
  </si>
  <si>
    <t>Rv1425, (MTCY21B4.43,MTCY493.29c), len: 459 aa. Possible triacylglycerol synthase (See Daniel et al., 2004), similar to many M. tuberculosis proteins e.g. Rv3740c, Rv3734c, Rv1760, etc.</t>
  </si>
  <si>
    <t>Probable esterase LipO</t>
  </si>
  <si>
    <t>Rv1426c, (MTCY493.28), len: 420 aa. Possible lipO, esterase, similar to several Mycobacterium tuberculosis hypothetical lipases and esterases e.g. Rv1399c, Rv2284, etc. Also similar in central region to AAAD_HUMAN|P22760 human arylacetamide deacetylase (398 aa), FASTA scores: opt:210, E(): 7.6e-07, (29.3% identity in 191 aa overlap).</t>
  </si>
  <si>
    <t>Possible long-chain-fatty-acid--CoA ligase FadD12 (fatty-acid-CoA synthetase) (fatty-acid-CoA synthase)</t>
  </si>
  <si>
    <t>Rv1427c, (MTCY493.27), len: 535 aa. Possible fadD12, long-chain-fatty-acid-CoA synthetase, similar to many e.g. NP_302632.1|NC_002677 acyl-CoA synthase from Mycobacterium leprae (548 aa); AAD01929.2|AF031419 putative long-chain-fatty-acid--CoA ligase from Pseudomonas putida (565 aa); NP_419782.1|NC_002696 putative long-chain-fatty-acid--CoA ligase from Caulobacter crescentus (530 aa); PC60_YEAST|P38137 yeast peroxisomal-coenzyme A synthetase (543 aa), FASTA scores: opt: 507, E(): 2.9e-25, (30.4% identity in 365 aa overlap). Also similar to many M. tuberculosis proteins e.g. MTCY06A4.14 (44.8% identity in 525 aa overlap). Contains PS00455 Putative AMP-binding domain signature. Belongs to the ATP-dependent AMP-binding enzyme family.</t>
  </si>
  <si>
    <t>Rv1428c, (MTCY493.26), len: 275 aa. Conserved hypothetical protein, some similarity to hypothetical proteins from Mycobacterium tuberculosis e.g. Rv0502|YV29_MYCTU|Q11167 (358 aa), FASTA scores: opt: 355, E(): 5e-16, (32.6% identity in 273 aa overlap); and Rv1920.</t>
  </si>
  <si>
    <t>Rv1429, (MTCY493.25c), len: 422 aa. Conserved protein, some similarity to transcriptional regulator proteins e.g. CDAR_ECOLI|P37047 Carbohydrate diacid regulator from Escherichia coli (391 aa), FASTA scores: opt: 210, E(): 3e-06, (27.7% identity in 296 aa overlap). Also similar to Mycobacterium tuberculosis hypothetical proteins Rv2370c, Rv1194c, Rv1453, Rv2242, and Rv1186c.</t>
  </si>
  <si>
    <t>PE family protein PE16</t>
  </si>
  <si>
    <t>Rv1430, (MTCY493.24c), len: 528 aa. PE16, Member of the Mycobacterium tuberculosis PE family of proteins (see citation below), e.g. Y0D4_MYCTU|Q50594 (55.9% identity in 127 aa overlap). The C-terminus shows similarity to Q49633|LEPB1170_F3_112 hypothetical Mycobacterium leprae protein (391 aa), FASTA scores: opt: 342, E(): 1.2e-13, (29.8% identity in 292 aa overlap). Possible TMhelix aa 500-522.</t>
  </si>
  <si>
    <t>Rv1431, (MTCY493.23c), len: 589 aa. Conserved membrane protein, shows strong similarity to another M. tuberculosis hypothetical protein Rv1132|MTCY22G8.21 (48.2% identity in 585 aa overlap).</t>
  </si>
  <si>
    <t>Rv1432, (MTCY493.22c), len: 473 aa. Probable dehydrogenase, shows strong similarity to P49_STRLI|P06108 p49 protein from Streptomyces lividans (469 aa), FASTA scores: opt: 1362, E(): 0, (44.9% identity in 474 aa overlap); and weak similarity to other dehydrogenases.</t>
  </si>
  <si>
    <t>Rv1433, (MTCY493.21c), len: 271 aa. Possible exported protein with N-terminal signal sequence, highly similar to Q49706 hypothetical protein from Mycobacterium leprae (271 aa), FASTA scores: opt: 1341, E(): 0, (68.3% identity in 271 aa overlap). Also shows similarity to M. tuberculosis lipoprotein Rv2518c|MTV009.03c lppS (408 aa) (40.0% identity in 230 aa overlap); and others e.g. Rv0116c, Rv0192, Rv2518c, Rv0483. Predicted to be an outer membrane protein (See Song et al., 2008).</t>
  </si>
  <si>
    <t>Rv1434</t>
  </si>
  <si>
    <t>Rv1434, (MTCY493.20c), len: 45 aa. Hypothetical unknown protein.</t>
  </si>
  <si>
    <t>Probable conserved proline, glycine, valine-rich secreted protein</t>
  </si>
  <si>
    <t>Rv1435c, (MTCY493.19), len: 202 aa. Probable conserved Pro-, Gly-, Val-rich secreted protein (see citation below) with a N-terminal signal sequence. Similar at C-terminus to AF017099|AF017099_1 Mycobacterium tuberculosis pGB1 (87 aa), FASTA scores: opt: 550, E(): 2.3e-17, (97.7% identity in 86 aa overlap). Shows some similarity to N-terminus of CPN_DROME|Q02910 calphotin. Drosophila melanogaster (865 aa), FASTA scores: opt: 266, E(): 2.5e-05, (37.2% identity in 191 aa overlap). Contains at least five 7 aa imperfect repeats. Also shows similarity to other Mycobacterium tuberculosis proteins e.g. MTCI237.20c (34.7% identity in 193 aa overlap), MTCI65.25c (36.9% identity in 160 aa overlap) and MTCI65.24c (34.2% identity in 196 aa overlap).</t>
  </si>
  <si>
    <t>Involved in second phase of glycolysis (first step) [catalytic activity: D-glyceraldehyde 3-phosphate + phosphate + NAD(+) = 3-phospho-D-glyceroyl phosphate + NADH.]</t>
  </si>
  <si>
    <t>Probable glyceraldehyde 3-phosphate dehydrogenase Gap (GAPDH)</t>
  </si>
  <si>
    <t>Rv1436, (MTCY493.18c), len: 339 aa. Probable gap, Glyceraldehyde 3-phosphate dehydrogenase, highly similar to many e.g. G3P_MYCLE|P46713 Mycobacterium leprae (339 aa), FASTA scores: opt: 1933, E():0, (89.1% identity in 339 aa overlap). Contains PS00071 Glyceraldehyde 3-phosphate dehydrogenase active site. Belongs to the glyceraldehyde 3-phosphate dehydrogenase family.</t>
  </si>
  <si>
    <t>Involved in the second phase of glycolysis (second step) [catalytic activity: ATP + 3-phospho-D-glycerate = ADP + 3-phospho-D-glyceroyl phosphate]</t>
  </si>
  <si>
    <t>Probable phosphoglycerate kinase Pgk</t>
  </si>
  <si>
    <t>Rv1437, (MTCY493.17c), len: 412 aa. Probable pgk, Phosphoglycerate kinase, highly similar to many e.g. PGK_MYCLE|P46712 Mycobacterium leprae (416 aa), FASTA scores: opt: 2153, E(): 0, (80.4% identity in 414 aa overlap). Contains PS00111 Phosphoglycerate kinase signature. Belongs to the phosphoglycerate kinase family.</t>
  </si>
  <si>
    <t>tpi</t>
  </si>
  <si>
    <t>Plays an important role in several metabolic pathways [catalytic activity: D-glyceraldehyde 3-phosphate = glycerone phosphate]</t>
  </si>
  <si>
    <t>Probable triosephosphate isomerase Tpi (TIM)</t>
  </si>
  <si>
    <t>Rv1438, (MTCY493.16c), len: 261 aa. Probable tpi (tpiA), Triosephosphate isomerase, highly similar to many e.g. TPIS_MYCLE|P46711 Mycobacterium leprae (261 aa), FASTA scores: opt: 1456, E(): 0, (83.9% identity in 261 aa overlap). Contains PS00171 Triosephosphate isomerase active site. Belongs to the triosephosphate isomerase family.</t>
  </si>
  <si>
    <t>Rv1439c, (MTCY493.15), len: 141 aa. Unknown protein. This region is a possible MT-complex-specific genomic island (See Becq et al., 2007).</t>
  </si>
  <si>
    <t>Involved in protein export. Participates in a early event of protein translocation.</t>
  </si>
  <si>
    <t>Probable protein-export membrane protein (translocase subunit) SecG</t>
  </si>
  <si>
    <t>Rv1440, (MTCY493.14c), len: 77 aa. Probable secG, protein-export membrane protein (translocase subunit) (see citation below), similar to many e.g. P38388|SECG_MYCLE probable protein-export membrane (77 aa), FASTA scores: opt: 450, E(): 6.7e-24, (96.1% identity in 77 aa overlap). Start changed since original submission (-40 aa). Part of the prokaryotic protein translocation apparatus which comprise SECA|Rv3240c, SECD|Rv2587c, SECE|Rv0638, SECF|Rv2586c, SECG and SECY|Rv0732.</t>
  </si>
  <si>
    <t>PE-PGRS family protein PE_PGRS26</t>
  </si>
  <si>
    <t>Rv1441c, (MTCY493.13), len: 491 aa. PE_PGRS26, Member of the Mycobacterium tuberculosis PE family, PGRS subfamily of gly-rich proteins (see Brennan &amp; Delogu 2002), similar to Y0DP_MYCTU|Q50615 hypothetical glycine-rich 40.8 kDa protein (498 aa), fasta scores: opt: 1625, E(): 0, (55.2% identity in 518 aa overlap).</t>
  </si>
  <si>
    <t>This enzyme may serve as a scavenger, allowing the cell to utilize biotin sulfoxide as a biotin source</t>
  </si>
  <si>
    <t>Probable biotin sulfoxide reductase BisC (BDS reductase) (BSO reductase)</t>
  </si>
  <si>
    <t>Rv1442, (MTCY493.12c), len: 766 aa. Probable bisC, Biotin sulfoxide reductase, similar to BISC_ECOLI|P20099 biotin sulfoxide reductase from Escherichia coli (739 aa), FASTA scores: opt: 1271, E():0, (40.2% identity in 744 aa overlap).</t>
  </si>
  <si>
    <t>Rv1443c, (MTCY493.11), len: 161 aa. Unknown protein.</t>
  </si>
  <si>
    <t>Rv1444c, (MTCY493.10), len: 136 aa. Unknown protein.</t>
  </si>
  <si>
    <t>Involved in pentose phosphate pathway. Hydrolysis of 6-phosphogluconolactone to 6- phosphogluconate. [catalytic activity: 6-phospho-D-glucono-1,5-lactone + H(2)O = 6- phospho-D-gluconate]</t>
  </si>
  <si>
    <t>Probable 6-phosphogluconolactonase DevB (6PGL)</t>
  </si>
  <si>
    <t>Rv1445c, (MTCY493.09), len: 247 aa. Possible devB (PGL), 6-phosphogluconolactonase, belongs to a different family to the upstream gene zwf2. Similar to e.g. DEVB_ANASP|P46016 putative glucose-6-phosphate 1-dehydrogenase (239 aa), FASTA scores: opt: 439, E(): 2.6e-20, (34.0% identity in 247 aa overlap). Belongs to the glucosamine/galactosamine-6-phosphate isomerase family. 6-phosphogluconolactonase subfamily.</t>
  </si>
  <si>
    <t>May be involved in the functional assembly of glucose 6-phosphate dehydrogenase</t>
  </si>
  <si>
    <t>Putative OXPP cycle protein OpcA</t>
  </si>
  <si>
    <t>Rv1446c, (MTCY493.08), len: 303 aa. Putative opcA, OxPP cycle protein. Highly similar to S72774 B1496_F1_30 protein from Mycobacterium leprae (265 aa), FASTA scores: opt: 1056, E(): 0, (70.3% identity in 239 aa overlap). Also similar to OPCA_NOSS2|P48971 putative oxppcycle protein opca from Nostoc punctiforme (465 aa), fasta scores: opt: 177, E(): 7.3e-05, (23.4% identity in 321 aa overlap). Aids in G6PD activity.</t>
  </si>
  <si>
    <t>Involved in pentose phosphate pathway [catalytic activity: D-glucose 6-phosphate + NADP(+) = D-glucono- 1,5-lactone 6-phosphate + NADPH]</t>
  </si>
  <si>
    <t>Probable glucose-6-phosphate 1-dehydrogenase Zwf2 (G6PD)</t>
  </si>
  <si>
    <t>Rv1447c, (MTCY493.07), len: 514 aa. Probable zwf2 (ZWF), Glucose-6-phosphate 1-dehydrogenase, highly similar to many e.g. G6PD_SYNY3|P73411 Synechocystis sp. (509 aa), FASTA scores: opt: 1578, E(): 0, (46.8% identity in 509 aa overlap). Also similar to M. tuberculosis Rv1121, zwf glucose-6-phosphate 1-dehydrogenase. Contains PS00069 Glucose-6-phosphate dehydrogenase active site. Mycobacterium tuberculosis has two genes for ZWF. This one looks like a classical ZWF. Belongs to the glucose-6-phosphate dehydrogenase family.</t>
  </si>
  <si>
    <t>Transaldolase is important for the balance of metabolites in the pentose-phosphate pathway [catalytic activity: sedoheptulose 7-phosphate + D-glyceraldehyde 3-phosphate = D-erythrose 4-phosphate + D-fructose 6-phosphate]</t>
  </si>
  <si>
    <t>Probable transaldolase Tal</t>
  </si>
  <si>
    <t>Rv1448c, (MTCY493.06), len: 373 aa. Probable tal, Transaldolase, highly similar to many e.g. TAL_MYCLE|P55193 transaldolase from Mycobacterium leprae (375 aa), FASTA scores: opt: 1891, E(): 0, (78.6% identity in 370 aa overlap). Belongs to the transaldolase family.</t>
  </si>
  <si>
    <t>This enzyme, together with transaldolase, provides a link between the glycolytic and pentose-phosphate pathways. It catalyzes the reversible transfer of a two-carbon KETOL unit from xylulose 5-phosphate to an aldose receptor [catalytic activity: sedoheptulose 7-phosphate + D-glyceraldehyde 3-phosphate = D-ribose 5-phosphate + D-xylulose 5-phosphate]</t>
  </si>
  <si>
    <t>Transketolase Tkt (TK)</t>
  </si>
  <si>
    <t>Rv1449c, (MTCY493.05), len: 700 aa. tkt, transketolase. Highly similar to several e.g. TKT_MYCLE|P46708 transketolase (tk) from Mycobacterium leprae (699 aa), FASTA scores: opt: 4216, E(): 0, (89.1% identity in 700 aa overlap). Start site chosen by homology. Contains PS00801 Transketolase signature 1. Belongs to the transketolase family. Thought to be differentially expressed within host cells (see Triccas et al., 1999).</t>
  </si>
  <si>
    <t>PE_PGRS27</t>
  </si>
  <si>
    <t>Rv1450c</t>
  </si>
  <si>
    <t>PE-PGRS family protein PE_PGRS27</t>
  </si>
  <si>
    <t>Rv1450c, (MTCY493.04), len: 1329 aa. PE_PGRS27, Member of the Mycobacterium tuberculosis PE family, PGRS subfamily of gly-rich proteins (see Brennan and Delogu, 2002), similar to Y03A_MYCTU|Q10637 hypothetical glycine-rich 49.6 kDa protein (603 aa), fasta scores: opt: 2112, E(): 0, (56.5% identity in 630 aa overlap).</t>
  </si>
  <si>
    <t>Thought to be involved in aerobic respiration.</t>
  </si>
  <si>
    <t>Probable cytochrome C oxidase assembly factor CtaB</t>
  </si>
  <si>
    <t>Rv1451, (MTCY493.03c), len: 308 aa. Probable ctaB, cytochrome C oxidase assembly factor, and integral membrane protein. Highly similar to several Mycobacterium leprae proteins e.g. Q49685 CYOE cytochrome O ubiquinol oxidase assembly factor (300 aa), FASTA scores: opt: 1636, E(): 0, (82.7% identity in 307 aa overlap); NP_301495.1|NC_002677 putative protoheme IX farnesyltransferase (321 aa); NP_301495.1|NC_002677 putative protoheme IX farnesyltransferase (321 aa).</t>
  </si>
  <si>
    <t>PE_PGRS28</t>
  </si>
  <si>
    <t>Rv1452c</t>
  </si>
  <si>
    <t>PE-PGRS family protein PE_PGRS28</t>
  </si>
  <si>
    <t>Rv1452c, (MTCY493.02), len: 741 aa. PE_PGRS28, Member of the Mycobacterium tuberculosis PE family, PGRS subfamily of gly-rich proteins (see Brennan and Delogu, 2002), similar to Y03A_MYCTU|Q10637 hypothetical glycine-rich 49.6 kDa protein (603 aa), fasta scores: opt: 2090, E(): 0, (56.3% identity in 641 aa overlap).</t>
  </si>
  <si>
    <t>Possible transcriptional activator protein</t>
  </si>
  <si>
    <t>Rv1453, (MTCY493.01c), len: 421 aa. Possible transcriptional activator, similar to Q50018 putative transcriptional activator trx from Mycobacterium leprae (517 aa), FASTA scores: opt: 1719, E(): 0, (54.0% identity in 500 aa overlap). Also highly similar to Mycobacterium tuberculosis proteins Rv2370c, Rv1194c, Rv2242, Rv1186c, and to the further upstream ORF's Rv1429|MTCY493.25c (28.1% identity in 335 aa overlap). Start changed since first submission (-11 aa).</t>
  </si>
  <si>
    <t>Catalyzes the one electron reduction of certain quinones [catalytic activity: NADPH + quinone = NADP+ + semiquinone]</t>
  </si>
  <si>
    <t>Probable quinone reductase Qor (NADPH:quinone reductase) (zeta-crystallin homolog protein)</t>
  </si>
  <si>
    <t>Rv1454c, (MTV007.01c), len: 328 aa. Probable qor, quinone oxidoreductase, simiar to U87282|RCU87282_2 quinone oxidoreductase from Rhodobacter capsulatus (323 aa), FASTA scores: opt: 849, E(): 0, (44.7% identity in 329 aa overlap). Also similar to MTCY180.06 Hypothetical protein from Mycobacterium tuberculosis (334 aa), FASTA scores: opt: 430, E(): 2e-14, (32.3% identity in 350 aa overlap). Contains PS01162 Quinone oxidoreductase / zeta-crystallin signature.</t>
  </si>
  <si>
    <t>Rv1455, (MTV007.02), len: 287 aa. Conserved protein, some similarity from aa 80-160 to Z99125|MLCL536.35c hypothetical Mycobacterium leprae protein (101 aa), FASTA scores: opt: 238, E(): 1.8e-08, (51.3% identity in 78 aa overlap).</t>
  </si>
  <si>
    <t>Thought to be involved in active transport of antibiotic across the membrane (export): unidentified antibiotic resistance by an export mechanism. Responsible for the translocation of the substrate across the membrane.</t>
  </si>
  <si>
    <t>Probable unidentified antibiotic-transport integral membrane ABC transporter</t>
  </si>
  <si>
    <t>Rv1456c, (MTV007.03c), len: 310 aa. Possible unidentified antibiotic-transport integral membrane protein ABC transporter (see citation below), equivalent to Z99125|MLCL536.34 from Mycobacterium leprae (311 aa), FASTA scores: opt: 1607, E(): 0, (83.3% identity in 300 aa overlap).</t>
  </si>
  <si>
    <t>Rv1457c, (MTV007.04c), len: 261 aa. Possible unidentified antibiotic-transport integral membrane protein ABC transporter (see citation below), equivalent to Z99125|MLCL536.32 from Mycobacterium leprae (265 aa), FASTA scores: opt: 1415, E(): 0, (83.1% identity in 260 aa overlap).</t>
  </si>
  <si>
    <t>Thought to be involved in active transport of antibiotic across the membrane (export): unidentified antibiotic resistance by an export mechanism. Responsible for energy coupling to the transport system.</t>
  </si>
  <si>
    <t>Probable unidentified antibiotic-transport ATP-binding protein ABC transporter</t>
  </si>
  <si>
    <t>Rv1458c, (MTV007.05c), len: 313 aa. Possible unidentified antibiotic-transport ATP-binding protein ABC transporter (see citation below), equivalent to Z99125|MLCL536.31 from Mycobacterium leprae (315 aa), FASTA scores: opt: 1812, E(): 0, (88.0% identity in 308 aa overlap). Similar to AF027770|AF027770_7 ABC-type transporter in FxbA region in Mycobacterium smegmatis (284 aa), FASTA scores: opt: 1412, E(): 0, (85.1% identity in 248 aa overlap). Contains PS00017 ATP/GTP-binding site motif A (P-loop) and PS00211 ABC transporters family signature. Belongs to the ATP-binding transport protein family (ABC transporters).</t>
  </si>
  <si>
    <t>Rv1459c, (MTV007.06c), len: 591 aa. Predicted to be in the GT-C superfamily of glycosyltransferases (See Liu and Mushegian, 2003). Possible conserved integral membrane protein, equivalent to MLCL536.30|Z99125 hypothetical protein from Mycobacterium leprae (593 aa), FASTA scores: opt: 1670, E(): 0, (78.6% identity in 585 aa overlap). Also similar to M. tuberculosis protein Rv2174|MTV021.07 (33.1% identity in 523 aa overlap).</t>
  </si>
  <si>
    <t>Rv1460, (MTV007.07), len: 268 aa. Probable transcriptional regulatory protein. Equivalent to Z99125|MLCL536.29c hypothetical protein from Mycobacterium leprae (254 aa), FASTA scores: opt: 1273, E(): 0, (79.6% identity in 250 aa overlap). Possible helix-turn-helix motif between aa 68 - 89. Start changed since original submission.</t>
  </si>
  <si>
    <t>Rv1461, (MTV007.08), len: 846 aa. Conserved protein. Equivalent of spliced protein from Mycobacterium leprae MLCL536.28c len: 869. Residues 1-253 represent N-extein, and 613-846 the C-extein. The intein present from residues 254 - 612 is different in sequence and site of the insertion from the one present in MLCL536.28c. FASTA scores: Z99125|MLCL536_23 Mycobacterium leprae cosmid L536 (869 aa), opt: 1498 E(): 0, (54.1% identity in 917 aa overlap). The mature protein is similar to Z99120|BSUB0017_150 hypothetical Bacillus subtilis protein (465 aa), FASTA scores: opt:1053, E(): 0, (34.8% identity in 821 aa overlap). The intein shows some similarity to inteins from U67548|MJU67548_6 Methanococcus jannaschii (895 aa), FASTA scores: opt: 181, E(): 0.00023, (25.2% identity in 274 aa overlap).</t>
  </si>
  <si>
    <t>Rv1462, (MTV007.09), len: 397 aa. Conserved hypothetical protein. Equivalent to MLCL536.27c|Z99125 hypothetical protein from Mycobacterium leprae (392 aa), FASTA scores: opt: 2059, E(): 0, (80.4% identity in 392 aa overlap). Also similar to nearby Mycobacterium tuberculosis hypothetical protein Rv1461.</t>
  </si>
  <si>
    <t>Thought to be involved in active transport across the membrane. Responsible for energy coupling to the transport system.</t>
  </si>
  <si>
    <t>Probable conserved ATP-binding protein ABC transporter</t>
  </si>
  <si>
    <t>Rv1463, (MTV007.10), len: 266 aa. Probable conserved ATP-binding protein ABC transporter, equivalent to Z99125|MLCL536.26c putative ABC transporter ATP-binding protein from Mycobacterium leprae (260 aa), FASTA scores: opt: 1444, E(): 0, (86.0% identity in 267 aa overlap). Very similar to U38804|PPU38804_55 ATP-dependent transporter YCF16 from porphyra purpurea chloroplast (251 aa), FASTA scores: opt: 822, E(): 0, (52.4% identity in 248 aa overlap); and similar to others. Contains PS00017 ATP/GTP-binding site motif A (P-loop). Belongs to the ATP-binding transport protein family (ABC transporters).</t>
  </si>
  <si>
    <t>Catalyzes the removal of elemental sulfur and selenium atoms from L-cysteine, L-cystine, L-selenocysteine, and L-selenocystine to produce L-alanine</t>
  </si>
  <si>
    <t>Probable cysteine desulfurase Csd</t>
  </si>
  <si>
    <t>Rv1464, (MTV007.11), len: 417 aa. Probable csd, cysteine desulfurase. Equivalent to Q49690|MLCL536.25C cysteine desulfurase from Mycobacterium leprae (418 aa), FASTA scores: opt: 2333, E(): 0, (85.4% identity in 417 aa overlap); and similar to cysteine desulfurase from other organisms. Also similar to M. tuberculosis proteins Rv3025c|ISCS and Rv3778c. Contains PS00595 Aminotransferases class-V pyridoxal-phosphate attachment site. Belongs to class-V of pyridoxal-phosphate-dependent aminotransferases. CSD subfamily.</t>
  </si>
  <si>
    <t>Possible nitrogen fixation related protein</t>
  </si>
  <si>
    <t>Rv1465, (MTV007.12), len: 162 aa. Possible nitrogen fixation related protein. Equivalent to Z99125|MLCL536.24c nitrogen fixation protein NIFU from Mycobacterium leprae (165 aa), FASTA scores: opt: 870, E(): 0, (81.8% identity in 165 aa overlap). Also similar to O32163|Z99120|NIFU_BACSU NifU-like protein from Bacillus subtilis (147 aa), FASTA scores: opt: 354, E(): 4.1e-17, (38.3% identity in 141 aa overlap) and to AL096839|SCC22.02 hypothetical protein from Streptomyces coelicolor (156 aa), FASTA scores: opt: 569, E(): 1.2e-31, (56.3% identity in 158 aa overlap).</t>
  </si>
  <si>
    <t>Rv1466, (MTV007.13), len: 115 aa. Conserved protein. Equivalent to Z99125|MLCL536.23c hypothetical protein from Mycobacterium leprae (115 aa), FASTA scores: opt: 648, E(): 0, (81.7% identity in 115 aa overlap). Similar to ORF's downstream of sigma factors in Streptococcus mutans and Streptococcus pneumoniae e.g. O06451 ORF3 downstream of RpoD (SPDNAGCPO) (109 aa). Alternative TTG start possible at 13757 then avoids overlap with MTV007.12.</t>
  </si>
  <si>
    <t>Probable acyl-CoA dehydrogenase FadE15</t>
  </si>
  <si>
    <t>Rv1467c, (MTV007.14c), len: 609 aa. Probable fadE15, acyl-CoA dehydrogenase, highly similar to NP_302639.1|NC_002677 acyl-CoA dehydrogenase from Mycobacterium leprae (611 aa). Also highly similar to many e.g. T36481 probable acyl-CoA dehydrogenase (fragment) from Streptomyces coelicolor (491 aa) (has its N-terminus very shorter); NP_384640.1|NC_003047 putative acyl-CoA dehydrogenase protein from Sinorhizobium meliloti (598 aa); ACDS_MEGEL|Q06319 acyl-CoA dehydrogenase (short-chain specific) from Megasphaera elsdenii (383 aa), FASTA scores: E(): 2e-12, (25.4% identity in 410 aa overlap); etc. Also highly similar to fadE5|Rv0244c|MTV034.10c acyl-CoA dehydrogenase from Mycobacterium tuberculosis (611 aa); and similar to other proteins from Mycobacterium tuberculosis.</t>
  </si>
  <si>
    <t>PE-PGRS family protein PE_PGRS29</t>
  </si>
  <si>
    <t>Rv1468c, (MTV007.15c), len: 370 aa. PE_PGRS29, Member of the Mycobacterium tuberculosis PE family, PGRS subfamily of gly-rich proteins (see citation below).</t>
  </si>
  <si>
    <t>Cation-transporting ATPase; possibly catalyzes the transport of a cation (possibly cadmium) with the hydrolyse of ATP [catalytic activity: ATP + H(2)O + cation(in) = ADP + phosphate + cation(out)].</t>
  </si>
  <si>
    <t>Probable cation transporter P-type ATPase D CtpD</t>
  </si>
  <si>
    <t>Rv1469, (MTV007.16), len: 657 aa. Probable ctpD, cation-transporting P-type ATPase D (transmembrane protein), highly similar to others e.g. T35947 probable cation-transporting ATPase from Streptomyces coelicolor (638 aa); NP_442633.1|NC_000911 cation-transporting ATPase (E1-E2 ATPase) from Synechocystis sp. strain PCC 6803 (642 aa), FASTA scores: opt: 1438, E(): 0, (41.9% identity in 592 aa overlap); NP_389268.1|NC_000964 protein similar to heavy metal-transporting ATPase from Bacillus subtilis (637 aa); etc. Also highly similar to others from Mycobacterium tuberculosis e.g. Rv3743c|MTV025.091c|CTPJ (660 aa). Contains PS00154 E1-E2 ATPases phosphorylation site. Belongs to the cation transport ATPases family (E1-E2 ATPases), subfamily IB.</t>
  </si>
  <si>
    <t>Probable thioredoxin TrxA</t>
  </si>
  <si>
    <t>Rv1470, (MTV007.17), len: 124 aa. Probable trxA, thioredoxin, similar to many e.g. P12243|THI1_SYNP7 thioredoxin 1 from Synechococcus sp. (106 aa), FASTA scores: opt: 201, E(): 9.2e-08, (35.4% identity in 99 aa overlap); etc. Highly similar to downstream ORF Rv1471|trxB1 probable thioredoxin from Mycobacterium tuberculosis (123 aa), FASTA scores: opt: 402, E(): 0, (54.4% identity in 114 aa overlap). Warning: note that Rv3914|MT4033|MTV028.05|trxC can be alternatively named trxA.</t>
  </si>
  <si>
    <t>Probable thioredoxin TrxB1</t>
  </si>
  <si>
    <t>Rv1471, (MTV007.18), len: 123 aa. Probable trxB1, thioredoxin, similar to many bacterial thioredoxins e.g. P33636|THI2_ECOLI from Escherichia coli (139 aa), FASTA scores: opt: 290, E(): 1.8e-13, (44.3% identity in 97 aa overlap); etc. Highly similar to Rv1470|TrxA probable thioredoxin from Mycobacterium tuberculosis (124 aa), FASTA scores: opt: 402, E(): 1.2e-32, (54.4% identity in 114 aa overlap). Contains PS00194 Thioredoxin family active site. Belongs to the thioredoxin family. Note that previously known as trxB.</t>
  </si>
  <si>
    <t>Possible enoyl-CoA hydratase EchA12 (enoyl hydrase) (unsaturated acyl-CoA hydratase) (crotonase)</t>
  </si>
  <si>
    <t>Rv1472, (MTV007.19), len: 285 aa. Possible echA12, enoyl-CoA hydratase, highly similar to P53526|ECHH_MYCLE|NP_301896.1|NC_002677 possible enoyl-CoA hydratase/isomerase from Mycobacterium leprae (294 aa), FASTA scores: opt: 1265, E(): 0, (72.0% identity in 271 aa overlap). Also similar to others e.g. CAA66096.1|X97452 enoyl-CoA isomerase from Escherichia coli strain K12 (262 aa); CAC44593.1|AL596162 putative enoyl-CoA hydratase from Streptomyces coelicolor (275 aa); etc. Also similar to others from Mycobacterium tuberculosis e.g. ECHA16|Rv2831|MTCY16B7.11c (249 aa), FASTA scores: opt: 232, E(): 1.3e-15, (33.8% identity in 204 aa overlap); etc.</t>
  </si>
  <si>
    <t>Thought to be involved in active transport of macrolide across the membrane (export). Macrolide antibiotics resistance by an export mechanism. Responsible for energy coupling to the transport system.</t>
  </si>
  <si>
    <t>Probable macrolide-transport ATP-binding protein ABC transporter</t>
  </si>
  <si>
    <t>Rv1473, (MTV007.20), len: 542 aa. Possible macrolide-transport ATP-binding protein ABC transporter (see citation below), possibly in EF-3 subfamily. Similar to many ABC-transporters e.g. D90909_48|YHES_HAEIN from Synechocystis sp. strain PCC6803 (574 aa), FASTA scores: opt: 870, E(): 0, (33.3% identity in 525 aa overlap); P44808|YHES_HAEIN from Haemophilus influenzae (638 aa), FASTA scores: opt: 706, E(): 0, (33.7% identity in 517 aa overlap); etc. Contains two PS00017 ATP/GTP-binding site motif A (P-loop), and two PS00211 ABC transporter family signatures. Belongs to the ATP-binding transport protein family (ABC transporters).</t>
  </si>
  <si>
    <t>Rv1473A</t>
  </si>
  <si>
    <t>Possibly involved in transcriptional mechanism</t>
  </si>
  <si>
    <t>Rv1473A, len: 63 aa. Possible transcriptional regulator, CDS predicted by GC plot. Similar to SCI8.24c|AL132644_24 putative transcriptional regulator from Streptomyces coelicolor (73 aa), FASTA scores: opt: 210, E(): 1.5e-08, (56.15% identity in 57 aa overlap).</t>
  </si>
  <si>
    <t>Rv1474c, (MTV007.21c), len: 187 aa. Probable transcription regulator, equivalent to AF0021|AF002133_1 transcriptional regulator from Mycobacterium avium strain GIR10 (82 aa), FASTA scores: opt: 490, E(): 6.7e-26, (92.5% identity in 80 aa overlap). Also similar to Q59431|UIDR_ECOLI UID operon repressor (GUS operon) from Escherichia coli (196 aa), FASTA scores: opt: 192, E(): 5.8e-06, (28.5% identity in 172 aa overlap). Belongs to the TetR/AcrR family of transcriptional regulators. Helix turn helix motif predicted at aa 33-54 (+3.40 SD).</t>
  </si>
  <si>
    <t>Involved in tricarboxylic acid cycle [catalytic activity: citrate = cis-aconitate + H2O]</t>
  </si>
  <si>
    <t>Probable iron-regulated aconitate hydratase Acn (citrate hydro-lyase) (aconitase)</t>
  </si>
  <si>
    <t>Rv1475c, (MTV007.22c), len: 943 aa. Probable acn, iron-regulated aconitate hydratase, similar to many e.g. P70920|ACON_BRAJA aconitate hydratase from Bradyrhizobium japonicum (906 aa), FASTA scores: opt:1912, E(): 0, (54.8% identity in 958 aa overlap); closest to AF0021|AF002133_2 Mycobacterium avium strain GIR10 (961 aa), FASTA scores: opt: 5072, E(): 0, (82.8% identity in 943 aa overlap). Note aconitase has an active (4FE-4S) and an inactive (3FE-4S) forms. The active (4FE-4S) cluster is part of the catalytic site that interconverts citrate, cis-aconitase, and isocitrate.</t>
  </si>
  <si>
    <t>Rv1476</t>
  </si>
  <si>
    <t>Rv1476, (MTV007.23), len: 186 aa. Possibly membrane protein, TMhelix 138-60. A core mycobacterial gene; conserved in mycobacterial strains (See Marmiesse et al., 2004).</t>
  </si>
  <si>
    <t>ripA</t>
  </si>
  <si>
    <t>Unknown, but supposed involvement in virulence.</t>
  </si>
  <si>
    <t>Peptidoglycan hydrolase</t>
  </si>
  <si>
    <t>Rv1477, (MTV007.24), len: 472 aa. RipA, peptidoglycan hydrolase (see Hett et al., 2007). Secreted, cell-associated protein. The last 277 residues are nearly identical to those of AF0060|AF006054_1 hypothetical invasion protein INV1 from Mycobacterium tuberculosis (277 aa), FASTA scores: opt: 1833, E(): 0, (98.2% identity in 277 aa overlap); also very similar to AF0021|AF002133_4 invasin 1 protein from Mycobacterium avium (273 aa), FASTA scores: opt: 1452, E(): 0, (78.1% identity in 279 aa overlap). Similar to Rv1566c|MTCY336.37|Z95586 Mycobacterium tuberculosis cosmid (230 aa), FASTA scores: opt: 528, E(): 4.4e-20, (52.0% identity in 150 aa overlap); and weakly similar to p60 proteins of Listeria spp throughout its length e.g. M80351|LISIAPB_1 Listeria monocytogenes iap-related protein (478 aa), FASTA scores: opt: 251, E(): 8e-06, (24.4% identity in 487 aa overlap). C-terminal domain highly similar to next orf Rv1478|MTV007.25. Interacts with RpfB and RpfE (see Hett et al., 2007). Predicted to be an outer membrane protein (See Song et al., 2008).</t>
  </si>
  <si>
    <t>Possible invasion protein</t>
  </si>
  <si>
    <t>Rv1478, (MTV007.25), len: 241 aa. Possible invasion protein. Possibly exported protein, nearly identical to AF0060|AF006054_2 hypothetical invasion protein INV2 of Mycobacterium tuberculosis (240 aa), FASTA scores: opt: 1509, E(): 0, (95.0% identity in 241 aa overlap); very similar to AF0021|AF002133_5 hypothetical invasion protein INV2 from Mycobacterium avium (244 aa), FASTA scores: opt: 1269, E():0, (78.0% identity in 246 aa overlap). Also similar to Mycobacterium tuberculosis protein MTCY336.37 and weakly similar to C-terminal segment of p60 proteins of Listeria spp.e.g. Q01836|P60_LISIN protein P60 precursor (481 aa), FASTA scores: opt: 241, E():4e-07, (37.7% identity in 122 aa overlap). Highly similar to C-terminal domain of preceeding ORF Rv1477|MTV007.24 (472 aa), FASTA scores: opt: 864, E(): 0, (60.1% identity in 213 aa overlap). Predicted to be an outer membrane protein (See Song et al., 2008).</t>
  </si>
  <si>
    <t>Probable transcriptional regulatory protein MoxR1</t>
  </si>
  <si>
    <t>Rv1479, (MTV007.26), len: 377 aa. Probable moxR1, transcriptional regulatory protein, similar to X96434|BBGIDBMOX_2 moxR regulator from Borrelia burgdorferi (329 aa), FASTA scores: opt: 850, E():0, (43.5% identity in 317 aa overlap); and P. denitrificans. Highly similar to MoxR homologs of Mycobacterium tuberculosis and Mycobacterium avium (but these both differ at C-terminus) e.g. Rv3692, Rv3164c, and AF0021|AF002133_6 Mycobacterium avium strain GIR10 (309 aa), FASTA scores: opt: 1181, E(): 0, (83.7% identity in 227 aa overlap). Also similar to O33173|AF006054 MoxR fragment from Mycobacterium tuberculosis (211 aa), FASTA scores: opt: 1305, E(): 0, (94.3% identity in 212 aa overlap). Note that previously known as moxR.</t>
  </si>
  <si>
    <t>Rv1480, (MTV007.27,MTCY227.01), len: 317 aa. Conserved protein, last 110 aa residues correspond to first 110 aa of YS01_MYCAV|O07394 hypothetical 18.7 kDa Mycobacterium avium protein MAV169 (169 aa), FASTA scores: opt: 642, E(): 0, (84.2% identity in 114 aa overlap). Also similar to Mycobacterium tuberculosis hypothetical proteins Rv3163c and Rv3693.</t>
  </si>
  <si>
    <t>Rv1481, (MTCY277.02), len: 335 aa. Probable membrane protein, highly similar to YS02_MYCAV|O07395 hypothetical 36.1 kDa protein mav335 from Mycobacterium avium (335 aa), FASTA scores: opt: 1904, E(): 0, (89.0% identity in 337 aa overlap). Similar to AF116251|AF116251_1 BatA protein from Bacteroides fragilis (327 aa), FASTA scores: opt: 317, E(): 2e-12, (26.5% identity in 340 aa overlap).</t>
  </si>
  <si>
    <t>Rv1482c, (MTCY277.03c), len: 280 aa. Conserved hypothetical protein, highly similar to O07396|AF002133 Mycobacterium avium protein MAV346 (346 aa), FASTA scores: E(): 0, (65.2% identity in 342 aa overlap); slight similarity to GRPE_ECOLI|P09372 heat shock protein from E. coli (197 aa), FASTA scores: opt: 139, E(): 0.012, (28.3% identity in 159 aa overlap). Similar to Mycobacterium tuberculosis hypothetical proteins Rv3517, Rv3555c, Rv3714c, Rv1073, etc. Start changed since first submission (-59 aa).</t>
  </si>
  <si>
    <t>Involved in the fatty acid biosynthesis pathway (first reduction step) (mycolic acid biosynthesis); reduces KASA/KASB products [catalytic activity: (3R)-3-hydroxyacyl-[acyl-carrier protein] + NADP+ = 3-oxoacyl-[acyl-carrier protein] + NADPH].</t>
  </si>
  <si>
    <t>3-oxoacyl-[acyl-carrier protein] reductase FabG1 (3-ketoacyl-acyl carrier protein reductase) (mycolic acid biosynthesis a protein)</t>
  </si>
  <si>
    <t>Rv1483, (MTCY277.04), len: 247 aa. FabG1 (alternate gene name: mabA), 3-oxoacyl-[acyl-carrier protein] reductase (see citations below), equivalent to O07399|FABG_MYCAV 3-oxoacyl-[acyl-carrier protein] reductase from Mycobacterium avium (255 aa); P71534|FABG_MYCSM 3-oxoacyl-[acyl-carrier protein] reductase from Mycobacterium smegmatis (255 aa); and NP_302228.1|NC_002677 3-oxoacyl-[ACP] reductase (aka MabA) from Mycobacterium leprae (253 aa). Also highly similar to many e.g. T36779 probable 3-oxacyl-(acyl-carrier-protein) reductase from Streptomyces coelicolor (234 aa); FABG_ECOLI|P25716|NP_415611.1|NC_000913 3-oxoacyl-[acyl-carrier-protein] reductase from Escherichia coli strain K12 (244 aa), FASTA scores: opt: 664, E(): 6.8e-35, (44.4% identity in 241 aa overlap); etc. Contains PS00061 Short-chain dehydrogenases/reductases family signature. Belongs to the short-chain dehydrogenases/reductases (SDR) family.</t>
  </si>
  <si>
    <t>This isozyme is involved in mycolic acid biosynthesis. Second reductive step in fatty acid biosynthesis. Involved in the resistance against the antituberculosis drugs isoniazid and ethionamide [catalytic activity: acyl-[acyl-carrier protein] + NAD(+) = trans-2,3-dehydroacyl-[acyl-carrier protein] + NADH].</t>
  </si>
  <si>
    <t>NADH-dependent enoyl-[acyl-carrier-protein] reductase InhA (NADH-dependent enoyl-ACP reductase)</t>
  </si>
  <si>
    <t>Rv1484, (MTCY277.05), len: 269 aa. InhA, NADH-dependent enoyl-[acyl-carrier-protein] reductase (see citations below). Identical to INHA_MYCTU|P46533 enoyl-[acyl-carrier-protein] reductase from Mycobacterium tuberculosis and G1155270 Mycobacterium bovis enoyl acp reductase. Some similarity to the short-chain dehydrogenases/reductases (SDR) family.</t>
  </si>
  <si>
    <t>hemZ</t>
  </si>
  <si>
    <t>Involved in protoheme biosynthesis (last step). Catalyzes the insertion of ferrous iron into protoporphyrin IX to form protoheme [catalytic activity: protoporphyrin + FE(2+) = protoheme + 2 H(+)].</t>
  </si>
  <si>
    <t>Ferrochelatase HemZ (protoheme ferro-lyase) (heme synthetase)</t>
  </si>
  <si>
    <t>Rv1485, (MTCY277.06), len: 344 aa. HemZ, ferrochelatase (see citation below), similar to many e.g. HEMZ_BACSU|P32396 ferrochelatase from Bacillus subtilus (310 aa), FASTA scores: opt:490, E(): 2e-24, (30.2% identity in 295 aa overlap); etc. Belongs to the ferrochelatase family.</t>
  </si>
  <si>
    <t>Rv1486c, (MTCY277.07c), len: 288 aa. Conserved hypothetical protein, highly similar to YS07_MYCAV|O07402 hypothetical 33.5 kDa protein mav321 from Mycobacterium avium (320 aa), FASTA scores: opt: 1217, E(): 0, (71.1% identity in 315 aa overlap). Weak similarity to AL079332|SCI5.07 hypothetical protein from Streptomyces coelicolor (259 aa), FASTA scores: opt: 131, E(): 0.29, (32.3% identity in 279 aa overlap). Start changed since original submission.</t>
  </si>
  <si>
    <t>Rv1487, (MTCY277.08), len: 144 aa. Conserved membrane protein. Highly similar to O07404|AF002133 MAV145 from Mycobacterium avium (145 aa), FASTA scores: opt: 667, E(): 0, (72.5% identity in 142 aa overlap). Also similar to AL079332|SCI5.05 hypothetical protein from Streptomyces coelicolor (143 aa), FASTA scores: opt: 344, E(): 1.3e-15, (44.8% identity in 134 aa overlap).</t>
  </si>
  <si>
    <t>Possible exported conserved protein</t>
  </si>
  <si>
    <t>Rv1488, (MTCY277.09), len: 381 aa. Possible exported conserved protein; contains possible N-terminal signal sequence. Similar to YBBK_ECOLI|P77367 hypothetical protein ybbK from Escherichia coli (305 aa), FASTA scores: opt: 716, E(): 0, (37.1% identity in 307 aa overlap). Similar to stomatin-like proteins e.g. AF065260|AF065260_1 Clostridium difficile (320 aa), FASTA scores: opt: 767, E(): 0, (42.3% identity in 307 aa overlap). Predicted to be an outer membrane protein (See Song et al., 2008).</t>
  </si>
  <si>
    <t>Rv1489, len: 118 aa. Conserved protein, similar to hypothetical proteins from Mycobacterium avium subsp. paratuberculosis and Streptomyces coelicolor e.g. AJ250017_1 insertion sequence IS900, Locus 3, putative invasion protein from M. paratuberculosis (138 aa), FASTA scores: opt: 120, E(): 0.26, (34.375% identity in 96 aa overlap); SCD6.11c|AL353815_11 possible integral membrane protein from Streptomyces coelicolor (136 aa), FASTA scores: opt: 106, E(): 2.2, (35.9% identity in 103 aa overlap). ORF predicted by GC plot. Replaces previous Rv1489c on other strand.</t>
  </si>
  <si>
    <t>Rv1489A</t>
  </si>
  <si>
    <t>Rv1489A, len: 76 aa. Conserved protein, similar to part of alpha subunit of many methylmalonyl-CoA mutases (~750 aa). Size difference suggests possible gene fragment although Mycobacterium tuberculosis has intact methylmalonyl-CoA mutase gene. P71774|MUTB_MYCTU probable methylmalonyl-CoA mutase from Mycobacterium tuberculosis (750 aa), FASTA scores: opt: 258, E(): 3.2e-10, (73.35% identity in 60 aa overlap). ORF predicted by GC plot.</t>
  </si>
  <si>
    <t>Rv1490, (MTCY277.12), len: 435 aa. Probable membrane protein.</t>
  </si>
  <si>
    <t>Rv1491c, (MTCY277.13c), len: 252 aa. Conserved membrane protein. Similar to hypothetical proteins from many organisms e.g. YDJZ_ECOLI|P76221 Escherichia coli (235 aa), FASTA scores: opt: 223, E():6.7 e-07, (31.7% identity in 145 aa overlap); AL133252|SCE46.15 Streptomyces coelicolor (249 aa), FASTA scores: opt: 378, E(): 1.5e-17, (39.1% identity in 169 aa overlap). Also similar to Mycobacterium tuberculosis hypothetical protein Rv0625c.</t>
  </si>
  <si>
    <t>Involved in propionic acid fermentation. Catalyzes the isomerization of succinyl-CoA to methylmalonyl-CoA during synthesis of propionate from tricarboxylic acid-cycle intermediates [catalytic activity: (R)-2-methyl-3-oxopropanoyl-CoA = succinyl- CoA]</t>
  </si>
  <si>
    <t>Probable methylmalonyl-CoA mutase small subunit MutA (MCM)</t>
  </si>
  <si>
    <t>Rv1492, (MTCY277.14), len: 615 aa. Probable mutA, Methylmalonyl-CoA mutase small-subunit, strong similarity to e.g. MUTA_STRCM|Q05064 methylmalonyl-CoA mutase beta-subunit from Streptomyces cinnamonensis (616 aa), FASTA scores: opt: 1512, E(): 0, (45.9% identity in 628 aa overlap). Contains PS00213 Lipocalin signature, PS00544 Methylmalonyl-CoA mutase signature. Belongs to the methylmalonyl-CoA mutase family.</t>
  </si>
  <si>
    <t>Involved in propionic acid fermentation. Catalyzes the isomerization of succinyl-CoA to methylmalonyl-CoA during synthesis of propionate from tricarboxylic acid-cycle intermediates [catalytic activity : (R)-2-methyl-3-oxopropanoyl-CoA = succinyl- CoA.]</t>
  </si>
  <si>
    <t>Probable methylmalonyl-CoA mutase large subunit MutB (MCM)</t>
  </si>
  <si>
    <t>Rv1493, (MTCY277.15), len: 750 aa. Probable mutB, Methylmalonyl-CoA mutase large-subunit, strong similarity to e.g. MUTB_STRCM|Q05065 methylmalonyl-CoA mutase alpha-subunit from Streptomyces cinnamonensis (733 aa), FASTA scores: opt: 3562, E(): 0, (75.8% identity in 730 aa overlap). Contains PS00544 Methylmalonyl-CoA mutase signature. Belongs to the methylmalonyl-CoA mutase family.</t>
  </si>
  <si>
    <t>mazE4</t>
  </si>
  <si>
    <t>Possible antitoxin MazE4</t>
  </si>
  <si>
    <t>Rv1494, (MTCY277.16), len: 100 aa. Possible mazE4, antitoxin, part of toxin-antitoxin (TA) operon with Rv1495 (See Pandey and Gerdes, 2005; Zhu et al., 2006).</t>
  </si>
  <si>
    <t>mazF4</t>
  </si>
  <si>
    <t>Rv1495</t>
  </si>
  <si>
    <t>Possible toxin MazF4</t>
  </si>
  <si>
    <t>Rv1495, (MTCY277.17), len: 105 aa. Possible mazF4, toxin, part of toxin-antitoxin (TA) operon with Rv1494 (See Pandey and Gerdes, 2005; Zhu et al., 2006), some similarity to Rv1942c|MTCY09F9.22 hypothetical protein from Mycobacterium tuberculosis (109 aa) (0.7% identity in 101 aa overlap) and Rv0659c, Rv1102c.</t>
  </si>
  <si>
    <t>Possibly involved in transport (possibly arginine)</t>
  </si>
  <si>
    <t>Possible transport system kinase</t>
  </si>
  <si>
    <t>Rv1496, (MTCY277.18), len: 334 aa. Possible transport system kinase. Equivalent to NP_302220.1|NC_002677 putative kinase from Mycobacterium leprae (327 aa). Highly similar to several transport system kinases and NTPase transporters e.g. P27254|ARGK_ECOLI|B2918 LAO/AO transport system kinase from Escherichia coli K12 (331 aa) (see citation below); NP_311815.1|NC_002695 ATPase component of two convergent arginine transporter from Escherichia coli O157:H7 (331 aa); etc. Also similar to YPLE_CAUCR|P37895 hypothetical 34.6 kDa protein in Caulobacter crescentus (326 aa), FASTA scores, opt: 1125, E(): 0, (55.7% identity in 316 aa overlap).</t>
  </si>
  <si>
    <t>Function unknown, but supposed involvement in lipid metabolism</t>
  </si>
  <si>
    <t>Probable esterase LipL</t>
  </si>
  <si>
    <t>Rv1497, (MTCY277.19), len: 429 aa. Probable LipL, esterase, very similar to Mycobacterium tuberculosis hypothetical esterases and penicillin binding proteins e.g. Rv1923, Rv2463, Rv3775, etc. Also similar to G151214|M68491 esterase estA from Pseudomonas sp (389 aa), FASTA scores: opt: 604, E(): 1e-31, (34.4% identity in 389 aa overlap).</t>
  </si>
  <si>
    <t>Rv1498A</t>
  </si>
  <si>
    <t>Rv1498A, len: 70 aa. Conserved protein, highly similar to other hypothetical proteins e.g. from Streptomyces coelicolor, Sinorhizobium meliloti and Pseudomonas aeruginosa.</t>
  </si>
  <si>
    <t>Rv1498c, (MTCY277.20c), len: 205 aa. Probable methyltransferase. Similar to G2792343|AF040571 methyltransferase from amycolatopsis mediterranei (272 aa), FASTA scores: E(): 5.1e-11, (32.3% identity in 124 aa overlap). Contains PS00017 ATP/GTP-binding site motif A.</t>
  </si>
  <si>
    <t>Rv1499</t>
  </si>
  <si>
    <t>Rv1499, (MTCY277.21), len: 132 aa. Hypothetical unknown protein; was initially longer but has been shortened (-24 aa) owing to overlap with Rv1498A. This region is a possible MT-complex-specific genomic island (See Becq et al., 2007).</t>
  </si>
  <si>
    <t>Probable glycosyltransferase</t>
  </si>
  <si>
    <t>Rv1500, (MTCY277.22), len: 342 aa. Probable glycosyltransferase, hydrophobic domain near C-terminus. Some similarity to putative glycosyl-transferases from Bacillus subtilis e.g. O34319|YKCC_BACSU (323 aa), opt: 490, E(): 6.1e-25, (28.85% identity in 312 aa overlap) and to N-acetyl glucosamine transferases. Also similar to G1001347 hypothetical 36.7 kDa protein (318 aa), FASTA scores: opt: 523, E(): 7.2e-26, (30.6% identity in 307 aa overlap).</t>
  </si>
  <si>
    <t>Rv1501, (MTCY277.23), len: 273 aa. Conserved hypothetical protein, some similarity to O06374|Rv3633|MTCY15C10.19C hypothetical protein from Mycobacterium tuberculosis, FASTA scores: E(): 3.9e-10, (27.5% identity in 280 aa overlap).</t>
  </si>
  <si>
    <t>Rv1502, (MTCY277.24), len: 299 aa. Hypothetical unknown protein.</t>
  </si>
  <si>
    <t>Rv1503c</t>
  </si>
  <si>
    <t>Rv1503c, (MTCY277.25c), len: 182 aa. Conserved hypothetical protein, similar to C-terminal region of P27833|RFFA_ECOLI lipopolysaccharide biosynthesis protein from Escherichia coli (376 aa), FASTA scores: opt: 565, E(): 0, (49.4% identity in 170 aa overlap); Rv1503c and Rv1504c are both similar to RFFA_ECOLI but are separated by a stop codon, sequence appears to be correct so possible pseudogene.</t>
  </si>
  <si>
    <t>Rv1504c, (MTCY277.26c), len: 199 aa. Conserved hypothetical protein, similar to N-terminal region of P27833|RFFA_ECOLI lipopolysaccharide biosynthesis protein from Escherichia coli (376 aa), FASTA scores: opt: 863, E(): 0, (68.0% identity in 194 aa overlap); Rv1503c and Rv1504c are similar to RFFA_ECOLI but are separated by a stop codon, sequence appears to be correct so possible pseudogene.</t>
  </si>
  <si>
    <t>Rv1505c, (MTCY277.27c), len: 221 aa. Conserved hypothetical protein, some similarity to hypothetical proteins and glycosylases e.g. P71063|O08181 hypothetical 22.5 kDa protein YVFD from Bacillus subtilis (216 aa), FASTA scores: E(): 2.4e-08, (25.5% identity in 196 aa overlap).</t>
  </si>
  <si>
    <t>Rv1506c</t>
  </si>
  <si>
    <t>Rv1506c, (MTCY277.28c), len: 166 aa. Hypothetical unknown protein.</t>
  </si>
  <si>
    <t>Rv1507A</t>
  </si>
  <si>
    <t>Rv1507A, len: 167 aa. Hypothetical unknow protein. Shows weak similarity with C-terminus of Q9XHQ7|CDA9 cytidine deaminase 9 from Arabidopsis thaliana (Mouse-ear cress) (298 aa), FASTA scores: opt: 104, E(): 4.2, (33.6% identity in 133 aa overlap), blastp scores: Score: 77, Identities: 39/133 (29%), Positives: 62/133 (46%).</t>
  </si>
  <si>
    <t>Rv1507c</t>
  </si>
  <si>
    <t>Rv1507c, (MTCY277.29c), len: 231 aa. Conserved protein. Similar to AJ007747|BBR007747_6 Hypothetical protein BbLPS1.06 from Bordetella bronchiseptica cosmid (239 aa), FASTA scores: opt: 362, E(): 1.3e-17, (30.8% identity in 221 aa overlap).</t>
  </si>
  <si>
    <t>Rv1508A</t>
  </si>
  <si>
    <t>Rv1508A, len: 120 aa. Conserved hypothetical protein, highly similar to central part of glycosyl transferases from various mycobacteria and eubacteria e.g. P71790|MTCY277.33|Rv1511 Hypothetical protein from M. tuberculosis (340 aa), FASTA scores: opt: 210, E(): 2.5 e-09, (42.9% identity in 105 aa overlap).</t>
  </si>
  <si>
    <t>Rv1508c</t>
  </si>
  <si>
    <t>Rv1508c, (MTCY277.30c), len: 599 aa. Predicted to be in the GT-C superfamily of glycosyltransferases (See Liu and Mushegian, 2003). Probable membrane protein.</t>
  </si>
  <si>
    <t>Rv1509</t>
  </si>
  <si>
    <t>Rv1509, (MTCY277.31), len: 293 aa. Hypothetical unknown protein.</t>
  </si>
  <si>
    <t>Rv1510</t>
  </si>
  <si>
    <t>Conserved probable membrane protein</t>
  </si>
  <si>
    <t>Rv1510, (MTCY277.32), len: 432 aa. Probable membrane protein. Highly similar to Rv3630|MTCY15C10.22 (431 aa), FASTA scores: E(): 0, (70.8% identity in 424 aa overlap).</t>
  </si>
  <si>
    <t>gmdA</t>
  </si>
  <si>
    <t>Rv1511</t>
  </si>
  <si>
    <t>Unknown, probably involved in nucleotide-sugar metabolism</t>
  </si>
  <si>
    <t>GDP-D-mannose dehydratase GmdA (GDP-mannose 4,6 dehydratase) (GMD)</t>
  </si>
  <si>
    <t>Rv1511, (MTCY277.33), len: 340 aa. Probable gmdA, GDP-D-mannose dehydratase, equivalent to AF125999|AF125999_13 Mycobacterium avium enzyme (343 aa), FASTA scores: opt: 2085, E(): 0, (89.1% identity in 338 aa overlap); similar to G755218 pseudomonas aeruginosa GDP-D-mannose dehydratase (GCA) (323 aa), FASTA scores: opt: 1073, E(): 0, (51.9% identity in 320 aa overlap); and to S74433 GDP-D-mannose dehydratase rfbD - Syn (362 aa), FASTA scores: opt: 1405, E(): 0, (63.9% identity in 327 aa overlap).</t>
  </si>
  <si>
    <t>epiA</t>
  </si>
  <si>
    <t>Rv1512</t>
  </si>
  <si>
    <t>Probable nucleotide-sugar epimerase EpiA</t>
  </si>
  <si>
    <t>Rv1512, (MTCY277.34), len: 322 aa. Probable epiA, nucleotide sugar epimerase, equivalent to AJ223832|MAS223832_4 from Mycobacterium avium silvaticum (339 aa), FASTA scores: opt: 1821, E(): 0, (84.6% identity in 318 aa overlap); and similar to WCAG_ECOLI|P32055 colanic acid biosynthesis protein wcaG (321 aa), FASTA scores: opt: 835, E(): 0, (53.5% identity in 316 aa overlap).</t>
  </si>
  <si>
    <t>Rv1513</t>
  </si>
  <si>
    <t>Rv1513, (MTCY277.35), len: 243 aa. Conserved protein, similar to hypothetical proteins from several organisms e.g. AJ223833|MAP223833_3 from Mycobacterium avium paratuberculosis (240 aa), FASTA scores: opt: 1053 E(): 0, (66.3% identity in 243 aa overlap); P74191|SLL1173 from Synechocystis (244 aa), FASTA scores: opt: 276, E(): 1.1e-07, (32.2 % identity in 202 aa overlap). Also highly similar to P95136|Q50460|MTCY349.33c|Rv2956 from Mycobacterium tuberculosis (243 aa), (70.0% identity in 237 aa overlap).</t>
  </si>
  <si>
    <t>Rv1514c</t>
  </si>
  <si>
    <t>Rv1514c, (MTCY277.36c), len: 262 aa. Conserved hypothetical protein. Similar to other hypothetical proteins, and to WCAE_ECOLI|P71239 putative colanic acid biosynthesis glycosyl transferase (248 aa), FASTA scores: opt: 231, E(): 4.1e-08, (33.3% identity in 210 aa overlap). Also similar to Mycobacterium tuberculosis hypothetical glycosyltransferase, Rv2957.</t>
  </si>
  <si>
    <t>Rv1515c</t>
  </si>
  <si>
    <t>Rv1515c, (MTCY277.37c), len: 298 aa. Conserved hypothetical protein, similar to P71805|MTCY02B12.11C|Rv1377c Hypothetical protein from Mycobacterium tuberculosis, FASTA scores: E(): 1.3e-05, (25.4% identity in 134 aa overlap).</t>
  </si>
  <si>
    <t>Rv1516c</t>
  </si>
  <si>
    <t>Unknown; involved in cellular metabolism.</t>
  </si>
  <si>
    <t>Probable sugar transferase</t>
  </si>
  <si>
    <t>Rv1516c, (MTCY277.38c), len: 336 aa. Probable sugar transferase, similar to AB010970|AB010970_6 glycosyltransferase from Streptococcus mutans (465 aa), FASTA scores: opt: 388, E(): 4.1e-18, (32.7% identity in 214 aa overlap), slight similarity to SPSA_BACSU|P39621 spore coat polysaccharide biosynthesis (256 aa), fasta scores: opt: 185, E(): 6.5e-05, (26.2% identity in 187 aa overlap), strong similarity to Rv1520|MTCY19G5.08c probable sugar transferase from Mycobacterium tuberculosis (63.5% identity in 318 aa overlap).</t>
  </si>
  <si>
    <t>Rv1517, (MTCY277.39), len: 254 aa. Conserved hypothetical transmembrane protein, similar to G466802|LEPB1170_F2_64 from Mycobacterium leprae (230 aa), FASTA scores: opt: 282, E(): 2.2e-11, (34.1% identity in 255 aa overlap). Also similar to Mycobacterium tuberculosis Rv3821|MTCY409.09c (237 aa) (36.3% identity in 256 aa overlap); and Rv3481c.</t>
  </si>
  <si>
    <t>Unknown, possibly glycosyl transferase</t>
  </si>
  <si>
    <t>Rv1518, (MTCY277.40, MTCY19G5.11c), len: 319 aa. Conserved hypothetical protein, possibly glycosyl transferase involved in exopolysaccharide synthesis, similar to several hypothetical proteins and glycosyl transferases from diverse organisms e.g. P73996|D90911 from synecho cystis sp. (309 aa), Fasta scores: opt: 300, E(): 1.8e-13, (29.5% identity in 241 aa overlap).</t>
  </si>
  <si>
    <t>Rv1519, (MTCY19G5.09c), len: 89 aa. Conserved hypothetical protein, high similarity to C-terminus of Q50723|MTCY78.26|Rv3402c (412 aa) (58.1% identity in 74 aa overlap).</t>
  </si>
  <si>
    <t>Unknown; thought to be involved in cellular metabolism.</t>
  </si>
  <si>
    <t>Rv1520, (MTCY19G5.08c), len: 346 aa. Probable sugar transferase, similar to several e.g. AB010970|AB010970_6 Streptococcus mutans glycosyltransferase (465 aa), FASTA scores: opt: 381, E(): 1.2e-18, (31.7% identity in 240 aa overlap); O34234|Y07786 sugar transferase from Vibrio cholerae (337 aa), FASTA scores: opt: 214, E(): 8.4e-05, (25.9% identity in 212 aa overlap). Also strongly similar to Mycobacterium tuberculosis probable sugar transferase Rv1516c. Alternative nucleotide at position 1711627 (C-&gt;T; Y200Y) has been observed.</t>
  </si>
  <si>
    <t>Probable fatty-acid-AMP ligase FadD25 (fatty-acid-AMP synthetase) (fatty-acid-AMP synthase)</t>
  </si>
  <si>
    <t>Rv1521, (MTCY19G5.07), len: 583 aa. Probable fadD25, fatty-acid-AMP synthetase, highly similar to many e.g. P71495|U75685 acyl-CoA synthase from Mycobacterium bovis (582 aa), FASTA scores: opt: 2486, E(): 0, (63.4% identity in 584 aa overlap); NP_301232.1|NC_002677 acyl-CoA synthetase from Mycobacterium leprae (579 aa); etc. Also highly similar to others from Mycobacterium tuberculosis e.g. fadD24 (584 aa); fadD28 (580 aa); etc.</t>
  </si>
  <si>
    <t>Probable conserved transmembrane transport protein MmpL12</t>
  </si>
  <si>
    <t>Rv1522c, (MTCY19G5.06), len: 1146 aa. Probable mmpL12, conserved transmembrane transport protein (see Tekaia et al., 1999), member of RND superfamily. Strong similarity to many Mycobacterial membrane proteins e.g. Q49619|G466786 putative transport protein B1170_C1_181 from Mycobacterium leprae (1008 aa), FASTA scores: opt: 2418, E(): 0, (51.0% identity in 1006 aa overlap); etc. Also highly similar to MmpL8|MTCY48.08c|Rv3823c probable conserved transmembrane transport protein from Mycobacterium tuberculosis, FASTA score: (34.3% identity in 376 aa overlap); and some similarity to MmpL10|MTCY20G9|Rv1183 probable conserved transmembrane transport protein, FASTA score: (27.2% identity in 1011 aa overlap). Belongs to the MmpL family.</t>
  </si>
  <si>
    <t>Rv1523, (MTCY19G5.05c), len: 347 aa (start uncertain). Probable methyltransferase, similar to G560513|U0002O Mycobacterium leprae (270 aa), FASTA scores: opt: 965, E(): 0, (60.3% identity in 247 aa overlap). Also similar to many e.g. Q54303|X86780 methyltransferase RAPM from Streptomyces hygroscopicus (317 aa), FASTA scores: opt: 323, E(): 1e-15, (41.2% identity in 136 aa overlap). And similar to M. tuberculosis hypothetical proteins Rv2952, Rv1405c, Rv1403c, Rv0839.</t>
  </si>
  <si>
    <t>Rv1524, (MTCY19G5.04c), len: 414 aa. Probable glycosyltransferase, similar to many e.g. P96559|U84349 glycosyltransferase GTFB from Amycolatopsis orientalis (407 aa), FASTA scores: opt: 363, E(): 6.2e-23, (28.8% identity in 430 aa overlap); also high similarity to Rv1526c|MTCY19G5.02 Mycobacterium tuberculosis hypothetical protein (58.7% identity in 416 aa overlap); and AF143772|AF143772_15 glycosyltransferase gtfB from Mycobacterium avium strain 215 (418 aa), FASTA scores: opt: 1801, E(): 0, (65.2% identity in 417 aa overlap).</t>
  </si>
  <si>
    <t>Possibly involved in cell wall arabinogalactan linker formation: Uses dTDP-L-rhamnose as substrate to insert the rhamnosyl residue into the cell wall.</t>
  </si>
  <si>
    <t>Possible rhamnosyl transferase WbbL2</t>
  </si>
  <si>
    <t>Rv1525, (MT1576, MTCY19G5.03c), len: 261 aa. Possible wbbL2, rhamnosyl transferase (see citation below), showing weak similarity to several rhamnosyl transferases. Similar to AF105060|AF105060_1 Riftia pachyptila endosymbiont (746 aa), FASTA scores: opt: 183, E(): 0.00013, (35.2% identity in 105 aa overlap).</t>
  </si>
  <si>
    <t>Rv1526c, (MTCY19G5.02), len: 426 aa. Probable glycosyltransferase, highly similar to G467196 Protein L518_C2_147 from Mycobacterium leprae (421 aa), FASTA scores, opt: 1497, E(): 0, (55.0% identity in 424 aa overlap); similar to G452504 rhamnosyltransferase (24.7% identity in 433 aa overlap); and P96565|U84350 glycosyltransferase GTFE from Amycolatopsis orientalis (408 aa), E(): 3.4e-24, (28.4% identity in 429 aa overlap), also high similarity to Rv1524|MTCY19G5.04c (58.7 % identity in 416 aa overlap).</t>
  </si>
  <si>
    <t>Involved in polyketide metabolism.</t>
  </si>
  <si>
    <t>Probable polyketide synthase Pks5</t>
  </si>
  <si>
    <t>Rv1527c, (MTV045.01c-MTCY19G5.01), len: 2108 aa. Probable pks5, polyketide synthase, highly similar to many e.g. MCAS_MYCBO|Q02251 mycocerosic acid synthase from Mycobacterium bovis (2110 aa), FASTA scores: opt: 6270, E(): 0, (63.6% identity in 2126 aa overlap).</t>
  </si>
  <si>
    <t>papA4</t>
  </si>
  <si>
    <t>Rv1528c</t>
  </si>
  <si>
    <t>Probable conserved polyketide synthase associated protein PapA4</t>
  </si>
  <si>
    <t>Rv1528c, (MTV045.02), len: 165 aa. Probable papA4, conserved polyketide synthase (PKS) associated protein; shows some similarity to C-terminal part of hypothetical proteins from Mycobacterium tuberculosis and Mycobacterium leprae e.g. Z97188|MTCY409_10 Mycobacterium tuberculosis cosmid (468) (37.9% identity in 66 aa overlap); or U00010_11 Mycobacterium leprae cosmid B1170 (35.7% identity in 84 aa overlap). Also similar to Mycobacterium tuberculosis PKS-associated proteins Rv1182, Rv3824c, Rv3820c.</t>
  </si>
  <si>
    <t>Probable fatty-acid-AMP ligase FadD24 (fatty-acid-AMP synthetase) (fatty-acid-AMP synthase)</t>
  </si>
  <si>
    <t>Rv1529, (MTV045.03), len: 584 aa. Probable fadD24, fatty-acid-AMP synthetase, highly similar to many e.g. MBU75685_1|AAB52538.1|U75685 acyl-CoA synthase from Mycobacterium bovis (582 aa), FASTA score: (65.6% identity in 582 aa overlap); and many other fatty-acid-CoA synthetases from Mycobacteria e.g. fadD25|MTCY19G5_7 from Mycobacterium tuberculosis (583 aa), FASTA score: (68.7% identity in 584 aa overlap); fadD28|MTCY24G1_8 from Mycobacterium tuberculosis (580 aa), FASTA score: (66.0% identity in 582 aa overlap); NP_301232.1|NC_002677|U00010_6 from Mycobacterium leprae (372 aa), FASTA score: (57.6% identity in 342 aa overlap); FADD23|Rv3826|MTCY409.04c from Mycobacterium tuberculosis (584 aa), FASTA score: (63.2% identity in 584 aa overlap); etc.</t>
  </si>
  <si>
    <t>Catalyzes the reversible oxidation of ethanol to acetaldehyde with the concomitant reduction of NAD</t>
  </si>
  <si>
    <t>Probable alcohol dehydrogenase Adh</t>
  </si>
  <si>
    <t>Rv1530, (MTV045.04), len: 367 aa. Probable adh, alcohol dehydrogenase, zinc-dependent, similar to many e.g. AE0009|AE000958_23 Archaeoglobus fulgidus section 1 (402 aa), FASTA scores: opt: 423, E(): 1.8e-19, (31.7% identity in 341 aa overlap). Contains PS00059 Zinc-containing alcohol dehydrogenases signature.</t>
  </si>
  <si>
    <t>Rv1531, (MTV045.05), len: 188 aa. Conserved protein, similar to Rv0464c|MTV038.08c (190 aa), FASTA scores: E(): 4.8e-10, (30.9% identity in 175 aa overlap).</t>
  </si>
  <si>
    <t>Rv1532c, (MTCY07A7A.01c), len: 144 aa. Conserved hypothetical protein, similar to P20378|YPHR_HALHA Hypothetical 15.6 kDa protein from Halobacterium halobium (151 aa), FASTA scores: opt: 152, E():4.5e-05, (30.1% identity in 103 aa overlap).</t>
  </si>
  <si>
    <t>Rv1533, (MTCY07A7A.02), len: 375 aa. Conserved protein. Similar to 2NPD_NEUCR|Q01284 2-nitropropane dioxygenase precursor (378 aa), fasta scores: opt: 279, E(): 9.1e-11, (31.3% identity in 256 aa overlap). Also similar to Mycobacterium tuberculosis hypothetical proteins Rv1894c, Rv0021c, Rv3553, Rv2781c.</t>
  </si>
  <si>
    <t>Possibly involved in a transcriptional mechanism</t>
  </si>
  <si>
    <t>Probable transcriptional regulator</t>
  </si>
  <si>
    <t>Rv1534, (MTCY07A7A.03), len: 225 aa. Probable transcriptional regulator, similar to YCDC_ECOLI|P75899 hypothetical transcriptional regulator from Escherichia coli (212 aa), FASTA scores: opt: 166, E(): 9.8e-05, (24.2% identity in 219 aa overlap). Contains PS01081 Bacterial regulatory proteins, TetR family signature and helix turn helix motif (aa 41-62).</t>
  </si>
  <si>
    <t>Rv1535, (MTCY07A7A.04), len: 78 aa. Unknown protein.</t>
  </si>
  <si>
    <t>Charging ILE tRNA [catalytic activity: ATP + L-isoleucine + tRNA(ILE) = AMP + diphosphate + L-isoleucyl-tRNA(ILE)].</t>
  </si>
  <si>
    <t>Isoleucyl-tRNA synthetase IleS</t>
  </si>
  <si>
    <t>Rv1536, (MTCY48.29c-MTCCY07A7A.05), len: 1041 aa. ileS, Isoleucyl-tRNA synthetase , similar to several e.g. SYIC_YEAST P09436 isoleucyl-tRNA synthetase (1072 aa), FASTA scores: opt: 1447, E(): 0, (37.8% identity in 1072 aa overlap); contains PS00178 Aminoacyl-transfer RNA synthetases class-I signature. Belongs to class-I aminoacyl-tRNA synthetase family.</t>
  </si>
  <si>
    <t>Involved in DNA metabolism [catalytic activity: N deoxynucleoside triphosphate = N diphosphate + {DNA}N].</t>
  </si>
  <si>
    <t>Probable DNA polymerase IV DinX (pol IV 1) (DNA nucleotidyltransferase (DNA-directed))</t>
  </si>
  <si>
    <t>Rv1537, (MTCY48.28c, MT1589), len: 463 aa. Probable dinX (alternate gene name: dinB1), DNA polymerase IV. Similar to umuC, mucB, samb, and impb (UV protection and mutation) e.g. IMPB_SALTY|P18642 impb protein from Salmonella typhimurium (424 aa), FASTA scores: opt: 386, E(): 1.7e-17, (27.5% identity in 415 aa overlap); etc. Also similar to Mycobacterium tuberculosis Rv3056|dinP. Belongs to the DNA polymerase type-Y family.</t>
  </si>
  <si>
    <t>Conversion of asparagine to aspartate [catalytic activity: L-asparagine + H(2)O = L-aspartate + NH(3).]</t>
  </si>
  <si>
    <t>Probable L-aparaginase AnsA</t>
  </si>
  <si>
    <t>Rv1538c, (MTCY48.27), len: 326 aa. Probable ansA, L-aparaginase, most similar to ASPG_BACLI|P30363 L-asparaginase (322 aa), FASTA scores: opt: 417, E(): 8.8e-19, (30.9% identity in 314 aa overlap). Contains PS00917 Asparaginase / glutaminase active site signature 2.</t>
  </si>
  <si>
    <t>This protein specifically catalyzes the removal of signal peptides from prolipoproteins [catalytic activity: cleavage of N-terminal leader sequences from membrane prolipoproteins. Hydrolyses XAA-XBB-XBB-|-CYS, in which XAA is hydrophobic (preferably LEU), XBB is often SER or ala, XCC is often GLY or ala, and the CYS is alkylated on sulfur with a diacylglyceryl group].</t>
  </si>
  <si>
    <t>Probable lipoprotein signal peptidase LspA</t>
  </si>
  <si>
    <t>Rv1539, (MTCY48.26c), len: 202 aa. Probable lspA, lipoprotein signal peptidase (see citation below), similar to several e.g. LSPA_PSEFL|P17942 (170 aa), FASTA scores: opt: 299, E(): 2.6e-12, (38.3% identity in 167 aa overlap). Conserved in M. tuberculosis, M. leprae, M. bovis and M. avium paratuberculosis; predicted to be essential for in vivo survival and pathogenicity (See Ribeiro-Guimaraes and Pessolani, 2007).</t>
  </si>
  <si>
    <t>Conserved hypothetical protein member of yabO/yceC/yfiI family</t>
  </si>
  <si>
    <t>Rv1540, (MTCY48.25c), len: 308 aa. Member of the yabO/yceC/yfiI family of hypothetical proteins, similar to P44445|YFII_HAEIN hypothetical protein HI0176 from Haemophilus influenzae (324 aa), FASTA scores: opt: 437, E(): 1.2e-22, (33.2% identity in 322 aa overlap). Equivalent to AL049478|MLCL458_13 hypothetical protein from Mycobacterium leprae (308 aa), (89.3% identity in 307 aa overlap). Contains PS01129 hypothetical yabO/yceC/yfiI family signature.</t>
  </si>
  <si>
    <t>Possible lipoprotein LprI</t>
  </si>
  <si>
    <t>Rv1541c, (MTCY48.24), len: 197 aa. Possible lipoprotein lprI, contains appropriately positioned prokaryotic membrane lipoprotein lipid attachment site (PS0013).</t>
  </si>
  <si>
    <t>glbN</t>
  </si>
  <si>
    <t>Rv1542c</t>
  </si>
  <si>
    <t>Oxygen transport</t>
  </si>
  <si>
    <t>Hemoglobin GlbN</t>
  </si>
  <si>
    <t>Rv1542c, (MTCY48.23), len: 136 aa. glbN, hemoglobin. Belongs to the protozoan/cyanobacterial globin family. Similar to myoglobins e.g. GLB_PARCA|P15160 myoglobin (hemoglobin) paramecium (116 aa), FASTA scores, opt: 284, E(): 2.1e -13, (35.7% identity in 115 aa overlap). Similar to Mycobacterium tuberculosis hypothetical globin, Rv2470.</t>
  </si>
  <si>
    <t>Thought to reduce acyl-CoA esters of fatty acids to fatty aldehydes.</t>
  </si>
  <si>
    <t>Possible fatty acyl-CoA reductase</t>
  </si>
  <si>
    <t>Rv1543, (MTCY48.22c), len: 341 aa. Possible fatty-acyl CoA reductase, highly similar to P94129|U77680 fatty acyl-CoA reductase ACR1 from Acinetobacter calcoaceticus (295 aa), FASTA scores: opt: 899, E(): 0, (48.5% identity in 293 aa overlap). Also highly similar to acrA1|Rv3391|MTV004.49|NP_217908.1|NC_000962 fatty acyl-CoA reductase from Mycobacterium tuberculosis (650 aa). Also highly similar to many oxidoreductases short-chain family.</t>
  </si>
  <si>
    <t>Function unknown, but possibly involvement in lipid metabolism.</t>
  </si>
  <si>
    <t>Possible ketoacyl reductase</t>
  </si>
  <si>
    <t>Rv1544, (MTCY48.21), len: 267 aa. Possible ketoacyl reductase, highly similar to Z97179|MLCL383_26 putative oxidoreductase from Mycobacterium leprae (268 aa), FASTA score: (43.0% identity in 270 aa overlap). Also highly similar to others e.g. T29125 ketoacyl reductase homolog from Streptomyces coelicolor (276 aa); NP_470957.1|NC_003212 protein similar to ketoacyl reductases from Listeria innocua (253 aa); HETN_ANASP|P37694 ketoacyl reductase from Anabaena sp. strain PCC 7120 (287 aa), FASTA scores: opt: 379, E(): 7.5e-18, (31.6% identity in 250 aa overlap); etc. And highly similar to many oxidoreductases short-chain family. Also highly similar to Rv2509 from Mycobacterium tuberculosis (268 aa). Contains PS00061 Short-chain alcohol dehydrogenase family signature. Belongs to the short-chain dehydrogenases/reductases (SDR) family.</t>
  </si>
  <si>
    <t>Rv1545</t>
  </si>
  <si>
    <t>Rv1545, (MTCY48.20), len: 75 aa. Hypothetical unknown protein.</t>
  </si>
  <si>
    <t>Rv1546, (MTCY48.19c), len: 143 aa. Conserved protein, similar to O05902|Rv0910|MTCY21C12.04 Hypothetical protein from Mycobacterium tuberculosis (144 aa), FASTA scores: E(): 5e-30, (37.3% identity in 142 aa overlap).</t>
  </si>
  <si>
    <t>dnaE1</t>
  </si>
  <si>
    <t>DNA polymerase III is a complex, multichain enzyme responsible for most of the replicative synthesis in bacteria. This DNA polymerase also exhibits 3' to 5' exonuclease activity. The alpha chain is the DNA polymerase [catalytic activity: N deoxynucleoside triphosphate = N diphosphate + {DNA}(N)].</t>
  </si>
  <si>
    <t>Probable DNA polymerase III (alpha chain) DnaE1 (DNA nucleotidyltransferase)</t>
  </si>
  <si>
    <t>Rv1547, (MTCY48.18c), len: 1184 aa. Probable dnaE1, DNA polymerase III, alpha chain (see citation below), similar to many e.g. DP3A_ECOLI|P10443 dna polymerase III, alpha chain (1160 aa), FASTA scores: opt: 1789, E(): 0, (36.5% identity in 1193 aa overlap). Also similar to M. tuberculosis, DnaE2|Rv3370c. Belongs to DNA polymerase type-C family, DNAE subfamily.</t>
  </si>
  <si>
    <t>PPE family protein PPE21</t>
  </si>
  <si>
    <t>Rv1548c, (MTCY48.17), len: 678 aa. PPE21, Member of the Mycobacterium tuberculosis PPE family, similar to several e.g. YHS6_MYCTU|P42611 hypothetical 50.6 kDa protein in hsp65 3' region (517 aa), FASTA scores: opt:1142, E(): 0, (40.6% identity in 616 aa overlap); also similar to MTCY31.06c (54.9% identity in 381 aa overlap). Predicted to be an outer membrane protein (See Song et al., 2008).</t>
  </si>
  <si>
    <t>fadD11.1</t>
  </si>
  <si>
    <t>Rv1549</t>
  </si>
  <si>
    <t>Possible fatty-acid-CoA ligase FadD11.1 (fatty-acid-CoA synthetase) (fatty-acid-CoA synthase)</t>
  </si>
  <si>
    <t>Rv1549, (MTCY48.16c), len: 175 aa. Possible fadD11.1, fatty-acid-CoA synthetase, similar to the N-terminus of many fatty-acid CoA synthetases e.g. NP_147860.1|NC_000854 long-chain-fatty-acid--CoA ligase from Aeropyrum pernix (651 aa); P31685|4CL2_SOLTU 4-coumarate--CoA ligase 2 from Solanum tuberosum (Potato) (545 aa), FASTA scores: opt: 168, E(): 4.4e-06, (30.4% identity in 112 aa overlap); etc. Possible frameshift with respect to next ORF Rv1550|MTCY48.15c but we can find no sequence error to account for this. Note that previously known as fadD11'.</t>
  </si>
  <si>
    <t>Probable fatty-acid-CoA ligase FadD11 (fatty-acid-CoA synthetase) (fatty-acid-CoA synthase)</t>
  </si>
  <si>
    <t>Rv1550, (MTCY48.15c), len: 571 aa. Probable fadD11, fatty-acid-CoA synthetase, similar, except in N-terminus, to many e.g. SC6A5.39|T35430 probable long-chain-fatty-acid--CoA ligase from Streptomyces coelicolor (612 aa); NP_301672.1|NC_002677 putative long-chain-fatty-acid-CoA ligase from Mycobacterium leprae (600 aa); P44446|LCFH_HAEIN putative long-chain-fatty-acid-CoA ligase from Haemophilus influenzae (607 aa), FASTA scores: opt: 762, E(): 2.3e-38, (34.4% identity in 436 aa overlap); etc. Contains PS00455 Putative AMP-binding domain signature. Belongs to the ATP-dependent AMP-binding enzyme family. Possible frameshift with respect to previous ORF Rv1549|MTCY48.16c but we can find no sequence error to account for this.</t>
  </si>
  <si>
    <t>Thought to be involved in lipid metabolism.</t>
  </si>
  <si>
    <t>Possible acyltransferase PlsB1</t>
  </si>
  <si>
    <t>Rv1551, (MT1601, MTCY48.14c), len: 621 aa. Possible plsB1, acyltransferase, similar to PLSB_HAEIN|P44857 glycerol-3-phosphate acyltransferase from Haemophilus influenzae (810 aa), FASTA scores: opt: 434, E(): 6.2e-22, (27.6% identity in 395 aa overlap). Also similar to Rv2482c|plsB2 Probable glycerol-3-phosphate acyltransferase from Mycobacterium tuberculosis (789 aa).</t>
  </si>
  <si>
    <t>frdA</t>
  </si>
  <si>
    <t>Rv1552</t>
  </si>
  <si>
    <t>Involved in interconversion of fumarate and succinate (anaerobic respiration) [catalytic activity: succinate + acceptor = fumarate + reduced acceptor].</t>
  </si>
  <si>
    <t>Probable fumarate reductase [flavoprotein subunit] FrdA (fumarate dehydrogenase) (fumaric hydrogenase)</t>
  </si>
  <si>
    <t>Rv1552, (MTCY48.13c), len: 583 aa. Probable frdA, fumarate reductase, flavoprotein subunit, highly similar to others e.g. P00363|FRDA_ECOLI fumarate reductase flavoprotein subunit from Escherichia coli strain K12 (601 aa), FASTA scores: opt: 2102, E(): 0, (54.7% identity in 585 aa overlap); NP_232284.1|NC_002505 fumarate reductase, flavoprotein subunit from Vibrio cholerae (602 aa); frdA|NP_438995.1|NC_000907 fumarate reductase, flavoprotein subunit from Haemophilus influenzae (599 aa); etc. Contains PS00504 Fumarate reductase / succinate dehydrogenase FAD-binding site. Note that fumarate reductase forms part of an enzyme complex containing four subunits: a flavoprotein (Rv1552|frdA), an iron-sulfur (Rv1553|frdB), and two hydrophobic anchor proteins (Rv1554|frdC and Rv1555|frdD).</t>
  </si>
  <si>
    <t>frdB</t>
  </si>
  <si>
    <t>Rv1553</t>
  </si>
  <si>
    <t>Probable fumarate reductase [iron-sulfur subunit] FrdB (fumarate dehydrogenase) (fumaric hydrogenase)</t>
  </si>
  <si>
    <t>Rv1553, (MTCY48.12c), len: 247 aa. Probable frdB, fumarate reductase, iron-sulfur subunit, highly similar to others e.g. P00364|FRDB_ECOLI fumarate reductase iron-sulfur protein from Escherichia coli strain K12 (243 aa), FASTA scores: opt: 846, E(): 0, (50.0% identity in 242 aa overlap); P20921|FRDB_PROVU fumarate reductase iron-sulfur protein from Proteus vulgaris (245 aa); G64097 fumarate reductase iron-sulfur protein from Haemophilus influenzae (276 aa); etc. Contains PS00198 4Fe-4S ferredoxins, iron-sulfur binding region signature. Note that fumarate reductase forms part of an enzyme complex containing four subunits: a flavoprotein (Rv1552|frdA), an iron-sulfur (Rv1553|frdB), and two hydrophobic anchor proteins (Rv1554|frdC and Rv1555|frdD).</t>
  </si>
  <si>
    <t>frdC</t>
  </si>
  <si>
    <t>Rv1554</t>
  </si>
  <si>
    <t>Involved in interconversion of fumarate and succinate (anaerobic respiration). This hydrophobic component may be required to anchor the catalytic components of the fumarate reductase complex to the cytoplasmic membrane.</t>
  </si>
  <si>
    <t>Probable fumarate reductase [membrane anchor subunit] FrdC (fumarate dehydrogenase) (fumaric hydrogenase)</t>
  </si>
  <si>
    <t>Rv1554, (MTCY48.11c), len: 126 aa. Probable frdC, fumarate reductase, membrane-anchor subunit, highly similar to others e.g. P03805|FRDC_ECOLI fumarate reductase 15 kDa hydrophobic protein from Escherichia coli strain K12 (131 aa), FASTA scores, opt: 268, E(): 3.9e-10, (31.1% identity in 122 aa overlap); NP_458780.1|NC_003198 fumarate reductase complex subunit C; membrane anchor polypeptide from Salmonella enterica subsp. enterica serovar Typhi (131 aa); P20923|FRDC_PROVU fumarate reductase 15 kDa hydrophobic protein from Proteus vulgaris (131 aa); etc. Note that fumarate reductase forms part of an enzyme complex containing four subunits: a flavoprotein (Rv1552|frdA), an iron-sulfur (Rv1553|frdB), and two hydrophobic anchor proteins (Rv1554|frdC and Rv1555|frdD).</t>
  </si>
  <si>
    <t>frdD</t>
  </si>
  <si>
    <t>Rv1555</t>
  </si>
  <si>
    <t>Probable fumarate reductase [membrane anchor subunit] FrdD (fumarate dehydrogenase) (fumaric hydrogenase)</t>
  </si>
  <si>
    <t>Rv1555, (MTCY48.10c), len: 125 aa. Probable frdD, fumarate reductase, membrane-anchor subunit, similar to others e.g. P03806|FRDD_ECOLI fumarate reductase 13 kDa hydrophobic protein from Escherichia coli strain K12 (119 aa), FASTA scores: opt: 212, E(): 4.4e-08, (36.8% identity in 106 aa overlap); etc. Note that fumarate reductase forms part of an enzyme complex containing four subunits: a flavoprotein (Rv1552|frdA), an iron-sulfur (Rv1553|frdB), and two hydrophobic anchor proteins (Rv1554|frdC and Rv1555|frdD).</t>
  </si>
  <si>
    <t>Rv1556</t>
  </si>
  <si>
    <t>Possible regulatory protein</t>
  </si>
  <si>
    <t>Rv1556, (MTCY48.09c), len: 202 aa. Possible regulatory protein, similar to X86780|SHGCPIR2|g987088 orfY, regulator of antibiotic transport complexes from Streptomyces hygroscopicus (204 aa), FASTA score: opt: 251, E(): 1.7e-10, (33.8% identity in 201 aa overlap) and others.</t>
  </si>
  <si>
    <t>Probable conserved transmembrane transport protein MmpL6</t>
  </si>
  <si>
    <t>Rv1557, (MTCY48.08c), len: 397 aa. Probable mmpL6, conserved transmembrane transport protein (see citations below). Member of RND superfamily, with strong similarity to C-terminal part of members of large Mycobacterial membrane protein family belonging to RND superfamily including: mmpL1, mmpL2, mmpL3, etc. Probably truncated (see Brosch et al., 2002). Belongs to the MmpL family.</t>
  </si>
  <si>
    <t>Rv1558, (MTCY48.07c), len: 148 aa. Conserved protein, similar to other Mycobacterial tuberculosis proteins e.g. P71854|MTCY03C7.09c|Rv3547 (151 aa), FASTA scores opt: 330, E(): 9.1e-17, (39.7% identity in 151 aa overlap); also Q11057|Rv1261c (149 aa), and O53328|Rv3178 (119 aa). Similar also to AF072709|AF072709_5 Hypothetical protein with a new amplifiable element AUD4 from Streptomyces lividans (149 aa), FASTA scores: opt: 695, E(): 0, (69.1% identity in 149 aa overlap).</t>
  </si>
  <si>
    <t>Involved in isoleucine biosynthesis (first step). Catalyzes the formation of alpha-ketobutyrate from threonine in a two step reaction. The first step is a dehydration of threonine, followed by rehydration and liberation of ammonia [catalytic activity: L-threonine + H(2)O = 2-oxobutanoate + NH(3) + H(2)O].</t>
  </si>
  <si>
    <t>Probable threonine dehydratase IlvA</t>
  </si>
  <si>
    <t>Rv1559, (MTCY48.06c), len: 429 aa. Probable ilvA, threonine dehydratase, biosynthetic protein, similar to several e.g. THD1_CORGL|Q04513 threonine dehydratase biosynthetic (436 aa), FASTA scores: opt: 1694, E(): 0, (61.9% identity in 415 aa overlap). Contains PS00165 Serine/threonine dehydratases pyridoxal-phosphate attachment site.</t>
  </si>
  <si>
    <t>vapB11</t>
  </si>
  <si>
    <t>Possible antitoxin VapB11</t>
  </si>
  <si>
    <t>Rv1560, (MTCY48.05c), len: 72 aa. Possible vapB11, antitoxin, part of toxin-antitoxin (TA) operon with Rv1561 (See Arcus et al., 2005; Pandey and Gerdes, 2005). Part of a Mycobacterial tuberculosis family of proteins e.g. Q10848|Rv2009|MTCY39.08c (80 aa), FASTA score: (54.4% identity in 68 aa overlap); Q10799|Rv2871|MTCY274.02 (85 aa); O50456|Rv1241|MTV006.13 (86 aa), O06243|Rv2132|MTCY270.36C (76 aa); etc.</t>
  </si>
  <si>
    <t>vapC11</t>
  </si>
  <si>
    <t>Rv1561</t>
  </si>
  <si>
    <t>Possible toxin VapC11</t>
  </si>
  <si>
    <t>Rv1561, (MTCY48.04c), len: 134 aa. Possible vapC11, toxin, part of toxin-antitoxin (TA) operon with Rv1560, contains PIN domain, (See Arcus et al., 2005; Pandey and Gerdes, 2005). Similar to others from Mycobacterium tuberculosis e.g. Q10847|Rv2010|MTCY39.07c (132 aa), FASTA scores: (37.0% identity in 127 aa overlap); and O06566|Rv1114|MTCY22G8.03 (124 aa).</t>
  </si>
  <si>
    <t>treZ</t>
  </si>
  <si>
    <t>Involved in trehalose biosynthesis (protective effect). Mycobacteria can produce trehalose from glucose 6-phosphate and UDP-glucose (the OTSA-OTSB pathway) from glycogen-like alpha(1--&gt;4)-linked glucose polymers (the trey-TREZ pathway) and from maltose (the TRES pathway). Seems to have additional alpha-glucosidase activity.</t>
  </si>
  <si>
    <t>Maltooligosyltrehalose trehalohydrolase TreZ</t>
  </si>
  <si>
    <t>Rv1562c, (MTCY48.03), len: 580 aa. TreZ (previously called glgZ), Maltooligosyltrehalose trehalohydrolase, confirmed biochemically (see citation below). Similar to Q44316|D63343 TREZ maltooligosyl trehalose trehalohydrolase from arthrobacter SP (598 aa), FASTA scores: opt: 2071, E(): 0, (52.2% identity in 582 aa overlap); also similar to 1,4-alpha-glucan branching enzymes e.g. GLGB_BACST|P30538 (639 aa), FASTA scores: opt: 313, E(): 3.8e-13, (27.5% identity in 462 aa overlap). Also similar to Mycobacterium tuberculosis proteins Rv1326c|glgB, and Rv1563c treY (previously glgY).</t>
  </si>
  <si>
    <t>Involved in trehalose biosynthesis (protective effect). Mycobacteria can produce trehalose from glucose 6-phosphate and UDP-glucose (the OtsA-OtsB pathway) from glycogen-like alpha(1--&gt;4)-linked glucose polymers (the TreY-TreZ pathway) and from maltose (the TreS pathway).</t>
  </si>
  <si>
    <t>Maltooligosyltrehalose synthase TreY</t>
  </si>
  <si>
    <t>Rv1563c, (MTCY48.02), len: 765 aa. TreY (previously called glgY), maltooligosyl trehalose synthase, confirmed biochemically (see citation below). Strong similarity to Q44315|63343 trey maltooligosyl trehalose synthase from arthrobacter SP (775 aa), fasta scores: opt: 1953, E(): 0; (46.0% identity in 789 aa overlap). Some similarity to alpha-amylases and to MTCY48.03 (30.2% identity in 215 aa overlap). May catalyse conversion of maltodextrins to maltooligosyl trehaloses. Also similar to Mycobacterium tuberculosis glgB (Rv1326c), treZ (Rv1562c).</t>
  </si>
  <si>
    <t>Possibly involved in trehalose biosynthesis (protective effect). Mycobacteria can produce trehalose from glucose 6-phosphate and UDP-glucose (the OtsA-OtsB pathway) from glycogen-like alpha(1--&gt;4)-linked glucose polymers (the TreY-TreZ pathway) and from maltose (the TreS pathway).</t>
  </si>
  <si>
    <t>Probable maltooligosyltrehalose synthase TreX</t>
  </si>
  <si>
    <t>Rv1564c, (MTCY48.01), len: 721 aa. Probable treX (previously called glgX), Maltooligosyltrehalose synthase. Strong similarity to D83245|g1890053 treX, glycogen debranching enzyme (glgX) from Sulfolobus acidocaldarius (713 aa), FASTA score: opt: 2396, E(): 0, (48.4% identity in 709 aa overlap); similar to GLGX_HAEIN|P45178 glycogen operon protein glgx (659 aa), FASTA scores: opt: 1512, E(): 0, (42.3% identity in 645 aa overlap).</t>
  </si>
  <si>
    <t>Rv1565c, (MTCY336.38), len: 729 aa. Conserved hypothetical membrane protein, some similarity to O05402 hypothetical 72.2 kDa protein from Bacillus subtilis (634 aa), FASTA results: opt: 384, E(): 4.8e-17, (29.1% identity in 378 aa overlap); and to Y392_HAEIN|P43993 hypothetical protein hi0392 from H. influenzae (245 aa), FASTA results: opt: 265, E(): 5.5e-10, (28.3% identity in 247 aa overlap). C-terminal half equivalent to AL049478|MLCL458_19 (274 aa) (78.5% identity in 274 aa overlap). Also similar to Mycobacterium tuberculosis hypothetical proteins Rv0111, Rv0228, Rv1254, Rv0517. N-terminal half hydrophobic.</t>
  </si>
  <si>
    <t>Possible Inv protein</t>
  </si>
  <si>
    <t>Rv1566c, (MTCY336.37), len: 230 aa. Possible inv protein, probably exported as has QQAPV repeats at C-terminus. Similar to Q49634 inv protein from Mycobacterium leprae (246 aa), FASTA scores: opt: 957, E(): 0, (70.0% identity in 207 aa overlap); also to putative invasins 1,2 (O07390, O07391) from Mycobacterium avium. Slightly similar to C-terminus of P60_LISMO|P21171 Listeria invasion-associated protein p60 precursor. Also similar to Mycobacterium tuberculosis p60 homologues Rv1477, Rv1478, Rv0024, Rv2190c. Predicted to be an outer membrane protein (See Song et al., 2008).</t>
  </si>
  <si>
    <t>Probable hypothetical membrane protein</t>
  </si>
  <si>
    <t>Rv1567c, (MTCY336.36), len: 94 aa. Probable membrane protein.</t>
  </si>
  <si>
    <t>Involved in bioconversion of pimelate into dethiobiotin [catalytic activity: S-adenosyl-L-methionine + 8-amino-7- oxononanoate = S-adenosyl-4-methylthio-2-oxobutanoate + 7,8- diaminononanoate]. Supposedly involved in stationary-phase survival.</t>
  </si>
  <si>
    <t>Adenosylmethionine-8-amino-7-oxononanoate aminotransferase BioA</t>
  </si>
  <si>
    <t>Rv1568, (MTCY336.35c), len: 437 aa. bioA, adenosylmethionine-8-amino-7-oxononanoate aminotransferase , equivalent to a predicted homologous protein from Mycobacterium smegmatis (see citation below). Highly similar to BIOA_MYCLE|P4548 from Mycobacterium leprae (436 aa), FASTA results: opt: 2534, E(): 0, (85.1% identity in 436 aa overlap). Also similar to other Mycobacterium tuberculosis proteins e.g. MTCY227.12c (449 aa), FASTA score: E(): 3.5e-16, (29.5% identity in 421 aa overlap). Contains aminotransferases class-III pyridoxal-phosphate attachment site (PS00600). Belongs to class-III of pyridoxal-phosphate-dependent aminotransferases.</t>
  </si>
  <si>
    <t>Involved in biotin biosynthesis (at the first step) [catalytic activity: 6-carboxyhexanoyl-CoA + L-alanine = 8-amino-7-oxononanoate + CoA + CO2].</t>
  </si>
  <si>
    <t>Probable 8-amino-7-oxononanoate synthase BioF1 (AONS) (8-amino-7-ketopelargonate synthase) (7-keto-8-amino-pelargonic acid synthetase) (7-KAP synthetase) (L-alanine--pimelyl CoA ligase)</t>
  </si>
  <si>
    <t>Rv1569, (MTCY336.34c), len: 386 aa. Probable bioF1, 8-amino-7-oxononanoate synthase, highly similar to BIOF_MYCLE|P45487 from Mycobacterium leprae (385 aa), FASTA results: opt: 1971, E(): 0, (80.1% identity in 381 aa overlap). Also similar to BIOF2|Rv0032|MTCY10H4.32 possible 8-amino-7-oxononanoate synthase from Mycobacterium tuberculosis (771 aa), FASTA score: E(): 5.5e-29, (37.4% identity in 393 aa overlap). Contains aminotransferases class-II pyridoxal-phosphate attachment site (PS00599). Belongs to class-II of pyridoxal-phosphate-dependent aminotransferases.</t>
  </si>
  <si>
    <t>bioD</t>
  </si>
  <si>
    <t>Rv1570</t>
  </si>
  <si>
    <t>Involved in bioconversion of pimelate into dethiobiotin [catalytic activity: ATP + 7,8-diaminononanoate + CO(2) = ADP + phosphate + dethiobiotin]</t>
  </si>
  <si>
    <t>Dethiobiotin synthetase BioD</t>
  </si>
  <si>
    <t>Rv1570, (MTCY336.33c), len: 226 aa. bioD, dethiobiotin synthetase. Similar to many e.g. BIOD_MYCLE|P45486 from Mycobacterium leprae (223 aa), FASTA results: opt: 1059, E(): 0, (74.8% identity in 222 aa overlap). Belongs to the dethiobiotin synthetase family.</t>
  </si>
  <si>
    <t>Rv1571</t>
  </si>
  <si>
    <t>Rv1571, (MTCY336.32c), len: 169 aa. Conserved protein, similar at N-terminal region to Q49625|LEPB1170_C3_227 hypothetical protein from Mycobacterium leprae (104 aa), FASTA results: opt: 473, E(): 3.9e-24, (74.5% identity in 102 aa overlap). Identical to O06619|AF041819|AF041819_6 Mycobacterium bovis BCG (169 aa).</t>
  </si>
  <si>
    <t>Rv1572c</t>
  </si>
  <si>
    <t>Rv1572c, (MTCY336.31B), len: 34 aa. Partial ORF, part of REP13E12 repeat element; 3' end of Rv1587c (MTCY336.17) after phage-like element (see citation below). Similar to C-terminal ends of other REP13E12 repeat elements e.g. Rv1148, Rv1945, Rv3467, etc. Length extended since first submission (+7 aa). This region is a possible MT-complex-specific genomic island (See Becq et al., 2007).</t>
  </si>
  <si>
    <t>Rv1573</t>
  </si>
  <si>
    <t>Probable PhiRv1 phage protein</t>
  </si>
  <si>
    <t>Rv1573, (MTCY336.31c), len: 136 aa. Probable phiRv1 phage protein (see citation below). This region is a possible MT-complex-specific genomic island (See Becq et al., 2007).</t>
  </si>
  <si>
    <t>Rv1574</t>
  </si>
  <si>
    <t>Probable PhiRv1 phage related protein</t>
  </si>
  <si>
    <t>Rv1574, (MTCY336.30), len: 103 aa. Probable phiRV1 phage related protein (see citation below); some similarity to N-terminus of Rv1575|MTCY441.17 Probable phiRV1 phage protein (166 aa), E(): 1.5e-06; and Rv2647|MTCY336.29c Probable phiRV2 phage protein, E(): 3.5e-05. Helix turn helix motif present at aa 14-35 (+3.61 SD). This region is a possible MT-complex-specific genomic island (See Becq et al., 2007).</t>
  </si>
  <si>
    <t>Rv1575</t>
  </si>
  <si>
    <t>Rv1575, (MTCY336.29c), len: 166 aa. Probable phiRV1 phage protein (see citation below), showing similarity in N-terminal part to Rv1574|MTCY336.30c Probable phiRV1 phage protein (103 aa), FASTA score: opt: 375, E(): 3.8e-16, (60.2% identity in 103 aa overlap); and Rv2647 Probable phiRV2 phage protein. Start changed since first submission (+49 aa). This region is a possible MT-complex-specific genomic island (See Becq et al., 2007).</t>
  </si>
  <si>
    <t>Rv1576c</t>
  </si>
  <si>
    <t>Rv1576c, (MTCY336.28), len: 473 aa. Probable phiRV1 phage protein (capsid subunit) (see citation below). Highly similar to hypothetical Mycobacterium tuberculosis protein Rv2650c|MTCY441.19 phiRV2 phage related protein, FASTA scores: opt: 2782, E(): 0, (89.1% identity in 468 aa overlap). This region is a possible MT-complex-specific genomic island (See Becq et al., 2007).</t>
  </si>
  <si>
    <t>Rv1577c</t>
  </si>
  <si>
    <t>Rv1577c, (MTCY336.27), len: 170 aa. Probable phiRv1 phage protein (prohead protease) (see citation below). Highly similar to hypothetical protein Rv2651c|MTCY441.20c phiRV2 prohead protease, FASTA scores: E(): 0, (89.3% identity in 169 aa overlap). Some similarity to VP4_BPHK7|P49860 putative bacteriophage HK97 prohead protease (gp4) (225 aa), FASTA results: opt: 176, E(): 1.3e-05, (27.3% identity in 165 aa overlap). This region is a possible MT-complex-specific genomic island (See Becq et al., 2007).</t>
  </si>
  <si>
    <t>Rv1578c</t>
  </si>
  <si>
    <t>Rv1578c, (MTCY336.26), len: 156 aa. Probable phiRv1 phage protein (terminase) (see citation below), highly similar to Rv2652c|MTCY441.21c phiRV2 phage protein from Mycobacterium tuberculosis, FASTA scores: E(): 4.8e-22, (48.1% identity in 156 aa overlap). Also similar to X65555|ARP3COS_1 hypothetical protein (cos site) - actinophage RP3 (210 aa), FASTA scores: opt: 373, E(): 6.5e-17, (50.0% identity in 114 aa overlap). Contains MIP family signature (PS00221). This region is a possible MT-complex-specific genomic island (See Becq et al., 2007).</t>
  </si>
  <si>
    <t>Rv1579c</t>
  </si>
  <si>
    <t>Rv1579c, (MTCY336.25), len: 104 aa. Probable phiRv1 phage protein (see citation below). This region is a possible MT-complex-specific genomic island (See Becq et al., 2007).</t>
  </si>
  <si>
    <t>Rv1580c</t>
  </si>
  <si>
    <t>Rv1580c, (MTCY336.24), len: 90 aa. Probable phiRv1 phage protein (see citation below). This region is a possible MT-complex-specific genomic island (See Becq et al., 2007).</t>
  </si>
  <si>
    <t>Rv1581c</t>
  </si>
  <si>
    <t>Rv1581c, (MTCY336.23), len: 131 aa. Probable phiRv1 phage protein (see citation below). This region is a possible MT-complex-specific genomic island (See Becq et al., 2007).</t>
  </si>
  <si>
    <t>Rv1582c</t>
  </si>
  <si>
    <t>Rv1582c, (MTCY336.22), len: 471 aa. Probable phiRv1 phage protein (see citation below). N-terminus is similar to C-terminus of Q38030 ORF9 Bacteriophage phi-C31 (519 aa), FASTA scores: opt: 331, E(): 6.5e-15, (28.5% identity in 235 aa overlap); and C-terminus to whole of Q38031 ORF10 of Bacteriophage phi-C31 (202 aa), FASTA scores: opt: 353, E(): 1e-16, (31.1% identity in 190 aa overlap). Also similar to part of AB016282|AB016282_42 Bacteriophage phi-105 (806 aa), FASTA scores: opt: 790, E(): 0, (32.7% identity in 459 aa overlap). Similarity to other phage proteins described as putative DNA-polymerase or DNA-primase. Also slightly similar to MTCY441.24c, FASTA scores: E(): 0.0055, (36.0% identity in 75 aa overlap). This region is a possible MT-complex-specific genomic island (See Becq et al., 2007).</t>
  </si>
  <si>
    <t>Rv1583c</t>
  </si>
  <si>
    <t>Rv1583c, (MTCY336.21), len: 132 aa. Probable phiRv1 phage protein (see citation below), highly similar to Rv2656c|MTCY441.25c phiRV2 phage protein (130 aa), FASTA score: E(): 1.3e-33, (81.7% identity in 131 aa overlap). This region is a possible MT-complex-specific genomic island (See Becq et al., 2007).</t>
  </si>
  <si>
    <t>Rv1584c</t>
  </si>
  <si>
    <t>Possible PhiRv1 phage protein</t>
  </si>
  <si>
    <t>Rv1584c, (MTCY336.20), len: 73 aa. Possible phiRv1 phage protein (putative excisionase) (see citation below). This region is a possible MT-complex-specific genomic island (See Becq et al., 2007).</t>
  </si>
  <si>
    <t>Rv1585c</t>
  </si>
  <si>
    <t>Possible phage PhiRv1 protein</t>
  </si>
  <si>
    <t>Rv1585c, (MTCY336.19), len: 171 aa. Possible phage phiRv1 protein (see Hatfull 2000). This region is a possible MT-complex-specific genomic island (See Becq et al., 2007).</t>
  </si>
  <si>
    <t>Rv1586c</t>
  </si>
  <si>
    <t>Integration of phiRv1 into chromosome.</t>
  </si>
  <si>
    <t>Probable PhiRv1 integrase</t>
  </si>
  <si>
    <t>Rv1586c, (MTCY336.18), len: 469 aa. Probable phiRv1 integrase, possibly member of the serine family of recombinases (see citation below), similar to several bacteriophage integrases e.g. Q37839 ORF469 protein from Bacteriophage R4 (469 aa), FASTA scores: opt: 623, E(): 1.6e-29, (31.1% identity in 482 aa overlap); and Bacteriophage TP901-1. This region is a possible MT-complex-specific genomic island (See Becq et al., 2007).</t>
  </si>
  <si>
    <t>Rv1587c</t>
  </si>
  <si>
    <t>Partial REP13E12 repeat protein</t>
  </si>
  <si>
    <t>Rv1587c, (MTCY336.17), len: 333 aa. Partial REP13E12 repeat protein (see citation below), nearly identical (but has been interrupted by phiRv1 prophage) to Q50655|MTCY251.13c|Rv0094c hypothetical 34.6 kDa protein from M. tuberculosis (317 aa), FASTA results: opt: 1511, E(): 1.1e-84, (97.75% identity in 224 aa overlap). Codon usage suggests that translation may involve frameshifting of Rv1588c mRNA in poly_C stretch into reading frame of Rv1587c. 3' end found in Rv1572c. Length extended since first submission (+115 aa). This region is a possible MT-complex-specific genomic island (See Becq et al., 2007).</t>
  </si>
  <si>
    <t>Rv1588c, (MTCY336.16), len: 222 aa. Partial REP13E12 repeat protein (see citation below), nearly identical to ORF's in other Rep13E12 repeats, including Rv0095c|MTCY251.14c|Y05E_MYCTU|Q10891 hypothetical 15.4 kd protein cy251.14 from Mycobacterium tuberculosis (136 aa), FASTA results: opt: 613, E(): 9.9e-29, (86.5% identity in 111 aa overlap). This region is a possible MT-complex-specific genomic island (See Becq et al., 2007).</t>
  </si>
  <si>
    <t>Involved in biotin synthesis.</t>
  </si>
  <si>
    <t>Probable biotin synthetase BioB</t>
  </si>
  <si>
    <t>Rv1589, (MTCY336.15c), len: 349 aa. Probable bioB, biotin synthetase O06601. Highly similar to BIOB_MYCLE|P46715 BioB from Mycobacterium leprae (345 aa), FASTA results: opt: 1982, E(): 0, (86.5% identity in 349 aa overlap). Identical to AF041819|AF041819_9 bioB from Mycobacterium bovis BCG (349 aa).</t>
  </si>
  <si>
    <t>Rv1590, (MTCY336.14c), len: 79 aa. Conserved hypothetical protein, similar to Q49616|LEPB1170_C1_162|YF90_MYCLE from Mycobacterium leprae (80 aa), FASTA scores: opt: 368, E(): 1.7e-21, Smith-Waterman score: 368, (67.1% identity in 73 aa overlap). A core mycobacterial gene; conserved in mycobacterial strains (See Marmiesse et al., 2004).</t>
  </si>
  <si>
    <t>Rv1591, (MTCY336.13c), len: 221 aa. Probable transmembrane protein, similar to Q49626|LEPB1170_C3_229|YF91_MYCLE Hypothetical Mycobacterium leprae protein (198 aa), FASTA results: opt: 802, E(): 0, (63.8% identity in 188 aa overlap). A core mycobacterial gene; conserved in mycobacterial strains (See Marmiesse et al., 2004).</t>
  </si>
  <si>
    <t>Rv1592c, (MTCY336.12), len: 446 aa. Conserved hypothetical protein, some similarity to Q49629|B1170_F1_46 from Mycobacterium leprae (132 aa), FASTA results: opt: 332, E(): 4.5e-14, (56.3% identity in 87 aa overlap). Nearly identical to truncated Mycobacterium bovis BCG protein (148 aa) AF041819|AF041819_11.</t>
  </si>
  <si>
    <t>Rv1593c, (MTCY336.11), len: 236 aa. Conserved protein, highly similar to Q49628|B1170_F1_44 from Mycobacterium leprae (286 aa), FASTA scores: opt: 1304, E (): 0, (85.4% identity in 233 aa overlap); similar to several putative DNA hydrolases e.g. Q9S233|SCI51.07C from Streptomyces coelicolor (239 aa), FASTA scores: opt: 415, E(): 4.6e-20, (34.8% identity in 221 aa overlap); also similar to P74291|SLR1690 hypothetical protein from synechocystis (261 aa), FASTA scores: opt: 228, E(): 1.4e-17, (31.5% identity in 213 aa overlap).</t>
  </si>
  <si>
    <t>Quinolinate biosynthesis</t>
  </si>
  <si>
    <t>Probable quinolinate synthetase NadA</t>
  </si>
  <si>
    <t>Rv1594, (MTCY336.10c), len: 349 aa. Probable nadA, quinolinate synthetase. Similar to many e.g. Q49622 NADA from Mycobacterium leprae (368 aa), FASTA results: opt: 1994, E(): 0, (84.4% identity in 352 aa overlap).</t>
  </si>
  <si>
    <t>Quinolinate biosynthesis. Catalyzes the oxidation of L-aspartate to iminoaspartate which is condensed with dihydroxyacetone phosphate to quinolinate under the action of quinolinate synthase a [catalytic activity: L-aspartate + H(2)O + O(2) = oxaloacetate + NH(3) + H(2)O(2)]</t>
  </si>
  <si>
    <t>Probable L-aspartate oxidase NadB</t>
  </si>
  <si>
    <t>Rv1595, (MTCY336.09c), len: 527 aa. Probable nadB, L-aspartate oxidase. Similar to many e.g. Q49617 L-aspartate oxidase (quinolinate synthetase) from Mycobacterium leprae (424 aa), FASTA results: opt: 2152, E(): 0, (82.0% identity in 400 aa overlap). Also shows some similarity to Rv1552 frdA from Mycobacterium tuberculosis (583 aa), FASTA results: E(): 1e-10, (35.3% identity in 566 aa overlap). Heterodimer. The quinolinate synthetase complex consists of the two enzymes quinolinate synthetase a and B.</t>
  </si>
  <si>
    <t>de novo biosynthesis of NAD and NADP [catalytic activity: nicotinate D-ribonucleotide + diphosphate + CO(2) = pyridine-2,3-dicarboxylate + 5-phospho-alpha-D-ribose 1-diphosphate]</t>
  </si>
  <si>
    <t>Probable nicotinate-nucleotide pyrophosphatase NadC</t>
  </si>
  <si>
    <t>Rv1596, (MTCY336.08c), len: 285 aa. Probable nadC, nicotinate-nucleotide pyrophosphatase O06594. Similar to many e.g. ADC_MYCLE|P46714 from Mycobacterium leprae (284 aa), FASTA results: opt: 1418, E(): 0,(79.2% identity in 283 aa overlap). Belongs to the NADC/MODD family.</t>
  </si>
  <si>
    <t>Rv1597, (MTCY336.07c), len: 252 aa. Hypothetical unknown protein.</t>
  </si>
  <si>
    <t>Rv1598c, (MTCY336.06), len: 136 aa. Conserved protein, some similarity to O06389|Rv0523c|MTCY25D10.02 from Mycobacterium tuberculosis (131 aa), FASTA scores: E(): 2.2e-09, (38.4% identity in 99 aa overlap); and P95144|MTCY359.02|Rv1871c (129 aa).</t>
  </si>
  <si>
    <t>Involved in histidine biosynthesis pathway (tenth step). This protein is considered as a bifunctional enzyme, possessing two active sites, one an alcohol dehydrogenase and the other an aldehyde dehydrogenase [catalytic activity: L-histidinol + 2 NAD(+) + H(2)O = L-histidine + 2 NADH].</t>
  </si>
  <si>
    <t>Probable histidinol dehydrogenase HisD (HDH)</t>
  </si>
  <si>
    <t>Rv1599, (MTCY336.05c), len: 438 aa. Probable hisD, histidinol dehydrogenase (see citation below) O08396. Similar to many e.g. HISX_MYCSM|P28736 from Mycobacterium smegmatis (445 aa), FASTA results: opt: 2356, E(): 0, (83.1% identity in 437 aa overlap). Contains histidinol dehydrogenase signature (PS00611).</t>
  </si>
  <si>
    <t>Histidine biosynthesis (eighth step) [catalytic activity: L-histidinol-phosphate + 2-oxoglutarate = 3-(imidazol-4-YL)-2-oxopropyl phosphate + L-glutamate]</t>
  </si>
  <si>
    <t>Probable histidinol-phosphate aminotransferase HisC1</t>
  </si>
  <si>
    <t>Rv1600, (MTCY336.04c), len: 380 aa. Probable hisC1, histidinol-phosphate aminotransferase O06591. Similar to many e.g. HIS8_STRCO|P16246 from Streptomyces coelicolor (369 aa), FASTA results: opt: 1353, E(): 0, (59.0% identity in 356 aa overlap). Some similarity to other Mycobacterium tuberculosis aminotransferases e.g. Rv3772|MTCY13D12.06, FASTA results: E(): 7.4e-25, (33.7% identity in 365 aa overlap). Contains aminotransferases class-II pyridoxal-phosphate attachment site (PS00599). Belongs to class-II of pyridoxal-phosphate-dependent aminotransferases. Note that previously known as hisC.</t>
  </si>
  <si>
    <t>Histidine biosynthesis (seventh step) [catalytic activity: D-erythro-1-(imidazol-4-YL)glycerol 3- phosphate = 3-(imidazol-4-YL)-2-oxopropyl phosphate + H(2)O]</t>
  </si>
  <si>
    <t>Probable imidazole glycerol-phosphate dehydratase HisB</t>
  </si>
  <si>
    <t>Rv1601, (MTCY336.03c), len: 210 aa. Probable hisB, imidazole glycerol-phosphate dehydratase. Similar to many e.g. HIS7_STRCO|P16247 from Streptomyces coelicolor (197 aa),FASTA results: opt: 763, E(): 0, (57.4% identity in 202 aa overlap). Belongs to the imidazoleglycerol-phosphate dehydratase family.</t>
  </si>
  <si>
    <t>Histidine biosynthesis pathway (fifth step). Catalyzes an amidotransferase reaction that generates imidazole-glycerol phosphate and 5-aminoimidazol-4-carboxamide ribonucleotide, which is used for purine synthesis.</t>
  </si>
  <si>
    <t>Probable amidotransferase HisH</t>
  </si>
  <si>
    <t>Rv1602, (MTCY336.02c), len: 206 aa. Probable hisH, amidotransferase. Similar to many e.g. HIS5_STRCO|P16249 from Streptomyces coelicolor (222 aa), FASTA results: opt: 872, E():0, (61.0% identity in 210 aa overlap). Contains glutamine amidotransferases class-I active site (PS00442). Belongs to the HisH family.</t>
  </si>
  <si>
    <t>Histidine biosynthesis pathway (fourth step) [catalytic activity: N-(5'-phospho-D-ribosylformimino)-5-amino-1-(5''-phosphoribosyl)-4-imidazolecarb oxamide = N-(5'-phospho-D-1'-ribulosylformimino)-5-amino-1-(5''-phosphoribosyl)-4- imidazolecarboxamide.]</t>
  </si>
  <si>
    <t>Probable phosphoribosylformimino-5-aminoimidazole carboxamide ribotide isomerase HisA</t>
  </si>
  <si>
    <t>Rv1603, (MTV046.01-MTCY336.01c), len: 245 aa. Probable hisA, phosphoribosylformimino-5-aminoimidazole carboxamide ribotide isomerase, similar to many e.g. HIS4_STRCO|P16250 phosphoribosylformimino-5-aminoimidaz from Streptomyces coelicolor (240 aa), FASTA scores: opt: 1081, E(): 0, (69.0% identity in 239 aa overlap).</t>
  </si>
  <si>
    <t>Involved in inositol phosphate metabolism. It is responsible for the provision of inositol required for synthesis of phosphatidylinositol and polyphosphoinositides. Key enzyme of the phosphatidyl inositol signaling pathway [catalytic activity: inositol 1(or 4)-monophosphate + H(2)O = inositol + orthophosphate].</t>
  </si>
  <si>
    <t>Probable inositol-monophosphatase ImpA (imp)</t>
  </si>
  <si>
    <t>Rv1604, (MTV046.02), len: 270 aa. Probable impA, inositol monophosphatase, similar to many e.g. AF0059|AF005905_2 inositol monophosphate phosphatase from Mycobacterium smegmatis (276 aa), FASTA scores: opt: 1241, E(): 0, (70.5% identity in 261 aa overlap). Also similar to Mycobacterium tuberculosis proteins Rv3137 and Rv2701c.</t>
  </si>
  <si>
    <t>Histidine biosynthesis pathway (sixth step). Catalyzes the cyclization reaction that produces D-erythro-imidazole glycerol phosphate.</t>
  </si>
  <si>
    <t>Probable cyclase HisF</t>
  </si>
  <si>
    <t>Rv1605, (MTV046.03), len: 267 aa. Probable hisF, cyclase involved in histidine biosynthetic pathway, similar to many e.g. AF0304|AF030405_1 Corynebacterium glutamicum cyclase (257 aa), FASTA scores: opt: 1201, E(): 0, (71.9% identity in 256 aa overlap). Belongs to the HisA/HisF family.</t>
  </si>
  <si>
    <t>Involved in histidine biosynthesis pathway (at the third step) [catalytic activity: 5-phosphoribosyl-AMP + H(2)O = 5-(5-phospho-D-ribosylaminoformimino)-1-(5-phospho-ribosyl) imidazole-4- carboxamide.]</t>
  </si>
  <si>
    <t>Probable phosphoribosyl-AMP 1,6 cyclohydrolase HisI</t>
  </si>
  <si>
    <t>Rv1606, (MTV046.04), len: 115 aa. Probable hisI, phosphoribosyl-AMP 1,6 cyclohydrolase, similar to several e.g. X82010|RSHISI_2 HISI from Rhodobacter sphaeroides (119 aa), FASTA scores: opt: 378, E(): 2.8e-21, (52.3% identity in 109 aa overlap); etc.</t>
  </si>
  <si>
    <t>Involved in transport of ions (presumably calcium) across the membrane. Responsible for the translocation of the substrate across the membrane.</t>
  </si>
  <si>
    <t>Probable ionic transporter integral membrane protein ChaA</t>
  </si>
  <si>
    <t>Rv1607, (MTV046.05), len: 360 aa. Probable chaA, ionic transporter integral membrane protein, putative calcium/proton antiporter, similar to many e.g. P31801|CHAA_ECOLI calcium/proton antiporter from Escherichia coli (366 aa), FASTA scores: opt: 736, E(): 0, (35.9% identity in 351 aa overlap). Equivalent to Mycobacterium leprae AL049913|MLCB1610_21 (77.7% identity in 364 aa overlap). Seems to belong to the CaCA family.</t>
  </si>
  <si>
    <t>Peroxide detoxification</t>
  </si>
  <si>
    <t>Probable peroxidoxin BcpB</t>
  </si>
  <si>
    <t>Rv1608c, (MTV046.06), len: 154 aa. Probable bcpB, peroxidoxin or bacterioferritin comigratory protein, similar to many, e.g. AE0003|ECAE000335_4 bacterioferritin comigratory protein from Escherichia coli K-12 MG1655 (156 aa), FASTA scores: opt: 329, E(): 1.2e-16, (38.2% identity in 152 aa overlap); Z97179|MLCL383_22 Mycobacterium leprae cosmid L383 (161 aa) (40.2% identity in 132 aa overlap). Also similar to Rv2428 AhpC, alkyl hydroperoxide reductase from Mycobacterium tuberculosis; and other Mycobacterium tuberculosis putative peroxidoxins Rv2521, Rv2238c, Rv1932.</t>
  </si>
  <si>
    <t>Involved in tryptophan biosynthesis pathway (at the first step). Supposed tetramer of two components I and two components II: component I (Rv1609|trpE) catalyzes the formation of anthranilate using ammonia rather than glutamine, whereas component II (Rv0013|trpG) provides glutamine amidotransferase activity [catalytic activity: chorismate + L-glutamine = anthranilate + pyruvate + L-glutamate].</t>
  </si>
  <si>
    <t>Anthranilate synthase component I TrpE (glutamine amidotransferase)</t>
  </si>
  <si>
    <t>Rv1609, (MTCY01B2.01, MTV046.07), len: 516 aa. trpE, anthranilate synthase component I. FASTA best: TRPE_CLOTM|P14953 anthranilate synthase component I from Clostridium thermocellum (494 aa), E(): 0, (42.6% identity in 498 aa overlap). Some similarity to Rv2386c|MTCY253.35, E(): 6.3e-17; and Rv3215|MTCY07D11.11c, E(): 5.7e-15. Belongs to the anthranilate synthase component I family.</t>
  </si>
  <si>
    <t>Rv1610, (MTCY01B2.02), len: 235 aa. Possible conserved membrane protein. Equivalent to AL049913|MLCB1610_23 hypothetical protein from Mycobacterium leprae (264 aa), FASTA score: (65.8% identity in 231 aa overlap). A core mycobacterial gene; conserved in mycobacterial strains (See Marmiesse et al., 2004).</t>
  </si>
  <si>
    <t>Tryptophan biosynthesis pathway (fourth step) [catalytic activity: 1-(2-carboxyphenylamino)-1-deoxy-D-ribulose 5-phosphate = 1-(indol-3-YL)glycerol 3-phosphate + CO(2) + H(2)O.]</t>
  </si>
  <si>
    <t>Probable indole-3-glycerol phosphate synthase TrpC</t>
  </si>
  <si>
    <t>Rv1611, (MTCY01B2.03), len: 272 aa. Probable trpC, indole-3-glycerol phosphate synthase. Similar to Q55508|SLR0546 hypothetical 33.0 kDa protein from synechocystis SP (295 aa), FASTA score: opt: 26, E(): 7.6e-32, (44.2% identity in 265 aa overlap); also similar to TRPC_AZOBR|P26938 ndole-3-glycerol-phosphate synthaseindole-3-glycerol-phosphate synthase from Azospirillum brasilense (262 aa), FASTA score: opt: 596, E(): 4.8e-30, (43.8% identity in 258 aa overlap). Equivalent to AL0499 13|MLCB1610_24 from Mycobacterium leprae (272 aa) (90.8% identity in 272 aa overlap). Contains indole-3-glycerol phosphate synthase signature (PS00614). Belongs to the TrpC family.</t>
  </si>
  <si>
    <t>Tryptophan biosynthesis pathway (fifth last step). The beta subunit is responsible for the synthesis of L-tryptophan from indole and L-serine. [catalytic activity: L-serine + 1-(indol-3-YL)glycerol 3-phosphate = L-tryptophan + glyceraldehyde 3-phosphate + H(2)O]</t>
  </si>
  <si>
    <t>Tryptophan synthase, beta subunit TrpB</t>
  </si>
  <si>
    <t>Rv1612, (MTCY01B2.04), len: 410 aa. TrpB, tryptophan synthase beta chain. Equivalent to AL049913|MLCB1610_25 from Mycobacterium leprae (340 aa) (88.5% identity in 331 aa overlap). Similar to others e.g. TRPB_CAUCR|P12290 tryptophan synthase beta chain from Caulobacter crescentus (406 aa), FASTA scores: opt: 1662, E(): 0, (60.6% identity in 404 aa overlap). Belongs to the TrpB family. Tetramer of two alpha and two beta chains.</t>
  </si>
  <si>
    <t>Tryptophan biosynthesis pathway (fifth - last step). The alpha subunit is responsible for the ALDOL cleavage of indoleglycerol phosphate to indole and glyceraldehyde 3- phosphate. [catalytic activity: L-serine + 1-(indol-3-YL)glycerol 3-phosphate = L-tryptophan + glyceraldehyde 3-phosphate + H(2)O.]</t>
  </si>
  <si>
    <t>Probable tryptophan synthase, alpha subunit TrpA</t>
  </si>
  <si>
    <t>Rv1613, (MTCY01B2.05), len: 270 aa. Probable trpA, tryptophan synthase alpha chain. FASTA best: O68906|TRPA_MYCIT tryptophan synthase alpha chain from Mycobacterium intracellulare (271 aa), opt: 1442, E(): 0, (85.3% identity in 265 aa overlap).</t>
  </si>
  <si>
    <t>Prolipoprotein modification</t>
  </si>
  <si>
    <t>Possible prolipoprotein diacylglyceryl transferases Lgt</t>
  </si>
  <si>
    <t>Rv1614, (MTCY01B2.06), len: 468 aa. Possible lgt, prolipoprotein diacylglyceryl transferases, similar to many prolipoprotein diacylglyceryl transferases. FASTA scores: LGT_STAAU|P52282 prolipoprotein diacylglyceryl transferase from Staphylococcus aureus subsp. (279 aa), opt: 289, E():3.6e- 09, (31.5% identity in 257 aa overlap); AL096884|SC4G6_3 cosmid 4G6 from Streptomyces coelicolor (343 aa), opt: 735, E(): 4e-32, (46.5% identity in 391 aa overlap).</t>
  </si>
  <si>
    <t>Rv1615, (MTCY01B2.07), len: 146 aa. Probable membrane protein</t>
  </si>
  <si>
    <t>Rv1616, (MTCY01B2.08), len: 132 aa. Conserved membrane protein, with some similarity to other hypothetical proteins e.g. AL096884|SC4G6_9 from Streptomyces coelicolor cosmid 4G6 (148 aa), FASTA scores: opt: 245, E(): 1.7e-1 0, (36.7% identity in 128 aa overlap); Q55401|SLL0543 hypothetical 16.5 kDa protein from synechocystis SP (148 aa), FASTA scores: opt: 225, E(): 6.5e-10, (35.9% identity in 117 aa overlap). Has cysteine cluster and contains a rubredoxin signature (PS00202).</t>
  </si>
  <si>
    <t>Produces phosphoenol pyruvate in glycolysis [catalytic activity: ATP + pyruvate = ADP + phosphoenolpyruvate]</t>
  </si>
  <si>
    <t>Probable pyruvate kinase PykA</t>
  </si>
  <si>
    <t>Rv1617, (MTCY01B2.09), len: 472 aa. Probable pykA, pyruvate kinase. FASTA best: Q46078 pyruvate kinase from corynebacterium glutamicum (475 aa), opt: 2221, E(): 0, (72.2% identity in 468 aa overlap). Belongs to the pyruvate kinase family. Phosphorylated in vitro by PknJ|Rv2088 (See Arora et al., 2010).</t>
  </si>
  <si>
    <t>Probable acyl-CoA thioesterase II TesB1</t>
  </si>
  <si>
    <t>Rv1618, (MTCY01B2.10), len: 300 aa. Probable tesB1, acyl-CoA thioesterase II, similar to other acyl-CoA thioesterases e.g. TESB_ECOLI|P23911 acyl-CoA thioesterase II from Escherichia coli (285 aa), FASTA scores: opt: 495, E(): 2.9e-27, (32.5% identity in 283 aa overlap); etc. Also similar to Rv2605c|tesB2 from M. tuberculosis.</t>
  </si>
  <si>
    <t>Rv1619, (MTCY01B2.11), len: 484 aa. Conserved membrane protein. Some similarity to N-terminus of P94974|Rv1640c|MTCY06H11.04c probable lysyl-tRNA synthetase 2 from Mycobacterium tuberculosis (1172 aa), FASTA scores: E(): 1.4e-16, (28.0% identity in 410 aa overlap); and similar in part to O69916| SC3C8.03C Putative intergral membrane protein from Streptomyces coelicolor cosmid 3C8 (589 aa), FASTA scores: opt: 453 E(): 8.4e-22, (31.3% identity in 313 aa overlap).</t>
  </si>
  <si>
    <t>Involved in active transport across the membrane of component linked with the assembly of cytochrome: involved in cytochrome biogenesis (aerobic respiration). Responsible for energy coupling to the transport system and for the translocation of the substrate across the membrane.</t>
  </si>
  <si>
    <t>Probable 'component linked with the assembly of cytochrome' transport transmembrane ATP-binding protein ABC transporter CydC</t>
  </si>
  <si>
    <t>Rv1620c, (MTCY01B2.12c), len: 576 aa. Probable cydC, transmembrane ATP-binding protein ABC transporter involved in transport of component linked with the assembly of cytochrome (see citation below), similar to others e.g. CYDC_ECOLI|P23886 transport ATP-binding protein from Escherichia coli (573 aa), FASTA scores: opt: 631, E(): 1.6e-30, (28.5% identity in 569 aa overlap); C-terminal part of AL034355|SCD78_14 from Streptomyces coelicolor (1172 aa), FASTA scores: opt: 956, E(): 0, (38.8% identity in 554 aa overlap); etc. Contains (PS00211) ABC transporters family signature, and (PS00017) ATP/GTP-binding site motif A (P-loop). Belongs to the ATP-binding transport protein family (ABC transporters).</t>
  </si>
  <si>
    <t>Probable 'component linked with the assembly of cytochrome' transport transmembrane ATP-binding protein ABC transporter CydD</t>
  </si>
  <si>
    <t>Rv1621c, (MTCY01B2.13c), len: 527 aa. Probable cydD, transmembrane ATP-binding protein ABC transporter involved in transport of component linked with the assembly of cytochrome (see citation below), similar to others e.g. P94366|CYDC_BACSU transport ATP-binding protein from Bacillus subtilis (567 aa), FASTA scores: opt: 784, E(): 0, (30.1% identity in 535 aa overlap); N-terminal part of AL034355|SCD78_14 from Streptomyces coelicolor (1172 aa), FASTA scores: opt: 1295, E(): 0, (44.6% identity in 534 aa overlap); etc. Also similar to Q11019|Y07D_MYCTU from Mycobacterium tuberculosis (579 aa), FASTA scores: opt: 530, E(): 6.9e-25, (29.1% identity in 530 aa overlap). Contains (PS00211) ABC transporters family signature, and (PS00017) ATP/GTP-binding site motif A (P-loop). Belongs to the ATP-binding transport protein family (ABC transporters).</t>
  </si>
  <si>
    <t>Involved in the respiratory chain (at the terminal step): aerobic respiration. Cytochrome D terminal oxidase complex is the component of the aerobic respiratory chain that is supposedly predominant when cells are grown at low aeration [catalytic activity: ubiquinol-8 + O(2) = ubiquinone-8 + H(2)O].</t>
  </si>
  <si>
    <t>Probable integral membrane cytochrome D ubiquinol oxidase (subunit II) CydB (cytochrome BD-I oxidase subunit II)</t>
  </si>
  <si>
    <t>Rv1622c, (MTCY01B2.14c), len: 346 aa. Probable cydB, cytochrome D ubiquinol oxidase subunit II, integral membrane protein, similar to others e.g. P11027|CYDB_ECOLI cytochrome D ubiquinol oxidase subunit II from Escherichia coli strain K12 (379 aa), FASTA scores: opt: 519, E(): 0, (32.3% identity in 372 aa overlap); P94365|CYDB_BACSU cytochrome D ubiquinol oxidase subunit II from Bacillus subtilis (338 aa), FASTA scores: opt: 824, E(): 0, (39.5% identity in 337 aa overlap); etc.</t>
  </si>
  <si>
    <t>Probable integral membrane cytochrome D ubiquinol oxidase (subunit I) CydA (cytochrome BD-I oxidase subunit I)</t>
  </si>
  <si>
    <t>Rv1623c, (MTCY01B2.15c), len: 485 aa. Probable cydA (previously known as appC, but renamed cydA to conform with Mycobacterium smegmatis nomenclature), cytochrome D ubiquinol oxidase subunit I, integral membrane protein, similar to others e.g. P26459|APPC_ECOLI|CYXA|CBDA|B0978 cytochrome BD-II oxidase subunit I from Escherichia coli strain K12 (514 aa), FASTA scores: opt: 870, E(): 0, (35.9% identity in 485 aa overlap); AL034355|SCD78_12 from Streptomyces coelicolor (501 aa), FASTA scores: opt: 1099, E(): 0, (48.6% identity in 510 aa overlap); etc.</t>
  </si>
  <si>
    <t>Rv1624c, (MTCY01B2.16c), len: 195 aa. Probable membrane protein, first start taken. Some similarity to Rv3155 nuoK, NADH dehydrogenase chain K from M. tuberculosis. Also similar to AAK72093.1|AF196488 hypothetical protein from Mycobacterium smegmatis (205 aa). Identities = 117/195 (60%).</t>
  </si>
  <si>
    <t>Membrane-anchored adenylyl cyclase Cya (ATP pyrophosphate-lyase) (adenylate cyclase)</t>
  </si>
  <si>
    <t>Rv1625c, (MT1661, MTCY01B2.17c), len: 443 aa. Cya, membrane-anchored adenylyl cyclase (see citations below). C-terminal half is similar to region in numerous eukaryotic adenylate and guanylate cyclases. N-terminal half hydrophobic. FASTA score: CYG2_RAT|P22717 guanylate cyclase soluble, beta-2 chain (682 aa), FASTA scores: opt: 552, E(): 2.7e-26, (40.3% identity in 226 aa overlap). Some similarity to Rv2435c|MTCY428.11 from Mycobacterium tuberculosis (730 aa), E(): 7e-19. Start changed since first submission (+25 aa). Belongs to adenylyl cyclase class-4/guanylyl cyclase family.</t>
  </si>
  <si>
    <t>Sensor part of a two component regulatory system</t>
  </si>
  <si>
    <t>Probable two-component system transcriptional regulator</t>
  </si>
  <si>
    <t>Rv1626, (MTCY01B2.18), len: 205 aa. Probable two-component response system transcriptional regulator, similar to many e.g. CHEY_BACSU|P24072 chemotaxis protein chey homolog (119 aa), FASTA scores: opt: 283, E(): 1.6e-16, (43.0% identity in 114 aa overlap). Also similar to AL109732|SC7H2_27 hypothetical protein from Streptomyces coelicolor (218 aa), opt: 880, E(): 0, (69.4% identity in 196 aa overlap).</t>
  </si>
  <si>
    <t>Probable nonspecific lipid-transfer protein</t>
  </si>
  <si>
    <t>Rv1627c, (MTCY01B2.19c), len: 402 aa. Probable nonspecific lipid-transfer protein, similar to many lipid carrier proteins e.g. Q51797 acetyl CoA synthase from Pyrococcus furiosus (388 aa), FASTA scores: opt: 400, E(): 3.2e-18, (34.4% identity in 407 aa overlap); etc. Also some similarity to Mycobacterium tuberculosis proteins Rv3523, Rv3540c, Rv0244, Rv2790c, Rv1323, etc.</t>
  </si>
  <si>
    <t>Rv1628c, (MTCY01B2.20c), len: 163 aa. Conserved protein, some similarity to others e.g. Q51796 ACAC protein in Pyrococcus furiosus (136 aa), FASTA scores: opt: 199, E(): 4.6e-06, (34.7% identity in 121 aa overlap).</t>
  </si>
  <si>
    <t>Involved in post-incision events. In addition to DNA polymerase activity, this DNA polymerase exhibits 3' to 5' and 5' to 3' exonuclease activity [catalytic activity: N deoxynucleoside triphosphate = N diphosphate + {DNA}(N)].</t>
  </si>
  <si>
    <t>Probable DNA polymerase I PolA</t>
  </si>
  <si>
    <t>Rv1629, (MTCY01B2.21), len: 904 aa. Probable polA, DNA polymerase I (see citations below). Has DNA polymerase family a signature (PS00447) at C-terminal end. FASTA best: DPO1_MYCTU|Q07700 DNA polymerase I from Mycobacterium tuberculosis (904 aa). Some similarity to Rv2090|MTCY49.30 (393 aa), E(): 2.2e-18, (38.7% identity in 292 aa overlap). Belongs to DNA polymerase type-a family.</t>
  </si>
  <si>
    <t>Binds mRNA; thus facilitating recognition of the initiation point. It is needed to translate mRNA with a short shine-dalgarno (SD) purine-rich sequence.</t>
  </si>
  <si>
    <t>30S ribosomal protein S1 RpsA</t>
  </si>
  <si>
    <t>Rv1630, (MTCY01B2.22), len: 481 aa. rpsA, 30S ribosomal protein S1. FASTA best: RS1_MYCLE|P46836 30s ribosomal protein S1 from Mycobacterium leprae (482 aa), opt: 2655, E(): 0, (87.2% identity in 483 aa overlap).</t>
  </si>
  <si>
    <t>Catalyzes the phosphorylation of the 3'-hydroxyl group of dephosphocoenzyme a to form coenzyme a [catalytic activity: ATP + dephospho-CoA &lt;=&gt; ADP + CoA].</t>
  </si>
  <si>
    <t>Probable dephospho-CoA kinase CoaE (dephosphocoenzyme a kinase)</t>
  </si>
  <si>
    <t>Rv1631, (MTCY01B2.23), len: 407 aa. Probable coaE, dephospho-CoA kinase, similar to many e.g. Q50178|ML1383|COAE_MYCLE dephospho-CoA kinase from Mycobacterium leprae (410 aa), FASTA scores: E(): 0, (77.5% identity in 409 aa overlap). Has ATP/GTP-binding site motif A (P-loop, PS00017) at N-terminus. In the N-terminal section; belongs to the CoaE family. In the C-terminal section; belongs to the UPF0157 (GrpB) family.</t>
  </si>
  <si>
    <t>Rv1632c, (MTCY01B2.24c), len: 147 aa. Hypothetical unknown protein.</t>
  </si>
  <si>
    <t>Involved in nucleotide excision repair. The ABC excision nuclease is a DNA repair enzyme that catalyzes the excision reaction of UV-damaged nucleotide segments producing oligomers having the modified base(S). UVRB stimulates the ATPase activity of UVRA in the presence of UV-irradiated double-stranded DNA. It also enhances the ability of UVRA to bind to UV-irradiated duplex DNA</t>
  </si>
  <si>
    <t>Probable excinuclease ABC (subunit B - helicase) UvrB</t>
  </si>
  <si>
    <t>Rv1633, (MTCY01B2.25), len: 698 aa. Probable uvrB, excinuclease ABC, subunit B; helicase (see Mizrahi &amp; Andersen 1998; Sancar 1994); has ATP/GTP-binding site motif A (P-loop; PS00017) near N-terminus (see citation below). FASTA best: UVRB_MICLU|P10125 from Micrococcus luteus (709 aa), opt: 3268, E(): 0, (71.3% identity in 704 aa overlap). Also similar to Mycobacterium tuberculosis Rv2973c (recG); and Rv1020 (mfd). Belongs to the UVRB family.</t>
  </si>
  <si>
    <t>Thought to be involved in transport of drug across the membrane (export). Drug resistance by an export mechanism (confers resistance to toxic compounds by removing them for the cells).</t>
  </si>
  <si>
    <t>Possible drug efflux membrane protein</t>
  </si>
  <si>
    <t>Rv1634, (MTCY01B2.26), len: 471 aa. Possible drug efflux membrane protein of major facilitator superfamily (MFS), similar to many antibiotic resistance (efflux) proteins. FASTA best: Q56175 TU22 dTDP-glucose dehydrtatase (GRAE) from Streptomyces violaceoruber (557 aa), opt: 415, E(): 1.7e-17, (26.7% identity in 446 aa overlap). Relatives in Mycobacterium tuberculosis: MTCY369.27c, E(): 4.8e-12; MTCY20B11.14c, E(): 2.9e-10.</t>
  </si>
  <si>
    <t>Possibly involved in the biosynthesis of lipoarabinomannan (lam)</t>
  </si>
  <si>
    <t>Probable mannosyltransferase. Probable conserved transmembrane protein.</t>
  </si>
  <si>
    <t>Rv1635c, (MTCY01B2.27c), len: 556 aa. Probable mannosyltransferase (See Dinadayala et al., 2006). Predicted to be in the GT-C superfamily of glycosyltransferases (See Liu and Mushegian, 2003). Probable conserved transmembrane protein, equivalent to CAC31770.1|AL583921 Mycobacterium leprae membrane protein (527 aa), Identities = 332/527 (62%). A core mycobacterial gene; conserved in mycobacterial strains (See Marmiesse et al., 2004).</t>
  </si>
  <si>
    <t>Iron-regulated universal stress protein family protein TB15.3</t>
  </si>
  <si>
    <t>Rv1636, (MTCY01B2.28), len: 146 aa. TB15.3, iron-regulated universal stress protein family protein (see citations below), similar to other hypothetical proteins from diverse organisms e.g. Q57951|MJ0531|Y531_METJA from Methanococcus jannaschii (170 aa), FASTA scores: opt: 188, E(): 6e-06, (32.2% identity in 149 aa overlap); also P42297|YXIE_BACSU hypothetical 15.9 kDa protein in bglh-wapa intergenic region precursor from Bacillus subtilis (148 aa), FASTA scores: opt: 162, E(): 0.00025, (30.8% identity in 156 aa overlap). Part of family of Mycobacterium tuberculosis hypothetical proteins (but lacks C-terminal region) including Rv2005c, Rv2623, Rv2026c, Rv1996, etc.</t>
  </si>
  <si>
    <t>Rv1637c, (MTCY01B2.29c,MTCY06H11.01c), len: 264 aa. Conserved protein, some similarity to others e.g. P05446|GLO2_RHOBL probable hydroxyacylglutathione hydrolase (255 aa), FASTA scores: opt: 252, E(): 2e-09, (39.0% identity in 146 aa overlap). Also similar to Q9Z505|AL035591|SCC54.20 putative hydrolase from Streptomyces coelicolor (218 aa), FASTA scores: opt: 732, E(): 0, (52.3% identity in 220 aa overlap). Also similar to Mycobacterium tuberculosis hypothetical proteins and putative glyoxylases e.g. Rv0634c, Rv3677c, Rv2581c, Rv2260.</t>
  </si>
  <si>
    <t>Involved in nucleotide excision repair. The ABC excision nuclease is a DNA repair enzyme that catalyzes the excision reaction of UV-damaged nucleotide segments producing oligomers having the modified base(S). UVRA is an ATPase and a DNA-binding protein that preferentially binds single-stranded or UV-irradiated double-stranded DNA.</t>
  </si>
  <si>
    <t>Probable excinuclease ABC (subunit A - DNA-binding ATPase) UvrA</t>
  </si>
  <si>
    <t>Rv1638, (MTCY06H11.01,MTCY06H11.02c), len: 972 aa. Probable uvrA, excinuclease ABC, subunit A; DNA-binding ATPase (see citations below), similar to many e.g. UVRA_ECOLI|P07671 excinuclease abc subunit A from Escherichia coli (940 aa), FASTA scores: opt: 2573, E(): 0, (56.2% identity in 951 aa overlap). Contains 2x PS00017 ATP/GTP-binding site motif A, PS00211 ABC transporters family signature, PS00211 ABC transporters family signature. Consists of three subunits; UVRA, UVRB and UVRC. Belongs to the ABC transporter family. UVRA subfamily.</t>
  </si>
  <si>
    <t>Rv1638A</t>
  </si>
  <si>
    <t>Rv1638A, len: 85 aa. Conserved hypothetical protein, similar to C-terminal part of P31511|35KD_MYCTU 35kd immunogenic protein from Mycobacterium tuberculosis (270 aa), FASTA scores: opt: 159, E(): 0.002, (50.90% identity in 55 aa overlap); and to Mycobacterium leprae ML0981 possible pseudogene, an orthologue of 35kd immunogenic protein from Mycobacterium tuberculosis. Size difference suggests possible gene fragment.</t>
  </si>
  <si>
    <t>Rv1639c, (MTCY06H11.03c), len: 489 aa. Conserved hypothetical membrane protein. Some similarity to P35866|YLI2_CORGL Hypothetical 45.7 kDa protein from Corynebacterium glutamicum (426 aa), FASTA scores: opt: 511, E(): 2.4e-23, (28.9% identity in 370 aa overlap). Contains PS00904 protein phenyltransferases alpha subunit repeat signature</t>
  </si>
  <si>
    <t>lysX</t>
  </si>
  <si>
    <t>Charging LYS tRNA [catalytic activity: ATP + L-lysine + tRNA(LYS) = AMP + diphosphate + L-lysyl-tRNA (LYS)]</t>
  </si>
  <si>
    <t>Lysyl-tRNA synthetase 2 LysX</t>
  </si>
  <si>
    <t>Rv1640c, (MTCY06H11.04c), len: 1172 aa. lysX, lysyl-tRNA synthetase 2, probable two domain protein. N-terminal part (bases 1850153 to 1852033) is similar to AL023861|SC3C8_3 hypothetical membrane protein from Streptomyces coelicolor (589 aa), Fasta scores: opt: 1426, E(): 0, (44.6% identity in 585 aa overlap). The C-terminal part is similar to SYK_CRILO|P37879 lysyl-tRNA synthetases from Cricetulus longicaudatus (Long-tailed hamster) (597 aa), Fasta scores, opt: 985, E(): 0, (36.8% identity in 524 aa overlap). Contains PS00179 Aminoacyl-transfer RNA synthetases class-II signature 1, PS00339 Aminoacyl-transfer RNA synthetases class-II signature 2. This may indicate a frame shift but sequence has been checked and no error found. Belongs to class-II aminoacyl-tRNA synthetase family.</t>
  </si>
  <si>
    <t>If-3 binds to the 30S ribosomal subunit and shifts the equilibrum between 70S ribosomes and their 50S and 30S subunits in favor of the free subunits, thus enhancing the availability of 30S subunits on which protein synthesis initiation begins.</t>
  </si>
  <si>
    <t>Probable initiation factor if-3 InfC</t>
  </si>
  <si>
    <t>Rv1641, (MTCY06H11.05), len: 201 aa. Probable infC, initiation factor if-3, similar to many e.g. IF3_BACST|P03000 initiation factor if-3 from Bacillus stearothermophilus (171 aa), FASTA scores: opt: 560, E(): 1.9e-27, (50.6% identity in 166 aa overlap). Note that an AUC initiation codon has been used, the Bacillus (IF3_BACSU) and Escherichia coli (IF3_ECOLI) proteins use an AUU initiation codon, and the Myxococcus xanthus (DSG_MYXXA) homolog uses a AUC. Belongs to the if-3 family.</t>
  </si>
  <si>
    <t>Translation</t>
  </si>
  <si>
    <t>50S ribosomal protein L35 RpmI</t>
  </si>
  <si>
    <t>Rv1642, (MTCY06H11.06), len: 64 aa. rpmI, 50S ribosomal protein L35, similar to several e.g. RL35_SYNY3|P48959 from Synechocystis sp. (67 aa), fasta scores: opt: 179, E(): 2.7e-08, (51.6% identity in 64 aa overlap). Belongs to the L35P family of ribosomal proteins.</t>
  </si>
  <si>
    <t>This protein binds directly to 23S ribosomal RNA and is necessary to the in vitro assembly process of the 50S ribosomal subunit; it is not involved in the protein synthesizing functions of that subunit</t>
  </si>
  <si>
    <t>50S ribosomal protein L20 RplT</t>
  </si>
  <si>
    <t>Rv1643, (MTCY06H11.07), len: 129 aa. rplT, 50S ribosomal protein L20, similar to several e.g. RL20_ECOLI|P02421 from Escherichia coli (117 aa), FASTA scores: opt: 438, E(): 5.8e-24, (60.3% identity in 116 aa overlap). Contains PS00937 Ribosomal protein L20 signature.</t>
  </si>
  <si>
    <t>rRNA modification</t>
  </si>
  <si>
    <t>Possible 23S rRNA methyltransferase TsnR</t>
  </si>
  <si>
    <t>Rv1644, (MTCY06H11.08), len: 260 aa. Possible tsnR, 23S rRNA methyltransferase, similar to several e.g. TSNR_STRLU|P52393 from Streptomyces laurentii (270 aa), FASTA scores: opt: 276, E(): 3.6e-11, (27.6% identity in 261 aa overlap). Also similar to M. tuberculosis hypothetical proteins Rv0881, Rv3579c, and Rv0380c.</t>
  </si>
  <si>
    <t>Rv1645c, (MTCY06H11.10c), len: 351 aa. Conserved hypothetical protein, similar to other Mycobacterium tuberculosis hypothetical proteins e.g. O53837|Rv0826|MTV043.18 (351 aa), FASTA scores: (57.5% identity in 299 aa overlap); Q10519|Rv2237|YM37_MYCTU (255 aa), O53682|Rv0276 (306 aa).</t>
  </si>
  <si>
    <t>PE family protein PE17</t>
  </si>
  <si>
    <t>Rv1646, (MTCY06H11.11), len: 310 aa. PE17, Member of the Mycobacterium tuberculosis PE family of proteins (see citation below), similar to many e.g. YW36_MYCTU|Q10873 hypothetical 53.7 kd protein cy39.36c (558 aa), FASTA scores, opt: 411, E(): 1.3e-15, (34.4% identity in 320 aa overlap).</t>
  </si>
  <si>
    <t>Adenylate cyclase (ATP pyrophosphate-lyase) (adenylyl cyclase)</t>
  </si>
  <si>
    <t>Rv1647, (MTCY06H11.12), len: 316 aa. Adenylate cyclase, some similarity to other Mycobacterium tuberculosis proteins e.g. Q11055|Rv1264|YC64_MYCTU 42.2 kDa protein (397 aa), FASTA scores: opt: 197, E(): 9.4e-06, (27.1% identity in 181 aa overlap) and Q10400|Rv2212|YM12_MYCTU (378 aa). Belongs to adenylyl cyclase class-3 family.</t>
  </si>
  <si>
    <t>Rv1648, (MTCY06H11.13), len: 268 aa. Probable transmembrane protein, some similarity to Rv3434c|MTCY77.06C (237 aa), FASTA scores: E(): 0.00039, (31.4% identity in 194 aa overlap).</t>
  </si>
  <si>
    <t>Charging PHE tRNA [catalytic activity: ATP + L-phenylalanine + tRNA(PHE) = AMP + diphosphate + L-phenylalanyl-tRNA(PHE)]</t>
  </si>
  <si>
    <t>Probable phenylalanyl-tRNA synthetase, alpha chain PheS</t>
  </si>
  <si>
    <t>Rv1649, (MTCY06H11.14), len: 341 aa. Probable pheS, Phenylalanyl-tRNA synthetase alpha chain, similar to several e.g. SYFA_ECOLI|P08312 from Escherichia coli (327 aa), FASTA scores: opt: 978, E(): 0, (46.5% identity in 331 aa overlap). Homology suggests this start site, but there is a potential rbs upstream of a gtg 30 bp upstream; contains PS00179 Aminoacyl-transfer RNA synthetases class-II signature 1. Belongs to class-II aminoacyl-tRNA synthetase family. PHE-tRNA synthetase alpha chain subfamily 1.</t>
  </si>
  <si>
    <t>Charging PHE-tRNA [catalytic activity: ATP + L-phenylalanine + tRNA(PHE) = AMP + diphosphate + L-phenylalanyl-tRNA(PHE)]</t>
  </si>
  <si>
    <t>Probable phenylalanyl-tRNA synthetase, beta chain PheT</t>
  </si>
  <si>
    <t>Rv1650, (MTCY06H11.15), len: 831 aa. Probable pheT, Phenylalanyl-tRNA synthetase beta chain, similar to several e.g. SYFB_ECOLI|P07395 from Escherichia coli (795 aa), FASTA scores: opt: 995, E(): 0, (31.8% identity in 847 aa overlap). Belongs to the phenylalanyl-tRNA synthetase beta chain family - subfamily 1.</t>
  </si>
  <si>
    <t>PE-PGRS family protein PE_PGRS30</t>
  </si>
  <si>
    <t>Rv1651c, (MTCY06H11.16c), len: 1011 aa. PE_PGRS30, Member of the Mycobacterium tuberculosis PE family, PGRS subfamily of gly-rich proteins (see citations below), similar to many e.g. Q10637|Y03A_MYCTU hypothetical glycine-rich 49.6 kd protein (603 aa), FASTA scores: opt: 1757, E(): 0, (50.8% identity in 714aa overlap). The transcription of this CDS seems to be activated in macrophages (see Ramakrishnan et al., 2000).</t>
  </si>
  <si>
    <t>Involved in arginine biosynthesis (at the third step) [catalytic activity: N-acetyl-L-glutamate 5-semialdehyde + NADP(+) + phosphate = N-acetyl-5-glutamyl phosphate + NADPH].</t>
  </si>
  <si>
    <t>Probable N-acetyl-gamma-glutamyl-phoshate reductase ArgC</t>
  </si>
  <si>
    <t>Rv1652, (MTCY06H11.17), len: 352 aa. Probable argC, N-acetyl-gamma-glutamyl-phosphate reductase, similar to many e.g. ARGC_STRCL|P54896 from Streptomyces clavuligerus (340 aa), FASTA scores: opt: 1119, E(): 0, (56.9% identity in 350 aa overlap); etc. Belongs to the NAGSA dehydrogenase family.</t>
  </si>
  <si>
    <t>Arginine biosynthesis.</t>
  </si>
  <si>
    <t>Probable glutamate N-acetyltransferase ArgJ</t>
  </si>
  <si>
    <t>Rv1653, (MTCY06H11.18), len: 404 aa. Probable argJ, Glutamate n-acetyltransferase, similar to ARGJ_BACSU|P36843 from Bacillus subtilis (406 aa), fasta scores: opt: 727, E(): 0, (36.3% identity in 410 a a overlap).</t>
  </si>
  <si>
    <t>Arginine biosynthesis (second step) [catalytic activity: ATP + N-acetyl-L-glutamate = ADP + N-acetyl-L-glutamate 5-phosphate]</t>
  </si>
  <si>
    <t>Probable acetylglutamate kinase ArgB</t>
  </si>
  <si>
    <t>Rv1654, (MTCY06H11.19), len: 294 aa. Probable argB, Acetylglutamate kinase, similar to ARGB_CORGL|Q59281 (294 aa), FASTA scores: opt: 1209, E(): 0, (64.4% identity in 270 aa overlap). Belongs to the acetylglutamate kinase family.</t>
  </si>
  <si>
    <t>Arginine biosynthesis (fourth step) [catalytic activity: N2-acetyl-L-ornithine + 2-oxoglutarate = N-acetyl-L-glutamate 5-semialdehyde + L-glutamate]</t>
  </si>
  <si>
    <t>Probable acetylornithine aminotransferase ArgD</t>
  </si>
  <si>
    <t>Rv1655, (MTCY06H11.20), len: 400 aa. Probable argD, Acetylornithine aminotransferase, similar to ARGD_ECOLI|P18335 (406 aa), FASTA scores: opt: 958, E(): 0, (38.6% identity in 404 aa overlap), contains PS00600 Aminotransferases class-III pyridoxal-phosphate attachment site. Belongs to class-III of pyridoxal-phosphate-dependent aminotransferases.</t>
  </si>
  <si>
    <t>Involved in arginine biosynthesis [catalytic activity: carbamoyl phosphate + L-ornithine = phosphate + L-citrulline.]</t>
  </si>
  <si>
    <t>Probable ornithine carbamoyltransferase, anabolic ArgF</t>
  </si>
  <si>
    <t>Rv1656, (MTCY06H11.21), len: 307 aa. Probable argF, ornithine carbamoyltransferase, anabolic (see citation below), almost identical to OTCA_MYCBO|Q02095 ornithine carbamoyltransferase, anabolic from Mycobacterium bovis (307 aa), FASTA scores: opt: 1980, E(): 0, (99.0% identity in 307 aa overlap); contains PS00097 Aspartate and ornithine carbamoyltransferases signature. Belongs to the ATCases/OTCases family.</t>
  </si>
  <si>
    <t>Regulates arginine biosynthesis genes</t>
  </si>
  <si>
    <t>Probable arginine repressor ArgR (AHRC)</t>
  </si>
  <si>
    <t>Rv1657, (MTCY06H11.22), len: 170 aa. Probable argR, Arginine repressor (alternate gene name: ahrC). Similar to AHRC_BACSU|P17893 arginine hydroximate resistance protein from Bacillus subtilis (149 aa), FASTA scores: opt: 283, E(): 1.8e-11, (34.5% identity in 142 aa overlap); and ARGR_ECOLI|P15282 arginine repressor from Escherichia coli (156 aa), FASTA scores: opt: 194, E(): 6.4e-06, (30.8% identity in 146 aa overlap). Belongs to the ArgR family.</t>
  </si>
  <si>
    <t>Arginine biosynthesis [catalytic activity: ATP + L-citrulline + L-aspartate = AMP + diphosphate + L-argininosuccinate]</t>
  </si>
  <si>
    <t>Probable argininosuccinate synthase ArgG</t>
  </si>
  <si>
    <t>Rv1658, (MTCY06H11.23), len: 398 aa. Probable argG, Argininosuccinate synthase, similar to ASSY_STRCL|P50986 argininosuccinate synthase from Streptomyces clavuligerus (397 aa), FASTA scores: opt: 1873, E(): 0, (67.8% identity in 397 aa overlap); contains PS00564 Argininosuccinate synthase signature 1, PS00565 Argininosuccinate synthase signature 2. Belongs to the argininosuccinate synthase family.</t>
  </si>
  <si>
    <t>Arginine biosynthesis (last step) [catalytic activity: N-(L-arginino)succinate = fumarate + L- arginine]</t>
  </si>
  <si>
    <t>Probable argininosuccinate lyase ArgH</t>
  </si>
  <si>
    <t>Rv1659, (MTCY06H11.24), len: 470 aa. Probable argH, Argininosuccinate lyase, similar to ARLY_ECOLI|P11447 argininosuccinate lyase from Escherichia coli (457 aa), FASTA scores: opt: 1091, E(): 0, (42.5% identity in 461 aa overlap); contains PS00017 ATP/GTP-binding site motif A, PS00163 Fumarate lyases signature. Belongs to the lyase 1 family. Argininosuccinate lyase subfamily.</t>
  </si>
  <si>
    <t>Possibly involved in the biosynthesis of secondary metabolites [catalytic activity: 3 malonyl-CoA + 4-coumaroyl-CoA = 4 CoA + naringenin chalcone + 3 CO2]</t>
  </si>
  <si>
    <t>Chalcone synthase Pks10</t>
  </si>
  <si>
    <t>Rv1660, (MTCY06H11.25), len: 353 aa. pks10, chalcone synthase, similar to BCSA_BACSU|P54157 putative chalcone synthase from B. subtilis (365 aa), FASTA scores: opt: 701, E(): 0, (33.1% identity in 362 aa overlap). Also similar to M. tuberculosis Rv1665|pks11 polyketide synthase (chalcone synthase); and Rv1372|pks18 polyketide synthase. Other upstream initiation sites are possible but homology suggests this start. Note pks10 has been shown to be involved in the biosynthesis of phthiocerol.</t>
  </si>
  <si>
    <t>Potentially involved in some intermediate steps for the synthesis of a polyketide molecule which may be involved in secondary metabolism</t>
  </si>
  <si>
    <t>Probable polyketide synthase Pks7</t>
  </si>
  <si>
    <t>Rv1661, (MTCY06H11.26), len: 2126 aa. Probable pks7, polyketide synthase, similar to many e.g. ERY2_SACER|Q03132 erythronolide synthase, modules 3 and 4 (3567 aa), FASTA scores: E(): 0, (48.8% identity in 2131 aa overlap); also similar to Mycobacterium tuberculosis pks12. Contains PS00606 Beta-ketoacyl synthases active site, PS00012 Phosphopantetheine attachment site.</t>
  </si>
  <si>
    <t>Probable polyketide synthase Pks8</t>
  </si>
  <si>
    <t>Rv1662, (MTCY275.01-MTCY06H11.27), len: 1602 aa. Probable pks8, polyketide synthase, similar to many polyketide synthases e.g. ERY2_SACER|Q03132 erythronolide synthase, modules 3 and 4 from Saccharopolyspora erythraea (Streptomyces erythraeus) (3567 aa), FASTA scores: opt: 3319, E(): 0, (45.8% identity in 1619 aa overlap). Also similar to other Mycobacterium tuberculosis probable polyketide synthases e.g. pks7 and pks12. Contains PS00606 Beta-ketoacyl synthases active site and PS01162 Quinone oxidoreductase/zeta-crystallin signature. Note that the similarity extends into the downstream ORF Rv1663 (MTCY275.02), and this could be accounted for by a frameshift, although the sequence has been checked and no discrepancy was found.</t>
  </si>
  <si>
    <t>Probable polyketide synthase Pks17</t>
  </si>
  <si>
    <t>Rv1663, (MTCY275.02), len: 502 aa. Probable pks17, polyketide synthase, similar to other polyketide synthases e g. ERY2_SACER|Q03132 erythronolide synthase, modules 3 and 4 (3567 aa) from Saccharopolyspora erythraea (Streptomyces erythraeus), FASTA scores: opt: 1207, E(): 0, (43.9% identity in 531 aa overlap). Also similar to other Mycobacterium tuberculosis probable polyketide synthases e.g. pks7 and pks1. Note that the similarity extends into the upstream ORF Rv1662 (MTCY275.01) and this could be accounted for by a frameshift, although the sequence has been checked and no discrepancy was found. Contains PS00012 Phosphopantetheine attachment site.</t>
  </si>
  <si>
    <t>Probable polyketide synthase Pks9</t>
  </si>
  <si>
    <t>Rv1664, (MTCY275.03), len: 1017 aa. Probable pks9, polyketide synthase, similar to OL56_STRAT|Q07017 oleandomycin polyketide synthase, modules 5 and 6 from Streptomyces antibioticus (3519 aa), FASTA scores: opt: 1767, E(): 0, (41.6% identity in 919 aa overlap). Similar to other Mycobacterium tuberculosis probable polyketide synthases e.g. pks6, pks8, etc. Contains PS00012 Phosphopantetheine attachment site.</t>
  </si>
  <si>
    <t>Chalcone synthase Pks11</t>
  </si>
  <si>
    <t>Rv1665, (MTCY275.04-MTV047.01), len: 353 aa. pks11, chalcone synthase, some similarity to BCSA_BACSU|P54157 putative chalcone synthase from Bacillus subtilis (365 aa), FASTA scores: opt: 615, E(): 6.2e-32, (33.4% identity in 308 aa overlap); and to many plant chalcone synthases e.g. CHS_VIGUN|P51089 chalcone synthase (388 aa), FASTA scores: opt: 391, E(): 7.8e-18, (27.2% identity in 349 aa overlap). Highly similar to upstream ORF Rv1660|MTCY06H11.25 pks10 (72.7% identity in 308 aa overlap); and Rv1372 pks18.</t>
  </si>
  <si>
    <t>Probable cytochrome P450 139 Cyp139</t>
  </si>
  <si>
    <t>Rv1666c, (MT1706, MTV047.02c), len: 430 aa. Probable cyp139, cytochrome P450, similar to many e.g. U38537|APU38537_7 from Anabaena sp. (459 aa), FASTA scores: opt: 516, E(): 1.7e-26, (25.8% identity in 418 aa overlap). Contains PS00086 Cytochrome P450 cysteine heme-iron ligand signature. Belongs to the cytochrome P450 family.</t>
  </si>
  <si>
    <t>Rv1667c</t>
  </si>
  <si>
    <t>Probable second part of macrolide-transport ATP-binding protein ABC transporter</t>
  </si>
  <si>
    <t>Rv1667c, (MTV047.03c), len: 217 aa. Probable second part of macrolide-transport ATP-binding protein ABC transporter (see citation below), with similarity to C-terminal end of putative ABC transporters/ATP binding proteins, e.g. Z99108|BSUB0005_6 ABC transporter (ATP-binding protein) homolog yfmR from Bacillus subtilis (629 aa), FASTA scores: opt: 411, E(): 6.9e-17, (37.8% identity in 217 aa overlap); etc. Similarity to other NBD components of ABC transporters suggests that Rv1667c and Rv1668c should be contiguous. However, sequence has been checked and no errors found, also same sequence in M. tuberculosis CSU93 and Mycobacterium bovis.</t>
  </si>
  <si>
    <t>Probable first part of macrolide-transport ATP-binding protein ABC transporter</t>
  </si>
  <si>
    <t>Rv1668c, (MTV047.04c), len: 372 aa. Probable first part of macrolide-transport ATP-binding protein ABC transporter (see citation below), similar to many ATP-binding proteins ABC transporter e.g. X80735|SEABCT_1|Q54072 Saccharopolyspora erythraea ertX gene (481 aa), FASTA scores: opt: 938, E(): 0, (45.6% identity in 353 aa overlap); etc. Similarity to other NBD components of ABC transporters suggests that Rv1667c and Rv1668c should be contiguous. However, sequence has been checked and no error found, also same sequence in Mycobacterium tuberculosis CSU93 and Mycobacterium bovis. Contains PS00211 ABC transporters family signature and two times PS00017 ATP/GTP-binding site motif A. Belongs to the ATP-binding transport protein family (ABC transporters).</t>
  </si>
  <si>
    <t>Rv1669, (MTV047.04B), len: 120 aa. Hypothetical unknown protein. Predicted to be an outer membrane protein (See Song et al., 2008).</t>
  </si>
  <si>
    <t>Rv1670</t>
  </si>
  <si>
    <t>Rv1670, (MTV047.05), len: 115 aa. Conserved hypothetical protein, highly similar to D90908|D90908_87 Hypothetical protein of Synechocystis sp. PCC6803 complete (94 aa), FASTA scores opt: 378, E(): 3.5e-2, (55.2% identity in 96 aa overlap); also shows some similarity to Mycobacterium tuberculosis hypothetical proteins e.g. C-terminal region of O53404|Rv1056 (254 aa), and P96817|Rv0140 (126 aa).</t>
  </si>
  <si>
    <t>Rv1671</t>
  </si>
  <si>
    <t>Rv1671, (MTV047.06), len: 130 aa. Probable membrane protein. Weak similarity to mercuric transport proteins.</t>
  </si>
  <si>
    <t>Thought to be involved in transport across the membrane. Responsible for the translocation of undetermined substrate across the membrane.</t>
  </si>
  <si>
    <t>Rv1672c, (MTV047.07c), len: 443 aa. Probable conserved integral membrane transport protein, major facilitator superfamily, similar to several phthalate transporters or tartrate transporters e.g. U25634|AVU25634_2 Agrobacterium vitis plasmid pTrAB (433 aa), FASTA scores: opt: 914, E(): 0, (37.1% identity in 426 aa overlap); etc.</t>
  </si>
  <si>
    <t>Rv1673c</t>
  </si>
  <si>
    <t>Rv1673c, (MTV047.08c), len: 310 aa. Conserved hypothetical protein, shows weak similarity to P44103|YA48_HAEIN Hypothetical protein HI10 48 precursor (369 aa), FASTA scores: E(): 8.3e-11, (26.1% identity in 330 aa overlap).</t>
  </si>
  <si>
    <t>Rv1674c</t>
  </si>
  <si>
    <t>Rv1674c, (MTV047.09c), len: 218 aa. Probable transcriptional regulatory protein. Highly similar to AJ005575|SPE005575_2 Streptomyces peucetius (226 aa), FASTA scores: opt: 662, E(): 0, (50.0% identity in 208 aa overlap). Similar to Rv0324|Z96800|MTCY63.29 M. tuberculosis cosmid (226 aa), FASTA scores: opt: 579, E(): 0, (45.3% identity in 214 aa overlap). N-terminus is similar to transcriptional activators e.g. MERR_STRLI|P30346 probable mercury resistance operon regulator (125 aa), FASTA scores: opt: 183, E(): 1.9e-06, (35.6% identity in 90 aa overlap). Contains PS00380 Rhodanese signature 1.</t>
  </si>
  <si>
    <t>cmr</t>
  </si>
  <si>
    <t>Rv1675c</t>
  </si>
  <si>
    <t>Probable transcriptional regulatory protein Cmr</t>
  </si>
  <si>
    <t>Rv1675c, (MTV047.10c), len: 244 aa. Probable cmr, cAMP and macrophage regulator, transcriptional regulatory protein, weak similarity to D00496|LBATRP_7 trp operon from Lactobacillus casei (219 aa), FASTA scores: opt: 172, E(): 0.00011, (26.9% identity in 186 aa overlap).</t>
  </si>
  <si>
    <t>Rv1676, (MTV047.11), len: 234 aa. Unknown protein.</t>
  </si>
  <si>
    <t>Unknown; possibly involved in thiol:disulfide interchange.</t>
  </si>
  <si>
    <t>Probable conserved lipoprotein DsbF</t>
  </si>
  <si>
    <t>Rv1677, (MTV047.12), len: 182 aa. Probable dsbF, conserved lipoprotein possibly involved in thiol:disulfide interchange. Highly similar to C-terminus of Z74024|MTCY274.09 mpt53 soluble secreted antigen precursor from Mycobacterium tuberculosis (173 aa), FASTA scores: opt: 482, E(): 3.6e-23, (52.8% identity in 142 aa overlap) . Also some similarity to P52237|TIPB_PSEFL thiol:disulfide interchange protein TIPB precursor from Pseudomonas fluorescens (178 aa), FASTA scores: opt: 190, E(): 4.4e-05, (28.5% identity in 151 aa overlap); and P33926|DSBE_ECOLI thiol:disulfide interchange protein from Escherichia coli (185 aa), FASTA scores: opt: 194, E(): 2.6e-05, (29.1% identity in 175 aa overlap). Contains PS00013 Prokaryotic membrane lipoprotein lipid attachment site and PS00194 Thioredoxin family active site. Nucleotide position 1901816 in the genome sequence has been corrected, A:G resulting in Q23Q.</t>
  </si>
  <si>
    <t>Rv1678, (MTV047.13), len: 300 aa. Probable integral membrane protein.</t>
  </si>
  <si>
    <t>Possible acyl-CoA dehydrogenase FadE16</t>
  </si>
  <si>
    <t>Rv1679, (MTV047.14, MTCI125.01), len: 373 aa. Possible fadE16, acyl-CoA dehydrogenase, similar to acyl/butyryl-CoA dehydrogenases e.g. NP_244665.1|NC_002570 acyl-CoA dehydrogenase from Bacillus halodurans (380 aa); NP_000008.1|NM_000017 acyl-Coenzyme A dehydrogenase from Homo sapiens (412 aa); Z99113|BSUB0010_119 from Bacillus subtilis (380 aa), FASTA scores: opt: 439, E(): 3.4e-20, (29.6% identity in 287 aa overlap); etc. Weakly similar to many dehydrogenases and to P31571|CAIA_ECOLI probable carnitine operon oxidoreductase from Escherichia coli (380 aa), FASTA scores: opt: 109, E(): 0.0066, (28.6% identity in 98 aa overlap).</t>
  </si>
  <si>
    <t>Rv1680, (MTCI125.02), len: 274 aa. Hypothetical unknown protein.</t>
  </si>
  <si>
    <t>Involved in molybdoptenum cofactor biosynthesis</t>
  </si>
  <si>
    <t>Possible molybdopterin biosynthesis protein MoeX</t>
  </si>
  <si>
    <t>Rv1681, (MTCI125.03), len: 330 aa. Possible moeX, Molybdopterin biosynthesis protein, has weak similarity to MOAA_ECOLI|P30745 molybdenum cofactor biosynthesis protein (329 aa), FASTA scores: opt: 162, E(): 0.00081, (27.7% identity in 224 aa overlap) and to Rv3109|MTCY164.19 MoaA from Mycobacterium tuberculosis (28.5% identity in 165 aa overlap).</t>
  </si>
  <si>
    <t>Probable coiled-coil structural protein</t>
  </si>
  <si>
    <t>Rv1682, (MTCI125.04), len: 305 aa. Probable coiled-coil structural protein, weakly similar to many paramyosins, kinesins and plectins e.g. MYSP_ONCVO|Q02171 paramyosin from onchocerca volvulus (879 aa), fasta scores: opt: 180, E():2.6e-08, (24.4% identity in 234 aa overlap). Also similar to Mycobacterium tuberculosis hypothetical coiled-coil proteins (wag31 antigen 84) Rv2145c and Rv2927c.</t>
  </si>
  <si>
    <t>Supposed involvement in lipid biosynthesis and degradation</t>
  </si>
  <si>
    <t>Possible bifunctional enzyme; long-chain acyl-CoA synthase and lipase.</t>
  </si>
  <si>
    <t>Rv1683, (MTCI125.05), len: 999 aa. Possible bifunctional long-chain acyl-CoA synthase and lipase. Equivalent to Z95117|MLCB1351_21 possible long-chain acyl-CoA synthase from Mycobacterium leprae (1002 aa) (85.6% identity in 1002 aa overlap). Weakly similar to FATP_MOUSE|Q60714 long-chain fatty acid transport protein (646 aa), fasta scores: opt: 331, E(): 5e-08, (24.8% identity in 630 aa overlap). Also similar to O35488|AF033031 Mouse very-long-chain acyl-CoA synthetase (620 aa), fasta scores: opt: 435, E(): 2.2e-12, (24.8% identity in 545 aa overlap). Weakly similar to Mycobacterium tuberculosis protein MTCI364.18 (27.4% identity in 583 aa overlap). Contains PS00120 Lipases, serine active site.</t>
  </si>
  <si>
    <t>Rv1684</t>
  </si>
  <si>
    <t>Rv1684, (MTCI125.06), len: 74 aa. Conserved hypothetical protein, similar to P75844|YCAR_ECOLI Protein YCAR from Escherichia coli (60 aa), FASTA scores: opt: 108, E(): 0.00022, (39.0% identity in 59 aa overlap).</t>
  </si>
  <si>
    <t>Rv1685c, (MTCI125.07c), len: 207 aa. Conserved hypothetical protein, some similarity to other Mycobacterium tuberculosis hypothetical regulatory proteins e.g. Q10774|Rv1556|YF56_MYCTU (202 aa), FASTA scores: opt: 111, E(): 1.7e-05, (24.1% identity in 195 aa overlap); and P95215|Rv0258c|MTCY06A4.02c (151 aa) FASTA scores: (32.9% identity in 140 aa overlap); also similar to Q9X8G9|SCE7.13C|AL049819 putative Streptomyces coelicolor transcriptional regulator (204 aa), FASTA scores: opt: 480, E(): 6.4e-25, (40.4% identity in 203 aa overlap).</t>
  </si>
  <si>
    <t>Rv1686c</t>
  </si>
  <si>
    <t>Thought to be involved in active transport of undetermined substrate (possibly drug) across the membrane. Responsible for the translocation of the substrate across the membrane.</t>
  </si>
  <si>
    <t>Probable conserved integral membrane protein ABC transporter</t>
  </si>
  <si>
    <t>Rv1686c, (MTCI125.08c), len: 226 aa. Probable conserved integral membrane protein ABC transporter (see citation below), similar to AL049819|SCE7.05 putative integral membrane protein from Streptomyces coelicolor (266 aa), FASTA sacores: opt: 661, E(): 0, (45.1% identity in 226 aa overlap); and Q53627|U43537 membrane protein involved in mithramycin resistance from streptomyces argillaceus (233 aa), FASTA scores: opt: 222, E(): 5.4e-10, (28.7% identity in 216 aa overlap).</t>
  </si>
  <si>
    <t>Thought to be involved in active transport of undetermined substrate (possibly drug) across the membrane. Responsible for energy coupling to the transport system.</t>
  </si>
  <si>
    <t>Rv1687c, (MTCI125.09c), len: 255 aa. Probable conserved ATP-binding protein ABC transporter (see citation below), similar to many ABC-type transporters e.g. P55476|NODI_RHISN nodulation ATP-binding protein I from Rhizobium sp. (343 aa), FASTA scores: opt: 479, E(): 3.7e-23, (34.6% identity in 243 aa overlap); etc. Also similar to many other Mycobacterium tuberculosis ABC-type transporters e.g. MTCY19H9.04 (34.5% identity in 238 aa overlap). Contains PS00211 ABC transporters family signature and PS00017 ATP/GTP-binding site motif A (P-loop). Belongs to the ATP-binding transport protein family (ABC transporters). Also contains PS00039 dead-box subfamily ATP-dependent helicases signature, though this may be spurious.</t>
  </si>
  <si>
    <t>mpg</t>
  </si>
  <si>
    <t>Rv1688</t>
  </si>
  <si>
    <t>Thought to be involved in base excision repair.</t>
  </si>
  <si>
    <t>Possible 3-methyladenine DNA glycosylase Mpg</t>
  </si>
  <si>
    <t>Rv1688, (MTCI125.10), len: 203 aa. Possible mpg, 3-methyladenine DNA glycosylase (see citation below), similar to several eukaryotic 3-methylpurine DNA glycosylases and 3-methyladenine DNA glycosylases e.g. Q39147|X76169 3-methyladenine glycosylase from Arabidobsis thaliana (254 aa), FASTA scores: opt: 297, E(): 8.3e-15, (31.8% identity in 198 aa overlap) and P29372|3MG_HUMAN dna-3-methyladenine glycosidase (298 aa), FASTA scores: opt: 220, E(): 7.2e-05, (36.4% identity in 184 aa overlap). Belongs to the mpg family of DNA glycosylases.</t>
  </si>
  <si>
    <t>Involved in translation mechanism [catalytic activity: ATP + L-tyrosine + tRNA(TYR) = AMP + diphosphate + L-tyrosyl-tRNA(TYR)]</t>
  </si>
  <si>
    <t>Probable tyrosyl-tRNA synthase TyrS (TYRRS)</t>
  </si>
  <si>
    <t>Rv1689, (MTCI125.11), len: 424 aa. Probable tyrS, Tyrosyl-tRNA synthase, highly similar to many e.g. SYY_ECOLI|P00951 Escherichia coli (423 aa), FASTA scores: opt: 1271, E(): 0, (47.3% identity in 419 aa overlap). Contains PS00178 Aminoacyl-transfer RNA synthetases class-I signature. Belongs to class-I aminoacyl-tRNA synthetase family.</t>
  </si>
  <si>
    <t>lprJ</t>
  </si>
  <si>
    <t>Rv1690</t>
  </si>
  <si>
    <t>Probable lipoprotein LprJ</t>
  </si>
  <si>
    <t>Rv1690, (MTCI125.12), len: 127 aa. Probable lprJ, lipoprotein; contains possible signal sequence and PS00013 Prokaryotic membrane lipoprotein lipid attachment site. Weakly similar to other Mycobacterium tuberculosis hypothetical proteins with conserved cysteines e.g. Rv1804c, Rv1810, Rv3354, etc</t>
  </si>
  <si>
    <t>Rv1691, MTCI125.13, len: 250 aa. Conserved hypothetical protein, similar to Q9S210|SCI51.30C|AL109848 Hypothetical protein from Streptomyces coelicolor (210 aa), FASTA score: opt: 556, E(): 6.4e-27, (50.6% identity in 180 aa overlap).</t>
  </si>
  <si>
    <t>Probable phosphatase</t>
  </si>
  <si>
    <t>Rv1692, (MTCI125.14), len: 353 aa. Probable phosphatase, some similarity to others e.g. PNPP_SCHPO|Q00472 4-nitrophenylphosphatase (269 aa), FASTA scores: opt: 214, E(): 1.3e-10, (29.5% identity in 241 aa overlap); and to NAGD_ECOLI|P15302 nagd protein from Escherichia coli (250 aa), FASTA scores: opt: 314, E(): 9.8e-08, (28.2% identity in 245 aa overlap). Also similar to AL109848|SCI51.28 hypothetical protein from Streptomyces coelicolor (343 aa), FASTA scores: opt: 768, E(): 0, (44.8% identity in 315 aa overlap).</t>
  </si>
  <si>
    <t>Rv1693</t>
  </si>
  <si>
    <t>Rv1693, (MTCI125.15), len: 58 aa. Conserved hypothetical protein, shows some similarity to AL583921 hypothetical protein from Mycobacterium leprae (61 aa). Probable coiled-coil from aa 30 to 58. A core mycobacterial gene; conserved in mycobacterial strains (See Marmiesse et al., 2004).</t>
  </si>
  <si>
    <t>Methylates 16S and 23S rRNA. Also has contact-dependent haemolytic activity; possibly involved in virulence (pore formation).</t>
  </si>
  <si>
    <t>2'-O-methyltransferase TlyA</t>
  </si>
  <si>
    <t>Rv1694, (MTCI125.16), len: 268 aa. TlyA, 2'-O-methyltransferase; cytotoxin/haemolysin homologue (see citations below), almost identical to NP_301968.1|NC_002677 cytotoxin/haemolysin homologue TlyA from Mycobacterium leprae (269 aa). TlyA homologues were also identified by PCR in Mycobacterium avium, Mycobacterium bovis BCG, but appeared absent in M. smegmatis, M. vaccae, M. kansasii, M. chelonae and M. phlei (see Wren et al., 1998). Also highly similar to CAB83047.1|AJ271681 putative haemolysin from Mycobacterium ulcerans (281 aa); and similar to HLYA_TREHY|Q06803 pore-forming haemolysin/cytotoxin virulence determinant from Treponema hyodysenteriae (240 aa), FASTA scores: opt: 514, E():3e-30, (37.3% identity in 236 aa overlap).</t>
  </si>
  <si>
    <t>Catalyzes the phosphorylation of NAD to NADP. Utilizes ATP and other nucleoside triphosphates as well as inorganic polyphosphate as a source of phosphorus [catalytic activity: ATP + NAD+ = ADP + NADP+].</t>
  </si>
  <si>
    <t>Inorganic polyphosphate/ATP-NAD kinase PpnK (poly(P)/ATP NAD kinase)</t>
  </si>
  <si>
    <t>Rv1695, (MTCI125.17), len: 307 aa. PpnK, inorganic polyphosphate/ATP-NAD kinase (see citation below), equivalent to Q49897|MLC1351.13C|Z95117|PPNK_MYCLE inorganic polyphosphate/ATP-NAD kinase from Mycobacterium leprae (311 aa) (87.9% identity in 305 aa overlap). Also similar to many e.g. P37768|PPNK_ECOLI probable inorganic polyphosphate/ATP-NAD kinase (292 aa), FASTA scores: opt: 384, E(): 1.7e-23, (33.5% identity in 233 aa overlap); etc. Belongs to the NAD kinase family.</t>
  </si>
  <si>
    <t>Involved in recombinational repair of damaged DNA.</t>
  </si>
  <si>
    <t>Probable DNA repair protein RecN (recombination protein N)</t>
  </si>
  <si>
    <t>Rv1696, (MTCI125.18), len: 587 aa. Probable recN, DNA repair protein (see citation below), similar to many e.g. RECN_ECOLI|P05824 dna repair protein recN (553 aa), FASTA scores: opt: 508, E(): 1.9e-33, (31.5% identity in 587 aa overlap). Equivalent to Z95117|MLCB1351_12 recN from Mycobacterium leprae (587 aa), FASTA scores: (76.1% identit y in 589 aa overlap). Contains PS00017 ATP/GTP-binding site motif A (P-loop).</t>
  </si>
  <si>
    <t>Rv1697, (MTCI125.19), len: 393 aa. Conserved hypothetical protein, highly similar to Q49895|MLC1351.11C|U00021 Hypothetical protein of Mycobacterium leprae from cosmid L247 (430 aa), FASTA scores: opt: 2345, E(): 0, (90.6% identity in 393 aa overlap). A core mycobacterial gene; conserved in mycobacterial strains (See Marmiesse et al., 2004).</t>
  </si>
  <si>
    <t>mctB</t>
  </si>
  <si>
    <t>Outer membrane channel</t>
  </si>
  <si>
    <t>Outer membrane protein MctB</t>
  </si>
  <si>
    <t>Rv1698, (MTCI125.20), len: 314 aa. MctB, mycobacterial copper transport protein B essential for Cu resistance and maintenance of low intracellular Cu levels (See Wolschendorf et al., 2011). Outer membrane protein (See Siroy et al., 2008) with predicted N-terminal signal sequence. Probable coiled-coil from aa 31 to 67. A core mycobacterial gene; conserved in mycobacterial strains (See Marmiesse et al., 2004). Predicted to be an outer membrane protein (See Song et al., 2008).</t>
  </si>
  <si>
    <t>Pyrimidine biosynthesis (last step) [catalytic activity: ATP + UTP + glutamine = ADP + orthophosphate + CTP (ammonia can replace glutamine).]</t>
  </si>
  <si>
    <t>Probable CTP synthase PyrG</t>
  </si>
  <si>
    <t>Rv1699, (MTCI125.21), len: 586 aa. Probable pyrG, CTP synthase highly similar to many e.g. PYRG_ECOLI|P08398 ctp synthase from Escherichia coli (544 aa), FASTA scores: opt: 1786, E():0, (51.8% identity in 548 aa overlap). Contains PS00442 Glutamine amidotransferases class-I active site.</t>
  </si>
  <si>
    <t>NUDIX hydrolases catalyze the hydrolysis of a variety of nucleoside diphoshate derivatives</t>
  </si>
  <si>
    <t>NUDIX hydrolase</t>
  </si>
  <si>
    <t>Rv1700, (MTCI125.22), len: 207 aa. Nudix hydrolase, equivalent to Q49891|MLC1351.08C|Z95117 Hypothetical protein from Mycobacterium leprae (177 aa), FASTA scores: (66.7% identity in 171 aa overlap); also similar to Q9S225|SCI51.15C|AL109848 Hypothetical protein from Streptomyces coelicolor (211 aa), FASTA scores: opt: 508, E(): 1.2e-27, (43.1% identity in 197 aa overlap); similar to P54570|ADPP_BACSU ADP-ribose pyrophosphatase (185 aa), FASTA scores: opt: 313, E(): 1.1e-06, (42.7% identity in 124 aa overlap). Belongs to the family of Nudix hydrolases</t>
  </si>
  <si>
    <t>Sequence integration/recombination.</t>
  </si>
  <si>
    <t>Probable integrase/recombinase</t>
  </si>
  <si>
    <t>Rv1701, (MTCI125.23), len: 311 aa. Probable integrase/recombinase, similar to many e.g. XERD_ECOLI|P21891 integrase/recombinase xerd (298 aa), FASTA scores: opt: 583, E(): 0, (41.8% identity in 311 aa overlap). Also similar to other Mycobacterium tuberculosis integrase/recombinase proteins RV2894c|MTCY274.25c (43.1% identity in 304 aa overlap); and Rv2646|MTCY441.16 phiRv2 integrase (31.1% identity in 161 aa overlap). Equivalent to Z95117|MLCB1351_7 from Mycobacterium leprae (316 aa) (85.4% identity in 316 aa overlap).</t>
  </si>
  <si>
    <t>Rv1702c, (MTCI125.24c), len: 454 aa. Conserved hypothetical ORF in REP13E12 degenerate repeat. Similar to other hypothetical proteins inside REP13E12 elements (often in two parts) e.g. Rv0094c|Q50655|MTCY251.13c (317 aa), FASTA scores: opt: 1284, E(): 0, (59.7% identity in 315 aa overlap); and Rv1128c, Rv1945, Rv1148c, etc.</t>
  </si>
  <si>
    <t>Catalyzes the O-methylation [catalytic activity: S-adenosyl-L-methionine + catechol = S-adenosyl-L-homocysteine + guaiacol]</t>
  </si>
  <si>
    <t>Probable catechol-O-methyltransferase</t>
  </si>
  <si>
    <t>Rv1703c, (MTCI125.25c), len: 196 aa. Probable catechol-o-methyltransferase, most similar to COMT_HUMAN|P21964 soluble form of mammalian catechol o-methyltransferase (271 aa), FASTA scores: opt: 405, E(): 7.8e-29, (38.9% identity in 190 aa overlap). Also similar to Mycobacterium tuberculosis hypothetical methyltransferases Rv0187, Rv1220c.</t>
  </si>
  <si>
    <t>Permease that is involved in the transport across the cytoplasmic membrane of D-alanine, D-serine and glycine</t>
  </si>
  <si>
    <t>Probable D-serine/alanine/glycine transporter protein CycA</t>
  </si>
  <si>
    <t>Rv1704c, (MTCI125.26c), len: 556 aa. Probable cycA, D-serine/D-alanine/glycine transporter, highly similar to P39312|CYCA_ECOLI d-serine/d-alanine/glycine transporter from Escherichia coli (470 aa), FASTA scores: opt: 1906, E(): 0, (59.3% identity in 459 aa overlap); etc. Also similar to other Mycobacterium tuberculosis amino-acid permeases e.g. Rv2127, Rv0346c, etc. Contains PS00218 amino acid permeases signature. Belongs to the amino acid permease family (APC family).</t>
  </si>
  <si>
    <t>PPE family protein PPE22</t>
  </si>
  <si>
    <t>Rv1705c, (MTCI125.27c), len: 385 aa. PPE22, Member of the Mycobacterium tuberculosis PPE family of glycine-rich proteins, similar to many e.g. YX23_MYCTU|Q10813 hypothetical 41.1 kDa protein cy274.2 3 (404 aa), fasta scores: opt: 819, E(): 0, (46.2% identity in 413 aa overlap).</t>
  </si>
  <si>
    <t>Rv1706A</t>
  </si>
  <si>
    <t>Rv1706A, len: 55 aa. Conserved hypothetical protein, similar to part of several probable export proteins e.g. Rv0783c|Z80226_28 from Mycobacterium tuberculosis (540 aa), FASTA scores: opt: 125, E(): 0.011, (52.85% identity in 53 aa overlap). Size difference suggests possible gene fragment.</t>
  </si>
  <si>
    <t>PPE family protein PPE23</t>
  </si>
  <si>
    <t>Rv1706c, (MTCI125.28c), len: 394 aa. PPE23, Member of the Mycobacterium tuberculosis PPE family of glycine-rich proteins, similar to many e.g. YX23_MYCTU|Q10813 hypothetical 41.1 kDa protein cy274.23 (404 aa), fasta scores: opt: 841, E(): 3.9e-31, (46.8% identity in 408 aa overlap).</t>
  </si>
  <si>
    <t>Unknown; possibly involved in transport of sulfate across the membrane.</t>
  </si>
  <si>
    <t>Rv1707, (MTCI125.29), len: 486 aa. Probable conserved transmembrane protein, possibly involved in transport of sulfate, similar to several hypothetical proteins belonging to the sulfate permease family e.g. P40877|YCHM_ECOLI hypothetical 58.4 kDa protein in pth-prsa intergenic region from Escherichia coli (550 aa), FASTA scores: opt: 486, E(): 0, (33.1% identity in 492 aa overlap). Also similar to many other Mycobacterium tuberculosis membrane proteins e.g. Rv3273, Rv1739c. Seems to belong to the SulP family.</t>
  </si>
  <si>
    <t>Unknown; thought to be involved in cell process.</t>
  </si>
  <si>
    <t>Putative initiation inhibitor protein</t>
  </si>
  <si>
    <t>Rv1708, (MTCI125.30), len: 318 aa. Putative initiation inhibitor protein, a soj-related protein probably involved in cell process, highly similar to many sporulation initiation inhibitor proteins soj e.g. P37522|SOJ_BACSU Soj protein from Bacillus subtilis (253 aa), FASTA scores: opt: 745, E(): 0, (46.0% identity in 248 aa overlap), and more weakly to various repA/para/incC proteins from various organisms e.g. Y4CK_RHISN|P55393 putative replication protein A from Rhizobium sp. (407 aa), FASTA scores: opt: 205, E(): 4e-13, (29.0% identity in 252 aa overlap). Also similar to Mycobacterium tuberculosis hyothetical proteins Rv3213c and Rv3918c.</t>
  </si>
  <si>
    <t>scpA</t>
  </si>
  <si>
    <t>Involved in chromosome structure and partitioning</t>
  </si>
  <si>
    <t>Possible segregation and condensation protein ScpA</t>
  </si>
  <si>
    <t>Rv1709, (MTCI125.31), len: 278 aa. Possible scpA, segregation and condensation protein, similar to e.g. P35154|YPUG_BACSU from Bacillus subtilis (251 aa), FASTA scores: opt: 271, E(): 8.2e-10, (27.0% identity in 248 aa overlap); Q9S230|SCI51.10C|AL109848 from Streptomyces coelicolor (264 aa), FASTA scores: opt: 855, E(): 0, (56.8% identity in 257 aa overlap). Equivalent to Q49888|MLC1351.05C|Z95117 from Mycobacterium leprae (268 aa), FASTA scores: (78.9% identity in 251 aa overlap).</t>
  </si>
  <si>
    <t>scpB</t>
  </si>
  <si>
    <t>Possible segregation and condensation protein ScpB</t>
  </si>
  <si>
    <t>Rv1710, (MTCI125.32), len: 231 aa. Possible scpB, segregation and condensation protein, similar to several hypothetical proteins e.g. P35155|YPUH_BACSU from Bacillus subtilis (197 aa), FASTA scores: opt: 339, E(): 1.3e-09, (36.0% identity in 186 aa overlap); Q9S231|SCI51.09C|AL109848 from Streptomyces coelicolor (223 aa), FASTA scores: opt: 626, E(): 0, (51.0% identity in 192 aa overlap). Equivalent to O05669|MLC1351.04C|Z95117 Hypothetical protein from Mycobacterium leprae (231 aa), FASTA scores: (77.9% identity in 231 aa overlap).</t>
  </si>
  <si>
    <t>Rv1711, (MTCI125.33), len: 254 aa. Conserved hypothetical protein, highly similar to a large family of hypothetical proteins e.g. P37765|YCIL_ECOLI from Escherichia coli (291 aa), FASTA scores: opt: 496, E(): 1.1e-29, (41.6% identity in 250 aa overlap); 9S232|SCI51.08C|AL109848 putative pseudouridine synthase from Streptomyces coelicolor (371 aa), FASTA scores: opt: 818, E(): 0, (53.1% identity in 245 aa overlap). Equivalent to O05668|MLCB1351.03C|Z95117 Hypothetical protein from Mycobacterium leprae (256 aa), (80.5% identity in 256 aa overlap). Contains PS01149 Hypothetical yciL/yejD/yjbC family signature.</t>
  </si>
  <si>
    <t>Catalyzes the transfer of a phosphate group from ATP to either CMP or dCMP to form CDP or dCDP and ADP [catalytic activity: ATP + CMP = ADP + CDP].</t>
  </si>
  <si>
    <t>Cytidylate kinase Cmk (CMP kinase) (cytidine monophosphate kinase) (ck)</t>
  </si>
  <si>
    <t>Rv1712, (MTCI125.34), len: 230 aa. cmk, cytidylate kinase, highly similar to many e.g. KCY_ECOLI|P23863 cytidylate kinase from Escherichia coli (227 aa), FASTA scores: opt: 534, E (): 0, (40.3% identity in 221 aa overlap). Contains PS00017 ATP/GTP-binding site motif A (P-loop). Equivalent to Z95117|MLCB1351_2 from Mycobacterium leprae (223 aa) (73.5% identity in 226 aa overlap). Belongs to the cytidylate kinase family, subfamily 1.</t>
  </si>
  <si>
    <t>Binds both GDP and GTP. Has an intrinsic GTPase activity and is essential for cell growth.</t>
  </si>
  <si>
    <t>Probable GTP-binding protein EngA</t>
  </si>
  <si>
    <t>Rv1713, (MTCI125.35), len: 463 aa. Probable engA, GTP-binding protein. Equivalent to Q49884|MLCB1351.01|U00021_5 probable GTP-binding protein ENGA from Mycobacterium leprae (461 aa), (88.6% identity in 463 aa overlap). And similar to many e.g. P50743|ENGA_BACSU probable GTP-binding protein ENGA from Bacillus subtilus (436 aa), FASTA scores: opt: 1077, E(): 0, (40.6% identity in 434 aa overlap). Contains two PS00017 ATP/GTP-binding site motif A (P-loop). Belongs to the era/TRME family of GTP-binding proteins. ENGA subfamily.</t>
  </si>
  <si>
    <t>Rv1714, (MTV048.01), len: 270 aa. Probable oxidoreductase similar to many e.g. AE0010|AE001021_4 Archaeoglobus fulgidus section 79 (281 aa), FASTA scores: opt: 578, E(): 3.3e-31, (38.9% identity in 265 aa overlap). Also similar to several other M. tuberculosis oxidoreductases e.g. Rv1544, etc.</t>
  </si>
  <si>
    <t>fadB3</t>
  </si>
  <si>
    <t>Rv1715</t>
  </si>
  <si>
    <t>Thought to be involved in fatty acid degradation. FADB and FADA are the alpha and beta subunits of the multifunctional enzyme complex of the fatty acid degradation cycle [catalytic activity: (S)-3-hydroxybutanoyl-CoA + NADP+ = 3-acetoacetyl-CoA + NADPH].</t>
  </si>
  <si>
    <t>Probable 3-hydroxybutyryl-CoA dehydrogenase FadB3 (beta-hydroxybutyryl-CoA dehydrogenase) (BHBD)</t>
  </si>
  <si>
    <t>Rv1715, (MTV048.02), len: 304 aa. Probable fadB3, 3-hydroxybutyryl-CoA dehydrogenase, highly similar to many e.g. NP_107236.1|NC_002678 3-hydroxybutyryl-CoA dehydrogenase from Mesorhizobium loti (309 aa); NP_250319.1|NC_002516 probable 3-hydroxyacyl-CoA dehydrogenase from Pseudomonas aeruginosa (509 aa); P45856|HBD_BACSU probable 3-hydroxybutyryl-CoA dehydrogenase from Bacillus subtilis (287 aa), FASTA scores: opt: 488, E(): 1.5e-24, (38.7% identity in 279 aa overlap); etc. Could belong to the 3-hydroxyacyl-CoA dehydrogenase family.</t>
  </si>
  <si>
    <t>Rv1716</t>
  </si>
  <si>
    <t>Rv1716, (MTV048.03,MTCY04C12.01), len: 276 aa. Conserved hypothetical protein, shows high similarity with AF1200|O29068|AE001021_11A conserved protein of Archaeoglobus fulgidus, gp fulgidus section 7 (278 aa), FASTA scores: E(): 0, (61.8% identity in 251 a a overlap); also weak similarity to several polyketide cyclases e.g. O68500|AF048833|DPSY from Streptomyces peucetius (272 aa), FASTA scores: opt: 194, E(): 1.7e-05, (29.6% identity in 223 aa overlap).</t>
  </si>
  <si>
    <t>Rv1717</t>
  </si>
  <si>
    <t>Rv1717, (MTCY04C12.02), len: 116 aa. Conserved hypothetical protein, similar to O29060|AF1208|AE001021 Hypothetical protein from Arecheoglobus fulgidus (114 aa), FASTA scores: opt: 254, E(): 3.3e-09, (37.7% identity in 114 aa overlap).</t>
  </si>
  <si>
    <t>Rv1718</t>
  </si>
  <si>
    <t>Rv1718, (MTCY04C12.03), len: 272 aa. Conserved hypothetical protein, similar to O29058|AF1210|AE001021 Hypothetical protein from Archeoglobus (313 aa), FASTA scores: opt: 301, E(): 8e-23, (31.6% identity in 301 aa overlap).</t>
  </si>
  <si>
    <t>Rv1719</t>
  </si>
  <si>
    <t>Rv1719, (MTCY04C12.04), len: 259 aa. Probable transcriptional regulatory protein, similar to YIAJ_ECOLI|P37671 hypothetical transcriptional regulator from Escherichia coli (282 aa), FASTA scores: opt: 353, E(): 3.2e-15, (31.1% identity in 235 aa overlap). Similar to Mycobacterium tuberculosis hypothetical IclR-family transcriptional regulators Rv2989, Rv1773c. Helix-turn-helix motif from aa 34-55 (+6.94 SD).</t>
  </si>
  <si>
    <t>vapC12</t>
  </si>
  <si>
    <t>Rv1720c</t>
  </si>
  <si>
    <t>Possible toxin VapC12</t>
  </si>
  <si>
    <t>Rv1720c, (MTCY04C12.05c), len: 129 aa. Possible vapC12, toxin, part of toxin-antitoxin (TA) operon with Rv1721c, contains PIN domain (See Arcus et al., 2005; Pandey and Gerdes, 2005). Similar to other Mycobacterium tuberculosis hypothetical proteins e.g. O53610|Rv0065|MTV030.08 (133 aa), FASTA scores: E(): 1.5e-10, (39.1% identity in 128 aa overlap); P71550|Rv0960|MTCY10D7.14C (129 aa) and O06415|Rv0549c|MTCY25D10.28C (137 aa).</t>
  </si>
  <si>
    <t>vapB12</t>
  </si>
  <si>
    <t>Rv1721c</t>
  </si>
  <si>
    <t>Possible antitoxin VapB12</t>
  </si>
  <si>
    <t>Rv1721c, (MTCY04C12.06c), len: 75 aa. Possible vapB12, antitoxin, part of toxin-antitoxin (TA) operon with Rv1720c (See Arcus et al., 2005; Pandey and Gerdes, 2005). Similar to others from Mycobacterium tuberculosis e.g. Rv0300|MTCY63.05|O07227 conserved hypothetical protein (73 aa). Start changed since original submission.</t>
  </si>
  <si>
    <t>Possible carboxylase</t>
  </si>
  <si>
    <t>Rv1722, (MTCY04C12.07), len: 494 aa. Possible carboxylases. Weak similarity to several e.g. ACCC_BACSU|P49787 biotin carboxylase from Bacillus subtilis (448 aa), fasta scores: opt: 171, E(): 0.00021, (22.8% identity in 237 aa overlap).</t>
  </si>
  <si>
    <t>Rv1723, (MTCY04C12.08), len: 415 aa. Possible hydrolase, similar to others e.g. NYLB_FLASP|P07061 6-aminohexanoate-dimer hydrolase from Flavobacterium sp. (392 aa), FASTA scores: opt: 717, E(): 0, (35.1% identity in 396 aa overlap). Also similar to M. tuberculosis hypothetical esterases and penicillin binding proteins e.g. Rv1923, Rv1497, Rv2463, etc</t>
  </si>
  <si>
    <t>Rv1724c, (MTCY04C12.09c), len: 139 aa. Hypothetical unknown protein.</t>
  </si>
  <si>
    <t>Rv1725c, (MTCY04C12.10c), len: 236 aa. Conserved hypothetical protein, similar to other hypothetical proteins from diverse organisms e.g. P70885|U44893 ORF108 from butyrivibrio fibrisolvens, (108 aa), FASTA scores: opt: 223, E(): 2e-09, (39.1% identity in 92 aa overlap). Also similar to Mycobacterium tuberculosis hypothetical transcriptional regulator, O05774|Rv3095|YU95_MYCTU (158 aa).</t>
  </si>
  <si>
    <t>Rv1726, (MTCY04C12.11), len: 461 aa. Probable oxidoreductase, similar to HDNO_ARTOX|P08159 6-hydroxy-d-nicotine oxidase (458 aa), FASTA scores: opt: 678, E(): 0, (29.5% identity in 465 aa overlap). Also similar to Mycobacterium tuberculosis hypothetical dehydrogenases e.g. Rv3107c, Rv1257c, etc.</t>
  </si>
  <si>
    <t>Rv1727, (MTCY04C12.12), len: 189 aa. Conserved hypothetical protein, similar to Mycobacterium tuberculosis hypothetical proteins P72040|Rv3773c|MTCY13D12.07C (194 aa), FASTA scores: opt: 176, E(): 2.7e-08, (31.1% identity in 180 aa overlap); and O53801|Rv0738 (182 aa).</t>
  </si>
  <si>
    <t>Rv1728c, (MTCY04C12.13c), len: 256 aa. Conserved hypothetical protein, some similarity to O07246|Rv0320|MTCY63.25 possible exported protein from Mycobacterium tuberculosis (220 aa), FASTA scores: E(): 1.3e-31, (42.3% identity in 220 aa overlap). C-terminal region similar to Q9ZX60|AF068845|AF068845_17 segment of gp17 of Mycobacteriophage TM4 (1229 aa), FASTA scores: opt: 385, E(): 4.3e-17, (44.6% identity in 139 aa overlap).</t>
  </si>
  <si>
    <t>Rv1729c, (MTCY04C12.14c), len: 312 aa. Possible S-adenosylmethionine-dependent methyltransferase (see Grana et al., 2007), similar to many Mycobacterium tuberculosis proteins e.g. Q50726|Rv3399|YX99_MYCTU (348 aa), FASTA scores: opt: 1019, E(): 0, (55.7% identity in 296 aa overlap); P95074|Rv0726c (367 aa), O53795|Rv0731c (318 aa), and O53841|Rv0830 (301 aa), etc.</t>
  </si>
  <si>
    <t>Thought to be involved in cell wall biosynthesis and may also act as a sensor of external penicillins</t>
  </si>
  <si>
    <t>Possible penicillin-binding protein</t>
  </si>
  <si>
    <t>Rv1730c, (MTCY04C12.15c), len: 517 aa. Possible penicillin-binding protein, similar to others e.g. PBP4_NOCLA|Q06317 penicillin-binding protein 4 (pbp-4) from Nocardia lactamdurans (381 aa), FASTA scores: opt: 643, E(): 3.8e-32, (33.8% identity in 370 aa overlap); etc. Also similar to other Mycobacterium tuberculosis hypothetical penicillin binding proteins and esterases e.g. Rv1923, Rv1497, etc.</t>
  </si>
  <si>
    <t>Possible succinate-semialdehyde dehydrogenase [NADP+] dependent (SSDH) GabD2</t>
  </si>
  <si>
    <t>Rv1731, (MTCY04C12.16), len: 518 aa. Possible gabD2, succinate-semialdehyde dehydrogenase [NADP+] dependent, similar to others e.g. GABD_ECOLI|P25526 succinate-semialdehyde dehydrogenase from Escherichia coli (482 aa), FASTA scores: opt: 870, E(): 0, (34.7% identity in 449 aa overlap); etc. Also similar to gabD1|Rv0234c|MTCY08D5.30c probable succinate-semialdehyde dehydrogenase [NADP+] dependent from Mycobacterium tuberculosis (511 aa); and other semialdehyde dehydrogenases e.g. Rv0768|aldA (489 aa), Rv2858c|aldC (455 aa), etc. Contains PS00216 Sugar transport proteins signature 1, PS00687 Aldehyde dehydrogenases glutamic acid active site. Belongs to the aldehyde dehydrogenases family. Note that previously known as gabD1.</t>
  </si>
  <si>
    <t>Rv1732c, (MTCY04C12.17c), len: 182 aa. Conserved protein, highly similar to hypothetical proteins from several organisms e.g. P73178|SLL1289|D90904 from Synechocystis (194 aa), FASTA scores: opt: 663, E(): 0, (53.1% identity in 179 aa overlap); etc.</t>
  </si>
  <si>
    <t>Rv1733c, (MTCY04C12.18c), len: 210 aa. Probable conserved transmembrane protein. Similar to AL109962|SCJ1_26 hypothetical protein from Streptomyces coelicolor (193 aa), FASTA scores: opt: 287, E(): 3.8e-11, (35.2% identity in 182 aa overlap). Predicted possible vaccine candidate (See Zvi et al., 2008).</t>
  </si>
  <si>
    <t>Rv1734c, (MTCY04C12.19c), len: 80 aa. Conserved hypothetical protein, similar to C-terminal region Q9Z8N2|CP0452|AE001615 Dihydrolipoamide Acetyltransferase from Chlamydia pneumoniae (429 aa), FASTA scores: opt: 138, E(): 0.0012, (26.9% identity in 78 aa overlap).</t>
  </si>
  <si>
    <t>Rv1735c</t>
  </si>
  <si>
    <t>Hypothetical membrane protein</t>
  </si>
  <si>
    <t>Rv1735c, (MTCY04C12.20c), len: 165 aa. Hypothetical membrane protein, similar to part of O58614|PH0884|AP000004 Hypothetical malic acid transport protein from Pyrococcus horikoshii (330 aa), FASTA scores: opt: 167, E(): 0.0003, (29.2% identity in 120 aa overlap).</t>
  </si>
  <si>
    <t>Involved in nitrate reduction, and in the persistence in the host [catalytic activity: nitrite + acceptor = nitrate + reduced acceptor]</t>
  </si>
  <si>
    <t>Probable nitrate reductase NarX</t>
  </si>
  <si>
    <t>Rv1736c, (MTCY04C12.21c), len: 652 aa. Probable narX, nitrate reductase. Contains three domains: N-terminus (250 aa) is similar to e.g. N-terminus of NARG_ECOLI|P09152 respiratory nitrate reductase 1 alpha chain from Escherichia coli (1246 aa), FASTA scores: E(): 0, (58.6% identity in 251 aa overlap); and Rv1161|MTCI65.28|NARG probable respiratory nitrate reductase (alpha chain) from Mycobacterium tuberculosis (1232 aa). Central region (260-410 aa) is similar to Rv1163|O06561|NARJ probable respiratory nitrate reductase (delta chain) from Mycobacterium tuberculosis (201 aa), FASTA scores: E(): 0, (64.2% identity in 159 aa overlap). C-terminus (420 aa-) is similar to Rv1164|O06562|NARI probable respiratory nitrate reductase (gamma chain) from Mycobacterium tuberculosis (246 aa), FASTA scores: E(): 0, (68.6% identity in 239 aa overlap). Contains PS00551 Prokaryotic molybdopterin oxidoreductases signature 1.</t>
  </si>
  <si>
    <t>Involved in excretion of nitrite, produced by the dissimilatory reduction of nitrate, across the membrane. Responsible for the translocation of the substrate across the membrane.</t>
  </si>
  <si>
    <t>Possible nitrate/nitrite transporter NarK2</t>
  </si>
  <si>
    <t>Rv1737c, (MTCY04C12.22c), len: 395 aa. Possible narK2, nitrate/nitrite-transport integral membrane protein (see Hutter &amp; Dick 2000), possibly member of major facilitator superfamily (MFS), similar to P46907|NARK_BACSU nitrite extrusion protein from Bacillus subtilis (395 aa), FASTA scores: opt: 742, E(): 0, (33.6% identity in 375 aa overlap); and to AL109989|SCJ12.23 hypothetical nitrate/nitrite transporter from Streptomyces coelicolor (412 aa), FASTA scores: opt: 1181, E(): 0, (49.4% identity in 389 aa overlap).</t>
  </si>
  <si>
    <t>Rv1738, (MTCY04C12.23), len: 94 aa. Conserved protein, similar to P71931|Rv2632c|YQ32_MYCTU Hypothetical 10.1 kDa protein from Mycobacterium tuberculosis (93 aa), FASTA scores: opt: 319, E(): 2.6e-27, (53.9% identity in 89 aa overlap). Predicted possible vaccine candidate (See Zvi et al., 2008).</t>
  </si>
  <si>
    <t>Involved in sulphate transport across the membrane. Responsible for the translocation of the substrate across the membrane.</t>
  </si>
  <si>
    <t>Probable sulphate-transport transmembrane protein ABC transporter</t>
  </si>
  <si>
    <t>Rv1739c, (MTCY04C12.24c, MTCY28.01), len: 560 aa. Probable sulphate-transport transmembrane protein ABC transporter, similar to several e.g. P53392|G607186 high affinity sulphate transporter from Stylosanthes hamata (662 aa), FASTA scores: opt: 382, E(): 1.6e-16, (28.0% identity in 564 aa overlap); U59234.1|AAB88215.1 biotin carb. from Synechococcus sp. PCC 7942 (574 aa), FASTA scores: opt: 1838, E(): 0, (50.0% identity in 550 aa overlap); etc. Contains PS00211 ABC transporters family signature. Belongs to the ATP-binding transport protein family (ABC transporters), and seems to belong to the SULP family.</t>
  </si>
  <si>
    <t>vapB34</t>
  </si>
  <si>
    <t>Rv1740</t>
  </si>
  <si>
    <t>Possible antitoxin VapB34</t>
  </si>
  <si>
    <t>Rv1740, (MTCY28.02-MTCY04C12.25), len: 70 aa. Possible vapB34, antitoxin, part of toxin-antitoxin (TA) operon with Rv1741, see Arcus et al. 2005. Similar to others in Mycobacterium tuberculosis e.g. P96913|Rv0623|MTCY20H10.04 (84 aa), (73.5% identity in 68 aa overlap); P71998|Rv1740 (70 aa), and O07770|Rv0608 (81 aa).</t>
  </si>
  <si>
    <t>vapC34</t>
  </si>
  <si>
    <t>Rv1741</t>
  </si>
  <si>
    <t>Possible toxin VapC34. Contains PIN domain.</t>
  </si>
  <si>
    <t>Rv1741, (MTCY28.03,MTCY04C12.26), len: 82 aa. Possible vapC34, toxin, part of toxin-antitoxin (TA) operon with Rv1740, contains PIN domain, see Arcus et al. 2005. Similar in N-terminus to others in Mycobacterium tuberculosis e.g. P96914|Rv0624|MTCY20H10.05 (131 aa), (80.4% identity in 56 aa overlap); P71999|Rv1741 (82 aa) and O07769|Rv0609 (133 aa).</t>
  </si>
  <si>
    <t>Rv1742, (MTCY28.04,MTCY04C12.27), len: 245 aa. Unknown protein.</t>
  </si>
  <si>
    <t>Involved in signal transduction (via phosphorylation). Thought to be involved in membrane transport [catalytic activity: ATP + a protein = ADP + a phosphoprotein].</t>
  </si>
  <si>
    <t>Probable transmembrane serine/threonine-protein kinase E PknE (protein kinase E) (STPK E)</t>
  </si>
  <si>
    <t>Rv1743, (MTCY28.05,MTCY04C12.28), len: 566 aa. Probable pknE, transmembrane serine/threonine protein kinase (see citation below), similar to PKN1_MYXXA|P33973 serine/threonine-protein kinase pkn1 (693 aa), fasta scores: opt: 542, E(): 1.1e-19, (35.8% identity in 302 aa overlap). Also highly similar to K08G_MYCTU|Q11053 probable serine/threonine-protein kinase (626 aa) (59.8% identity in 381 aa overlap). Contains PS00107 Protein kinases ATP-binding region signature. Contains Hank's kinase subdomain. Belongs to the Ser/Thr family of protein kinases.</t>
  </si>
  <si>
    <t>Rv1744c, (MTCY28.06c), len: 133 aa. Probable membrane protein, contains four imperfect 10 aa repeats, some similarity to Q25946 (MSA-2) (fragment) from Plasmodium falciparum (205 aa), FASTA scores: opt: 145, E( ): 0.048, (52.4% identity in 63 aa overlap).</t>
  </si>
  <si>
    <t>Catalyzes the 1,3-allylic rearrangement of the homoallylic substrate isopenten to its allylic isomer, dimethylallyl diphosphate (DMAPP) [catalytic activity :isopentenyl diphosphate = dimethylallyl diphosphate]</t>
  </si>
  <si>
    <t>Probable isopentenyl-diphosphate delta-isomerase Idi (IPP isomerase) (isopentenyl pyrophosphate isomerase)</t>
  </si>
  <si>
    <t>Rv1745c, (MTCY28.08c,MTCY04C12.29c), len: 203 aa. Probable idi, isopentenyl-diphosphate delta-isomerase, similar to Q46822|ORF_O182 from Escherichia coli (182 aa), FASTA scores: opt: 465, E(): 4.7e-25, (46.9% identity in 162 aa overlap), and to IPPI_SCHPO|Q10132 isopentenyl-diphosphate delta-isomerase from Schizosaccharomyces pombe (227 aa), FASTA scores: opt: 185, E(): 5.4e-06, (30.3% identity in 152 aa overlap). Belongs to the IPP isomerase type 1 family.</t>
  </si>
  <si>
    <t>Involved in signal transduction (via phosphorylation). Thought to be involved in membrane transport. Phosphorylates the peptide substrate myelin basic protein (MBP) at serine and threonine residues [catalytic activity: ATP + a protein = ADP + a phosphoprotein].</t>
  </si>
  <si>
    <t>Anchored-membrane serine/threonine-protein kinase PknF (protein kinase F) (STPK F)</t>
  </si>
  <si>
    <t>Rv1746, (MTCY28.09, MTCY04C12.30), len: 476 aa. pknF, transmembrane serine/threonine-protein kinase (see citations below), highly similar to KY28_MYCTU|Q10697 probable serine/threonine-protein kinase from Mycobacterium tuberculosis (589 aa), FASTA scores: opt: 870, E(): 0, (41.6% identity in 406 aa overlap). Contains PS00108 Serine/Threonine protein kinases active-site signature. Contains Hank's kinase subdomain. Belongs to the Ser/Thr family of protein kinases. Experimental studies show evidence of auto-phosphorylation. Start site chosen by homology, may extend further upstream.</t>
  </si>
  <si>
    <t>Thought to be involved in active transport of undetermined substrate (possibly lipooligosaccharide) across the membrane. Responsible for energy coupling to the transport system and for the translocation of the substrate across the membrane.</t>
  </si>
  <si>
    <t>Probable conserved transmembrane ATP-binding protein ABC transporter</t>
  </si>
  <si>
    <t>Rv1747, (MTCY28.10, MTCY04C12.31), len: 865 aa. Probable conserved transmembrane ATP-binding protein ABC transporter (see citation below), similar to others e.g Q55956 ABC transporter from Synechocystis sp. (790 aa), FASTA scores: opt: 738, E(): 6.3e-26, (31.6% identity in 632 aa overlap); etc. Also similar to other M. tuberculosis ABC-type transporters e.g. Rv2397c|MTCY253.24, FASTA score: (35.2% identity in 213 aa overlap). Contains PS00017 ATP/GTP-binding site motif A (P-loop), and PS00211 ABC transporters family signature. Belongs to the ATP-binding transport protein family (ABC transporters).</t>
  </si>
  <si>
    <t>Rv1748, (MTCY28.11, MTCY04C12.32), len: 243 aa. Unknown protein. Possibly exported protein, hydrophobic domain, TM helix aa 23-45.</t>
  </si>
  <si>
    <t>Possible integral membrane protein</t>
  </si>
  <si>
    <t>Rv1749c, (MTCY28.12c-MTCY04C12.33c), len: 185 aa. Possible integral membrane protein, similar to O27914|AE000940 hypothetical protein MTH1892 from Methanobacterium thermoautotrophicum (168 aa), fasta scores: E(): 9.3e-16, (37.4% identity in 123 aa overlap).</t>
  </si>
  <si>
    <t>Possible fatty-acid-CoA ligase FadD1 (fatty-acid-CoA synthetase) (fatty-acid-CoA synthase)</t>
  </si>
  <si>
    <t>Rv1750c, (MTCY28.13c, MTCY04C12.34), len: 532 aa. Possible fadD1, fatty-acid-CoA synthetase, similar in part to others e.g. O35488|VLCS_MOUSE very-long-chain acyl-CoA synthetase from Mus musculus (620 aa); NP_113924.1|NM_031736 solute carrier family 27 (fatty acid transporter) member 2 from Rattus norvegicus (620 aa); NP_459076.1|NC_003197 crotonobetaine/carnitine-CoA ligase from Salmonella typhimurium (517 aa); CAIC_ECOLI|P31552 probable crotonobetaine/carnitine-CoA ligase from Escherichia coli (522 aa), FASTA scores: opt: 448, E(): 1.9e-21, (25.1% identity in 502 aa overlap); etc. Also highly similar to fadD17|Rv3506|MTV023.13 probable fatty-acid-CoA ligase from Mycobacterium tuberculosis (502 aa); and similar to others from Mycobacterium tuberculosis e.g. fadD6|MTCI364.18|Rv1206|O05307 probable fatty-acid-CoA ligase (597 aa), FASTA score: (28.3% identity in 519 aa overlap); etc. Contains PS00455 Putative AMP-binding domain signature. Belongs to the ATP-dependent AMP-binding enzyme family.</t>
  </si>
  <si>
    <t>Rv1751, (MTCY28.14-MTCY04C12.35), len: 460 aa. Probable oxidoreductase, possibly a monooxygenase or hydroxylase, similar to MHPA_ECOLI|P77397 3-(3-hydroxy-phenyl) propionate hydroxylase (554 aa), FASTA scores: opt: 239, E(): 2e-08, (24.6% identity in 435 aa overlap); and AJ007932|SAR7932.13 oxygenase from Streptomyces argillaceus (436 aa), FASTA scores: opt: 587, E(): 8.6e-30, (32.3% identity in 359 aa overlap). Contains PS00075 Dihydrofolate reductase signature. Also similar to Mycobacterium tuberculosis hypothetical oxidoreductases Rv1260 and Rv0575c.</t>
  </si>
  <si>
    <t>Rv1752, (MTCY28.15), len: 149 aa. Conserved hypothetical protein, similar to C-terminal half of Q9TV68|AB021930|CAN2DD Dihydrodiol dehydrogenase from Canis familiaris (335 aa), FASTA score, opt: 168, E(): 0.00015, (31.3% identity in 112 aa overlap).</t>
  </si>
  <si>
    <t>PPE family protein PPE24</t>
  </si>
  <si>
    <t>Rv1753c, (MTCY28.16c), len: 1053 aa. PPE24, Member of the Mycobacterium tuberculosis PPE family of Gly-, Asn-rich proteins, similar to many e.g. YF48_MYCTU|Q10778 hypothetical protein cy48.17 (678 aa), FASTA scores: opt: 1360, E(): 0, (48.9% identity in 550 aa overlap). Note that the Gly-, Asn-rich sequence is interrupted by six near-perfect 26 aa repeats, a unique region, and another, more degenerate region of five 25 aa repeats before resuming at the C-terminus. The end of the first Gly-, Asn- rich region and the start of the first set of repeats shows some similarity to Q50577|AT10S from Mycobacterium tuberculosis (170 aa) (40.2% identity in 189 aa overlap).</t>
  </si>
  <si>
    <t>Rv1754c, (MTCY28.17c), len: 563 aa. Conserved protein, has proline-rich central region. Some similarity in central region to other Mycobacterium tuberculosis proline-rich proteins e.g. O06555|Rv1157c|MTCI65.24c (371 aa), (32.5% identity in 191 aa overlap). Contains PS00017 ATP/GTP-binding site motif A (P-loop). A core mycobacterial gene; conserved in mycobacterial strains (See Marmiesse et al., 2004).</t>
  </si>
  <si>
    <t>Hydrolyzes sphingomyelin in addition to phosphatidylcholine. Probable virulence factor implicated in the pathogenesis of M.tuberculosis at the level of intracellular survival, by the alteration of cell signaling events or by direct cytotoxicity [catalytic activity: a phosphatidylcholine + H(2)O = 1,2- diacylglycerol + choline phosphate].</t>
  </si>
  <si>
    <t>Probable phospholipase C 4 (fragment) PlcD</t>
  </si>
  <si>
    <t>Rv1755c, (MT1799, MTCY28.21c), len: 280 aa. Probable plcD, phospholipase C 4 (fragment) (see citations below), highly similar to C-terminus of other phospholipases e.g. CQ50771|Rv2351c|PLCA|MTP40|MT2416|MTCY98.20c phospholipase C 1 from Mycobacterium tuberculosis (512 aa), FASTA score: (71.1% identity in 284 aa overlap); etc. Note that this ORF has been interrupted by insertion of IS6110 element. Belongs to the bacterial phospholipase C family.</t>
  </si>
  <si>
    <t>Rv1756c</t>
  </si>
  <si>
    <t>Putative transposase</t>
  </si>
  <si>
    <t>Rv1756c, (MTCY28.22c), len: 328 aa. Putative Transposase subunit for IS6110. Identical to many other M. tuberculosis IS6110 transposase subunits. The transposase described here may be made by a frame shifting mechanism during translation that fuses Rv1756c and Rv1757c, the sequence UUUUAAAG (directly upstream of Rv1756c) maybe responsible for such a frameshifting event (see McAdam et al., 1990). Start changed since first submission (+ 34 aa)</t>
  </si>
  <si>
    <t>Rv1757c</t>
  </si>
  <si>
    <t>Rv1757c, (MTCY28.23c), len: 108 aa. Putative Transposase for IS6110 (fragment), identical to many other Mycobacterium tuberculosis IS6110 transposase subunits e.g. Q50686|YIA4_MYCTU Insertion element IS6110 hypothetical 12.0 kDa protein (108 aa), fasta scores: E(): 1.4e-43, (100.00% identity in 108 aa overlap). The transposase described here may be made by a frame shifting mechanism during translation that fuses Rv1756c and Rv1757c, the sequence UUUUAAAG (directly upstream of Rv1756c) maybe responsible for such a frameshifting event (see McAdam et al., 1990).</t>
  </si>
  <si>
    <t>Hydrolysis of cutin.</t>
  </si>
  <si>
    <t>Probable cutinase Cut1</t>
  </si>
  <si>
    <t>Rv1758, (MTCY28.24), len: 174 aa. Probable cut1, serine esterase, cutinase family, similar to Rv2301|CUT2_MYCTU|Q50664 probable cutinase cy339.08c precursor from Mycobacterium tuberculosis (219 aa), FASTA scores: opt: 369, E(): 1. 1e-16, (39.1% identity in 179 aa overlap). Also similar to Mycobacterium tuberculosis hypothetical cutinases Rv3452, Rv1984c, Rv3451 and Rv3724. CDS has been interrupted by IS6110 insertion element and 5'-end deleted. Belongs to the cutinase family.</t>
  </si>
  <si>
    <t>wag22</t>
  </si>
  <si>
    <t>Rv1759c</t>
  </si>
  <si>
    <t>Function unknown. Has fibronectin-binding activity (could thus mediate bacterial attachment to host cells). Thought to be expressed during infection.</t>
  </si>
  <si>
    <t>PE-PGRS family protein Wag22</t>
  </si>
  <si>
    <t>Rv1759c, (MT1807, MTCY28.25c), len: 914 aa. Wag22, antigen member (see citations below) of the Mycobacterium tuberculosis PE family, PGRS subfamily of gly-rich proteins, highly similar to others e.g. MT1367|Q10637 hypothetical glycine-rich 49.6 kDa protein from Mycobacterium tuberculosis (603 aa), FASTA scores: opt: 2010, E(): 0, (53.0% identity in 724 aa overlap); etc.</t>
  </si>
  <si>
    <t>Rv1760, (MTCY28.26), len: 502 aa. Possible triacylglycerol synthase (See Daniel et al., 2004), similar to several other Mycobacterium tuberculosis proteins e.g. Q10554|Y895_MYCTU|MTCY31.23 (505 aa), FASTA scores: opt: 692, E(): 0, (31.7% identity in 477 aa overlap). Member of family with at least 15 other members e.g. Rv3740c, Rv3734c, Rv1425, etc.</t>
  </si>
  <si>
    <t>Rv1761c</t>
  </si>
  <si>
    <t>Rv1761c, (MTCY28.27c), len: 127 aa. Possibly exported protein with hydrophobic stretch or TMhelix at aa 15-37.</t>
  </si>
  <si>
    <t>Rv1762c, (MTCY28.28c), len: 262 aa. Unknown protein.</t>
  </si>
  <si>
    <t>Rv1763</t>
  </si>
  <si>
    <t>Rv1763, (MTCY28.29), len: 108 aa. Putative Transposase for IS6110 (fragment), identical to many other Mycobacterium tuberculosis IS6110 transposase subunits e.g. Q50686|YIA4_MYCTU Insertion element IS6110 hypothetical 12.0 kDa protein (108 aa), fasta scores: E(): 1.4e-43, (100.00% identity in 108 aa overlap). The transposase described here may be made by a frame shifting mechanism during translation that fuses Rv1763 and Rv1764, the sequence UUUUAAAG (directly upstream of Rv1764) maybe responsible for such a frameshifting event (see McAdam et al., 1990).</t>
  </si>
  <si>
    <t>Rv1764</t>
  </si>
  <si>
    <t>Rv1764, (MTCY28.30), len: 328 aa. Putative Transposase for IS6110 insertion element. Identical to many other M. tuberculosis IS6110 transposase subunits. The transposase described here may be made by a frame shifting mechanism during translation that fuses Rv1763 and Rv1764, the sequence UUUUAAAG (directly upstream of Rv1764) maybe responsible for such a frameshifting event (see McAdam et al., 1990). Start changed since first submission (+ 34 aa)</t>
  </si>
  <si>
    <t>Rv1765A</t>
  </si>
  <si>
    <t>Rv1765A, len: 71 aa. Putative transposase (fragment), similar to part of many transposase genes including IS6110 e.g. P19774|TRA9_MYCTU putative transposase from Mycobacterium tuberculosis (278 aa), FASTA scores: opt: 231, E(): 4.7e-11, (45.35% identity in 75 aa overlap).</t>
  </si>
  <si>
    <t>Rv1765c</t>
  </si>
  <si>
    <t>Rv1765c, (MTCY28.31c), len: 365 aa. Conserved hypothetical protein, highly similar to O53461|Rv2015c|MTV018.02c conserved hypothetical protein (418 aa), (97.8% identity in 364 aa overlap). Blast hits with non-is part of sequence submitted under MTU78639.</t>
  </si>
  <si>
    <t>Rv1766</t>
  </si>
  <si>
    <t>Rv1766, (MTCY28.32), len: 89 aa. Conserved protein, highly similar to P54431|YRKD_BACSU Hypothetical 7.0 kDa protein in bltr-spoIIIC intergenic region from Bacillus subtilis (63 aa), FASTA scores: opt: 151, E(): 1.5e-05, (53.3% identity in 45 aa overlap). Also similar to Q9RD62|SCF56.04C|AL133424 Hypothetical protein from Streptomyces coelicolor (92 aa), FASTA scores: opt: 239, E(): 1.3e-11, (62.5% identity in 64 aa overlap). Also some similarity to other Mycobacterium tuberculosis hypothetical proteins e.g. O07434|Rv0190|MTCI28.29 (96 aa), (35.5% identity in 62 aa overlap); P71543|Rv0967 (119 aa), and P71600|Rv0030 (109 aa). Start changed since original submission.</t>
  </si>
  <si>
    <t>Rv1767</t>
  </si>
  <si>
    <t>Rv1767, (MTCY28.33), len: 119 aa. Conserved protein, similar to Q57498|YA53_HAEIN hypothetical protein HI1053 from Haemophilus influenzae (113 aa), FASTA scores: opt: 233, E(): 6.4e-10, (40.0% identity in 90 aa overlap).</t>
  </si>
  <si>
    <t>PE_PGRS31</t>
  </si>
  <si>
    <t>Rv1768</t>
  </si>
  <si>
    <t>PE-PGRS family protein PE_PGRS31</t>
  </si>
  <si>
    <t>Rv1768, (MTCY28.34), len: 618 aa. PE_PGRS31, Member of the Mycobacterium tuberculosis PE family, PGRS subfamily of gly-rich proteins (see Brennan and Delogu, 2002), highly similar to Q50615 hypothetical 40.8 kDa protein (498 aa), FASTA scores: opt: 1703, E(): 0, (57.4% identity in 566 aa overlap).</t>
  </si>
  <si>
    <t>Rv1769</t>
  </si>
  <si>
    <t>Rv1769, (MTCY28.35), len: 414 aa. Conserved protein, similar to O88066|SCI35.31|AL031541 hypothetical protein from Streptomyces coelicolor (402 aa), FASTA scores: opt: 1341, E(): 0, (53.8% identity in 398 aa overlap).</t>
  </si>
  <si>
    <t>Rv1770</t>
  </si>
  <si>
    <t>Rv1770, (MTCY28.36), len: 428 aa. Conserved protein, highly similar in N-terminus to Q49882 Hypothetical protein from Mycobacterium leprae from cosmid L247 (83 aa), FASTA scores: opt: 301, E(): 1e-12, (56.5% identity in 85 aa overlap).</t>
  </si>
  <si>
    <t>Rv1771</t>
  </si>
  <si>
    <t>Possibly involved in biosynthesis of L-ascorbic acid (vitamin C). Oxidizes L-gulono-1,4-lactone.</t>
  </si>
  <si>
    <t>L-gulono-1,4-lactone dehydrogenase</t>
  </si>
  <si>
    <t>Rv1771, (MTCY28.37), len: 428 aa. L-gulono-1,4-lactone dehydrogenase (See Wolucka and Communi, 2006), similar to e.g. GGLO_RAT|P10867 l-gulonolactone oxidase (439 aa), FASTA scores: opt: 862, E(): 0, (34.1% identity in 434 aa overlap). Also shows slight similarity to Mycobacterium tuberculosis oxidoreductase Rv1726|MTCY04C12.11 (22.9% identity in 441 aa overlap) and others e.g. Rv3107c, Rv1257c, Rv2251, etc. Contains PS00862 Oxygen oxidoreductases covalent FAD-binding site. Alternative nucleotide at position 2006032 (a-&gt;G; Q291R) has been observed.</t>
  </si>
  <si>
    <t>Rv1772</t>
  </si>
  <si>
    <t>Rv1772, (MTCY28.38), len: 103 aa. Hypothetical unknown protein.</t>
  </si>
  <si>
    <t>Rv1773c</t>
  </si>
  <si>
    <t>Rv1773c, (MTCY28.39), len: 248 aa. Probable transcriptional regulator belonging to IclR family, similar to ICLR_ECOLI|P16528 acetate operon repressor from Escherichia coli (274 aa), FASTA scores: opt: 261, E(): 3.3e-10, (26.9% identity in 249 aa overlap). Also similar to Mycobacterium tuberculosis protein Rv1719|MTCY04C12.04 (40.2% identity in 244 aa overlap); and Rv2989. Start site chosen by homology, but may extend further upstream. Contains possible helix-turn-helix motif at aa 37-58 (+3.24 SD).</t>
  </si>
  <si>
    <t>Rv1774, (MTCY25C11.01), len: 446 aa. Probable oxidoreductase, similar to several e.g. HDNO_ARTOX|P08159 6-hydroxy-d-nicotine oxidase (458 aa), FASTA scores: opt: 417, E(): 6e-20, (28.4% identity in 462 aa overlap). Also some similarity to Mycobacterium tuberculosis oxidoreductase MTCY04C12.11 (24.1% identity in 444 aa overlap). Contains PS00862 Oxygen oxidoreductases covalent FAD-binding site.</t>
  </si>
  <si>
    <t>Rv1775, (MTCY25C11.02), unknown, len: 272 aa. Conserved hypothetical protein, similar to O28806|AF1466 conserved hypothetical protein from Archaeoglobus fulgidus (255 aa), FASTA scores: opt: 364, E(): 1e-17, (29.2% identity in 267 aa overlap).</t>
  </si>
  <si>
    <t>Rv1776c</t>
  </si>
  <si>
    <t>Rv1776c, (MTCY25C11.03c), len: 186 aa. Possible regulatory protein, some similarity to Mycobacterium tuberculosis Rv1255c|Q11063 hypothetical transcriptional regulator (202 aa), FASTA scores: opt: 270, E(): 9.7e-09, (28.3% identity in 191 aa overlap). Contains possible helix-turn-helix motif at aa 37-58 (+3.49 SD).</t>
  </si>
  <si>
    <t>Probable cytochrome P450 144 Cyp144</t>
  </si>
  <si>
    <t>Rv1777, (MT1827, MTCY25C11.04), len: 434 aa. Probable cyp144, cytochrome p450, similar to CPXM_BACME|Q06069 cytochrome p450 (meg) (410 aa), FASTA scores: opt: 435 E(): 2.3e-16, (28.8% identity in 372 aa overlap). Also similar to several other Mycobacterium tuberculosis p450 genes including Rv0766c, Rv2266, etc. Contains PS00086 Cytochrome P450 cysteine heme-iron ligand signature. Belongs to the cytochrome P450 family.</t>
  </si>
  <si>
    <t>Rv1778c, (MTCY25C11.05c), len: 149 aa. Unknown protein.</t>
  </si>
  <si>
    <t>Rv1779c, (MTV049.01c), len: 597 aa. Possible integral membrane protein.</t>
  </si>
  <si>
    <t>Rv1780, (MTV049.02), len: 187 aa. Conserved protein, equivalent to Q49881|ML1380|U00021_2 cosmid L247 from Mycobacterium leprae (187 aa), FASTA scores: opt: 1000, E(): 0, (82.4% identity in 187 aa overlap).</t>
  </si>
  <si>
    <t>Transfers a segment of a (1,4)-alpha-D-glucan to a new 4-position in an acceptor, which may be glucose or (1,4)-alpha-D-glucan</t>
  </si>
  <si>
    <t>Probable 4-alpha-glucanotransferase MalQ (amylomaltase) (disproportionating enzyme) (D-enzyme)</t>
  </si>
  <si>
    <t>Rv1781c, (MTV049.03c), len: 724 aa. Probable malQ, 4-alpha-glucanotransferase, similar to many, e.g. P15977|MALQ_ECOLI 4-alpha-glucanotransferase (694 aa), FASTA scores: opt: 964, E(): 0, (31.8% identity in 694 aa overlap). Belongs to the disproportionating enzyme family.</t>
  </si>
  <si>
    <t>eccB5</t>
  </si>
  <si>
    <t>ESX conserved component EccB5. ESX-5 type VII secretion system protein. Probable membrane protein.</t>
  </si>
  <si>
    <t>Rv1782, (MTV049.04), len: 506 aa. eccB5, esx conserved component, ESX-5 type VII secretion system protein, probable membrane protein, similar to four other Mycobacterium tuberculosis hypothetical membrane proteins e.g. O05449|Rv3895c|MTCY15F10.17|Z94121 (495 aa), FASTA scores: opt: 1106, E(): 0, (41.2% identity in 485 aa overlap); Rv0283, Rv3450c, and Rv3869, all located near ESAT-6 family genes. Also similar to O33088|MLCB628.17C|Y14967 cosmid B628 from Mycobacterium leprae (481 aa), (32.7% identity in 486 aa overlap); and equivalent to Q9Z5I3|MLCB596.27|AL035472 hypothetical protein from Mycobacterium leprae (506 aa) (82.6% identity in 506 aa overlap). Has hydrophobic stretch from aa 54-76. A core mycobacterial gene; conserved in mycobacterial strains (See Marmiesse et al., 2004).</t>
  </si>
  <si>
    <t>eccC5</t>
  </si>
  <si>
    <t>Rv1783</t>
  </si>
  <si>
    <t>ESX conserved component EccC5. ESX-5 type VII secretion system protein.</t>
  </si>
  <si>
    <t>Rv1783, (MTV049.05-MTV049.06), len: 1391 aa. eccC5, esx conserved component, ESX-5 type VII secretion system protein, probable membrane protein. FtsK/SpoIIIE family protein. Similar to Rv3894c. Member of family of Mycobacterium tuberculosis hypothetical proteins including Rv3447c, Rv0284, Rv3870, Rv1783, Rv3871, Rv3894c, all linked to ESAT-6 family genes. Equivalent to Mycobacterium leprae hypothetical protein Q9Z512|MLCB596.28|AL035472 (1345 aa). Previously annotated as two separate genes eccCa5|Rv1783 and eccCb5|Rv1784, now fused due to A:T correction at position 2020563 resulting in *463L. Contains two times PS00017 ATP/GTP-binding site motif A (P-loop). Former Rv1784 - Predicted to be an outer membrane protein (See Song et al., 2008).</t>
  </si>
  <si>
    <t>Probable cytochrome P450 143 Cyp143</t>
  </si>
  <si>
    <t>Rv1785c, (MT1834, MTV049.07c), len: 393 aa. Probable cyp143, cytochrome P450 (1.14.-.-), similar to many e.g. AE0001|RZAE000101_4 Rhizobium sp. NGR234 (414 aa), FASTA scores: opt: 663, E(): 0, (32.4% identity in 413 aa overlap). Contains PS00086 Cytochrome P450 cysteine heme-iron ligand signature. Belongs to the cytochrome P450 family.</t>
  </si>
  <si>
    <t>Rv1786</t>
  </si>
  <si>
    <t>Probable ferredoxin</t>
  </si>
  <si>
    <t>Rv1786, (MTV049.08), len: 67 aa. Probable ferredoxin, similar to others e.g. X63601|FERS_STRGR ferredoxin from Streptomyces griseus (65 aa), FASTA scores: opt: 140, E(): 0.001, (38.1% identity in 63 aa overlap); T50943 probable ferredoxin DitA from Pseudomonas abietaniphila (78 aa); BAA84714.1|AB017795 ferredoxin from Nocardioides sp. (69 aa); etc. Also similar to Rv0763c|MTCY369.08 from Mycobacterium tuberculosis (68 aa), FASTA score: (30.6% identity in 62 aa overlap); and Rv0763c.</t>
  </si>
  <si>
    <t>PPE family protein PPE25</t>
  </si>
  <si>
    <t>Rv1787, (MTV049.09), len: 365 aa. PPE25, Member of the Mycobacterium tuberculosis PPE family of glycine-rich proteins, similar to Z74024|MTCY274.24 Mycobacterium tuberculosis cosmid (404 aa), FASTA scores: opt: 837, E(): 0, (52.0% identity in 406 aa overlap).</t>
  </si>
  <si>
    <t>PE family protein PE18</t>
  </si>
  <si>
    <t>Rv1788, (MTV049.10), len: 99 aa. PE18, Member of the Mycobacterium tuberculosis PE family of gly-, ala-rich proteins (see citation below), similar to Z93777|MTCI364.07 Mycobacterium tuberculosis cosmid (99 aa), FASTA scores: opt: 414, E(): 3.6e-20, (72.4% identity in 98 aa overlap).</t>
  </si>
  <si>
    <t>PPE family protein PPE26</t>
  </si>
  <si>
    <t>Rv1789, (MTV049.11), len: 393 aa. PPE26, Member of the Mycobacterium tuberculosis PPE family of glycine-rich proteins, highly similar to others e.g.Z98268|MTCI125.26 Mycobacterium tuberculosis cosmid (385 aa), FASTA score: opt: 1283, E(): 0, (62.7% identity in 408 aa overlap).</t>
  </si>
  <si>
    <t>PPE27</t>
  </si>
  <si>
    <t>Rv1790</t>
  </si>
  <si>
    <t>PPE family protein PPE27</t>
  </si>
  <si>
    <t>Rv1790, (MTV049.12), len: 350 aa. PPE27, Member of the Mycobacterium tuberculosis PPE family of glycine-rich protein, similar to Z74024|MTCY274.24 Mycobacterium tuberculosis cosmid (404 aa), FASTA scores: opt: 849, E(): 0, (50.0% identity in 406 aa overlap).</t>
  </si>
  <si>
    <t>PE family protein PE19</t>
  </si>
  <si>
    <t>Rv1791, (MTV049.13), len: 99 aa. PE19, Member of the Mycobacterium tuberculosis PE family, but no glycine rich C-terminus (see Brennan &amp; Delogu 2002), highly similar to Z93777|MTCI364.07 M.tuberculosis cosmid (99 aa) opt: 430 E(): 2.4e-21, (75.5% identity in 98 aa overlap).</t>
  </si>
  <si>
    <t>esxM</t>
  </si>
  <si>
    <t>Rv1792</t>
  </si>
  <si>
    <t>ESAT-6 like protein EsxM</t>
  </si>
  <si>
    <t>Rv1792, (MTV049.14), len: 98 aa. EsxM, ESAT-6 like protein (see Gey Van Pittius et al., 2001), member of Mycobacterium tuberculosis QILSS family of proteins with Rv1038c, Rv1197, Rv3620c and Rv2347c. Has in-frame stop codon at 18074, no error could be found to account for this. Identical (apart from stop codon) to P96363|Rv1038c|MTCY10G2.11 putative ESAT-6 like protein 2 (98 aa), FASTA scores: opt: 389, E(): 5.8e-26, (100.0% identity in 58 aa overlap). Similar protein present in Mycobacterium leprae e.g. Q49946|MLCB1701.06C|AL049191 putative ESAT-6 like protein X (95 aa), FASTA scores: opt: 343, E(): 1.6e-17, (57.6% identity in 92 aa overlap). Seems to belong to the ESAT6 family.</t>
  </si>
  <si>
    <t>Putative ESAT-6 like protein EsxN (ESAT-6 like protein 5)</t>
  </si>
  <si>
    <t>Rv1793, (MT1842, MTV049.15), len: 94 aa. EsxN, ESAT-6 like protein (see citation below), almost identical to several mycobacterial proteins of the ESAT-6-like family including P95242|Rv2346c|MTCY98.15C|Z83860 putative ESAT-6 like protein 6 (94 aa), FASTA scores: opt: 610, E(): 0, (97.9 % identity in 94 aa overlap); Rv3619c, Rv1037c, and Rv1198, etc. Also present in Mycobacterium leprae. Seems to belong to the ESAT6 family. Predicted possible vaccine candidate (See Zvi et al., 2008).</t>
  </si>
  <si>
    <t>Rv1794, (MTV049.16), len: 300 aa. Conserved protein, slight similarity to Mycobacterium tuberculosis O53694|Rv0289|MTV035.17, (295 aa), FASTA scores: opt: 172, E(): 0.00083, (25.7% identity in 261 aa overlap). Equivalent to Mycobacterium leprae hypothetical protein Q9Z5I1|MLCB596.31|AL035472 (300 aa), (88.0% identity in 300 aa overlap). Contains PS00211 ABC transporters family signature. A core mycobacterial gene; conserved in mycobacterial strains (See Marmiesse et al., 2004).</t>
  </si>
  <si>
    <t>eccD5</t>
  </si>
  <si>
    <t>ESX conserved component EccD5. ESX-5 type VII secretion system protein. Probable membrane protein.</t>
  </si>
  <si>
    <t>Rv1795, (MTV049.17), len: 503 aa. eccD5, esx conserved component, ESX-5 type VII secretion system protein, probable membrane protein, has a hydrophilic stretch from ~1-130 then very hydrophobic. Similar to several other mycobacterial proteins, all linked to ESAT-6 family e.g. Rv3887c|MTY15F10.24|Z94121 (509 aa), FASTA scores: opt: 360, E(): 1.6e-15, (26.7% identity in 514 aa overlap); Rv3448, and Rv0290.</t>
  </si>
  <si>
    <t>mycP5</t>
  </si>
  <si>
    <t>Probable proline rich membrane-anchored mycosin MycP5 (serine protease) (subtilisin-like protease) (subtilase-like) (mycosin-5)</t>
  </si>
  <si>
    <t>Rv1796, (MTV049.18), len: 585 aa. Probable mycP5, pro-rich membrane-anchored serine protease (mycosin) (see citations below). Member of family with four other Mycobacterium tuberculosis serine proteases: Rv3886c|O05458|MTCY15F10.26|Z94121 (550 aa), FASTA scores: opt: 1173, E(): 0, (47.9% identity in 578 aa overlap); Rv0291, Rv3883c, and Rv3449. Genes all linked to those of ESAT-6 family. Has possible N-terminal signal peptide and hydrophobic anchor-like stretch at C-terminus. Contains two serine protease, subtilase family active site motifs: a aspartic acid active site motif (PS00136); and a histidine active site motif (PS00137). Belongs to peptidase family S8 (also known as the subtilase family), pyrolysin subfamily. Conserved in M. tuberculosis, M. leprae, M. bovis and M. avium paratuberculosis; predicted to be essential for in vivo survival and pathogenicity (See Ribeiro-Guimaraes and Pessolani, 2007).</t>
  </si>
  <si>
    <t>eccE5</t>
  </si>
  <si>
    <t>ESX conserved component EccE5. ESX-5 type VII secretion system protein. Probable membrane protein.</t>
  </si>
  <si>
    <t>Rv1797, (MTV049.19), len: 406 aa. eccE5, esx conserved component, ESX-5 type VII secretion system protein, probable membrane protein, some similarity to Mycobacterium tuberculosis O05462|Rv3882c|MTCY15F10.30|Z94121 (462 aa), FASTA scores: opt: 181, E(): 9.2e-05, (25.4% identity in 283 aa overlap). Has two hydrophobic stretch near N-terminus. A core mycobacterial gene; conserved in mycobacterial strains (See Marmiesse et al., 2004).</t>
  </si>
  <si>
    <t>eccA5</t>
  </si>
  <si>
    <t>ESX conserved component EccA5. ESX-5 type VII secretion system protein.</t>
  </si>
  <si>
    <t>Rv1798, (MTV049.20), len: 610 aa. eccA5, esx conserved component, ESX-5 type VII secretion system protein, similar to several mycobacterial proteins e.g. O05460|MTCY15F10.28|Rv3884c|Z94121 from M. tuberculosis (619 aa), FASTA scores: opt: 669, E(): 0, (31.0% identity in 549 aa overlap); and O33089|MLCB628.18c|Y14967 from Mycobacterium leprae (573 aa), FASTA scores: opt: 723, E(): 0, (32.4% identity in 568 aa overlap). Also very similar to Rv0282. May belong to the CbxX/CfqX family as last ~320 aa domain very similar to several family members. Contains ATP/GTP-binding site motif A (P-loop; PS00017).</t>
  </si>
  <si>
    <t>lppT</t>
  </si>
  <si>
    <t>Rv1799</t>
  </si>
  <si>
    <t>Probable lipoprotein LppT</t>
  </si>
  <si>
    <t>Rv1799, (MTV049.21), len: 63 aa. Probable lppT lipoprotein, has possible signal peptide and appropriately positioned PS00013 Prokaryotic membrane lipoprotein lipid attachment site.</t>
  </si>
  <si>
    <t>PPE family protein PPE28</t>
  </si>
  <si>
    <t>Rv1800, (MTV049.22), len: 655 aa. PPE28, Member of the Mycobacterium tuberculosis PPE family of glycine-rich proteins, C-terminal very similar to parts of PE proteins e.g. Z92770|MTCI5.25|Rv0151c (588 aa), FASTA scores: opt: 1269, E(): 0, (41.5% identity in 591 aa overlap). Predicted to be an outer membrane protein (See Song et al., 2008).</t>
  </si>
  <si>
    <t>PPE29</t>
  </si>
  <si>
    <t>Rv1801</t>
  </si>
  <si>
    <t>PPE family protein PPE29</t>
  </si>
  <si>
    <t>Rv1801, (MTV049.23), len: 423 aa. PPE29, Member of the Mycobacterium tuberculosis PPE family of glycine-rich proteins, most similar to AL022021|MTV049.29|Rv1808 (409 aa), FASTA scores: opt: 1229, E(): 0, (55.2% identity in 422 aa overlap).</t>
  </si>
  <si>
    <t>PPE family protein PPE30</t>
  </si>
  <si>
    <t>Rv1802, (MTV049.24), len: 463 aa. PPE30, Member of the Mycobacterium tuberculosis PPE family of glycine-rich proteins, most similar to AL022021|MTV049.30|Rv1809 (468 aa), FASTA scores: opt: 1238, E(): 0, (51.0% identity in 471 aa overlap).</t>
  </si>
  <si>
    <t>PE_PGRS32</t>
  </si>
  <si>
    <t>PE-PGRS family protein PE_PGRS32</t>
  </si>
  <si>
    <t>Rv1803c, (MTV049.25c), len: 639 aa. PE_PGRS32, Member of the Mycobacterium tuberculosis PE family, PGRS subfamily of gly-rich proteins (see citation below). Most similar to Rv1768|MTCY28.34|Z95890 (618 aa), FASTA scores: opt: 1827, E(): 0, (53.5% identity in 664 aa overlap). Contains two PS00583 pfkB family of carbohydrate kinases signatures 1. Predicted to be an outer membrane protein (See Song et al., 2008).</t>
  </si>
  <si>
    <t>Rv1804c</t>
  </si>
  <si>
    <t>Rv1804c, (MTV049.26c), len: 108 aa. Conserved protein, similar to several hypothetical Mycobacterium tuberculosis proteins that may be exported (hydrophobic stretch at N-terminus) e.g. O07222|Rv1810|MTCY16F9.04C|Z96073 (118 aa), FASTA scores: opt: 361, E(): 2.3e-19, (53.5% identity in 101 aa overlap); Rv0622, Rv1690, and Rv3067, etc. Predicted to be an outer membrane protein (See Song et al., 2008).</t>
  </si>
  <si>
    <t>Rv1805c</t>
  </si>
  <si>
    <t>Rv1805c, (MTV049.27c), len: 115 aa. Hypothetical unknown protein. This region is a possible MT-complex-specific genomic island (See Becq et al., 2007).</t>
  </si>
  <si>
    <t>PE20</t>
  </si>
  <si>
    <t>Rv1806</t>
  </si>
  <si>
    <t>PE family protein PE20</t>
  </si>
  <si>
    <t>Rv1806, (MTV049.28), len: 99 aa. PE20, Member of the Mycobacterium tuberculosis PE family of gly-, ala-rich proteins (see citation below), most similar to Rv1788|MTV049.10|AL022021 (99 aa), FASTA scores: opt: 334, E(): 4.7 e-15, (59.8% identity in 97 aa overlap). This region is a possible MT-complex-specific genomic island (See Becq et al., 2007).</t>
  </si>
  <si>
    <t>PPE family protein PPE31</t>
  </si>
  <si>
    <t>Rv1807, (MTV049.29), len: 399 aa. PPE31, Member of the Mycobacterium tuberculosis PPE family of glycine-rich proteins, most similar to Rv1789|MTV049.11|AL022021 (393 aa), FASTA scores: opt: 1169, E(): 0, (49.5% identity in 412 aa overlap).</t>
  </si>
  <si>
    <t>PPE family protein PPE32</t>
  </si>
  <si>
    <t>Rv1808, (MTV049.30), len: 409 aa. PPE32, Member of the Mycobacterium tuberculosis PPE family of glycine-rich proteins, most similar to Rv1800|MTV049.22|AL022021 (655 aa), FASTA scores: opt: 1225, E(): 0, (55.1% identity in 423 aa overlap). Contains PS00343 Gram-positive cocci surface proteins 'anchoring' hexapeptide. Nucleotide position 2050913 in the genome sequence has been corrected, A:G resulting in E331E.</t>
  </si>
  <si>
    <t>PPE33</t>
  </si>
  <si>
    <t>PPE family protein PPE33</t>
  </si>
  <si>
    <t>Rv1809, (MTV049.31), len: 468 aa. PPE33, Member of the Mycobacterium tuberculosis PPE family of glycine-rich proteins, most similar to RV1802AL022021|MTV049.23 (463 aa), FASTA scores: opt: 1238, E(): 0, (51.2% identity in 471 aa overlap). Alternative nucleotide at position 2051746 (T-&gt;C; A155A) has been observed.</t>
  </si>
  <si>
    <t>Rv1810</t>
  </si>
  <si>
    <t>Rv1810, (MTCY16F9.04c), len: 118 aa. Conserved protein, similar to several hypothetical Mycobacterium tuberculosis proteins that may be exported (possible N-terminal signal sequence) e.g. O53953|Rv1804c|MTV049.26c|AL022021 (108 aa), FASTA scores: opt: 361, E(): 9.6e-17, (53.5% identity in 101 aa overlap); Rv0622, and Rv1690, etc.</t>
  </si>
  <si>
    <t>mgtC</t>
  </si>
  <si>
    <t>Thought to be involved in Mg2+ transport (import). May act as an accessory protein for MGTB so mediating magnesium influx into the cytosol [catalytic activity: ATP + H(2)O + Mg(2+)(out) = ADP + phosphate + Mg(2+)(in)].</t>
  </si>
  <si>
    <t>Possible Mg2+ transport P-type ATPase C MgtC</t>
  </si>
  <si>
    <t>Rv1811, (MTCY16F9.03c), len: 234 aa. Possible mgtC, magnesium (Mg2+) transport P-type ATPase C (transmembrane protein), highly similar to many e.g. NP_442124.1|NC_000911 Mg2+ transport ATPase from Synechocystis sp. strain PCC 6803 (234 aa); NP_251248.1|NC_002516 probable transport protein from Pseudomonas aeruginosa (230 aa); P22037|ATMC_SALTY|STM3764 magnesium transport ATPase protein C from Salmonella typhimurium (231 aa), FASTA scores: opt: 545, E(): 4.1e-30, (42.3% identity in 220 aa overlap); N-terminus of NP_213315.1|NC_000918 Mg(2+) transport ATPase from Aquifex aeolicus (225 aa); etc. Belongs to the MGTC / SAPB family</t>
  </si>
  <si>
    <t>Rv1812c, (MTCY16F9.02), len: 400 aa. Probable dehydrogenase, similar to other dehydrogenases/oxidases e.g. AE001947|AE001947_10 NADH dehydrogenase II of Deinococcus radiodurans (379 aa), FASTA scores: opt: 404, E(): 3.4e-18, (26.4% identity in 363 aa overlap) and DHNA_HAEIN|P44856 nadh dehydrogenase (444 aa), FASTA scores: opt: 200, E(): 8.5e-06, (23.3% identity in 258 aa overlap). Also similar to Mycobacterium tuberculosis hypothetical dehydrogenases Rv0392c, and Rv1854c|MTCY359.19 ndh probable NADH dehydrogenase (31.5% identity in 321 aa overlap).</t>
  </si>
  <si>
    <t>Rv1813c, (MTCY16F9.01), len: 143 aa. Conserved hypothetical protein. Possibly a exported protein with potential N-terminal signal sequence. Similar to Q11050|Rv1269c|MTCY50.13 hypothetical protein from Mycobacterium tuberculosis (124 aa), (42.7% identity in 143 aa overlap). Predicted to be an outer membrane protein (See Song et al., 2008). Predicted possible vaccine candidate (See Zvi et al., 2008).</t>
  </si>
  <si>
    <t>Involved in lipid desaturation</t>
  </si>
  <si>
    <t>Membrane-bound C-5 sterol desaturase Erg3 (sterol-C5-desaturase)</t>
  </si>
  <si>
    <t>Rv1814, (MTCY1A11.29c), len: 300 aa. Erg3, transmembrane C-5 sterol desaturase (see *), weak similarity to several e.g. ERG3_YEAST|P32353 c-5 sterol desaturase (365 aa), FASTA scores: opt: 154, E(): 0.0011, (22.9% identity in 288 aa overlap). Belongs to the sterol desaturase family. [* Note: work of Jackson, C.J., Lamb, D.C., Kelly, D.E., Kelly, S.L., Characterization of a sterol delta 5,6-desaturase homolog in Mycobacterium bovis (BCG). Submitted (jun-2000) to the EMBL/GenBank/DDBJ databases].</t>
  </si>
  <si>
    <t>Rv1815, (MTCY1A11.28c), len: 221 aa. Conserved protein, similar to G473456 hypothetical protein from Mycobacterium fortuitum (255 aa), FASTA scores: opt: 182, E(): 3.2e-05, (29.6% identity in 230 aa overlap). Alternative nucleotide at position 2057774 (a-&gt;T; I83F) has been observed. Predicted to be an outer membrane protein (See Song et al., 2008).</t>
  </si>
  <si>
    <t>Rv1816, (MTCY1A11.27c), len: 234 aa. Possible transcriptional regulatory protein. MEME analysis suggests similarity to putative Mycobacterium tuberculosis transcriptional regulators, Rv0653c, Rv0681. Contains helix-turn-helix motif at aa 38-59 (+4.30 SD).</t>
  </si>
  <si>
    <t>Possible flavoprotein</t>
  </si>
  <si>
    <t>Rv1817, (MTCY1A11.26c), len: 487 aa. Possible flavoprotein, similar to G746486 flavoprotein subunit of fumarate reductase FAD domain homologue (474 aa), FASTA scores: opt: 223, E(): 5.7e-07, (24.1% identity in 489 aa overlap); and AJ236923|SFR236923_3 soluble fumarate reductase of Shewanella frigidimarina ifcA (588 aa), FASTA scores: opt: 310, E(): 2.5e-11, (27.3% identity in 484 aa overlap).</t>
  </si>
  <si>
    <t>Function unknown. Seems to influence both cell surface interactions among mycobacteria and the interactions of bacteria with macrophages.</t>
  </si>
  <si>
    <t>PE-PGRS family protein PE_PGRS33</t>
  </si>
  <si>
    <t>Rv1818c, (MTCY1A11.25), len: 498 aa. PE_PGRS33, Member of the Mycobacterium tuberculosis PE family, PGRS subfamily of gly-rich proteins, similar to many. Contains 2 x PS00583 pfkB family of carbohydrate kinases signature 1. Supposedly localised to the cell surface (see citations below).</t>
  </si>
  <si>
    <t>bacA</t>
  </si>
  <si>
    <t>Probable drug-transport transmembrane ATP-binding protein ABC transporter BacA</t>
  </si>
  <si>
    <t>Rv1819c, (MTCY1A11.24), len: 639 aa. Probable bacA, drug-transport transmembrane ATP-binding protein ABC transporter (see citation below), equivalent to AL008609|MLCB1788.47 hypothetical ABC transporter from Mycobacterium leprae (638 aa), (74.9% identity in 634 aa overlap). Also similar to other transmembrane ATP-binding proteins e.g. Q57335|Y036_HAEIN hypothetical ABC transporter ATP-binding protein from Haemophilus influenzae (592 aa), FASTA scores: opt: 1235, E(): 2.8e-61, (40.8% identity in 623 aa overlap); etc. Contains PS00017 ATP/GTP-binding site motif A (P-loop), and PS00211 ABC transporters family signature. Belongs to the ATP-binding transport protein family (ABC transporters).</t>
  </si>
  <si>
    <t>Valine and isoleucine biosynthesis (first step) [catalytic activity: 2-acetolactate + CO(2) = 2 pyruvate]</t>
  </si>
  <si>
    <t>Probable acetolactate synthase IlvG (acetohydroxy-acid synthase)(ALS)</t>
  </si>
  <si>
    <t>Rv1820, (MTCY1A11.23c), len: 547 aa. Probable ilvG, acetolactate synthase. Equivalent to AL008609|MLCB1788.46c ilvG from Mycobacterium leprae (548 aa) (86.1% identity in 548 aa overlap). Similar to ILVB_KLEPN|P27696 (559 aa), FASTA scores: opt: 660, E(): 2.9e-34, (29.1% identity in 549 aa overlap). Also similar to other Mycobacterium tuberculosis Ilv proteins e.g. Rv3003c (ilvB), etc. Contains PS00187 Thiamine pyrophosphate enzymes signature.</t>
  </si>
  <si>
    <t>Involved in protein export. May interact with the SECY/SECE subunits. SECA has a central role in coupling the hydrolysis of ATP to the transfer of PRE-secretory periplasmic and outer membrane proteins across the membrane.</t>
  </si>
  <si>
    <t>Possible preprotein translocase ATPase SecA2</t>
  </si>
  <si>
    <t>Rv1821, (MTCY1A11.22c), len: 808 aa. Possible secA2, preprotein translocase and ATPase, component of secretion apparatus (see Braunstein &amp; Belisle 2000), similar to several preprotein translocases e.g. P28366|SECA_BACSU preprotein translocase secA subunit from Bacillus subtilis (841 aa), FASTA scores: opt: 1424, E(): 0, (35.9% identity in 786 aa overlap). Equivalent to AL008609|MLCB1788.45 Preprotein translocase SecA 2 from Mycobacterium leprae (778 aa) (87.1% identity in 780 aa overlap). Also similar to Rv3240c|MTCY20B11.15c secA preprotein translocase from Mycobacterium tuberculosis (949 aa). Could be part of the prokaryotic protein translocation apparatus which comprise SECA|Rv3240c, SECD|Rv2587c, SECE|Rv0638, SECF|Rv2586c, SECG|Rv1440 and SECY|Rv0732. Binds ATP.</t>
  </si>
  <si>
    <t>Thought to be involved in cardiolipin biosynthesis; generates cardiolipin from phosphatidylglycerol and CDP-diacylglycerol [catalytic activity: may be: phosphatidylglycerol + phosphatidylglycerol -&gt; cardiolipin + glycerol, or: CDP-diacylglycerol + glycerol 3-phosphate = CMP + 3-(3-phosphatidyl)-glycerol 1-phosphate].</t>
  </si>
  <si>
    <t>Probable CDP-diacylglycerol--glycerol-3-phosphate 3-phosphatidyltransferase PgsA2 (PGP synthase) (phosphatidylglycerophosphate synthase) (3-phosphatidyl-1'-glycerol-3'phosphate synthase)</t>
  </si>
  <si>
    <t>Rv1822, (MTCY1A11.21c), len: 209 aa. Probable pgsA2, CDP-diacylglycerol--glycerol-3-phosphate 3-phosphatidyl-transferase (see citation below), integral membrane protein, equivalent to AL008609|MLCB1788_17 phosphatidyltransferase from Mycobacterium leprae (206 aa), FASTA score: (76.6% identity in 205 aa overlap). Also highly similar or similar to others e.g. CAB88885.1|AL353861 putative CDP-diacylglycerol--glycerol-3-phosphate 3-phosphatidyl-transferase from Streptomyces coelicolor (215 aa); AAC44003.1|U29587 phosphatidylglycerol phosphate synthase from Rhodobacter sphaeroides (227 aa); NP_405431.1|NC_003143 CDP-diacylglycerol--glycerol-3-phosphate 3-phosphatidyltransferase from Yersinia pestis (182 aa); P06978|PGSA_ECOLI CDP-diacylglycerol--glycerol-3-phosphate 3-phosphatidyltransferase from Escherichia coli (181 aa), FASTA scores: opt: 252, E(): 2.8e-09, (29.7% identity in 175 aa overlap); etc. Also similar to Rv2746c|PGSA3|MTV002.11c CDP-diacylglycerol--glycerol-3-phosphate 3-phosphatidyltransferase (PGP synthase) from Mycobacterium tuberculosis (209 aa). Contains PS00379 CDP-alcohol phosphatidyltransferases signature; and PS00075 Dihydrofolate reductase signature. Belongs to the CDP-alcohol phosphatidyltransferase class-I family.</t>
  </si>
  <si>
    <t>Rv1823, (MTCY01A11.20), len: 307 aa. Conserved protein, similar to P71582|MTCY10H4.12|RV0012 hypothetical protein CY10H4.12 from Mycobacterium tuberculosis (262 aa), FASTA scores: opt: 304, E(): 1.5e-12, (30.1% identity in 246 aa overlap).</t>
  </si>
  <si>
    <t>Rv1824</t>
  </si>
  <si>
    <t>Rv1824, (MTCY1A11.19c), len: 121 aa. Conserved hypothetical membrane protein similar to P28265|SBP_BACSU sbp protein from Bacillus subtilis (121 aa), FASTA scores: opt: 261, E(): 1.9e-12, (38.9% identity in 113 aa overlap).</t>
  </si>
  <si>
    <t>Rv1825, (MTCY1A11.18c), len: 292 aa. Conserved protein, weak similarity to Mycobacterium tuberculosis hypothetical proteins Q50610|MTCY1A11.20C|Rv1823|Z78020 (307 aa), FASTA scores: opt: 182, E(): 0.00044, (29.9% identity in 204 aa overlap); and Rv0012. Has a hydrophobic stretch, TMhelix from aa 67 to 85.</t>
  </si>
  <si>
    <t>The glycine cleavage system catalyses the degradation of glycine. The H protein shuttles the methylamine group of glycine from the P protein to the T protein</t>
  </si>
  <si>
    <t>Probable glycine cleavage system H protein GcvH</t>
  </si>
  <si>
    <t>Rv1826, (MTCY1A11.17c), len: 134 aa. Probable gcvH, glycine cleavage system H protein, highly similar to GCSH_ECOLI|P23884 glycine cleavage system H protein from Escherichia coli (129 aa), FASTA scores: opt: 428, E(): 2.2e-22, (47.8% identity in 134 aa overlap). Equivalent to MLCB1788.37c gcvH from Mycobacterium leprae (78.4% identity in 134 aa overlap). Contains PS00189 2-oxo acid dehydrogenases acyltransferase component lipoyl binding site. Belongs to the GcvH family.</t>
  </si>
  <si>
    <t>garA</t>
  </si>
  <si>
    <t>Conserved protein with FHA domain, GarA</t>
  </si>
  <si>
    <t>Rv1827, (MTCY1A11.16c), len: 162 aa. GarA, conserved protein with forkhead-associated domain at C-terminus (see citation below), equivalent to O32919|MLCB1788.36c hypothetical protein from Mycobacterium leprae (162 aa), FASTA scores: opt: 888, E(): 0, (87.0% identity in 161 aa overlap). Putative physiological substrate of PknB and PknG.</t>
  </si>
  <si>
    <t>Rv1828, (MTCY1A11.15c), len: 247 aa. Conserved protein, equivalent to O32918|MLCB1788.35c|AL008609 hypothetical protein from Mycobacterium leprae (251 aa), FASTA scores: opt: 1397, E(): 0, (87.6% identity in 251 aa overlap).</t>
  </si>
  <si>
    <t>Rv1829, (MTCY1A11.14c), len: 164 aa. Conserved protein, equivalent to O32917|MLCB1788.34|AL008609 Hypothetical protein from Mycobacterium leprae (164 aa), FASTA scores: opt: 1011, E(): 0, (95.1% identity in 164 aa overlap). Also present in Aquifex aeolicus, etc.</t>
  </si>
  <si>
    <t>Rv1830, (MTCY1A11.13c), len: 225 aa. Conserved hypothetical protein, equivalent to Mycobacterium leprae hypothetical protein MLCB1788.33c|AL008609|O32916 (231 aa), FASTA scores: opt: 1307, E(): 0, (89.6% identity in 231 aa overlap).</t>
  </si>
  <si>
    <t>Rv1831, (MTCY1A11.12c), len: 85 aa. Hypothetical unknown protein.</t>
  </si>
  <si>
    <t>The glycine cleavage system catalyses the degradation of glycine. The P protein binds the alpha-amino group of glycine through its pyridoxal phosphate cofactor; CO(2) is released and the remaining methylamine moiety is then transferred to the lipoamide cofactor of the H protein [catalytic activity: glycine + lipoylprotein = S- aminomethyldihydrolipoylprotein + CO(2)]</t>
  </si>
  <si>
    <t>Probable glycine dehydrogenase GcvB (glycine decarboxylase) (glycine cleavage system P-protein)</t>
  </si>
  <si>
    <t>Rv1832, (MTCY1A11.11c), len: 941 aa. Probable gcvB, glycine dehydrogenase [decarboxylating], highly similar to GCSP_ECOLI|P33195 glycine dehydrogenase (decarboxylating) from Escherichia coli (957 aa), FASTA scores: opt: 2194, E(): 0, (55.4% identity in 961 aa overlap). The glycine cleavage system is composed of four proteins: P, T, L, and H</t>
  </si>
  <si>
    <t>May act on a wide range of 1-haloalkanes, haloalcohols, haloalkenes and some haloaromatic compounds [catalytic activity: 1-haloalkane + H(2)O &lt;=&gt; a primary alcohol + halide]</t>
  </si>
  <si>
    <t>Possible haloalkane dehalogenase</t>
  </si>
  <si>
    <t>Rv1833c, (MTCY1A11.10), len: 286 aa. Possible haloalkane dehalogenase. Similar to several haloalkane dehalogenase e.g. CAB45532.1|AJ243259 from Mycobacterium bovis (300 aa); also similar to LINB_PSEPA|P51698 1,3,4,6-tetrachloro-1,4-cyclohexadien from Pseudomonas paucimobilis (295 aa), FASTA scores: opt: 314, E(): 1.5e-13, (33.1% identity in 281 aa overlap).</t>
  </si>
  <si>
    <t>lipZ</t>
  </si>
  <si>
    <t>Rv1834, (MTCY1A11.09c), len: 288 aa. Probable lipZ, hydrolase, some similarity to haloalkane dehalogenases and D16262 hypothetical 38.9 kDa protein (335 aa), FASTA scores: opt: 507, E(): 7.6e-28, (33.0% identity in 300 aa overlap).</t>
  </si>
  <si>
    <t>Rv1835c, (MTCY1A11.08), len: 628 aa. Conserved hypothetical protein, some similarity to putative acylases e.g. G216374 glutaryl 7-aca acylase precursor (634 aa) FASTA scores, opt: 202, E(): 3.5e-06, (25.1% identity in 669 aa overlap). Also similar to Mycobacterium tuberculosis hypothetical proteins Rv2800 and Rv1215c.</t>
  </si>
  <si>
    <t>Rv1836c, (MTCY1A11.07), len: 677 aa. Conserved protein. Equivalent to MLCB1788.28|AL008609 hypothetical protein from Mycobacterium leprae (710 aa), FASTA scores: opt: 2938, E(): 0, (66.0% identity in 714 aa overlap). Contains PS00036 bZIP transcription factors basic domain signature. A core mycobacterial gene; conserved in mycobacterial strains (See Marmiesse et al., 2004).</t>
  </si>
  <si>
    <t>Involved in glyoxylate bypass (second step), an alternative to the tricarboxylic acid cycle [catalytic activity: L-malate + CoA = acetyl-CoA + H(2)O + glyoxylate]</t>
  </si>
  <si>
    <t>Malate synthase G GlcB</t>
  </si>
  <si>
    <t>Rv1837c, (MTCY1A11.06), len: 741 aa. glcB, malate synthase G (see citations below), highly similar to MASY_CORGL|P42450 malate synthase (738 aa), FASTA score: opt: 2961, E(): 0, (61.3% identity in 724 aa overlap). Belongs to the malate synthase G family.</t>
  </si>
  <si>
    <t>vapC13</t>
  </si>
  <si>
    <t>Possible toxin VapC13</t>
  </si>
  <si>
    <t>Rv1838c, (MTCY359.35), len: 131 aa. Possible vapC13, toxin, part of toxin-antitoxin (TA) operon with Rv1839c, contains PIN domain (See Arcus et al., 2005; Pandey and Gerdes, 2005). Part of 14-membered Mycobacterium tuberculosis protein family with Rv2863|MTV003.09|AL008883 (126 aa), FASTA scores: opt: 293, E(): 1.5e-14, (38.2% identity in 123 aa overlap); Rv0749, Rv0277c, Rv2530c, etc. Also similar to AJ248288|CNSPAX06_181 Pyrococcus abyssi complete genome (136 aa), FASTA scores: opt: 197, E(): 2.2e-07, (33. 1% identity in 133 aa overlap).</t>
  </si>
  <si>
    <t>vapB13</t>
  </si>
  <si>
    <t>Possible antitoxin VapB13</t>
  </si>
  <si>
    <t>Rv1839c, (MTCY359.34), len: 87 aa. Possible vapB13, antitoxin, part of toxin-antitoxin (TA) operon with Rv1838c (See Arcus et al., 2005; Pandey and Gerdes, 2005). Some similarity to others in M. tuberculosis e.g. Rv0239, Rv0662c</t>
  </si>
  <si>
    <t>PE_PGRS34</t>
  </si>
  <si>
    <t>Rv1840c</t>
  </si>
  <si>
    <t>PE-PGRS family protein PE_PGRS34</t>
  </si>
  <si>
    <t>Rv1840c, (MTCY359.33), len: 515 aa. PE_PGRS34, Member of the Mycobacterium tuberculosis PE family, PGRS subfamily of gly-rich proteins (see citation below). Similar to many e.g. Y03A_MYCTU|Q10637 hypothetical glycine-rich 49.6 kDa protein (603 aa), FASTA scores: opt: 1693, E(): 0, (53.1% identity in 612 aa overlap); etc.</t>
  </si>
  <si>
    <t>Rv1841c, (MTCY359.32), len: 345 aa. Conserved hypothetical membrane protein. Some similarity to O07585|YHDP_BACSU hypothetical 49.9 kDa protein from Bacillus subtilis (444 aa), FASTA scores: opt: 620, E(): 0, (31.1% identity in 350 aa overlap). Also similar to other Mycobacterium tuberculosis proteins e.g. Rv1842c, Rv2366c.</t>
  </si>
  <si>
    <t>Rv1842c, (MTCY359.31), len: 455 aa. Conserved hypothetical membrane protein. Similar to Z99109|0O7589 Potential integral membrane protein from Bacillus subtilis (461 aa), FASTA scores: opt: 723, E(): 0, (31.2% identity in 449 aa overlap). Similar to other Mycobacterium tuberculosis putative integral membrane proteins e.g. Rv2366c, Rv1841c.</t>
  </si>
  <si>
    <t>Involved in GMP biosynthesis [catalytic activity: inosine 5'-phosphate + NAD+ + H2O = xanthosine 5'-phosphate + NADH]</t>
  </si>
  <si>
    <t>Probable inosine-5'-monophosphate dehydrogenase GuaB1(imp dehydrogenase) (IMPDH) (IMPD)</t>
  </si>
  <si>
    <t>Rv1843c, (MTCY359.30), len: 479 aa. Probable guaB1, inosine-5'-monophosphate dehydrogenase. Similar to others e.g. IMDH_BACSU|P21879 from Bacillus subtilis (513 aa), FASTA score: opt: 904, E(): 0, (37.8% identity in 471 aa overlap). Similar to other Mycobacterium tuberculosis proteins e.g. guaB2, Rv3411c.</t>
  </si>
  <si>
    <t>Involved in hexose monophosphate shunt (pentose phosphate pathway) [catalytic activity: 6-phospho-D-gluconate + NADP+ = D-ribulose 5-phosphate + CO2 + NADPH].</t>
  </si>
  <si>
    <t>Probable 6-phosphogluconate dehydrogenase Gnd1</t>
  </si>
  <si>
    <t>Rv1844c, (MTCY359.29), len: 485 aa. Probable gnd1, 6-phosphogluconate dehydrogenase. Similar to others e.g. 6PGD_ECOLI|P00350 from Escherichia coli (468 aa), FASTA scores: opt: 1661, E(): 0, (53.6% identity in 466 aa overlap); etc. Also similar to Rv1122|MTCY22G8.11|gnd2 probable 6-phosphogluconate dehydrogenase, decarboxylating from Mycobacterium tuberculosis (340 aa), FASTA score: (33.0% identity in 351 aa overlap). Note that Rv1844c is most similar to gnd's from Gram negative organisms, while Rv1122|MTCY22G8.11|gnd2 is most similar to gnd's from Gram positive organisms. Belongs to the 6-phosphogluconate dehydrogenase family.</t>
  </si>
  <si>
    <t>blaR</t>
  </si>
  <si>
    <t>Possible sensor-transducer protein BlaR</t>
  </si>
  <si>
    <t>Rv1845c, (MTCY359.28), len: 316 aa. Possible blaR, sensor-transducer protein. Conserved hypothetical transmembrane protein. Equivalent to MLCB1788.18|AL008609 Hypothetical protein from Mycobacterium leprae (316 aa), FASTA scores: opt: 1762, E(): 0, (87.6% identity in 314 aa overlap). Similar to proteins in Streptomyces coelicolor e.g. SC10A7.04|AL078618.1.</t>
  </si>
  <si>
    <t>blaI</t>
  </si>
  <si>
    <t>Transcriptional repressor BlaI</t>
  </si>
  <si>
    <t>Rv1846c, (MTCY359.27), len: 138 aa. BlaI, transcriptional repressor. Equivalent to MLCB1788.17|AL008609 hypothetical protein from Mycobacterium leprae (142 aa), FASTA scores: opt: 736 E(): 0, (95.1% identity in 123 aa overlap). Also similar to BLAI_BACLI|P06555 penicillinase repressor (128 aa), fasta scores: opt: 114, E(): 0.12, (23.7% identity in 131 aa overlap).</t>
  </si>
  <si>
    <t>Rv1847, (MTCY359.26c), len: 140 aa. Conserved protein, possible thioesterase, some similarity to YBDB proteins of Escherichia coli and H. influenzae e.g. P15050|YBDB_ECOLI hypothetical 15.0 KD protein in ENTA-CSTA intergenic region (137 aa), FASTA scores: opt: 232, E(): 6.6e-10, (35.8% identity in 106 aa overlap); C48956|G142208 thioesterase from Arthrobacter sp (151 aa), FASTA score: opt: 254, E(): 1.7e-11, (33.3% identity in 138 aa overlap). Also similar to AF064959|AF064959_1 hypothetical protein from Coxiella burnetii (148 aa), FASTA score: opt: 264, E(): 9.3e- 12, (36.8% identity in 117 aa overlap).</t>
  </si>
  <si>
    <t>ureA</t>
  </si>
  <si>
    <t>Rv1848</t>
  </si>
  <si>
    <t>Involved in the conversion of urea to NH3 [catalytic activity: urea + H2O = CO2 + 2 NH3]</t>
  </si>
  <si>
    <t>Urease gamma subunit UreA (urea amidohydrolase)</t>
  </si>
  <si>
    <t>Rv1848, (MTCY359.25c), len: 100 aa. UreA, urease gamma subunit. Similar to URE3_MYCTU|P50043 from Mycobacterium tuberculosis (100 aa), FASTA scores: opt: 630, E(): 1.3e-36, (99.0% identity in 100 aa overlap). Belongs to the urease gamma subunit family.</t>
  </si>
  <si>
    <t>ureB</t>
  </si>
  <si>
    <t>Rv1849</t>
  </si>
  <si>
    <t>Urease beta subunit UreB (urea amidohydrolase)</t>
  </si>
  <si>
    <t>Rv1849, (MTCY359.24c), len: 104 aa. UreB, urease beta subunit. Identical to URE2_MYCTU|P50048 urease beta subunit from Mycobacterium tuberculosis (100 aa). Belongs to the urease gamma subunit family.</t>
  </si>
  <si>
    <t>Urease alpha subunit UreC (urea amidohydrolase)</t>
  </si>
  <si>
    <t>Rv1850, (MTCY359.23c), len: 577 aa. UreC, urease alpha subunit. Similar to URE1_MYCTU|P50042 from Mycobacterium tuberculosis (577 aa), FASTA scores: opt: 3794, E(): 0, (98.3% identity in 577 aa overlap). Contains PS00145 Urease active site motif. Belongs to the urease family.</t>
  </si>
  <si>
    <t>ureF</t>
  </si>
  <si>
    <t>Rv1851</t>
  </si>
  <si>
    <t>Probably facilitates nickel incorporation</t>
  </si>
  <si>
    <t>Urease accessory protein UreF</t>
  </si>
  <si>
    <t>Rv1851, (MTCY359.22c), len: 211 aa. UreF, urease accessory protein. Identical to UREF_MYCTU|P50050 from M. tuberculosis.</t>
  </si>
  <si>
    <t>Urease accessory protein UreG</t>
  </si>
  <si>
    <t>Rv1852, (MTCY359.21c), len: 224 aa. UreG, urease accessory protein. Identical to UREG_MYCTU|P50051 from M. tuberculosis. Contains PS00017 ATP/GTP-binding site motif A (P-loop). Belongs to the UreG family.</t>
  </si>
  <si>
    <t>Probable urease accessory protein UreD</t>
  </si>
  <si>
    <t>Rv1853, (MTCY359.20c), len: 208 aa. UreD, probable urease accessory protein. Similar to URED_YEREN|P42868 Urease operon ureD protein from Yersinia enterocolitica (325 aa), Fasta scores: opt: 114, E(): 0.37, (25.2% identity in 119 aa overlap).</t>
  </si>
  <si>
    <t>Transfer of electrons from NADH to the respiratory chain. The immediate electron acceptor for the enzyme is believed to be ubiquinone. Does not couple the redox reaction to proton translocation.</t>
  </si>
  <si>
    <t>Probable NADH dehydrogenase Ndh</t>
  </si>
  <si>
    <t>Rv1854c, (MTCY359.19), len: 463 aa. Probable ndh, NADH dehydrogenase (see citations below), similar to several e.g. S74826 NADH dehydrogenase from Synechocystis sp. (445 aa), FASTA score: opt: 1228, E(): 0, (46.3% identity in 432 aa overlap). Highly similar to Rv0392c|Z84725|g1817703 from Mycobacterium tuberculosis (470 aa), FASTA scores: opt: 1911, E(): 0, (64.7% identity in 459 aa overlap); and Rv1812c.</t>
  </si>
  <si>
    <t>Rv1855c, (MTCY359.18), len: 307 aa. Possible oxidoreductase, possibly a monooxygenase. Contains PS00217 Sugar transport proteins signature 2, probably fortuitously. Similar to G487716 (78-11) lincomycin production genes (29.2% identity in 154 aa overlap). Also similar to other Mycobacterium tuberculosis proteins e.g. Rv0953c, Rv0791c, Rv0132c, Rv2951c, etc.</t>
  </si>
  <si>
    <t>Rv1856c, (MTCY359.17), len: 225 aa. Possible oxidoreductase. Equivalent to MLCB1788.11c|AL008609 oxidoreductase from Mycobacterium leprae (224 aa), FASTA scores: opt: 1211, E(): 0; (80.4% identity in 224 aa overlap). Some similarity to dehydrogenases of short-chain dehydrogenase/reductase family and fatty-acyl CoA reductases e.g. P16543|DHK2_STRVN granaticin polyketide synthase P (249 aa), FASTA score: opt: 194, E(): 1.1e-05, (32.5% identity in 237 aa overlap).</t>
  </si>
  <si>
    <t>Involved in the active transport of molybdenum into the cell across the membrane (import). Part of the binding-protein-dependent transport system modabc.</t>
  </si>
  <si>
    <t>Probable molybdate-binding lipoprotein ModA</t>
  </si>
  <si>
    <t>Rv1857, (MTCY359.16c), len: 261 aa. Probable modA, molybdate-binding protein attached to membrane by lipid-modified N-terminal cysteine (contains PS00013 Prokaryotic membrane lipoprotein lipid attachment site), component of molybdate transport system (see citations below). Shows strong similarity to precursors of periplasmic molybdate/sulphate binding proteins e.g. O31229|Y10817|ANY108174 ModA from Arthrobacter nicotinovorans (260 aa), FASTA score: opt: 725, E(): 0, (47.8% identity in 249 aa overlap).</t>
  </si>
  <si>
    <t>Part of the binding-protein-dependent transport system modabc for molybdenum; responsible for the translocation of the substrate across the membrane.</t>
  </si>
  <si>
    <t>Probable molybdenum-transport integral membrane protein ABC transporter ModB</t>
  </si>
  <si>
    <t>Rv1858, (MTCY359.15c), len: 264 aa. Probable modB, molybdenum-transport integral membrane protein ABC transporter (see citation below), similar to others e.g. Y10817|ANY108175 ModB from Arthrobacter (239 aa), FASTA scores: opt: 937, E(): 0, (67.8% identity in 230 aa overlap); etc. Similar to other Mycobacterium tuberculosis transport proteins e.g. Rv2039c, Rv2316, etc.</t>
  </si>
  <si>
    <t>Part of the binding-protein-dependent transport system modabc for molybdenum; responsible for energy coupling to the transport system.</t>
  </si>
  <si>
    <t>Probable molybdenum-transport ATP-binding protein ABC transporter ModC</t>
  </si>
  <si>
    <t>Rv1859, (MTCY359.14c), len: 369 aa. Probable modC, molybdenum-transport ATP-binding protein ABC transporter (see citation below), similar to others e.g. Y10817|ANY108176 ModC from Arthrobacter (349 aa), FASTA scores: opt: 895, E(): 0, (46.0% identity in 361 aa overlap); etc. Shows similarity to other Mycobacterium tuberculosis ABC-transporter proteins e.g. Rv0073, Rv1238, Rv2564, etc. Contains both PS00017 ATP/GTP-binding site motif A (P-loop) and PS00211 ABC transporters family signatures involved in molybdate uptake. Belongs to the ATP-binding transport protein family (ABC transporters).</t>
  </si>
  <si>
    <t>Unknown (could mediate bacterial attachment to host cells).</t>
  </si>
  <si>
    <t>Alanine and proline rich secreted protein Apa (fibronectin attachment protein) (immunogenic protein MPT32) (antigen MPT-32) (45-kDa glycoprotein) (45/47 kDa antigen)</t>
  </si>
  <si>
    <t>Rv1860, (MT1908, MTCY359.0013), len: 325 aa. Apa (alternate gene names: mpt32, modD), Ala-, Pro-rich 45/47 kDa secreted protein, very similar to P46842|N43L_MYCLE from Mycobacterium leprae (287 aa), FASTA scores: opt: 1166, E(): 0, (66.4% identity in 298 aa overlap). Known to be glycosylated fibronectin-binding protein (see some citations). Changes in the mannosylation pattern of this protein affect its ability to stimulate T-lymphocyte response. Major immunodominant antigen that has potential as a vaccine against tuberculosis. APA-ELISA could be used in diagnosis.</t>
  </si>
  <si>
    <t>Rv1861</t>
  </si>
  <si>
    <t>Rv1861, (MTCY359.12c), len: 101 aa. Probable conserved transmembrane protein, showing weak similarity to AE002069|AE002069_10 hypothetical protein from Deinococcus radiodurans (146 aa), FASTA scores: opt: 154, E(): 0.0027, (30.8% identity in 104 aa overlap). Contains PS00017 ATP/GTP-binding site motif A (P-loop). A core mycobacterial gene; conserved in mycobacterial strains (See Marmiesse et al., 2004).</t>
  </si>
  <si>
    <t>Probable alcohol dehydrogenase AdhA</t>
  </si>
  <si>
    <t>Rv1862, (MTCY359.11), len: 346 aa. Probable adhA, alcohol dehydrogenase, similar to ADH2_BACST|P42327 alcohol dehydrogenase (339 aa), FASTA scores: opt: 630, E(): 2.4e-32 (34.4% identity in 320 aa overlap). Contains PS00059 Zinc-containing alcohol dehydrogenases signature.</t>
  </si>
  <si>
    <t>Rv1863c, (MTCY359.10), len: 256 aa. Probable conserved integral membrane protein, similar to Rv0804|Z95618|MTCY7H7A.05 Hypothetical protein from Mycobacterium tuberculosis (209 aa), FASTA scores: opt: 199, E(): 1e-06, (33.2% identity in 220 aa overlap); and Rv0658c.</t>
  </si>
  <si>
    <t>Rv1864c, (MTCY359.09), len: 251 aa. Conserved protein. Similar to other hypothetical proteins e.g. AL031317|SC6G4.43 from Streptomyces coelicolor cosmid 6G (233 aa), FASTA scores: opt: 716, E(): 0, (54.4% identity in 215 aa overlap); also P43976|YIIM_HAEIN hypothetical protein hi0278 (221 aa), FASTA scores: opt: 223, E(): 3.8e-08, (29.5% identity in 173 aa overlap).</t>
  </si>
  <si>
    <t>Probable short-chain type dehydrogenase</t>
  </si>
  <si>
    <t>Rv1865c, (MTCY359.08), len: 286 aa. Probable short-chain dehydrogenase, highly similar to C-terminus of NP_301650.1|NC_00267 putative oxidoreductase from Mycobacterium leprae (596 aa). Also similar to various dehydrogenases, generally belonging to short-chain family, e.g. AAG02168.1|AF212041_24|AF212041 3-oxoacyl-(acylcarrier protein) reductase from Zymomonas mobilis (251 aa); P50198|LINX_PSEPA 2,5-dichloro-2,5-cyclohexadiene-1,4-DIOL dehydrogenase from Sphingomonas paucimobilis (250 aa); NP_105680.1|NC_002678 sorbitol dehydrogenase (also similar to acetoin reductase) from Mesorhizobium loti (256 aa); etc. And highly similar to C-terminus of ephD|Rv2214c|MTCY190.25c from Mycobacterium tuberculosis (592 aa); and many other oxidoreductases from Mycobacterium tuberculosis e.g. Y00P_MYCTU|Q10402 putative oxidoreductase (650 aa), FASTA scores: opt: 439, E(): 8.9e-20, (32.5% identity in 280 aa overlap). Contains PS00061 Short-chain alcohol dehydrogenase family signature. Belongs to the short-chain dehydrogenases/reductases (SDR) family.</t>
  </si>
  <si>
    <t>Rv1866, (MTCY359.07c), len: 778 aa. Conserved protein, N-terminal region similar to fatty acyl-CoA racemases e.g. Rv0855, Rv1143, and C-terminal region (from aa 370) similar to L-carnitine dehydratases, racemases, and Rv3272|MTCY71.12 Mycobacterium tuberculosis (394 aa), FASTA score: opt: 472, E(): 2.1e-21, (29.9% identity in 388 aa overlap). Also similar to P31572|CAIB_ECOLI L-carnitine dehydratase (405 aa), FASTA score: opt: 306, E(): 2.1e-11, (23.3% identity in 424 aa overlap).</t>
  </si>
  <si>
    <t>Rv1867, (MTCY359.06c), len: 494 aa. Conserved protein, some similarity to acetyl CoA synthase and to lipid carriers. FASTA best: E155295 acetyl CoA synthase (388 aa), opt: 213, E(): 4.5e-07, (23.2% identity in 423 aa overlap),</t>
  </si>
  <si>
    <t>Rv1868, (MTCY359.05c), len: 699 aa. Conserved hypothetical protein, similar to products of three consecutive ORFS in Mycobacterium leprae MLCB2052.18|Z98604|B2052 (257 aa), FASTA scores: opt: 314, E(): 9.9e-12, (35.2% identity in 213 aa overlap); MLCB2052.17, and MLCB2052.16. Also similar to M. tuberculosis hypothetical protein Rv2047c.</t>
  </si>
  <si>
    <t>Probable reductase</t>
  </si>
  <si>
    <t>Rv1869c, (MTCY359.04), len: 411 aa. Probable reductase (1.-.-.-). Similar to several reductases e.g. CAC04223.1|AL391515 putative ferredoxin reductase from Streptomyces coelicolor (420 aa); THCD_RHOSO|P43494 rhodocoxin reductase (426 aa), FASTA scores: opt: 904, E(): 0, (40.8% identity in 370 aa overlap). Also similar to Mycobacterium tuberculosis proteins Rv0688 (406 aa) (39.9% identity in 391 aa overlap); and Rv0253 (nitrite reductase subunit).</t>
  </si>
  <si>
    <t>Rv1870c, (MTCY359.03), len: 211 aa. Conserved hypothetical protein. Some similarity to SC6F7.17c hypothetical protein from Streptomyces coelicolor (216 aa).</t>
  </si>
  <si>
    <t>Rv1871c, (MTCY359.02), len: 129 aa. Conserved protein, similar to Mycobacterium tuberculosis hypothetical proteins Q11057|Rv1261|MTCY50.21 (149 aa), FASTA score: opt: 125, E(): 0.019, (32.6% identity in 89 aa overlap); Rv0523c, and Rv1598c.</t>
  </si>
  <si>
    <t>Possible L-lactate dehydrogenase (cytochrome) LldD2</t>
  </si>
  <si>
    <t>Rv1872c, (MTCY180.46, MTCY359.01), len: 414 aa (start uncertain). Possible lldD2, L-lactate dehydrogenase (cytochrome), similar to other lactate dehydrogenases and other oxidases e.g. LLDD_ECOLI|P33232 l-lactate dehydrogenase (cytochrome) from Escherichia coli strain K12 (396 aa), FASTA results: opt: 674, E(): 1.1e-37, (40.5% identity in 279 aa overlap); Q51135 lactate dehydrogenase from Neisseria meningitidis (390 aa), FASTA results: opt: 309, E(): 4.1e-15, (42.5% identity in 113 aa overlap); etc. Also shows similarity with Rv0694|lldD1|MTCY210.11 possible L-lactate dehydrogenase (cytochrome) from Mycobacterium tuberculosis (396 aa). Contains PS00557 FMN-dependent alpha-hydroxy acid dehydrogenases active site. Belongs to the FMN-dependent alpha-hydroxy acid dehydrogenases family. Phosphorylated in vitro by PknJ|Rv2088 (See Arora et al., 2010).</t>
  </si>
  <si>
    <t>Rv1873, (MTCY180.45c), len: 145 aa. Conserved hypothetical protein. Some similarity to AL591783 hypothetical protein from Sinorhizobium meliloti.</t>
  </si>
  <si>
    <t>Rv1874, (MTCY180.44c), len: 228 aa. Unknown protein.</t>
  </si>
  <si>
    <t>Rv1875, (MTCY180.43c), len: 147 aa. Conserved protein. Some similarity to Mycobacterium tuberculosis hypothetical proteins e.g. Rv1155|MTCI65.22|Z95584 (147 aa), FASTA scores: opt: 178, E(): 7.4e-06, (26.9% identity in 130 aa overlap); Rv0121c and Rv2074. Also similar to AL079356|SC6G9.21 hypothetical protein from Streptomyces coelicolor (144 aa), FASTA scores: opt: 239, E(): 3.1 e-09, (38.7% identity in 137 aa overlap).</t>
  </si>
  <si>
    <t>Involved in iron storage (may perform analogous functions in iron detoxification and storage as that of animal ferritins); ferritin is an intracellular molecule that stores iron in a soluble, nontoxic, readily available form. The functional molecule, which is composed of 24 chains, is roughly spherical and contains a central cavity in which the polymeric ferric iron core is deposited.</t>
  </si>
  <si>
    <t>Probable bacterioferritin BfrA</t>
  </si>
  <si>
    <t>Rv1876, (MTCY180.42c), len: 159 aa. Probable bfrA (alternate gene name: bfr), bacterioferritin (see citation below), similar to BFR_MYCLE|P43315 bacterioferritin (bfr) from Mycobacterium leprae (159 aa), FASTA results: opt: 958, E(): 0, (90.6% identity in 159 aa overlap). Also similar to Rv3841|MTCY01A6.28c|bfrB possible bacterioferritin from Mycobacterium tuberculosis (181 aa). Belongs to the bacterioferritin family.</t>
  </si>
  <si>
    <t>Rv1877, (MTCY180.41c), len: 687 aa. Probable conserved integral membrane protein, part of major facilitator superfamily (MFS), similar to many antibiotic and drug efflux proteins. Similar to e.g. Q56175 TU22 dTDP-glucose dehydrtatase from Streptomyces violaceoruber (557 aa), FASTA scores: opt: 895, E(): 0, (34.7% identity in 528 aa overlap). Also similar to Mycobacterium tuberculosis relatives protein, include Rv3728, Rv3239c, Rv2846c, etc. Contains PS00217 Sugar transport proteins signature 2 (PS00217).</t>
  </si>
  <si>
    <t>Involved in glutamine biosynthesis [catalytic activity: ATP + L-glutamate + NH(3) = ADP + glutamine + orthophosphate].</t>
  </si>
  <si>
    <t>Probable glutamine synthetase GlnA3 (glutamine synthase) (GS-I)</t>
  </si>
  <si>
    <t>Rv1878, (MTCY180.40c), len: 450 aa. Probable glnA3, glutamine synthetase class I, similar to many e.g. GLNA_BACCE|P19064 from Bacillus cereus (443 aa), FASTA results: opt: 497, E(): 5.2e-23, (29.0% identity in 331 aa overlap); etc. Also similar to C-terminus of FLUG_EMENI|P38094 flug protein from emericella nidulans (865 aa), FASTA scores: opt: 227, E (): 6.4e-13, (29.9% identity in 394 aa overlap). Note that the downstream ORF MTCY180.39c is similar to the N-terminus. Also similar to three other potential glutamine synthases in M. tuberculosis: Q10378|GLN2_MYCTU|GLNA2|Rv2222c|MT2280|MTCY190.33c|MTCY427.03c; Rv2860c|MTV003.06c|glnA4 and Rv2220|glnA1. Belongs to the glutamine synthetase family.</t>
  </si>
  <si>
    <t>Rv1879, (MTCY180.39c), len: 378 aa. Conserved hypothetical protein, similar to SCC22.14c|AL096839 hypothetical protein from Streptomyces coelicolor (368 aa), FASTA results: opt: 772, E(): 0 (40.3% identity in 372 aa overlap); and to N-terminal half of nodulin/glutamate-ammonia ligase-like protein. Some similarity to N-terminus of AL132958|ATT4D2_11 Arabidopsis thaliana (845 aa), FASTA results: opt: 354, E(): 3.1e-16, (29.2% identity in 383 aa overlap); and to P38094|FLUG_EMENI Flug protein of Emericella nidulans (865 aa), FASTA results: opt: 306, E(): 6.2e-13, (26.5% identity in 415 aa overlap). Note that the upstream ORF Rv1878|MTCY18 0.40c is similar to the C-terminus.</t>
  </si>
  <si>
    <t>Probable cytochrome P450 140 Cyp140</t>
  </si>
  <si>
    <t>Rv1880c, (MT1929, MTCY180.38), len: 438 aa. Probable cyp140, cytochrome p450. Similar to Q00441|CPXJ_SACER 6-deoxyerythronolide beta hydroxylase (404 aa), FASTA scores: opt: 775, E(): 0, (44.2% identity in 319 aa overlap); and other members of the cytochrome P450 family. Related to Mycobacterium tuberculosis proteins include: Rv0766c, Rv2266, Rv0778, etc. Contains cytochrome P450 cysteine heme-iron ligand signature (PS00086). Belongs to the cytochrome P450 family.</t>
  </si>
  <si>
    <t>lppE</t>
  </si>
  <si>
    <t>Rv1881c</t>
  </si>
  <si>
    <t>Possible conserved lipoprotein LppE</t>
  </si>
  <si>
    <t>Rv1881c, (MTCY180.37), len: 140 aa. Possible lppE, lipoprotein, showing some similarity to L12238|MSG18S19K_1 19K antigen from Mycobacterium intracellulare (162 aa), FASTA scores: opt: 137, E(): 0.0069, (27.6% identity in 156 aa overlap). Contains signal sequence and appropriately positioned PS00013 Prokaryotic membrane lipoprotein lipid attachment site.</t>
  </si>
  <si>
    <t>Rv1882c, (MTCY180.36), len: 277 aa. Probable short-chain dehydrogenase/reductase, similar to various dehydrogenases/reductases, generally belonging to SDR family, e.g. NP_250789.1|NC_002516 probable short-chain dehydrogenase from Pseudomonas aeruginosa (251 aa); NP_421760.1|NC_002696 short chain dehydrogenase family protein from Caulobacter crescentus (270 aa); NP_107167.1|NC_002678 oxidoreductase (short chain dehydrogenase/reductase family) from Mesorhizobium loti (253 aa); P50197|LINC_PSEPA 2,5-dichloro-2,5-cyclohexadiene-1,4-diol dehydrogenase from Pseudomonas paucimobilis (Sphingomonas paucimobilis) (250 aa), FASTA scores: opt: 301, E(): 2.3e-12, (30.0% identity in 223 aa overlap); etc. Also similar to proteins from Mycobacterium tuberculosis e.g. Rv3057c, Rv1245, etc. Contains possible helix-turn-helix motif at aa 246-267 (+4.32 SD). Contains PS00061 Short-chain alcohol dehydrogenase family signature. Belongs to the short-chain dehydrogenases/reductases (SDR) family.</t>
  </si>
  <si>
    <t>Rv1883c, (MTCY180.35), len: 153 aa. Conserved hypothetical protein, some similarity to hypothetical proteins e.g. Rv2778c|AL008967|MTV002.43 from Mycobacterium tuberculosis (156 aa), FASTA score: opt: 212, E(): 3.1e-08, (34.4% identity in 151 aa overlap). Also similar to U75434|SAU75434_3 Nsh-OrfB from Streptomyces actuosus (173 aa), FASTA score: opt: 207, E(): 1.8e-07, (40.2% identity in 102 aa overlap).</t>
  </si>
  <si>
    <t>Thought to promote the resuscitation and growth of dormant, nongrowing cell. Could also stimulates the growth of several other high G+C gram+ organisms, e.g. Mycobacterium avium, Mycobacterium bovis (BCG), Mycobacterium kansasii, Mycobacterium smegmatis.</t>
  </si>
  <si>
    <t>Probable resuscitation-promoting factor RpfC</t>
  </si>
  <si>
    <t>Rv1884c, (MTCY180.34), len: 176 aa. Probable rpfC, resuscitation promoting factor (see citation below), similar to Z96935|MLRPF_1 resusicitation-promoting factor from Micrococcus luteus (220 aa), FASTA score: opt: 287, E() : 3.3e-11, (40.0% identity in 120 aa overlap). Also similar to others from Mycobacterium tuberculosis: Rv2389c|MTCY253.32|RPFD probable resuscitation-promoting factor (154 aa), FASTA score: opt: 382, E(): 7.1e-17, (55.4% identity in 101 aa overlap); Rv0867c|RPFA (N-terminal part), Rv2450c|RPFE, and Rv1009|RPFB (C-terminal part). Predicted possible vaccine candidate (See Zvi et al., 2008).</t>
  </si>
  <si>
    <t>Rv1885c, (MTCY180.33), len: 199 aa. Chorismate mutase, AroQ class (See Prakash et al., 2005, Sasso et al., 2005), some similarity to P42517|CHMU_ERWHE monofunctional chorismate mutase (181 aa), FASTA score: opt: 181, E(): 0.00017, (28.6% identity in 133 aa overlap). Contains N-terminal signal sequence.</t>
  </si>
  <si>
    <t>Involved in cell wall mycoloylation. Proteins of the antigen 85 complex are responsible for the high affinity of mycobacteria to fibronectin. Possesses a mycolyltransferase activity required for the biogenesis of trehalose dimycolate (cord factor), a dominant structure necessary for maintaining cell wall integrity.</t>
  </si>
  <si>
    <t>Secreted antigen 85-B FbpB (85B) (antigen 85 complex B) (mycolyl transferase 85B) (fibronectin-binding protein B) (extracellular alpha-antigen)</t>
  </si>
  <si>
    <t>Rv1886c, (MT1934, MTCY180.32), len: 325 aa. FbpB (alternate gene names: mpt59, 85B), precursor of the 85-B antigen (fibronectin-binding protein B) (mycolyl transferase 85B) (see citations below), highly similar to other Mycobacterial antigen precursors e.g. P12942|A85B_MYCBO antigen 85-B precursor from Mycobacterium bovis (323 aa); P21160|A85B_MYCKA antigen 85-B precursor from Mycobacterium kansasii (325 aa); etc. Also highly similar to Mycobacterium tuberculosis antigen precursors: Rv3804c|fbpA (338 aa), Rv0129c|fbpC2 (340 aa), and Rv3803c|fbpC1 (299 aa). Predicted possible vaccine candidate (See Zvi et al., 2008).</t>
  </si>
  <si>
    <t>Rv1887, (MTCY180.31), len: 380 aa. Hypothetical unknown protein; contains eukaryotic thiol (cysteine) proteases histidine active site at N-terminus (PS00639) and Pro-rich region near C-terminus.</t>
  </si>
  <si>
    <t>Rv1888A</t>
  </si>
  <si>
    <t>Rv1888A, len: 57 aa. Conserved hypothetical protein. Possibly continuation of Rv1889c, part of large family of Mycobacterium tuberculosis proteins with conserved N-terminal domain of ~ 120 aa. Includes: C-terminus of Rv0726c|P95074 conserved hypothetical protein (367 aa), FASTA scores: opt: 295, E(): 3.1e-15, (73.684% identity in 57 aa overlap); C-terminus of Rv3399|Q50726|MTCY78.29c conserved hypothetical protein (348 aa), FASTA scores: opt: 504, E(): 7.3e-29, (64.2% identity in 120 aa overlap); C-terminus of Rv0731c; etc.</t>
  </si>
  <si>
    <t>Rv1888c, (MTCY180.30), len: 186 aa. Possible transmembrane protein.</t>
  </si>
  <si>
    <t>Rv1889c</t>
  </si>
  <si>
    <t>Rv1889c, (MTCY180.29), len: 118 aa. Conserved hypothetical protein. Part of large family of Mycobacterium tuberculosis proteins with conserved N-terminal domain of ~120 aa. Includes: Rv3399|Q50726|MTCY78.29C conserved hypothetical protein (348 aa), FASTA results: opt: 504, E(): 7.3e-29, (64.2% identity in 120 aa overlap); Rv0726c|P95074; Rv0731c; etc. Rv1888A possibly continuation of this CDS.</t>
  </si>
  <si>
    <t>Rv1890c, (MTCY180.28), len: 203 aa. Hypothetical unknown protein. Predicted to be an outer membrane protein (See Song et al., 2008).</t>
  </si>
  <si>
    <t>Rv1891, (MTCY180.27c), len: 135 aa. Conserved protein. Equivalent to MLCB561.09|AL049571 hypothetical protein from Mycobacterium leprae (134 aa), FASTA scores: opt: 800, E(): 0, (79.7% identity in 133 aa overlap). A core mycobacterial gene; conserved in mycobacterial strains (See Marmiesse et al., 2004).</t>
  </si>
  <si>
    <t>Rv1892, (MTCY180.26c), len: 103 aa. Probable membrane protein.</t>
  </si>
  <si>
    <t>Rv1893</t>
  </si>
  <si>
    <t>Rv1893, (MTCY180.25c), len: 72 aa. Conserved hypothetical protein. Equivalent to MLCB561.11|AL049571 hypothetical protein from Mycobacterium leprae (74 aa), FASTA scores: opt: 317, E(): 4.6e-15, (69.4% identity in 72 aa overlap). A core mycobacterial gene; conserved in mycobacterial strains (See Marmiesse et al., 2004).</t>
  </si>
  <si>
    <t>Rv1894c, (MTCY180.24), len: 376 aa. Conserved hypothetical protein, weak similarity to some oxidoreductases e.g. Q01284 2-nitropropane dioxygenase precursor (378 aa), FASTA results: opt: 204, E(): 5.8e-06, (34.3% identity in 140 aa overlap). Similar to hypothetical Mycobacterium tuberculosis proteins e.g. Rv3553|MTCY03C7.02c (355 aa), FASTA results: opt: 296, E(): 1.6e-10, (32.9% identity in 167 aa overlap); Rv1533 (375 aa) (48.1% identity in 376 aa overlap); Rv0021c, Rv2781c.</t>
  </si>
  <si>
    <t>Rv1895</t>
  </si>
  <si>
    <t>Possible dehydrogenase</t>
  </si>
  <si>
    <t>Rv1895, (MTCY180.23c), len: 384 aa. Possible dehydrogenase, similar to various sorbitol and alcohol dehydrogenases, and to putative glutathione-dependent aldehyde dehydrogenase e.g DHSO_BACSU|Q06004 Sorbitol dehydrogenase from Streptomyces coelicolor (352 aa), FASTA results: opt: 506, E(): 7.2e-24, (30.6% identity in 350 aa overlap); and AL109962|SCJ1.28 putative zinc-containing dehydrogenase from Streptomyces coelicolor (356 aa), FASTA results: opt: 634, E(): 2.9e-30, (34.7% identity in 357 aa overlap). Also similar to other Mycobacterium tuberculosis dehydrogenases. Note that there is a substantial (134 bp) overlap at the C-terminus with the C-terminus of the downstream ORF, although both appear to be true coding regions.</t>
  </si>
  <si>
    <t>Rv1896c, (MTCY180.22), len: 303 aa. Conserved hypothetical protein. Similar to several (14) hypothetical Mycobacterium tuberculosis proteins e.g. Rv0145|MTCI5.19 (317 aa), FASTA results: opt: 720, E(): 0, (41.6% identity in 308 aa overlap); Q10552|YZ21_MYCTU (325 aa), opt: 689, E(): 0, (40.5% identity in 304 aa overlap); Rv0726c, Rv0731c, Rv3399, etc. and to related proteins in other actinomycetes. Note that there is a substantial (134 bp) overlap at the C-terminus with the C-terminus of the downstream ORF, although both appear to be true coding regions.</t>
  </si>
  <si>
    <t>Rv1897c, (MTCY180.21), len: 143 aa. Conserved hypothetical protein. Some similarity to D63706|Q54235 ORF2 from Streptomyces griseus (149 aa), FASTA results: opt: 509, E(): 1.2e-28, (57.3% identity in 150 aa overlap); and Q45303 ORF1 protein from Corynebacterium glutamicum (144 aa), FASTA results: opt: 460, E(): 5.5e-23, (49.7% identity in 143 aa overlap).</t>
  </si>
  <si>
    <t>Rv1898, (MTCY180.20c), len: 102 aa. Conserved hypothetical protein, some similarity to other hypothetical proteins e.g. Q58452 from methanococcus jannasch II (100 aa), FASTA results: opt: 152, E(): 9.1e-05, (31.5% identity in 92 aa overlap); and AE000771|AE000771_2 from Aquifex aeolicus (157 aa), FASTA results: opt: 246, E(): 3.2e-11, (39.0% identity in 100 aa overlap).</t>
  </si>
  <si>
    <t>Possible lipoprotein LppD</t>
  </si>
  <si>
    <t>Rv1899c, (MTCY180.19), len: 343 aa. Possible lipoprotein; contains appropriately localized lipoprotein lipid attachment site (PS00013). Some similarity to C-terminal part of AE000717|AE000717_4 hypothetical protein from Aquifex aeolicus section 49 (165 aa), FASTA results: opt: 372, E(): 2.3e-14, (43.5% identity in 147 aa overlap); and Q44020 4-hydroxybutyrate dehydrogenase (173 aa), FASTA results: opt: 272, E(): 4.7e-09, (35.8% identity in 165 aa overlap).</t>
  </si>
  <si>
    <t>Probable lignin peroxidase LipJ</t>
  </si>
  <si>
    <t>Rv1900c, (MTCY180.18), len: 462 aa. Probable lipJ, lignin peroxidase, with some similarity to esterases, hydrolases and hypothetical Mycobacterium tuberculosis proteins e.g. Q43936 beta-ketoadipate enol-lactone hydrolase from Acinetobacter calcoaceticus (267 aa), FASTA results: opt: 217, E(): 1.7e-07, (29.2% identity in 260 aa overlap). Also similar to other Mycobacterium tuberculosis hypothetical proteins e.g. Rv2212|Q10400|YM12_MYCTU (378 aa), FASTA results: opt: 216, E(): 6.7e-07, (27.7% identity in 285 aa overlap).</t>
  </si>
  <si>
    <t>Probable CinA-like protein CinA</t>
  </si>
  <si>
    <t>Rv1901, (MTCY180.17c), len: 430 aa. Probable cinA-like protein, strong similarity to competence damage proteins CinA of Bacillus subtilis and S. pneumoniae. FASTA results: Q55760 hypothetical 44.7 kDa protein (416 aa) opt: 755, E(): 0, (36.0% identity in 433 aa overlap).</t>
  </si>
  <si>
    <t>Involved in transport of sialic acid across the membrane. Responsible for the translocation of the substrate across the membrane.</t>
  </si>
  <si>
    <t>Probable sialic acid-transport integral membrane protein NanT</t>
  </si>
  <si>
    <t>Rv1902c, (MTCY180.16), len: 422 aa. Probable nanT, sialic acid-transport integral membrane protein, possibly member of major facilitator superfamily (MFS), similar to others e.g. Q48076 sialic acid transporter (407 aa), FASTA results: opt: 443, E(): 5.4e-22, (26.7% identity in 389 aa overlap); etc. Some similarity to MTCI364.12|O05301 conserved hypothetical protein from Mycobacterium tuberculosis (425 aa), FASTA results: opt: 251, E(): 1.1e-09, (23.5% identity in 417 aa overlap). Contains sugar transport proteins signature 2 (PS00217).</t>
  </si>
  <si>
    <t>Rv1903, (MTCY180.15c), len: 134 aa. Probable conserved membrane protein, similar to Q53868|YPT3_STRCO hypothetical 15.9 kDa protein from Streptomyces coelicolor (148 aa) opt: 323, E(): 1.3e-16, (42.9% identity in 126 aa overlap); and equivalent to AJ000521|MLCOSL672_3 from Mycobacterium leprae (139 aa), FASTA results: opt: 680, E(): 0, (80.6% identity in 129 aa overlap).</t>
  </si>
  <si>
    <t>Rv1904, (MTCY180.14c), len: 143 aa. Conserved hypothetical protein, some similarity to other hypothetical Mycobacterium tuberculosis proteins e.g. Rv2638|MTCY441.08|P71937 (148 aa), FASTA results: opt: 456, E(): 2.7e-23, (52.8% identity in 125 aa overlap); Rv1365|Q11035 (128 aa), FASTA results: opt: 393, E(): 1.4e-19, (48.8% identity in 123 aa overlap); and Rv3687c. Also weak similarity to Q9WVX8|RSBV_STRCO anti-sigma B factor antagonist from Streptomyces coelicolor (113 aa).</t>
  </si>
  <si>
    <t>Wide specificity for D-amino acids. Also acts on glycine [catalytic activity: a D-amino acid + H2O + O2 = a 2-oxo acid + NH3 + H2O2]</t>
  </si>
  <si>
    <t>Probable D-amino acid oxidase Aao</t>
  </si>
  <si>
    <t>Rv1905c, (MTCY180.13), len: 320 aa. Probable aao, D-amino acid oxidase, similar to many. Equivalent to AJ000521|MLCOSL672.02|O33145 Mycobacterium leprae (320 aa), FASTA results: opt: 1541, E(): 0, (71.7% identity in 315 aa overlap); also similar to OXDD_BOVIN|P31228 d-aspartate oxidase from bos taurus (338 aa), FASTA results: opt: 461, E(): 1.1e-21, (31.8% identity in 321 aa overlap).</t>
  </si>
  <si>
    <t>Rv1906c, (MTCY180.12), len: 156 aa. Conserved protein, possibly exported protein, equivalent to Mycobacterium leprae AJ000521|MLCOSL672.01 (153 aa), FASTA scores: opt: 637, E(): 2.6e-28, (63.2% identity in 155 aa overlap). Also similar to M. tuberculosis hypothetical exported protein, Rv1352. A core mycobacterial gene; conserved in mycobacterial strains (See Marmiesse et al., 2004). Predicted to be an outer membrane protein (See Song et al., 2008).</t>
  </si>
  <si>
    <t>Rv1907c, (MTCY180.11), len: 215 aa. Hypothetical unknown protein. Similar to Q50763 Ethyl methane sulphonate resistance protein from Mycobacterium tuberculosis (168 aa), FASTA scores: opt: 638, E(): 0, (69.7% identity in 152 aa overlap). Downstream of a cloned katG gene (EMBL:mtkatg). Differences are due to frameshift errors in the EMBL sequence and the use of an earlier start codon. Alternative nucleotide at position 2153410 (a-&gt;G; V158A) has been observed.</t>
  </si>
  <si>
    <t>Multifunctional enzyme, exhibiting both a catalase, a broad-spectrum peroxidase, and a peroxynitritase activities. May play a role in the intracellular survival of mycobacteria within macrophages; protection against reactive oxygen and nitrogen intermediates produced by phagocytic cells. Seems regulated by SIGB|Rv2710 [catalytic activity: 2 H(2)O(2) = O(2) + 2 H(2)O].</t>
  </si>
  <si>
    <t>Catalase-peroxidase-peroxynitritase T KatG</t>
  </si>
  <si>
    <t>Rv1908c, (MTCY180.10), len: 740 aa. KatG, catalase-peroxidase-peroxynitritase T (see citations below), HPI. FASTA results: Q57215 catalase-peroxidase from Mycobacterium tuberculosis (740 aa) opt: 5081, E(): 0, (100% identity in 740 aa overlap). Contains peroxidases active site signature (PS00436) and ATP/GTP-binding site motif A (P-loop; PS00017). Cosmid sequence was corrected to agree with a sequencing read from the H37Rv genome. Deletions or defects in KATG gene cause isoniazid (INH) resistance. Belongs to the peroxidase family. Bacterial peroxidase/catalase subfamily. KATG transcription seems to be regulated by FURA|Rv1909c product. The catalase-peroxidase activity is associated with the amino-terminal domain but no definite function has been assigned to the carboxy-terminal domain. Predicted possible vaccine candidate (See Zvi et al., 2008).</t>
  </si>
  <si>
    <t>Acts as a global negative controlling element, employing FE(2+) as a cofactor to bind the operator of the repressed genes. Seems to regulate transcription of KATG|Rv1908c gene.</t>
  </si>
  <si>
    <t>Ferric uptake regulation protein FurA (fur)</t>
  </si>
  <si>
    <t>Rv1909c, (MTCY180.09), len: 147 aa. FurA, Ferric uptake regulation protein, similar to Q48835 legionella pneumophila 130B (wadsworth) ferric uptake regulation (136 aa), FASTA results: opt: 230, E(): 2.5e-09, (32.3% identity in 133 aa overlap). Also similar to Mycobacterium tuberculosis zur zinc uptake regulatory protein, Rv2359. Belongs to the fur family. Start changed since original submission (-3 aa).</t>
  </si>
  <si>
    <t>Rv1910c, (MTCY180.08), len: 197 aa. Possible exported protein, very similar to upstream ORF MTCY180.07 (201 aa), FASTA score: E(): 0, (64.0% identity in 200 aa overlap). Also similar to Q9Z729|Y877_CHLPN protein CPN0877 from Chlamydophila pneumoniae (150 aa). Predicted to be an outer membrane protein (See Song et al., 2008).</t>
  </si>
  <si>
    <t>Probable lipoprotein LppC</t>
  </si>
  <si>
    <t>Rv1911c, (MTCY180.07), len: 201 aa. Probable lipoprotein lppC, contains appropriately positioned prokaryotic membrane lipoprotein lipid attachment site (PS00013). Very similar to downstream ORF MTCY180.08 (204 aa) (although this lacks lipoprotein motif), FASTA score: opt: 831, E(): 0, (64.0% identity in 200 aa overlap). Also similar to Q9Z729|Y877_CHLPN hypothetical protein CPN0877 from Chlamydia pneumoniae (strain CWL029) (150 aa).</t>
  </si>
  <si>
    <t>Thought to be involved in fatty acid degradation. FADB and FADA are the alpha and beta subunits of the multifunctional enzyme complex of the fatty acid degradation cycle.</t>
  </si>
  <si>
    <t>Possible oxidoreductase FadB5</t>
  </si>
  <si>
    <t>Rv1912c, (MTCY180.06), len: 334 aa. Possible fadB5, oxidoreductase, similar to various oxidoreductases: 3-hydroxyacyl-CoA dehydrogenase, quinone oxidoreductases, and polyketide synthases, e.g. NP_104067.1|NC_002678 probable oxidoreductase from Mesorhizobium loti (308 aa); NP_464140.1|NC_003210 protein similar to oxidoreductase from Listeria monocytogenes (313 aa); NP_193889.1|NC_003075 putative NADPH quinone oxidoreductase from Arabidopsis thaliana (325 aa); NP_001880.2|NM_001889 crystallin, zeta; quinone oxidoreductase; NADPH:quinone reductase from Homo sapiens (329 aa); part 2983 to 3197 of T17410 polyketide synthase type I from Streptomyces venezuelae (3739 aa); Q53927|SCBAC20F6.16 hydroxyacyl-CoA dehydrogenase from Streptomyces coelicolor (329 aa), FASTA scores: opt: 621, E(): 2e-30, (39.5% identity in 349 aa overlap); etc. Also similar to many hypothetical Mycobacterium tuberculosis proteins including: MTCY24G1.09, MTCY13D12.11, MTCY19H9.01, MTCY24G1.03, MTCY03A2.17c, etc. Contains quinone oxidoreductase/zeta-crystallin signature (PS01162).</t>
  </si>
  <si>
    <t>Rv1913, (MTCY180.05c), len: 250 aa. Conserved hypothetical protein, slight similarity to dehydrase and beta-lactamase precursors e.g. Q02057 dehydrase from Streptomyces coelicolor (297 aa), FASTA scores: opt: 184, E(): 4.3e-05, (31.6% identity in 215 aa overlap).</t>
  </si>
  <si>
    <t>Rv1914c, (MTCY180.04), len: 135 aa. Unknown protein. Predicted to be an outer membrane protein (See Song et al., 2008).</t>
  </si>
  <si>
    <t>aceAa</t>
  </si>
  <si>
    <t>Rv1915</t>
  </si>
  <si>
    <t>Involved in glyoxylate bypass, an alternative to the tricarboxylic acid cycle [catalytic activity: isocitrate = succinate + glyoxylate].</t>
  </si>
  <si>
    <t>Probable isocitrate lyase AceAa [first part] (isocitrase) (isocitratase) (Icl)</t>
  </si>
  <si>
    <t>Rv1915, (MTCY180.03c), len: 367 aa. Probable aceAa, isocitrate lyase (see citations below). Highly similar to the N-terminus of ACEA_MYCLE isocitrate lyase from Mycobacterium leprae (606 aa), FASTA results: opt: 3314, E(): 0, (86.5% identity in 572 aa overlap). Contains PS00161 Isocitrate lyase signature. Although this ORF and the downstream ORF representing the C-terminal half of aceA could be joined by a frameshift, no error is apparent in the cosmid, or in a seqencing read from the genome of H37Rv. As the downstream ORF has a RBS and transcriptional start immediately following the stop of this ORF, it is possible that they are expressed as two separate modules. In Mycobacterium tuberculosis strain CDC1551, aceA exists as a single gene, MT1966: the corresponding protein has been purified experimentally and seems have an active isocitrate lyase activity (see Honer et al., 1999). For Mycobacterium tuberculosis strain H37Rv, immunoblot assay didn't detect AceAa or AceAb products (see Honer et al., 1999) but mRNA of AceAa|Rv1915 has been detected (see Betts et al., 2002); so AceAb|Rv1916 could be a pseudogene. Icl2 has 2-methyl-isocitrate lyase (MCL) activity in M. tuberculosis Erdman (See Munoz-Elias et al., 2006).</t>
  </si>
  <si>
    <t>aceAb</t>
  </si>
  <si>
    <t>Probable isocitrate lyase AceAb [second part] (isocitrase) (isocitratase) (Icl)</t>
  </si>
  <si>
    <t>Rv1916, (MTCY180.02c), len: 398 aa. Probable aceAb, isocitrate lyase (see citations below). Highly similar to the C-terminus of ACEA_MYCLE|P46831 isocitrate lyase from Mycobacterium leprae (606 aa), FASTA results: opt: 1635, E(): 0, (86.3% identity in 278 aa overlap). Although this ORF and the upstream ORF representing the N-terminal half of aceA could be joined by a frameshift no error is apparent in the cosmid, or in a seqencing read from the genome of H37Rv. As this ORF has a RBS and transcriptional start immediately following the stop of the upstream ORF, it is possible that they are expressed as two separate modules. In Mycobacterium tuberculosis strain CDC1551, aceA exists as a single gene, MT1966: the corresponding protein has been purified experimentally and seems have an active isocitrate lyase activity (see Honer et al., 1999). For Mycobacterium tuberculosis strain H37Rv, immunoblot assay didn't detect AceAa or AceAb products (see Honer et al., 1999) but mRNA of AceAa|Rv1915 has been detected (see Betts et al., 2002); so AceAb|Rv1916 could be a pseudogene. Icl2 has 2-methyl-isocitrate lyase (MCL) activity in M. tuberculosis Erdman (See Munoz-Elias et al., 2006).</t>
  </si>
  <si>
    <t>PPE family protein PPE34</t>
  </si>
  <si>
    <t>Rv1917c, (MTV050.01c-MTCY180.01), len: 1459 aa. PPE34, Member of the Mycobacterium tuberculosis PPE family of glycine-rich proteins, MPTR subfamily (see citation below). Similar to MTCY28.16, MTCY13E10.17, MTCY63.10, MTV004.05, MTCY98.24, MTCY6G11.05, etc. C-terminus is identical to Q50471. Unknown Mycobacterium tuberculosis protein (693 aa), FASTA results: opt: 2635, E(): 0, (99.7% identity in 391 aa overlap). Start changed since original submission (+23 aa). Thougth to be surface exposed, cell-wall associated.</t>
  </si>
  <si>
    <t>PPE35</t>
  </si>
  <si>
    <t>PPE family protein PPE35</t>
  </si>
  <si>
    <t>Rv1918c, (MTV050.02c), len: 987 aa. PPE35, Member of the Mycobacterium tuberculosis PPE family of glycine-rich proteins. Similar to MTCY28.16|Z95890 Mycobacterium tuberculosis cosmid (1053 aa), FASTA scores: opt: 3404, E(): 0, (65.6% identity in 1058 aa overlap). Also similar to MTV004.05, MTY13E10.17, MTV014.03, MTCY3C7.23, MTCY6G11.05, MTCY48.17, MTV004.03, MTCY31.07, MTCY4C12.36, MTCY180.01, etc.</t>
  </si>
  <si>
    <t>Rv1919c, (MTV050.03c), len: 154 aa. Conserved protein, shows weak similarity to several major pollen antigens e.g. Z72431|BVGC25_1 major allergen bet V 1 from Betula verrucosa (160 aa), FASTA scores: opt: 133, E(): 0.012, (26.8% identity in 149 aa overlap). Also shows some similarity to Rv2574|MTCY227.27C Hypothetical protein from Mycobacterium tuberculosis (167 aa), (27.4% identity in 124 aa overlap).</t>
  </si>
  <si>
    <t>Rv1920, (MTV050.04), len: 287 aa. Probable membrane protein, similar to AL0215|SC10A5.04 putative membrane protein from Streptomyces coelicolor cosmid 10A5 (295 aa), FASTA scores: opt: 292, E(): 3.6e-13, (31.3% identity in 243 aa overlap). Also weakly similar to several Mycobacterial putative proteins with unknown function e.g. Rv0502, Rv1428c, U00018_22 Mycobacterium leprae cosmid B2168.</t>
  </si>
  <si>
    <t>Probable conserved lipoprotein LppF</t>
  </si>
  <si>
    <t>Rv1921c, (MTCY09F9.43-MTV050.05c), len: 423 aa. Probable lppF, conserved lipoprotein, similar to G403173 lipoprotein precursor (fragment) from Rhodococcus erythropolis (225 aa), fasta scores: opt: 364, E(): 9.2e-19, (41.9% identity in 148 aa overlap). Contains PS00013 Prokaryotic membrane lipoprotein lipid attachment site.</t>
  </si>
  <si>
    <t>Probable conserved lipoprotein</t>
  </si>
  <si>
    <t>Rv1922, (MTCY09F9.42c), len: 371 aa. Probable conserved lipoprotein, possibly peptidase similar to many peptidases, e.g. P15555|DAC_STRSQ D-alanyl-D-alanine carboxypeptidase from Streptomyces sp. (406 aa), FASTA scores: opt: 382, E(): 3.1e-17, (28.0% identity in 379 aa overlap). Also similar to Mycobacterium tuberculosis hypothetical proteins Rv1497, Rv2463, Rv3775, etc. Contains PS00013 Prokaryotic membrane lipoprotein lipid attachment site.</t>
  </si>
  <si>
    <t>Function unknown; lipolytic enzyme probably involved in cellular metabolism</t>
  </si>
  <si>
    <t>Probable lipase LipD</t>
  </si>
  <si>
    <t>Rv1923, (MTCY09F9.41c), len: 446 aa. Probable lipD, hydrolase lipase, similar to esterases and beta-lactamases e.g. G151214 esterase, (389 aa), fasta scores: opt: 569, E(): 5.4e-29, (33.7% identity in 401 aa overlap). Also similar to Mycobacterium tuberculosis hypothetical proteins Rv1497, Rv2463, Rv3775, etc.</t>
  </si>
  <si>
    <t>Rv1924c, (MTCY09F9.40), len: 126 aa. Unknown protein.</t>
  </si>
  <si>
    <t>Probable acyl-CoA ligase FadD31 (acyl-CoA synthetase) (acyl-CoA synthase)</t>
  </si>
  <si>
    <t>Rv1925, (MTCY09F9.39c), len: 620 aa. Probable fadD31, acyl-CoA synthetase, highly similar to others from Mycobacterium leprae e.g. NP_301198.1|NC_002677 putative acyl-CoA synthetase (635 aa); NP_302537.1|NC_002677 probable acyl-CoA synthase (583 aa); etc. Also highly similar to others from Mycobacterium tuberculosis e.g. fadD32 (637 aa); fadD21 (578 aa); fadD29 (619 aa); fadD26|FD26_MYCTU|Q10976 (626 aa), FASTA scores: opt: 945, E(): 0, (39.8% identity in 598 aa overlap); etc. Also similar to N-terminus of G1171128 saframycin MX1 synthetase B from Myxococcus xanthus (1770 aa), FASTA scores: opt: 845, E(): 0, (37.4% identity in 593 aa overlap); N-terminus of T34918 polyketide synthase from Streptomyces coelicolor (2297 aa); etc. Nucleotide position 2177654 in the genome sequence has been corrected, A:C resulting in M190L.</t>
  </si>
  <si>
    <t>Immunogenic protein Mpt63 (antigen Mpt63/MPB63) (16 kDa immunoprotective extracellular protein)</t>
  </si>
  <si>
    <t>Rv1926c, (MT1977, MTCY09F9.38), len: 159 aa. Mpt63 (alternate gene name: mpb63), immunogenic protein (see citations below), identical to MPT63|MPB63 from Mycobacterium bovis (159 aa). Exported protein containing a N-terminal signal sequence: see notes below about proteomics. Predicted possible vaccine candidate (See Zvi et al., 2008).</t>
  </si>
  <si>
    <t>Rv1927, (MTCY09F9.37c), len: 257 aa. Conserved hypothetical protein, similar to SCG11A.10c|AL133210 hypothetical protein from Streptomyces coelicolor (252 aa), FASTA scores: opt: 729, E(): 0, (48.3% identity in 238 aa overlap). Slight similarity with P54543|YQJF_BACSU hypothetical 23.9 kDa protein from Bacillus subtilis (209 aa), FASTA scores, opt: 230, E(): 2.8e-08, (28.0% identity in 164 aa overlap).</t>
  </si>
  <si>
    <t>Rv1928c, (MTCY09F9.36), len: 255 aa. Probable short-chain dehydrogenase/reductase, highly similar to others e.g. NP_228109.1|NC_000853 oxidoreductase (short chain dehydrogenase/reductase family) from Thermotoga maritima (257 aa); T41116 short chain dehydrogenase from Schizosaccharomyces pombe (261 aa); P87219|SOU1_CANAL sorbitol utilization protein (SDR family) from Candida albicans (281 aa); P25529|HDHA_ECOLI 7-alpha-hydroxysteroid dehydrogenase from Escherichia coli (255 aa), FASTA scores: opt: 541, E(): 1.2e-27, (37.5% identity in 251 aa overlap); etc. Also similar to many mycobacterial tuberculosis proteins e.g. Rv1350, Rv0927c, Rv2002, Rv0769, Rv2766c, etc. Contains PS00061 Short-chain alcohol dehydrogenase family signature. Belongs to the short-chain dehydrogenases/reductases (SDR) family.</t>
  </si>
  <si>
    <t>Rv1929c, MTCY09F9.35, len: 214 aa. Conserved hypothetical protein, similar to SC4G6.14|AL096884 hypothetical protein from Streptomyces coelicolor (211 aa), FASTA scores: opt: 416, E(): 2.4e-22, (39.8% identity in 206 aa overlap).</t>
  </si>
  <si>
    <t>Rv1930c</t>
  </si>
  <si>
    <t>Rv1930c, MTCY09F9.34, len: 174 aa. Conserved hypothetical protein, similar to SC5F2A.30|AL049587 hypothetical protein from Streptomyces coelicolor (211 aa), FASTA scores: opt: 307, E(): 2.8e-13, (54.8% identity in 84 aa overlap). Some similarity to M. tuber culosis hypothetical protein Rv0052|MTCY21D4.15 (43% identity in 93 aa overlap).</t>
  </si>
  <si>
    <t>Rv1931c, (MTCY09F9.33), len: 259 aa. Probable transcriptional regulatory protein. Similarity in C-terminal half to transcriptional activators e.g. Q43970 AraC-like protein (227 aa), FASTA scores: opt: 238, E(): 7.1e-07, (42.4% identity in 92 aa overlap). Similar to many probable transcription regulators in Streptomyces e.g. AL049587|SC5F2A.29 Streptomyces coelicolor (325 aa), FASTA scores: opt: 387, E(): 3.2e-16, (34.4% identity in 259 aa overlap).</t>
  </si>
  <si>
    <t>Has antioxidant activity. Could remove peroxides or H(2)O(2)</t>
  </si>
  <si>
    <t>Probable thiol peroxidase Tpx</t>
  </si>
  <si>
    <t>Rv1932, (MTCY09F9.32c), len: 165 aa. Probable tpx (alternate gene name: cfp20), thiol peroxidase similar to TPX_ECOLI|P37901 thiol peroxidase (p20) from Escherichia coli (167 aa), fasta scores: opt: 535, E(): 7.3e-25, (52.4% identity in 164 aa overlap). There are four other related enzymes in M. tuberculosis: Rv2428, Rv2521, Rv2238c, Rv1608c.</t>
  </si>
  <si>
    <t>Probable acyl-CoA dehydrogenase FadE18</t>
  </si>
  <si>
    <t>Rv1933c, (MTCY09F9.31), len: 363 aa. Probable fadE18, acyl-CoA dehydrogenase, similar to many e.g. CAB61609.1|AL133210 putative acyl-CoA dehydrogenase from Streptomyces coelicolor (362 aa); NP_421282.1|NC_002696 acyl-CoA dehydrogenase family protein from Caulobacter crescentus (344 aa); ACDS_RAT|P15651 short-chain specific acyl-CoA dehydrogenase from Rattus norvegicus (Rat) (412 aa), fasta scores: opt: 239, E(): 2.1e-08, (28.4% identity in 331 aa overlap); etc. Also similar to others from Mycobacterium tuberculosis e.g. N-terminus of fadE22 (721 aa); fadE33 (318 aa); N-terminus of fadE34 (711 aa); etc. Could belong to the acyl-CoA dehydrogenases family.</t>
  </si>
  <si>
    <t>Probable acyl-CoA dehydrogenase FadE17</t>
  </si>
  <si>
    <t>Rv1934c, (MTCY09F9.30), len: 409 aa. Probable fadE17, acyl-CoA dehydrogenase, highly similar to ACD_MYCLE|P46703 acyl-CoA dehydrogenase from Mycobacterium leprae (389 aa), FASTA scores: opt: 414, E(): 2.6e-19, (28.3% identity in 407 aa overlap). Also similar to many e.g. NP_249713.1|NC_002516 probable acyl-CoA dehydrogenase from Pseudomonas aeruginosa (381 aa); NP_420614.1|NC_002696 acyl-CoA dehydrogenase family protein from Caulobacter crescentus (355 aa); CAB61610.1|AL133210 putative acyl-CoA dehydrogenase from Streptomyces coelicolor (393 aa); etc. Also similar to others from Mycobacterium tuberculosis e.g. fadE30 (385 aa); fadE31 (377 aa); C-terminus of fadE34 (711 aa); etc. Could belong to the acyl-CoA dehydrogenases family.</t>
  </si>
  <si>
    <t>echA13</t>
  </si>
  <si>
    <t>Rv1935c</t>
  </si>
  <si>
    <t>Possible enoyl-CoA hydratase EchA13 (enoyl hydrase) (unsaturated acyl-CoA hydratase) (crotonase)</t>
  </si>
  <si>
    <t>Rv1935c, (MTCY09F9.29), len: 318 aa. Possible echA13, enoyl-CoA hydratase, similar to others and various enzymes e.g. CAC48381.1|Y16952 putative enoyl-CoA-isomerase from Amycolatopsis mediterranei (269 aa); AAK18173.1|AF290950_5|AF290950|FadB1x enoyl-CoA hydratase from Pseudomonas putida (257 aa); AAF78820.1|AF042490 4-chlorobenzoyl CoA dehalogenase from Arthrobacter sp. TM1 (276 aa); ECHM_RAT|P14604 enoyl-CoA hydratase mitochondrial precursor from Rattus norvegicus (Rat) (290 aa), FASTA scores: opt: 228, E(): 1.2e-08, (31.0% identity in 258 aa overlap); etc.</t>
  </si>
  <si>
    <t>Rv1936</t>
  </si>
  <si>
    <t>Rv1936, (MTCY09F9.28c), len: 369 aa. Possible monooxygenase, similar to LXA2_PHOLU|P23146 alkanal monooxygenase alpha chain (362 aa), FASTA scores: opt: 196, E(): 6.3e-06, (22.3% identity in 373 aa overlap). Also similar to many other Mycobacterium tuberculosis hypothetical oxidoreductases and monooxygenases e.g. Rv0953c, Rv0791c, Rv0132c, etc.</t>
  </si>
  <si>
    <t>Function unknown; may be involved in electron transfer.</t>
  </si>
  <si>
    <t>Possible oxygenase</t>
  </si>
  <si>
    <t>Rv1937, (MTCY09F9.27c), len: 839 aa. Possible oxygenase, similar in N-terminus to N-terminal part (approx. 350 aa) of dioxygenases (including ring-hydroxylating dioxygenase electron transfer components) and monooxygenases, e.g. AAC34815.1|AF071556 anthranilate dioxygenase reductase from Acinetobacter sp. (343 aa); AAK52291.1|AY026914|AntC putative anthranilate dioxygenase reductase from Pseudomonas putida (340 aa); AAF63450.1|AF218267_7|AF218267 benzoate dioxygenase / ferredoxin reductase from Pseudomonas putida (336 aa); P23101|XYLZ_PSEPU toluate 1,2-dioxygenase electron transfer component [includes: ferredoxin; ferredoxin--NAD(+) reductase ] from Pseudomonas putida plasmid TOL pWW0 (336 aa), FASTA scores: opt: 700, E(): 0, (34.3% identity in 335 aa overlap); S23479 probable benzoate 1,2-dioxygenase reductase component benC from Acinetobacter calcoaceticus (338 aa); AAC45294.1|U81594 soluble methane monooxygenase protein C from Methylocystis sp. (343 aa); P22868|MEMC_METCA methane monooxygenase component C from Methylococcus capsulatus (348 aa); etc. Also similar in part to Mycobacterium tuberculosis hypothetical electron transfer proteins Rv3554, Rv3571, etc. Contains PS00197 2Fe-2S ferredoxins, iron-sulfur binding region signature.</t>
  </si>
  <si>
    <t>ephB</t>
  </si>
  <si>
    <t>Rv1938</t>
  </si>
  <si>
    <t>This enzyme acts on epoxides (alkene oxides, oxiranes) and arene oxides. Plays a role in xenobiotic metabolism by degrading potential toxic epoxides. Also determines steady-state levels of physiological mediators.</t>
  </si>
  <si>
    <t>Probable epoxide hydrolase EphB (epoxide hydratase)</t>
  </si>
  <si>
    <t>Rv1938, (MTCY09F9.26c), len: 356 aa. Probable ephB, epoxide hydrolase (see citation below), similar to many e.g. G1109600 ATSEH (321 aa), FASTA scores: opt: 442, E(): 1.2e-21 (33.1% identity in 356 aa overlap); etc. Also similar to many other M. tuberculosis hypothetical epoxide hydrolases e.g. Rv3617, Rv3670, Rv0134, etc.</t>
  </si>
  <si>
    <t>Rv1939</t>
  </si>
  <si>
    <t>Rv1939, (MTCY09F9.25c), len: 171 aa. Probable oxidoreductase, similar to NP_302637.1|NC_002677 probable oxidoreductase from Mycobacterium leprae (162 aa) Also similar to NTAB_CHELE|P54990 nitrilotriacetate monooxygenase component from Chelatobacter heintzii (322 aa), fasta scores: opt: 269, E(): 5.3e-11, (33.1% identity in 151 aa overlap). And similar to Mycobacterium tuberculosis probable monooxygenase components Rv0246, Rv3567, and to a lesser extent, Rv3007c.</t>
  </si>
  <si>
    <t>ribA1</t>
  </si>
  <si>
    <t>Rv1940</t>
  </si>
  <si>
    <t>Involved in riboflavin biosynthesis [catalytic activity: GTP + 3 H(2)O = formate + 2,5-diamino-6-hydroxy-4-(5-phosphoribosylamino)pyrimidine + diphosphate]</t>
  </si>
  <si>
    <t>Probable riboflavin biosynthesis protein RibA1 (GTP cyclohydrolase II)</t>
  </si>
  <si>
    <t>Rv1940, (MTCY09F9.24c), len: 353 aa. Probable ribA1, Riboflavin biosynthesis protein, similar to GCH2_BACSU|P17620 gtp cyclohydrolase II (398 aa), FASTA scores: opt: 682, E(): 0, (37.7% identity in 363 aa overlap), also similar to Rv1415|MTCY21B4.33|ribA2 (428 aa) (45.4% identity in 368 aa overlap). Note that previously known as ribA.</t>
  </si>
  <si>
    <t>Rv1941, (MTCY09F9.23c), len: 256 aa. Probable short-chain dehydrogenase/reductase, similar to various dehydrogenases/reductases, generally belonging to SDR family, e.g. NP_299015.1|NC_002488 2,5-dichloro-2,5-cyclohexadiene-1,4-diol dehydrogenase from Xylella fastidiosa (255 aa); NP_250340.1|NC_002516 probable short-chain dehydrogenase from Pseudomonas aeruginosa (253 aa); NP_106890.1|NC_002678 probable short-chain type dehydrogenase/reductase from Mesorhizobium loti (374 aa) (has its N-terminus longter); P50197|LINC_PSEPA 2,5-dichloro-2,5-cyclohexadiene-1,4-dehydrogenase from Pseudomonas paucimobilis (Sphingomonas paucimobilis) (250 aa), FASTA scores: opt: 529, E(): 5.7e-25, (40.6% identity in 251 aa overlap); etc. Contains PS00061 Short-chain alcohol dehydrogenase family signature. Belongs to the short-chain dehydrogenases/reductases (SDR) family.</t>
  </si>
  <si>
    <t>mazF5</t>
  </si>
  <si>
    <t>Rv1942c</t>
  </si>
  <si>
    <t>Possible toxin MazF5</t>
  </si>
  <si>
    <t>Rv1942c, (MTCY09F9.22), len: 109 aa. Possible mazF5, toxin, part of toxin-antitoxin (TA) operon with Rv1943c (See Pandey and Gerdes, 2005; Zhu et al., 2006), shows some similarity to Q10867|MTCY39.28|Rv1991 hypothetical 12.3 kDa protein (114 aa), FASTA scores: opt: 117, E(): 0.021, (24. 5% identity in 110 aa overlap) also P33645|CHPA_ECOLI pemk-like protein 1 (mazf protein) from Escherichia coli (111 aa), FASTA scores: opt: 104, E(): 0.18, (29.1% identity in 110 aa overlap). Also similar to Mycobacterium tuberculosis Rv0659c (102 aa) (32.7% identity in 101 aa overlap); Rv1102c (33.3% identity in 93 aa overlap) and Rv1495.</t>
  </si>
  <si>
    <t>mazE5</t>
  </si>
  <si>
    <t>Possible antitoxin MazE5</t>
  </si>
  <si>
    <t>Rv1943c, (MTCY09F9.21), len: 125 aa. Possible mazE5, antitoxin, part of toxin-antitoxin (TA) operon with Rv1942c (See Pandey and Gerdes, 2005; Zhu et al., 2006), shows some similarity with Rv1946c|MTCY09F9.18|lppG possible conserved lipoprotein from Mycobacterium tuberculosis (150 aa), FASTA score: (71.4% identity in 28 aa overlap).</t>
  </si>
  <si>
    <t>Rv1944c, (MTCY09F9.20), len: 196 aa. Conserved protein, similar to C-terminal part of SCE20.29|AL136058|CAB65585.1 hypothetical protein from Streptomyces coelicolor (338 aa), blastp scores, Identities = 37/131 (28%), Positives = 51/131 (38%).</t>
  </si>
  <si>
    <t>Rv1945</t>
  </si>
  <si>
    <t>Rv1945, (MTCY09F9.19c), len: 454 aa. Member of Mycobacterium tuberculosis REP13E12 repeat family. Similar to several others, best with Rv1148c|Z95584|MTCI65.15 (482 aa), FASTA score: opt: 2954, E(): 0, (97.1% identity in 454 aa overlap). Contains possible helix-turn-helix motif at aa 74-95 (+2.90 SD).</t>
  </si>
  <si>
    <t>Possible lipoprotein</t>
  </si>
  <si>
    <t>Rv1946c, (MTCY09F9.18), len: 150 aa. Possible lppG, conserved lipoprotein, showing some similarity to Rv1943c|MTCY09F9.21 conserved hypothetical protein from Mycobacterium tuberculosis (125 aa), FASTA score: (71.4% identity in 28 aa overlap). Contains PS00013 Prokaryotic membrane lipoprotein lipid attachment site. This region is a possible MT-complex-specific genomic island (See Becq et al., 2007).</t>
  </si>
  <si>
    <t>Rv1947, (MTCY09F9.17c), len: 133 aa. Hypothetical unknown protein. This region is a possible MT-complex-specific genomic island (See Becq et al., 2007).</t>
  </si>
  <si>
    <t>Rv1948c</t>
  </si>
  <si>
    <t>Rv1948c, (MTCY09F9.16), len: 116 aa. Hypothetical unknown protein. This region is a possible MT-complex-specific genomic island (See Becq et al., 2007).</t>
  </si>
  <si>
    <t>Rv1949c</t>
  </si>
  <si>
    <t>Rv1949c, (MTCY09F9.15), len: 319 aa. Conserved hypothetical protein, partial ORF. Rv1949c and Rv1950c|MTCY09F9.14 are similar but frameshifted with respect to Rv2077c|MTCY49.16C|Q10685 hypothetical 33.3 kd protein (323 aa), FASTA scores: opt: 459, E(): 2.8e-16, (54.8% identity in 157 aa overlap). Cosmid sequence appears to be correct, genomic sequence is also frameshifted in Mycobacterium bovis strain AF2122/97. Similar to Mycobacterium tuberculosis hypothetical proteins: Rv2542, Rv2077c, Rv2797c, Rv0963c, etc.</t>
  </si>
  <si>
    <t>Rv1950c</t>
  </si>
  <si>
    <t>Rv1950c, (MTCY09F9.14), len: 63 aa. Conserved hypothetical protein, partial ORF. Highly similar to N-terminus of Rv2077c|MTCY49.16C|Q10685 hypothetical 33.3 kDa protein (323 aa), FASTA scores: opt: 280, E(): 1.2 e-16, (71.7% identity in 53 aa overlap) but homology continues in different frame ie MTCY09F9.15, cosmid sequence appears to be correct, genomic sequence is also frameshifted in Mycobacterium bovis strain AF2122/97.</t>
  </si>
  <si>
    <t>Rv1951c</t>
  </si>
  <si>
    <t>Rv1951c, (MTCY09F9.13), len: 98 aa. Conserved hypothetical protein, similar to Mycobacterium tuberculosis hypothetical protein Rv2541 (135 aa) (40.9% identity in 88 aa overlap).</t>
  </si>
  <si>
    <t>vapB14</t>
  </si>
  <si>
    <t>Rv1952</t>
  </si>
  <si>
    <t>Possible antitoxin VapB14</t>
  </si>
  <si>
    <t>Rv1952, (MTCY09F9.12c), len: 71 aa. Possible vapB14, antitoxin, part of toxin-antitoxin (TA) operon with Rv1953 (See Arcus et al., 2005; Pandey and Gerdes, 2005). Similar to others in M. tuberculosis e.g. Rv2601A. Some similarity to P55510|Y4JJ_RHISN putative plasmid stability protein (85 aa), FASTA scores: opt: 127, E(): 0.00096, (42.5% identity in 73 aa overlap).</t>
  </si>
  <si>
    <t>vapC14</t>
  </si>
  <si>
    <t>Rv1953</t>
  </si>
  <si>
    <t>Possible toxin VapC14</t>
  </si>
  <si>
    <t>Rv1953, (MTCY09F9.11c), len: 103 aa. Possible vapC14, toxin, part of toxin-antitoxin (TA) operon with Rv1952, contains PIN domain (See Arcus et al., 2005; Pandey and Gerdes, 2005). Some similarity to O33827 plasmid stability-like protein from Thiobacillus ferrooxidans (143 aa), FASTA scores: opt: 170, E(): 3.5e-06, (45.3% identity in 75 aa overlap).</t>
  </si>
  <si>
    <t>Rv1954A</t>
  </si>
  <si>
    <t>Rv1954A, len: 100 aa. Hypothetical unknown protein.</t>
  </si>
  <si>
    <t>Rv1954c, (MTCY09F9.10), len: 173 aa. Hypothetical unknown protein, end overlaps next ORF upstream, Rv1955 (MTCY09F9.09c).</t>
  </si>
  <si>
    <t>higB</t>
  </si>
  <si>
    <t>Possible toxin HigB</t>
  </si>
  <si>
    <t>Rv1955, (MTCY09F9.09c), len: 125 aa. Possible higB, toxin, part of toxin-antitoxin (TA) operon with Rv1956 (See Pandey and Gerdes, 2005; Gupta, 2009). Start overlaps another ORF, Rv1954c (MTCY09F9.10). Start changed since first submission (-45 aa). Predicted to be an outer membrane protein (See Song et al., 2008). Upon expression in E. coli has been shown to function as an antitoxin against Rv1956 (PubMed: 19016878); It is not clear if these conflicting results are due to expression in a heterologous system; In various publications, both gene names higA and higB have been assigned to both Rv1955 and Rv1956; we have chosen to call Rv1955 higB after consulting the authors.</t>
  </si>
  <si>
    <t>higA</t>
  </si>
  <si>
    <t>Possible antitoxin HigA</t>
  </si>
  <si>
    <t>Rv1956, (MTCY09F9.08c), len: 149 aa. Possible higA, antitoxin, part of toxin-antitoxin (TA) operon with Rv1955 (See Pandey and Gerdes, 2005; Gupta, 2009). Possible transcriptional regulatory protein, contains probable helix-turn-helix motif at aa 52-73 (+4.78 SD). Upon expression in E.coli Rv1956 has been shown to function as a toxin inhibiting cell growth and colony formation that is neutralized by coexpression with Rv1955 (PubMed: 19016878); It is not clear if these conflicting results are due to expression in a heterologous system. The gene names higA and higB have been assigned to both Rv1955 and Rv1956; we have chosen to call Rv1956 higA after consulting the authors.</t>
  </si>
  <si>
    <t>Rv1957, (MTCY09F9.07c), len: 181 aa. Hypothetical unknown protein.</t>
  </si>
  <si>
    <t>Rv1958c, (MTCY09F9.06), len: 204 aa. Hypothetical unknown protein, questionable ORF</t>
  </si>
  <si>
    <t>parE1</t>
  </si>
  <si>
    <t>Rv1959c</t>
  </si>
  <si>
    <t>Possible toxin ParE1</t>
  </si>
  <si>
    <t>Rv1959c, (MTCY09F9.05), len: 98 aa. Possible parE1, toxin, part of toxin-antitoxin (TA) operon with Rv1960c (See Pandey and Gerdes, 2005), similar to other hypothetical plasmid proteins e.g. AL117189|YPCD1.08 from Yersinia pestis (99 aa), FASTA scores: opt: 162, E(): 7.3e-05, (33.0% identity in 91 aa overlap); also some similarity to E145339 hypothetical protein (103 aa), FASTA scores: opt: 142, E(): 0.0003, (33.0% identity in 91 aa overlap).</t>
  </si>
  <si>
    <t>parD1</t>
  </si>
  <si>
    <t>Rv1960c</t>
  </si>
  <si>
    <t>Possible antitoxin ParD1</t>
  </si>
  <si>
    <t>Rv1960c, (MTCY09F9.04), len: 83 aa. Possible parD1, antitoxin, part of toxin-antitoxin (TA) operon with Rv1959c (See Pandey and Gerdes, 2005), similar to O85269|AF102990|AF102990_51 hypothetical protein of Yersinia enterocolitica (80 aa), FASTA scores: opt: 149, E(): 0.00037, (42.1% identity in 57 aa overlap).</t>
  </si>
  <si>
    <t>Rv1961</t>
  </si>
  <si>
    <t>Rv1961, MTCY09F9.03c, len: 164 aa. Hypothetical unknown protein.</t>
  </si>
  <si>
    <t>vapB35</t>
  </si>
  <si>
    <t>Rv1962A</t>
  </si>
  <si>
    <t>Possible antitoxin VapB35</t>
  </si>
  <si>
    <t>Rv1962A, len: 90 aa. Possible vapB35, antitoxin, part of toxin-antitoxin (TA) operon with Rv1962c, see Arcus et al. 2005. Similar to others in M. tuberculosis e.g. Rv3385c, Rv3407, Rv0626</t>
  </si>
  <si>
    <t>vapC35</t>
  </si>
  <si>
    <t>Rv1962c</t>
  </si>
  <si>
    <t>Possible toxin VapC35. Contains PIN domain.</t>
  </si>
  <si>
    <t>Rv1962c, (MTCY09F9.02), len: 135 aa. Possible vapC35, toxin, part of toxin-antitoxin (TA) operon with Rv1962A, contains PIN domain, see Arcus et al. 2005. Similar to others in Mycobacterium tuberculosis e.g. Rv3408|MTCY78.20c (133 aa) (36.2% identity in 138 aa overlap); and Rv3384c (130 aa) (43.1% identity in 130 aa overlap)</t>
  </si>
  <si>
    <t>mce3R</t>
  </si>
  <si>
    <t>Rv1963c</t>
  </si>
  <si>
    <t>Involved in transcriptional mechanism; repression of the MCE3 operon. Could also have a regulatory action on the MCE2 operon.</t>
  </si>
  <si>
    <t>Probable transcriptional repressor (probably TetR-family) Mce3R</t>
  </si>
  <si>
    <t>Rv1963c, (MTV051.01c-MTCY09F9.01), len: 406 aa. Probable mce3R, negative transcriptional regulatory protein, TetR family (see citation below); similar to several transcriptional regulator e.g. AL049485|SC6A5.30 Streptomyces coelicolor cosmid 6 a (404 aa), FASTA scores: opt: 319, E(): 6.4e-13, (29.5% identity in 373 aa overlap); and Z84498|MTCY9F9_1 (259 aa), FASTA scores: opt: 208, E(): 1.6e-07, (100.0% identity in 32 aa overlap). Contains probable helix-turn-helix at aa 36-57 (+4.23 SD) and two tet-R family signatures.</t>
  </si>
  <si>
    <t>yrbE3A</t>
  </si>
  <si>
    <t>Rv1964</t>
  </si>
  <si>
    <t>Conserved hypothetical integral membrane protein YrbE3A</t>
  </si>
  <si>
    <t>Rv1964, (MTV051.02), len: 265 aa. YrbE3A, hypothetical unknown integral membrane protein, part of mce3 operon and member of YrbE family (see citations below), highly similar to Mycobacterium tuberculosis proteins O07412|Rv0167|MTCI28.07|yrbE1A (265 aa), O07791|Rv0587|MTCY19H5.35|yrbE2A (265 aa), Rv3501c|MTV023.08c|yrbE4A (254 aa), etc. Also highly similar to conserved hypothetical integral membrane proteins of yrbEA type, e.g. AAD24544.1|AF116213|YrbE1A from Mycobacterium leprae (112 aa); P45392|YRBE_ECOLI from Escherichia coli (260 aa), FASTA scores: opt: 893, E(): 0, (51.4% identity in 253 aa overlap); etc. The transcription of this CDS seems negatively regulated by the product of Rv1963c|mce3R (see Santangelo et al., 2002).</t>
  </si>
  <si>
    <t>yrbE3B</t>
  </si>
  <si>
    <t>Rv1965</t>
  </si>
  <si>
    <t>Conserved hypothetical integral membrane protein YrbE3B</t>
  </si>
  <si>
    <t>Rv1965, (MTV051.03), len: 271 aa. YrbE4B, hypothetical unknown integral membrane protein, part of mce3 operon and member of YrbE family (see citations below), highly similar to Mycobacterium tuberculosis proteins O07413|Rv0168|MTCI28.08|yrbE1B (289 aa), FASTA scores: opt: 937, E(): 0, (54.3% identity in 254 aa overlap); O07790|Rv0588|MTCY19H5.34|yrbE2B (295 aa); etc. Also highly similar to conserved hypothetical integral membrane proteins of the yrbEB type, e.g. AAD24545.1|AF116213|YrbE1B from Mycobacterium leprae (106 aa); P45392|YRBE_ECOLI hypothetical 27.9 kDa protein from Escherichia coli (260 aa), FASTA scores: opt: 218, E(): 1.2e-07, (24.1% identity in 245 aa overlap); etc. The transcription of this CDS seems negatively regulated by the product of Rv1963c|mce3R (see Santangelo et al., 2002).</t>
  </si>
  <si>
    <t>mce3A</t>
  </si>
  <si>
    <t>Rv1966</t>
  </si>
  <si>
    <t>Mce-family protein Mce3A</t>
  </si>
  <si>
    <t>Rv1966, (MTV051.04), len: 425 aa. Mce3A; belongs to 24-membered Mycobacterium tuberculosis Mce protein family (see citations below), highly similar to Mycobacterium tuberculosis proteins P72013|MCE1|Rv0169|MTCI28.09|mce1A (454 aa); O07789|MCE2|Rv0589|MTCY19H5.33c|mce2A (404 aa); etc. Also highly similar to others e.g. AAD52105.1|AF113402_1|AF113402 mycobacterial cell entry protein from Mycobacterium bovis BCG (454 aa); NP_302656.1|NC_002677 putative cell invasion protein from Mycobacterium leprae (441 aa); CAC12798.1|AL445327 putative secreted protein from Streptomyces coelicolor (418 aa); etc. Contains a possible N-terminal signal sequence or membrane anchor. Note that previously known as mce3. The transcription of this CDS seems negatively regulated by the product of Rv1963c|mce3R (see Santangelo et al., 2002). Predicted to be an outer membrane protein (See Song et al., 2008).</t>
  </si>
  <si>
    <t>mce3B</t>
  </si>
  <si>
    <t>Rv1967</t>
  </si>
  <si>
    <t>Mce-family protein Mce3B</t>
  </si>
  <si>
    <t>Rv1967, (MTV051.05), len: 342 aa. Mce3B; belongs to 24-membered Mycobacterium tuberculosis Mce protein family (see citations below), highly similar to Mycobacterium tuberculosis proteins O07414|Rv0170|MTCI28.10|mce1B (346 aa); O07788|Rv0590|MTCY19H5.32c|mce2B (275 aa); etc. Also similar to others e.g. NP_302657.1|NC_002677 putative secreted protein from Mycobacterium leprae (346 aa); CAC12797.1|AL445327 putative secreted protein from Streptomyces coelicolor (354 aa); etc. Contains a possible N-terminal signal sequence or membrane anchor. The transcription of this CDS seems negatively regulated by the product of Rv1963c|mce3R (see Santangelo et al., 2002). Predicted to be an outer membrane protein (See Song et al., 2008).</t>
  </si>
  <si>
    <t>mce3C</t>
  </si>
  <si>
    <t>Rv1968</t>
  </si>
  <si>
    <t>Mce-family protein Mce3C</t>
  </si>
  <si>
    <t>Rv1968, (MTV051.06), len: 410 aa. Mce3C; belongs to 24-membered Mycobacterium tuberculosis Mce protein family (see citations below), highly similar to Mycobacterium tuberculosis proteins O07415|R0171|MTCI28.11|mce1C (515 aa); O07787|Rv0591|MTCY19H5.31|mce2C (481 aa); etc. Also similar to others e.g. CAC12796.1|AL445327 putative secreted protein from Streptomyces coelicolor (351 aa); NP_302658.1|NC_002677 putative secreted protein from Mycobacterium leprae (519 aa); etc. Contains a possible N-terminal signal sequence or membrane anchor. The transcription of this CDS seems negatively regulated by the product of Rv1963c|mce3R (see Santangelo et al., 2002). Predicted to be an outer membrane protein (See Song et al., 2008).</t>
  </si>
  <si>
    <t>mce3D</t>
  </si>
  <si>
    <t>Rv1969</t>
  </si>
  <si>
    <t>Mce-family protein Mce3D</t>
  </si>
  <si>
    <t>Rv1969, (MTV051.07), len: 423 aa. Mce3D; belongs to 24-membered Mycobacterium tuberculosis Mce protein family (see citations below), highly similar to Mycobacterium tuberculosis proteins O07416|Rv0172|MTCI28.12|mce1D (530 aa); O07786|Rv0592|MTCY19H5.30c|mce2D (508 aa); etc. Also highly similar to others e.g. NP_302659.1|NC_002677 putative secreted protein from Mycobacterium leprae (531 aa); CAC12795.1|AL445327 putative secreted protein from Streptomyces coelicolor (337 aa); etc. Contains a possible N-terminal signal sequence or membrane anchor. The transcription of this CDS seems negatively regulated by the product of Rv1963c|mce3R (see Santangelo et al., 2002). Predicted to be an outer membrane protein (See Song et al., 2008).</t>
  </si>
  <si>
    <t>lprM</t>
  </si>
  <si>
    <t>Rv1970</t>
  </si>
  <si>
    <t>Possible Mce-family lipoprotein LprM (Mce-family lipoprotein Mce3E)</t>
  </si>
  <si>
    <t>Rv1970, (MTV051.08), len: 377 aa. Possible lprM (alternate gene name: mce3E), lipoprotein which belongs to 24-membered Mycobacterium tuberculosis Mce protein family (see citations below), highly similar to Mycobacterium tuberculosis proteins O07417|LPRK|Rv0173|MTCI28.13|mce1E (390 aa); O07785|LPRL|Rv0593|MTCY19H5.29|mce2E (402 aa); etc. Also highly similar to others e.g. NP_302660.1|NC_002677 putative lipoprotein from Mycobacterium leprae (392 aa); CAC12794.1|AL445327 putative secreted protein from Streptomyces coelicolor (413 aa); etc. Contains possible N-terminal signal sequence or membrane anchor and PS00013 Prokaryotic membrane lipoprotein lipid attachment site. The transcription of this CDS seems negatively regulated by the product of Rv1963c|mce3R (see Santangelo et al., 2002).</t>
  </si>
  <si>
    <t>mce3F</t>
  </si>
  <si>
    <t>Rv1971</t>
  </si>
  <si>
    <t>Mce-family protein Mce3F</t>
  </si>
  <si>
    <t>Rv1971, (MTV051.09), len: 437 aa. Mce3F; belongs to 24-membered Mycobacterium tuberculosis Mce protein family (see citations below), similar to Mycobacterium tuberculosis proteins O07418|Rv0174|MTCI28.14|mce1F (515 aa), O07784|Rv0594|MTCY19H5.28c|mce2F (516 aa); etc. Also highly similar to others e.g. NP_302661.1|NC_002677 putative secreted protein from Mycobacterium leprae (516 aa); CAC12793.1|AL445327 putative secreted protein from Streptomyces coelicolor (433 aa); etc. Contains a possible N-terminal signal sequence or membrane anchor. The transcription of this CDS seems negatively regulated by the product of Rv1963c|mce3R (see Santangelo et al., 2002). Predicted to be an outer membrane protein (See Song et al., 2008).</t>
  </si>
  <si>
    <t>Rv1972</t>
  </si>
  <si>
    <t>Rv1972, (MTV051.10), len: 191 aa. Probable conserved Mce-associated membrane protein. Probably part of mce3 operon. Similar to several Mycobacterium tuberculosis proteins e.g. Rv1363c|Z75555|MTCY02B10.27C (261 aa), FASTA scores: opt: 342, E(): 1.2e-15, (31.8% identity in 195 aa overlap); Rv1362c, Rv0177 (near Mce operon 1), etc. Has hydrophobic stretch at aa 20-40.</t>
  </si>
  <si>
    <t>Rv1973</t>
  </si>
  <si>
    <t>Possible conserved Mce associated membrane protein</t>
  </si>
  <si>
    <t>Rv1973, (MTV051.11), len: 160 aa. Possible conserved Mce-associated membrane protein. Probably part of mce3 operon. Similar to several other proteins from Mycobacterium tuberculosis e.g. Rv1362c|Z75555|MTCY02B10.26C (220 aa), FASTA scores: opt: 378, E(): 2.8e-19, (50.0% identity in 128 aa overlap); Rv1363c; Rv0177 (near Mce operon 1); etc. Contains possible N-terminal signal sequence or membrane anchor. Predicted to be an outer membrane protein (See Song et al., 2008).</t>
  </si>
  <si>
    <t>Rv1974</t>
  </si>
  <si>
    <t>Rv1974, (MTV051.12), len: 125 aa. Probable conserved membrane protein, weakly similar to other Mycobacterium tuberculosis proteins e.g. Rv1271c|Z77137|MTCY50.11 (113 aa), FASTA scores: opt: 98, E(): 1.4, (24.5% identity in 110 aa overlap); Rv1804c; Rv1690. Has possible signal peptide or transmembrane stretch from aa 12-30. Predicted to be an outer membrane protein (See Song et al., 2008).</t>
  </si>
  <si>
    <t>Rv1975</t>
  </si>
  <si>
    <t>Rv1975, (MTV051.13), len: 221 aa. Conserved hypothetical protein, showing some similarity to AJ251435 hypothetical protein from Mycobacterium avium subsp. paratuberculosis (193 aa). Predicted to be an outer membrane protein (See Song et al., 2008).</t>
  </si>
  <si>
    <t>Rv1976c</t>
  </si>
  <si>
    <t>Rv1976c, (MTV051.14), len: 135 aa. Conserved hypothetical protein, similar to SC1C3.03c|AL023702 hypothetical protein from Streptomyces coelicolor (125 aa), FASTA score: opt: 223, E(): 3.3e-08, (39.6% identity in 111 aa overlap).</t>
  </si>
  <si>
    <t>Rv1977, (MTV051.15), len: 348 aa. Conserved protein, similar to SCC123.20|AL136518 hypothetical protein from Streptomyces coelicolor (402 aa), blastp scores: Score = 311 bits (789), Expect = 5e-84 Identities = 156/316 (49%), Positives = 212/316 (66%); and PCC6803|D90907_31 Synechocystis sp. (303 aa), FASTA scores: opt: 533, E(): 4.7e- 29, (38.5% identity in 275 aa overlap). Contains PS00142 Neutral zinc metallopeptidases, zinc-binding region signature. Alternative nucleotide at position 2219929 (T-&gt;C; L59P) has been observed.</t>
  </si>
  <si>
    <t>Rv1978</t>
  </si>
  <si>
    <t>Rv1978, (MTV051.16), len: 282 aa. Conserved protein, similar to several hypothetical proteins and methyltransferases e.g. X86780|SHGCPIR.15 methyltransferase from S. hygroscopicus (211 aa), FASTA scores: opt: 151, E(): 0.0072, (30.6% identity in 121 aa overlap).</t>
  </si>
  <si>
    <t>Rv1979c</t>
  </si>
  <si>
    <t>Unknown; possibly involved in transport of amino acid across the membrane.</t>
  </si>
  <si>
    <t>Possible conserved permease</t>
  </si>
  <si>
    <t>Rv1979c, (MTCY39.40-MTV051.17c), len: 481 aa. Possible permease, APC family possibly involved in transport of amino acid, showing some similarity to other permeases. Also similar to MTCY39.19 from Mycobacterium tuberculosis (28.2% identity in 277 aa overlap). Contains PS00599 Aminotransferases class-II pyridoxal-phosphate attachment site. Nucleotide position 2221796 in the genome sequence has been corrected, C:T resulting in V457I.</t>
  </si>
  <si>
    <t>mpt64</t>
  </si>
  <si>
    <t>Rv1980c</t>
  </si>
  <si>
    <t>Immunogenic protein Mpt64 (antigen Mpt64/MPB64)</t>
  </si>
  <si>
    <t>Rv1980c, (MT2032, MTCY39.39), len: 228 aa. Mpt64 (alternate gene name: mpb64), immunogenic protein (alternate gene name: mpb64) (see citations below), identical to MPT64|MPB64 from Mycobacterium bovis (228 aa). Similar to Rv3036c|MTV012.51c from Mycobacterium tuberculosis. Exported protein containing a N-terminal signal sequence: see notes below about proteomics. Predicted possible vaccine candidate (See Zvi et al., 2008).</t>
  </si>
  <si>
    <t>Involved in the DNA replication pathway. Catalyzes the biosynthesis of deoxyribonucleotides from the corresponding ribonucleotides, precursors that are necessary for DNA synthesis [catalytic activity: 2'-deoxyribonucleoside diphosphate + oxidized thioredoxin + H(2)O = ribonucleoside diphosphate + reduced thioredoxin].</t>
  </si>
  <si>
    <t>Ribonucleoside-diphosphate reductase (beta chain) NrdF1 (ribonucleotide reductase small subunit) (R2F protein)</t>
  </si>
  <si>
    <t>Rv1981c, (MTCY39.38), len: 322 aa. NrdF1, ribonucleoside-diphosphate reductase, beta chain (see citation below), highly similar to others e.g. RIR4_SALTY|P17424 ribonucleoside-diphosphate reductase (319 aa), FASTA scores: opt: 1402, E(): 0, (66.0% identity in 315 aa overlap); etc. Also similar to Rv3048c|MTV012.63c from Mycobacterium tuberculosis. Contains PS00368 Ribonucleotide reductase small subunit signature. Belongs to the ribonucleoside diphosphate reductase small chain family. Cofactor: binds 2 iron ions (by similarity). Note that previously known as nrdF.</t>
  </si>
  <si>
    <t>vapB36</t>
  </si>
  <si>
    <t>Rv1982A</t>
  </si>
  <si>
    <t>Possible antitoxin VapB36</t>
  </si>
  <si>
    <t>Rv1982A, len: 86 aa. Possible vapB36, antitoxin, part of toxin-antitoxin (TA) operon with Rv1982c, see Arcus et al. 2005. Similar to others in Mycobacterium tuberculosis e.g. Rv0623, Rv2760c, Rv0608</t>
  </si>
  <si>
    <t>Possible toxin VapC36. Contains PIN domain.</t>
  </si>
  <si>
    <t>Rv1982c, (MTCY39.37), len: 139 aa. Possible vapC36, toxin, part of toxin-antitoxin (TA) operon with Rv1982A, contains PIN domain, see Arcus et al. 2005. belongs to the UPF0110 family. Similar to Rv0624|Z92772|MTY20H10.05 from Mycobacterium tuberculosis (131 aa), FASTA scores: opt: 288, E(): 4.1e-14, (40.2% identity in 127 aa overlap); also similar to Rv0624, Rv2759c, and Rv0609</t>
  </si>
  <si>
    <t>PE_PGRS35</t>
  </si>
  <si>
    <t>Rv1983</t>
  </si>
  <si>
    <t>PE-PGRS family protein PE_PGRS35</t>
  </si>
  <si>
    <t>Rv1983, (MTCY39.36c), len: 558 aa. PE_PGRS35, Member of the Mycobacterium tuberculosis PE family, PGRS subfamily of gly-rich proteins (see Brennan &amp; Delogu 2002). Similar to other PE proteins e.g. Rv0977, etc. Contains PS00141 Eukaryotic and viral aspartyl proteases active site.</t>
  </si>
  <si>
    <t>cfp21</t>
  </si>
  <si>
    <t>Rv1984c</t>
  </si>
  <si>
    <t>Hydrolyzes cutin. Shown to have esterase and lipase activity.</t>
  </si>
  <si>
    <t>Probable cutinase precursor CFP21</t>
  </si>
  <si>
    <t>Rv1984c, (MTCY39.35), len: 217 aa. Cfp21, probable cutinase precursor with N-terminal signal sequence, similar to P41744|CUTI_ALTBR cutinase precursor from Alternaria brassicicola (209 aa), FASTA scores: opt: 283, E(): 2.2e-11, (32.6% identity in 193 aa overlap). Also similar to Mycobacterium tuberculosis proteins e.g. Rv3452, Rv3451, Rv2301, Rv1758, Rv3724. Belongs to the cutinase family.</t>
  </si>
  <si>
    <t>Rv1985c</t>
  </si>
  <si>
    <t>Rv1985c, (MTCY39.34), len: 303 aa. Probable transcriptional regulatory protein, LysR family member. Similar to many regulatory proteins, especially ICIA_ECOLI|P24194 chromosome initiation inhibitor from Escherichia coli (297 aa), FASTA scores: opt: 520, E(): 1.1e-28, (35.8% identity in 285 aa overlap); and P94632|LYSG_CORGL lysine export regulator protein (290 aa), FASTA scores: opt: 705, E(): 0, (42.7% identity in 288 aa overlap); etc. Contains PS00044 Bacterial regulatory proteins, lysR family signature. Also contains helix-turn-helix motif at aa 22-43,(+5.52 SD). Belongs to the LysR family of transcriptional regulators.</t>
  </si>
  <si>
    <t>Rv1986, (MTCY39.33c), len: 199 aa. Probable conserved integral membrane protein, LysE family possibly involved in transport of Lysine, similar to P11667|YGGA_ECOLI hypothetical 23.2 kDa protein in sbm-fba intergenic region (211 aa), FASTA scores: opt: 379, E(): 1.5e-19, (37.3% identity in 185 aa overlap); and Q11154|Rv0488 hypothetical 20.9 kDa protein from M. tuberculosis (201 aa), FASTA scores: opt: 784, E(): 0, (63.4% identity in 186 aa overlap). Belongs to the LYSE/YGGA family.</t>
  </si>
  <si>
    <t>Rv1987</t>
  </si>
  <si>
    <t>Hydrolysis of chitin</t>
  </si>
  <si>
    <t>Possible chitinase</t>
  </si>
  <si>
    <t>Rv1987, (MTCY39.32c), len: 142 aa. Possible chitinase, similar to several e.g. P36909|CHIT_STRLI chitinase c precursor (619 aa) FASTA scores, opt: 324, E(): 1.2e-14, (39.5% identity in 129 aa overlap).</t>
  </si>
  <si>
    <t>Thought to cause methylation of 23S rRNA</t>
  </si>
  <si>
    <t>Probable 23S rRNA methyltransferase Erm(37)</t>
  </si>
  <si>
    <t>Rv1988, (MTCY39.31c), len: 179 aa. Probable erm(37), 23S rRNA methyltransferase, similar to ERME_SACER|P07287 rrna adenine n-6-methyltransferase (370 aa), FASTA scores: opt: 259, E(): 2e-11, (35.1% identity in 171 aa overlap); contains PS00092 N-6 Adenine-specific DNA methylases signature. Also similar to Mycobacterium tuberculosis Rv1010 ksgA 16S rRNA dimethyltransferase. This region is a possible MT-complex-specific genomic island (See Becq et al., 2007).</t>
  </si>
  <si>
    <t>Rv1989c</t>
  </si>
  <si>
    <t>Rv1989c, (MTCY39.30), len: 186 aa. Hypothetical unknown protein. This region is a possible MT-complex-specific genomic island (See Becq et al., 2007).</t>
  </si>
  <si>
    <t>Rv1990A</t>
  </si>
  <si>
    <t>Possible dehydrogenase (fragment)</t>
  </si>
  <si>
    <t>Rv1990A, len: 111 aa. Possible dehydrogenase (fragment), similar to N-terminal part of several dehydrogenases and hypothetical proteins, e.g. Rv2750|MTV002.15|AL008967 from Mycobacterium tuberculosis (272 aa), FASTA scores: opt: 151, E(): 0.0045, (47.45% identity in 78 aa overlap), but lacks C-terminal part. Maybe a pseudogene. Also similar to U17129|RSU17129_7 putative short-chain alcohol dehydrogenase from Rhodococcus erythropolis (275 aa), FASTA scores: opt: 142, E(): 0.018, (54.15% identity in 48 aa overlap). This region is a possible MT-complex-specific genomic island (See Becq et al., 2007).</t>
  </si>
  <si>
    <t>Rv1990c</t>
  </si>
  <si>
    <t>Rv1990c, (MTCY39.29), len: 113 aa. Probable transcriptional regulatory protein, similar to Mycobacterium tuberculosis Rv3188|AL021646|MTV014.32 (115 aa), FASTA scores: opt: 184, E(): 8.2e-07, (28.4% identity in 109 aa overlap). Contains probable helix-turn-helix motif at aa 20-44 (+4.22 SD). This region is a possible MT-complex-specific genomic island (See Becq et al., 2007).</t>
  </si>
  <si>
    <t>mazE6</t>
  </si>
  <si>
    <t>Rv1991A</t>
  </si>
  <si>
    <t>Antitoxin MazE6</t>
  </si>
  <si>
    <t>Rv1991A, len: 82 aa. MazE6, antitoxin, part of toxin-antitoxin (TA) operon with Rv1991c. Similar to ChpI of L. interrogans, FASTA scores: opt: 134, E(): 0.024, 29.762% identity (65.476% similar) in 84 aa overlap. Note that Pandey and Gerdes, 2005 predicts a different N-terminus, adding 10 amino acids.</t>
  </si>
  <si>
    <t>mazF6</t>
  </si>
  <si>
    <t>Rv1991c</t>
  </si>
  <si>
    <t>Toxin MazF6</t>
  </si>
  <si>
    <t>Rv1991c, (MTCY39.28), len: 114 aa. MazF6, toxin, part of toxin-antitoxin (TA) operon with Rv1991A. Some similarity to P13976|PEMK_ECOLI pemk protein (133 aa), FASTA scores: opt: 113, E(): 0.043, (29.2% identity in 113 aa overlap); and P96622|YDCE protein from Bacillus subtilis (116 aa), FASTA scores: opt: 227, E(): 6.9e-09, (37.4% identity in 115 aa overlap). Also similar to Mycobacterium tuberculosis Rv2801c, and Rv0659c. This region is a possible MT-complex-specific genomic island (See Becq et al., 2007).</t>
  </si>
  <si>
    <t>Probable metal cation transporter P-type ATPase G CtpG</t>
  </si>
  <si>
    <t>Rv1992c, (MTCY39.27), len: 771 aa. Probable ctpG, metal cation-transporting P-type ATPase G (transmembrane protein), similar to others, especially cadmium-transporting ATPases, e.g. NP_244904.1|NC_002570 cadmium-transporting ATPase from Bacillus halodurans (707 aa); P30336|CADA_BACFI probable cadmium-transporting ATPase from Bacillus firmus (723 aa); BAB47609.1|AB037671 cadmium resistance protein B from Staphylococcus aureus (804 aa); 3121832|Q60048|CADA_LISMO probable cadmium-transporting ATPase from Listeria monocytogenes (707 aa); etc. Also similar to others from Mycobacterium tuberculosis e.g. Rv0969|MTCY10D7.05c|ctpV putative cation transporter P-type ATPase V (770 aa); Rv1469; Rv0092; etc. Contains PS00435 Peroxidases proximal heme-ligand signature and PS00154 E1-E2 ATPases phosphorylation site. Belongs to the cation transport ATPases family (E1-E2 ATPases), subfamily IB.</t>
  </si>
  <si>
    <t>Rv1993c</t>
  </si>
  <si>
    <t>Rv1993c, (MTCY39.26), len: 90 aa. Conserved protein, very similar to Rv3269|Z92771|MTCY71.09 hypothetical protein from Mycobacterium tuberculosis (93 aa), FASTA results: opt: 309, E(): 3.2e-16, (63.3% identity in 79 aa overlap). Also similar to Rv0968 (98 aa) (51.1% identity in 94 aa overlap).</t>
  </si>
  <si>
    <t>cmtR</t>
  </si>
  <si>
    <t>Rv1994c</t>
  </si>
  <si>
    <t>Represses transcription from the CMT operator-promoter. Repression is alleviated by CD(II).</t>
  </si>
  <si>
    <t>Metal sensor transcriptional regulator CmtR (ArsR-SmtB family)</t>
  </si>
  <si>
    <t>Rv1994c, (MTCY39.25), len: 118 aa. CmtR, transcriptional regulator (See Cavet et al., 2003). Similar to MERR_STRLI|P30346 probable mercury resistance operon repressor (125 aa), FASTA scores: opt: 199, E(): 3e-08, (36.3% identity in 102 aa overlap). Note that primer extension analysis revealed two transcriptional start sites (See Chauhan et al., 2009).</t>
  </si>
  <si>
    <t>Rv1995, (MTCY39.24c), len: 255 aa. Unknown protein.</t>
  </si>
  <si>
    <t>Universal stress protein family protein</t>
  </si>
  <si>
    <t>Rv1996, (MTCY39.23c), len: 317 aa. Universal stress protein family protein. Similar to several Mycobacterium tuberculosis hypothetical proteins e.g. Rv2005c|Q10851|YK05_MYCTU (295 aa), FASTA scores: opt: 775, E(): 0, (50.3% identity in 316 aa overlap); Rv2026c (294 aa) (47.9% identity in 311 aa overlap); and Rv2623, etc. Also similar to SCJ1.30c|AL109962 hypothetical protein from Streptomyces coelicolor (328 aa). Predicted possible vaccine candidate (See Zvi et al., 2008).</t>
  </si>
  <si>
    <t>Probable metal cation transporter P-type ATPase A CtpF</t>
  </si>
  <si>
    <t>Rv1997, (MTCY39.22c, MTCY39.21c), len: 905 aa. Probable ctpF, metal cation-transporting P-type ATPase F (transmembrane protein), highly similar to others e.g. NP_250120.1|NC_002516 probable cation-transporting P-type ATPase from Pseudomonas aeruginosa (902 aa); NP_441217.1|NC_000911 cation-transporting ATPase (E1-E2 ATPase) from Synechocystis sp. strain PCC 6803 (905 aa); NP_404093.1|NC_003143 putative cation-transporting P-type ATPase from Yersinia pestis (908 aa); P37367|ATA1_SYNY3 cation-transporting ATPase pma1 from Synechocystis sp. (915 aa), FASTA scores: opt: 2392, E(): 0, (46.5% identity in 852 aa overlap); etc. Contains PS00154 E1-E2 ATPases phosphorylation site. Belongs to the cation transport ATPases family (E1-E2 ATPases), subfamily IB. Was frame-shifted in original cosmid sequence.</t>
  </si>
  <si>
    <t>Rv1998c, (MTCY39.20), len: 258 aa. Conserved protein, showing some similarity with other hypothetical proteins e.g. U82823|SEU82823.03 Saccharopolyspora erythraea (266 aa), FASTA results: opt: 654, E(): 0, (43.8% identity in 249 aa overlap); and AL034446|SC1A9.07 Streptomyces coelicolor (251 aa), FASTA scores: opt: 592, E(): 1.5e-31, (43.4% identity in 251 aa overlap).</t>
  </si>
  <si>
    <t>Rv1999c</t>
  </si>
  <si>
    <t>Unknown. Possibly transporter involved in transport of undetermined substrate (possibly cationic amino acids) across the membrane: so responsible for the translocation of the substrate across the membrane.</t>
  </si>
  <si>
    <t>Rv1999c, (MTCY39.19), len: 440 aa. Probable conserved integral membrane protein, possibly transporter of cationic amino acid, similar to many transporters, especially amino acid transporters, e.g. CAC08265.1|AL392146 putative amino acid transporter from Streptomyces coelicolor (414 aa); P39277|YJEH_ECOLI hypothetical 44.8 kDa protein from Escherichia coli (418 aa), FASTA scores, opt: 343, E(): 6.6e-15, (27.2% identity in 408 aa overlap); etc. Also similar to Rv1979c from Mycobacterium tuberculosis, FASTA score: (28.2% identity in 277 aa overlap); Rv2127, Rv0346c, Rv0522, etc. Seems to belong to the APC family.</t>
  </si>
  <si>
    <t>Rv2000, (MTCY39.18c), len: 537 aa. Unknown protein.</t>
  </si>
  <si>
    <t>Rv2001, (MTCY39.17c), len: 250 aa. Conserved hypothetical protein. Similar to Mycobacterium tuberculosis Rv0466.</t>
  </si>
  <si>
    <t>Not really known; thought to be involved in lipid biosynthesis [catalytic activity: androstan-3-alpha,17-beta-DIOL + NAD+ = 17-beta-hydroxyandrostan-3-one + NADH].</t>
  </si>
  <si>
    <t>Possible 20-beta-hydroxysteroid dehydrogenase FabG3 (cortisone reductase) ((R)-20-hydroxysteroid dehydrogenase)</t>
  </si>
  <si>
    <t>Rv2002, (MTCY39.16c), len: 260 aa. FabG3, 20-beta-hydroxysteroid dehydrogenase. Contains PS00061 Short-chain alcohol dehydrogenase family signature. Belongs to the short-chain dehydrogenases/reductases (SDR) family.</t>
  </si>
  <si>
    <t>Rv2003c, (MTCY39.14), len: 285 aa. Conserved hypothetical protein.</t>
  </si>
  <si>
    <t>Rv2004c, (MTCY39.13), len: 498 aa. Conserved protein. Contains PS00017 ATP/GTP-binding site motif A.</t>
  </si>
  <si>
    <t>Rv2005c, (MTCY39.12), len: 295 aa. Universal stress protein family protein. Predicted possible vaccine candidate (See Zvi et al., 2008).</t>
  </si>
  <si>
    <t>Involved in trehalose biosynthesis (protective effect). Mycobacteria can produce trehalose from glucose 6-phosphate and UDP-glucose (the OtsA-OtsB pathway) from glycogen-like alpha(1--&gt;4)-linked glucose polymers (the TreY-TreZ pathway) and from maltose (the TreS pathway) [catalytic activity: trehalose 6-phosphate + H(2)O = trehalose + orthophosphate].</t>
  </si>
  <si>
    <t>Probable trehalose-6-phosphate phosphatase OtsB1 (trehalose-phosphatase) (TPP)</t>
  </si>
  <si>
    <t>Rv2006, (MTCY39.11c), len: 1327 aa. OtsB1, trehalose-6-phosphate phosphatase (see citations below). Belongs to Glycosyl hydrolases family 65. Note that previously known as otsB. Predicted possible vaccine candidate (See Zvi et al., 2008).</t>
  </si>
  <si>
    <t>Involved in electron transfer.</t>
  </si>
  <si>
    <t>Ferredoxin FdxA</t>
  </si>
  <si>
    <t>Rv2007c, (MTCY39.10), len: 114 aa. FdxA, ferredoxin, similar to many e.g. FER_MYCSM P00215 ferredoxin, Mycobacterium smegmatis (106 aa).</t>
  </si>
  <si>
    <t>Rv2008c, (MTCY39.09), len: 441 aa. Conserved hypothetical protein. Contains PS00017 ATP/GTP-binding site motif A, PS00501 Signal peptidases I serine active site. Also contains helix-turn-helix motif at aa 258-279.</t>
  </si>
  <si>
    <t>vapB15</t>
  </si>
  <si>
    <t>Antitoxin VapB15</t>
  </si>
  <si>
    <t>Rv2009, (MTCY39.08c), len: 80 aa. VapB15, antitoxin, part of toxin-antitoxin (TA) operon with Rv2010 (See Arcus et al., 2005; Pandey and Gerdes, 2005).</t>
  </si>
  <si>
    <t>vapC15</t>
  </si>
  <si>
    <t>Toxin VapC15</t>
  </si>
  <si>
    <t>Rv2010, (MTCY39.07c), len: 132 aa. VapC15, toxin, part of toxin-antitoxin (TA) operon with Rv2009, contains PIN domain (See Arcus et al., 2005; Pandey and Gerdes, 2005).</t>
  </si>
  <si>
    <t>Conserved hypothetical protein, probable transcription repressor.</t>
  </si>
  <si>
    <t>Rv2011c, (MTCY39.06), len: 143 aa. Conserved hypothetical protein, probable transcription repressor. Contains IPR011991 Winged helix-turn-helix transcription repressor DNA-binding domain.</t>
  </si>
  <si>
    <t>Rv2012</t>
  </si>
  <si>
    <t>Rv2012, (MTCY39.05c), len: 164 aa. Conserved hypothetical protein.</t>
  </si>
  <si>
    <t>Rv2013</t>
  </si>
  <si>
    <t>Transposase</t>
  </si>
  <si>
    <t>Rv2013, (MTCY39.04c), len: 159 aa. Transposase, shows similarity to N-terminal part of transposase and insertion element hypothetical proteins. Length changed since first submission (no clear start apparent).</t>
  </si>
  <si>
    <t>Rv2014, (MTCY39.03c), len: 196 aa. Transposase, similar to insertion elements; possibly made by frameshifting with respect to Rv2013. Length changed since first submission.</t>
  </si>
  <si>
    <t>Rv2015c, (MTV018.02c), len: 418 aa. Conserved hypothetical protein. Nearly identical to Mycobacterium tuberculosis Rv1765c|MTCY28.31c, (378 aa), an ORF starting next to ISB9, and ending in IS6110. Different N-terminus chosen and C-terminus differs as that of Rv1765c has been truncated by IS6110. Does not show similarities with transposases. Contains IPR002711 HNH endonuclease, IPR003615 HNH nuclease, IPR003870 DUF222 domains.</t>
  </si>
  <si>
    <t>Rv2016, (MTV018.03), len: 191 aa. Hypothetical protein.</t>
  </si>
  <si>
    <t>Rv2017, (MTV018.04), len: 346 aa. Transcriptional regulator. Contains PS00142 Neutral zinc metallopeptidases, zinc-binding region signature in C-terminal half, may be fortuitous. Contains probable helix-turn-helix motif at aa 18-39 (Score 2243, +6.83 SD); IPR001387 Helix-turn-helix type 3.</t>
  </si>
  <si>
    <t>Rv2018, (MTV018.05), len: 239 aa. Conserved protein. Contains probable helix-turn-helix motif at aa 215-236 (Score 1175, +3.19 SD).</t>
  </si>
  <si>
    <t>Rv2019</t>
  </si>
  <si>
    <t>Rv2019, (MTV018.06), len: 138 aa. Conserved protein.</t>
  </si>
  <si>
    <t>Rv2020c</t>
  </si>
  <si>
    <t>Rv2020c, (MTV018.07c), len: 99 aa. Conserved hypothetical protein, nearly identical to C-terminal part of hypothetical protein RvD1-Rv2024c' from Mycobacterium bovis BCG (1606 aa) emb|CAB44655.1| (Y18605). Corresponds to deletion region RvD1 so probably truncated protein.</t>
  </si>
  <si>
    <t>Rv2021c, (MTV018.08c), len: 101 aa. Regulatory protein, similar to many. Contains probable helix-turn-helix at aa 45-66 (Score 1472, +4.20 SD); IPR001387 Helix-turn-helix type 3 domain.</t>
  </si>
  <si>
    <t>Rv2022c, (MTV018.09c), len: 201 aa. Conserved protein, similar to many.</t>
  </si>
  <si>
    <t>Rv2023A</t>
  </si>
  <si>
    <t>Hypothetical protein, pseudogene</t>
  </si>
  <si>
    <t>Rv2023A, len: 152 aa. Hypothetical unknown protein (pseudogene), equivalent to the C-terminus of Q8VJS0|MT2080 hypothetical protein from Mycobacterium tuberculosis strain CDC1551 (225 aa), FASTA scores: opt: 1028, E(): 3.6e-66, (99.342% identity in 152 aa overlap) and C-terminus of Mb2047c hypothetical protein from Mycobacterium bovis (225 aa). And N-terminal part equivalent to the C-terminus of Q9XB17 hypothetical 15.5 kDa protein from Mycobacterium bovis BCG (131 aa), FASTA scores: opt: 409, E(): 4.2e-22, (98.276% identity in 58 aa overlap). Note that a deletion of DNA (RvD1 region) in Mycobacterium tuberculosis strain H37Rv resulted in a truncated CDS comparatively to Mycobacterium bovis or Mycobacterium tuberculosis strain CDC1551 genomes (see citations below).</t>
  </si>
  <si>
    <t>Rv2023c</t>
  </si>
  <si>
    <t>Rv2023c, (MTV018.10c), len: 119 aa. Hypothetical protein, alternative upstream start possible.</t>
  </si>
  <si>
    <t>Rv2024c, (MTV018.11c), len: 515 aa. Conserved hypothetical protein. Identical to N-terminal part of much larger hypothetical protein, RvD1-Rv2024c' (1606 aa), from Mycobacterium bovis BCG: CAB44655.1|Y18605|13881753|AAK46361.1|AE007059 so probably truncated. Part of RvD1 chromosomal deletion region.</t>
  </si>
  <si>
    <t>Unknown; possibly involved in transport of metal ions across the membrane.</t>
  </si>
  <si>
    <t>Rv2025c, (MTV018.12c), len: 332 aa. Conserved transmembrane protein, involved in transport of metal ions, contains IPR002524 Cation efflux protein domain.</t>
  </si>
  <si>
    <t>Rv2026c</t>
  </si>
  <si>
    <t>Rv2026c, (MTV018.13c), len: 294 aa. Universal stress protein family protein, contains IPR006016 UspA domain.</t>
  </si>
  <si>
    <t>dosT</t>
  </si>
  <si>
    <t>Sensor part of the two component regulatory system DEVR/DEVS/dost; O2, NO and CO are ligands, dost is inactive when bound to oxygen</t>
  </si>
  <si>
    <t>Two component sensor histidine kinase DosT</t>
  </si>
  <si>
    <t>Rv2027c, (MTV018.14c), len: 573 aa. DosT, Histidine kinase response regulator, highly similar to others.</t>
  </si>
  <si>
    <t>Rv2028c</t>
  </si>
  <si>
    <t>Rv2028c, (MTV018.15c), len: 279 aa. Universal stress protein family protein, highly similar to many, contains IPR006016 UspA domain.</t>
  </si>
  <si>
    <t>Involved in glycolysis: converts sugar-1-P to sugar-1,6-P [catalytic activity: ATP + D-fructose 6-phosphate = ADP + D-fructose 1,6-bisphosphate].</t>
  </si>
  <si>
    <t>6-phosphofructokinase PfkB (phosphohexokinase) (phosphofructokinase)</t>
  </si>
  <si>
    <t>Rv2029c, (MTV018.16c), len: 339 aa. PfkB, phosphofructokinase. Contains PS00583 pfkB family of carbohydrate kinases signature 1. Predicted possible vaccine candidate (See Zvi et al., 2008).</t>
  </si>
  <si>
    <t>Rv2030c, (MTV018.17c), len: 681 aa. Conserved protein. Predicted possible vaccine candidate (See Zvi et al., 2008).</t>
  </si>
  <si>
    <t>Stress protein induced by anoxia. Has a proposed role in maintenance of long-term viability during latent, asymptomatic infections, and a proposed role in replication during initial infection. Regulated by the two component regulatory system DEVR|Rv3133c/DEVS|Rv3132c, in response to a hypoxic signal.</t>
  </si>
  <si>
    <t>Heat shock protein HspX (alpha-crystallin homolog) (14 kDa antigen) (HSP16.3)</t>
  </si>
  <si>
    <t>Rv2031c, (MTV018.18c), len: 144 aa. HspX, heat shock protein localized in the inner membrane (see citations below). Identical to P30223|14KD_MYCTU 14 KD antigen (16 kDa antigen) (HSP 16.3) of Mycobacterium tuberculosis (143 aa). Belongs to the small heat shock protein (HSP20) family. Also known as alpha-crystallin and gene as acr (see some citations below). Predicted possible vaccine candidate (See Zvi et al., 2008).</t>
  </si>
  <si>
    <t>Unknown. May have a role for bacteria within the host environment.</t>
  </si>
  <si>
    <t>Conserved protein Acg</t>
  </si>
  <si>
    <t>Rv2032, (MTV018.19), len: 331 aa. Acg (for acr-coregulated gene), conserved protein possibly member of a superfamily of classical nitroreductases (see Purkayastha et al., 2002), similar to Rv3127 and Rv3131. Predicted possible vaccine candidate (See Zvi et al., 2008).</t>
  </si>
  <si>
    <t>Rv2033c, (MTV018.20), len: 280 aa. Conserved hypothetical protein, similar to many.</t>
  </si>
  <si>
    <t>Rv2034</t>
  </si>
  <si>
    <t>Involved in transcriptional regulation.</t>
  </si>
  <si>
    <t>ArsR repressor protein</t>
  </si>
  <si>
    <t>Rv2034, (MTV018.21), len: 107 aa. Repressor protein belonging to the ArsR family. Contains probable helix-turn-helix at aa 32-53 (S core 1350, +3.78 SD).</t>
  </si>
  <si>
    <t>Rv2035</t>
  </si>
  <si>
    <t>Rv2035, (MTV018.22), len: 162 aa. Conserved hypothetical protein, similar to many. Contains IPR013538 Activator of Hsp90 ATPase homologue 1-like.</t>
  </si>
  <si>
    <t>Rv2036, (MTV018.23), len: 213 aa. Conserved hypothetical protein; similar to many.</t>
  </si>
  <si>
    <t>Conserved transmembrane protein</t>
  </si>
  <si>
    <t>Rv2037c, (MTV018.24c), len: 324 aa. Conserved transmembrane protein, similar to many. Alternative nucleotide at position 2282787 (C-&gt;T; C312Y) has been observed. Contains IPR016035 Acyl transferase/acyl hydrolase/lysophospholipase motif.</t>
  </si>
  <si>
    <t>Thought to be involved in active transport of sugar across the membrane (import). Responsible for energy coupling to the transport system.</t>
  </si>
  <si>
    <t>Probable sugar-transport ATP-binding protein ABC transporter</t>
  </si>
  <si>
    <t>Rv2038c, (MTV018.25c), len: 357 aa. Probable sugar-transport ATP-binding protein ABC transporter (see citation below), similar to many. Contains PS00211 ABC transporters family signature and PS00017 ATP/GTP-binding site motif A (P-loop).</t>
  </si>
  <si>
    <t>Thought to be involved in active transport of sugar across the membrane (import). Responsible for the translocation of the substrate across the membrane.</t>
  </si>
  <si>
    <t>Probable sugar-transport integral membrane protein ABC transporter</t>
  </si>
  <si>
    <t>Rv2039c, (MTV018.26c), len: 280 aa. Probable sugar-transport integral membrane protein ABC transporter (see citation below), similar to many. Contains PS00402 Binding-protein-dependent transport systems inner membrane comp signature. Also contains possible helix-turn-helix motif at aa 171-192, although this is probably fortuitous.</t>
  </si>
  <si>
    <t>Rv2040c, (MTV018.27c), len: 300 aa. Probable sugar-transport integral membrane protein ABC transporter (see citation below), similar to many.</t>
  </si>
  <si>
    <t>Probable sugar-binding lipoprotein</t>
  </si>
  <si>
    <t>Rv2041c, (MTV018.28c), len: 439 aa. Probable sugar-binding lipoprotein component of sugar transport system, similar to many. Contains signal sequence and appropriately positioned PS00013 Prokaryotic membrane lipoprotein lipid attachment site.</t>
  </si>
  <si>
    <t>Rv2042c, (MTV018.29c), len: 265 aa. Conserved protein, similar to many.</t>
  </si>
  <si>
    <t>Converts amides such as nicotinamide to corresponding acid.</t>
  </si>
  <si>
    <t>Pyrazinamidase/nicotinamidase PncA (PZase)</t>
  </si>
  <si>
    <t>Rv2043c, (MTV018.30c), len: 186 aa. PncA, pyrazinamidase/nicotinamidase (see citations below), involved in susceptibility or resistance to antituberculous drug pyrazinamide.</t>
  </si>
  <si>
    <t>Rv2044c</t>
  </si>
  <si>
    <t>Rv2044c, (MTV018.31c), len: 105 aa. Conserved hypothetical protein, similar to many.</t>
  </si>
  <si>
    <t>Converts unknown esters to corresponding free acid and alcohol</t>
  </si>
  <si>
    <t>Carboxylesterase LipT</t>
  </si>
  <si>
    <t>Rv2045c, (MTV018.32c), len: 511 aa. LipT, carboxylesterase, similar to many. Contains PS00941 Carboxylesterases type-B signature 2. Contains PS00122 Carboxylesterases type-B serine active site.</t>
  </si>
  <si>
    <t>Probable lipoprotein LppI</t>
  </si>
  <si>
    <t>Rv2046, (MTV018.33), len: 218 aa. Probable lppI, lipoprotein contains signal sequence and appropriately positioned PS00013 Prokaryotic membrane lipoprotein lipid attachment site.</t>
  </si>
  <si>
    <t>Rv2047c, (MTV018.34c), len: 854 aa. Conserved hypothetical protein, similar to many. Contains IPR016040 NAD(P)-binding domain at N-terminus.</t>
  </si>
  <si>
    <t>Involved in biosynthesis of mannosyl-beta-1-phosphomycoketide (MPM)</t>
  </si>
  <si>
    <t>Polyketide synthase Pks12</t>
  </si>
  <si>
    <t>Rv2048c, (MTV018.35c), len: 4151 aa. Pks12, polyketide synthase similar to many. Contains 2x PS00012 Phosphopantetheine attachment site, 2x PS00606 Beta-ketoacyl synthases active site, and PS00343 Gram-positive cocci surface proteins 'anchoring' hexapeptide. Nucleotide position 2297976 in the genome sequence has been corrected, G:A resulting in S3004L.</t>
  </si>
  <si>
    <t>Rv2049c</t>
  </si>
  <si>
    <t>Rv2049c, (MTV018.36c), len: 74 aa. Conserved hypothetical protein.</t>
  </si>
  <si>
    <t>Rv2050, (MTV018.37), len: 111 aa. Conserved protein, similar to many. A core mycobacterial gene; conserved in mycobacterial strains (See Marmiesse et al., 2004).</t>
  </si>
  <si>
    <t>Transfers mannose from GDP-mannose to all endogenous polyprenol-phosphates.</t>
  </si>
  <si>
    <t>Polyprenol-monophosphomannose synthase Ppm1</t>
  </si>
  <si>
    <t>Rv2051c, (MTV018.38c), len: 874 aa. Ppm1, Polyprenol-monophosphomannose synthase. Transfers mannose from GDP-Mannose to all endogenous polyprenol-phosphates in Mycobacterium tuberculosis, proven experimentally (A. Baulard, Institut Pasteur de Lille: see citation below).</t>
  </si>
  <si>
    <t>Rv2052c, (MTV018.39c), len: 534 aa. Conserved protein, similar to many. Contains IPR013108 Amidohydrolase 3 domain.</t>
  </si>
  <si>
    <t>Probable transmembrane protein FxsA</t>
  </si>
  <si>
    <t>Rv2053c, (MTV018.40c-MTCY63A.07), len: 175 aa. Probable fxsA, transmembrane protein. Contains IPR007313 FxsA cytoplasmic membrane protein domain in N-terminus</t>
  </si>
  <si>
    <t>Rv2054, (MTCY63A.06c), len: 237 aa. Conserved protein, similar to many. Contains IPR002925 Dienelactone hydrolase domain.</t>
  </si>
  <si>
    <t>Involved in translation, amino-acyl tRNA binding</t>
  </si>
  <si>
    <t>30S ribosomal protein S18 RpsR2</t>
  </si>
  <si>
    <t>Rv2055c, (MTCY63A.05), len: 88 aa. rpsR2, 30S ribosomal protein S18, similar to many. Also similar to rpsR|Rv0055|MTCY21D4.18 from Mycobacterium tuberculosis (50.0% identity in 84 aa overlap).</t>
  </si>
  <si>
    <t>30S ribosomal protein S14 RpsN2</t>
  </si>
  <si>
    <t>Rv2056c, (MTCY63A.04), len: 101 aa. rpsN2, 30S ribosomal protein S14, similar to many. Also similar to rpsN|Rv0717|MTCY210.36 from Mycobacterium tuberculosis, (50.0% identity in 62 aa overlap).</t>
  </si>
  <si>
    <t>50S ribosomal protein L33 RpmG1</t>
  </si>
  <si>
    <t>Rv2057c, (MTCY63A.03), len: 54 aa. rpmG1, 50S ribosomal protein L33, similar to many. Note that previously known as rpmG.</t>
  </si>
  <si>
    <t>Involved in ribosome activity</t>
  </si>
  <si>
    <t>50S ribosomal protein L28 RpmB2</t>
  </si>
  <si>
    <t>Rv2058c, (MTCY63A.02), len: 78 aa. rpmB2, 50S ribosomal protein L28, very similar to rL28 of M. tuberculosis. Also similar to rpmB (Rv0105c) of Mycobacterium tuberculosis.</t>
  </si>
  <si>
    <t>Rv2059, (MTCY63A.01c), len: 511 aa. Conserved hypothetical protein. Some similarity to EWLA protein gp|U52850|ERU52850_1 Erysipelothrix rhusiopathiae 36 k (304 aa), FASTA score, opt: 287 E(): 6.9e-09; 27.2% identity in 228 aa overlap. There appears to be a frameshift in this ORF around position 3315980 that causes an overlap with next ORF. C-terminal end of protein may be wrong. No error can be found to account for this.</t>
  </si>
  <si>
    <t>Rv2060, (MTV019.01), len: 133 aa. Possible conserved integral membrane protein smaller than but similar to several hypothetical bacterial proteins e.g. &gt;emb|CAC29843.1| (AL583918) putative ABC-transporter transmembrane protein [Mycobacterium leprae] Length = 286 and P44691|YEBI_HAEIN (261 aa). FASTA scores: P44691|YEBI_HAEIN hypothetical protein HI0407 (261 aa) opt: 218, E(): 4.2e-08; 31.1% identity in 122 aa overlap. Maybe frameshift upstream at position 3315980 but no error can be found to account for this.</t>
  </si>
  <si>
    <t>Rv2061c, (MTV019.02c), len: 134 aa. Conserved protein. Similar to many. Contains IPR019965 F420-dependent enzyme, PPOX class, family Rv2061, domain. A core mycobacterial gene; conserved in mycobacterial strains (See Marmiesse et al., 2004).</t>
  </si>
  <si>
    <t>Required for cobalt insertion.</t>
  </si>
  <si>
    <t>Cobalamin biosynthesis protein CobN</t>
  </si>
  <si>
    <t>Rv2062c, (MTCY49.01c, MTV019.03), len: 1194 aa. cobN, cobalamin biosynthesis protein, similar to many.</t>
  </si>
  <si>
    <t>mazE7</t>
  </si>
  <si>
    <t>Rv2063</t>
  </si>
  <si>
    <t>Antitoxin MazE7</t>
  </si>
  <si>
    <t>Rv2063, len: 77 aa. MazE7, antitoxin, part of toxin-antitoxin (TA) operon with Rv2063A (See Pandey and Gerdes, 2005), similar to many. This ORF replaces previous Rv2063c on other strand.</t>
  </si>
  <si>
    <t>mazF7</t>
  </si>
  <si>
    <t>Rv2063A</t>
  </si>
  <si>
    <t>Possible toxin MazF7</t>
  </si>
  <si>
    <t>Rv2063A, len: 136 aa. Possible mazF7 toxin, part of toxin-antitoxin (TA) operon with Rv2063 (See Pandey and Gerdes, 2005).</t>
  </si>
  <si>
    <t>Required for cobalamin biosynthesis.</t>
  </si>
  <si>
    <t>Precorrin-3B synthase CobG</t>
  </si>
  <si>
    <t>Rv2064, (MTCY49.03), len: 363 aa. CobG, precorrin-3B synthase, cobalamin biosynthesis protein.</t>
  </si>
  <si>
    <t>Precorrin-8X methylmutase CobH (aka precorrin isomerase)</t>
  </si>
  <si>
    <t>Rv2065, (MTCY49.04), len: 208 aa. CobH, precorrin-8X methylmutase (aka precorrin isomerase), similar to many.</t>
  </si>
  <si>
    <t>Probable bifunctional protein, CobI-COBJ fusion protein: S-adenosyl-L-methionine-precorrin-2 methyl transferase + precorrin-3 methylase</t>
  </si>
  <si>
    <t>Rv2066, (MTCY49.05), len: 508 aa. Probable CobI-CobJ fusion protein, S-adenosyl-L-methionine-precorrin-2 methyl transferase and precorrin-3 methylase. Similar in N-terminal half (aa 1-240) to many S-adenosyl-L-methionine-precorrin-2 methyl transferase (244 aa), and in C-terminal half (aa 240-508) to precorrin-3 methylase (254 aa).</t>
  </si>
  <si>
    <t>Rv2067c, (MTCY49.06c), len: 407 aa. Conserved protein, similar to many.</t>
  </si>
  <si>
    <t>Hydrolyses beta-lactams to generate corresponding beta-amino acid [catalytic activity: a beta-lactam + H(2)O = a substituted beta-amino acid].</t>
  </si>
  <si>
    <t>Class a beta-lactamase BlaC</t>
  </si>
  <si>
    <t>Rv2068c, (MTCY49.07c), len: 307 aa. BlaC, class a beta-lactamase (see citation below), similar to many. Contains PS00013 Prokaryotic lipid attachment site near N-terminus, and PS00146 Beta-lactamase class-a active site.</t>
  </si>
  <si>
    <t>Involved in promoter recognition, transcription initiation.</t>
  </si>
  <si>
    <t>RNA polymerase sigma factor, ECF subfamily, SigC</t>
  </si>
  <si>
    <t>Rv2069, (MTCY49.08), len: 185 aa. SigC, RNA polymerase sigma factor, ECF subfamily (see Gomez et al., 1997; Chen et al., 2000), similar to many.</t>
  </si>
  <si>
    <t>Precorrin-6X reductase CobK</t>
  </si>
  <si>
    <t>Rv2070c, (MTCY49.09c), len: 244 aa. CobK, precorrin-6x reductase, similar to many.</t>
  </si>
  <si>
    <t>cobM</t>
  </si>
  <si>
    <t>Rv2071c</t>
  </si>
  <si>
    <t>Precorrin-3 methylase CobM (precorrin-4 C11-methyltransferase)</t>
  </si>
  <si>
    <t>Rv2071c, (MTCY49.10c), len: 251 aa. CobM, precorrin-3 methylase, similar to many. Contains PS00839 Uroporphyrin-III C-methyltransferase signature 1, and PS00840 Uroporphyrin-III C-methyltransferase signature 2.</t>
  </si>
  <si>
    <t>cobL</t>
  </si>
  <si>
    <t>Rv2072c</t>
  </si>
  <si>
    <t>Precorrin-6Y C(5,15)-methyltransferase (decarboxylating) CobL</t>
  </si>
  <si>
    <t>Rv2072c, (MTCY49.11c), len: 390 aa. CobL, precorrin-6Y C(5,15)-methyltransferase (decarboxylating).</t>
  </si>
  <si>
    <t>Rv2073c</t>
  </si>
  <si>
    <t>Probable shortchain dehydrogenase</t>
  </si>
  <si>
    <t>Rv2073c, (MTCY49.12c), len: 249 aa. Probable oxidoreductase, belonging to shortchain dehydrogenase reductase (SDR) family, similar to many.</t>
  </si>
  <si>
    <t>Rv2074</t>
  </si>
  <si>
    <t>Rv2074, (MTCY49.13), len: 137 aa. Possible pyridoxine 5'-phosphate oxidase (PNPOx) (See Biswal et al., 2006). Similar to conserved hypothetical proteins.</t>
  </si>
  <si>
    <t>Rv2075c</t>
  </si>
  <si>
    <t>Possible hypothetical exported or envelope protein</t>
  </si>
  <si>
    <t>Rv2075c, (MTCY49.14c), len: 487 aa. Possibly exported or envelope protein; has potential signal peptide at N-terminus and hydrophobic stretch around residue 430. Predicted to be an outer membrane protein (See Song et al., 2008).</t>
  </si>
  <si>
    <t>Rv2076c</t>
  </si>
  <si>
    <t>Rv2076c, (MTCY49.15c), len: 83 aa. Conserved hypothetical protein, similar to many.</t>
  </si>
  <si>
    <t>Rv2077A</t>
  </si>
  <si>
    <t>Rv2077A, len: 99 aa. Conserved hypothetical protein, similar to many.</t>
  </si>
  <si>
    <t>Rv2077c, (MTCY49.16c), len: 323 aa. Possible conserved transmembrane protein. Part of Mycobacterium tuberculosis protein family with Rv2542, Rv2079, Rv2797c, Rv0963c, Rv1949c. Hydrophobic stretches at C-terminus.</t>
  </si>
  <si>
    <t>Rv2078</t>
  </si>
  <si>
    <t>Rv2078, (MTCY49.17), len: 104 aa. Conserved hypothetical protein, similar to many.</t>
  </si>
  <si>
    <t>Rv2079, (MTCY49.18), len: 656 aa. Conserved hypothetical protein; part of Mycobacterium tuberculosis protein family with Rv2542, Rv2077c, Rv2797c, Rv0963c, Rv1949c. Contains PS00120 Lipases, serine active site</t>
  </si>
  <si>
    <t>Lipoprotein LppJ</t>
  </si>
  <si>
    <t>Rv2080, (MTCY49.19), len: 187 aa. LppJ, lipoprotein; contains prokayotic lipoprotein modification site (PS00013) and signal sequence at N-terminus.</t>
  </si>
  <si>
    <t>Rv2081c, (MTCY49.20c), len: 146 aa. Conserved transmembrane protein, similar to many. Hydrophobic stretch from aa 32-54.</t>
  </si>
  <si>
    <t>Rv2082, (MTCY49.21), len: 721 aa. Conserved hypothetical protein. Similar to Mycobacterium tuberculosis Rv0029, and to Rv3899c and Rv3900c which may be frameshifted.</t>
  </si>
  <si>
    <t>Rv2083, (MTCY49.22), len: 314 aa. Conserved hypothetical protein. Similar to many e.g. Mycobacterium tuberculosis Rv3898c (110 aa) and Rv3897c (210 aa).</t>
  </si>
  <si>
    <t>Rv2084, (MTCY49.23), len: 378 aa. Hypothetical unknown protein. This region is a possible MT-complex-specific genomic island (See Becq et al., 2007).</t>
  </si>
  <si>
    <t>Rv2085</t>
  </si>
  <si>
    <t>Rv2085, (MTCY49.24), len: 101 aa. Conserved hypothetical protein, similar to but shorter than many transposases but we can find no sequence errors to account for the frameshifts. Contains possible helix-turn-helix motif at aa 33 to 54,(+3.11 SD). This region is a possible MT-complex-specific genomic island (See Becq et al., 2007).</t>
  </si>
  <si>
    <t>Rv2086, (MTCY49.25), len: 201 aa. Conserved hypothetical protein, similarity to but shorter than many transposases but we can find no sequence errors to account for the frameshifts. Start changed since first submission (-16 aa). This region is a possible MT-complex-specific genomic island (See Becq et al., 2007).</t>
  </si>
  <si>
    <t>Rv2087</t>
  </si>
  <si>
    <t>Rv2087, (MTCY49.27), len: 76 aa. Conserved hypothetical protein, similar to but shorter than transposases, but we can find no sequence errors to account for the frameshifts. Start changed since first submission (-45 aa). This region is a possible MT-complex-specific genomic island (See Becq et al., 2007).</t>
  </si>
  <si>
    <t>Involved in signal transduction (via phosphorylation). Can phosphorylate the peptide substrate myelin basic protein (MBP). [catalytic activity: ATP + a protein = ADP + a phosphoprotein].</t>
  </si>
  <si>
    <t>Transmembrane serine/threonine-protein kinase J PknJ (protein kinase J) (STPK J)</t>
  </si>
  <si>
    <t>Rv2088, (MTCY49.28), len: 589 aa. PknJ, transmembrane serine/threonine-protein kinase (see citation below). Contains PS00108 Serine/Threonine protein kinases active-site signature. Contains Hank's kinase subdomain. Belongs to the Ser/Thr family of protein kinases. Experimental studies show evidence of auto-phosphorylation. This region is a possible MT-complex-specific genomic island (See Becq et al., 2007). Cofactor: requires divalent cations for activity.</t>
  </si>
  <si>
    <t>Hydrolysis of peptide bonds</t>
  </si>
  <si>
    <t>Dipeptidase PepE</t>
  </si>
  <si>
    <t>Rv2089c, (MTCY49.29c), len: 375 aa. PepE, dipeptidase, similar to many; contains PS00491 Aminopeptidase P and proline dipeptidase signature. Also similar to Mycobacterium tuberculosis peptidases Rv2861c, Rv0734, Rv2535c. Phosphorylated in vitro by PknJ|Rv2088 (See Jang et al., 2010).</t>
  </si>
  <si>
    <t>DNA metabolism</t>
  </si>
  <si>
    <t>Probable 5'-3' exonuclease</t>
  </si>
  <si>
    <t>Rv2090, (MTCY49.30), len: 393 aa. Probable 5'-3' exonuclease, similar to exonuclease part of DNA polymerase. Belongs to family a of DNA polymerases.</t>
  </si>
  <si>
    <t>Rv2091c, (MTCY49.31c), len: 244 aa. Probable membrane protein; contains potential transmembrane region. Repetitive ORF. A core mycobacterial gene; conserved in mycobacterial strains (See Marmiesse et al., 2004).</t>
  </si>
  <si>
    <t>DNA helicase activity.</t>
  </si>
  <si>
    <t>ATP-dependent DNA helicase HelY</t>
  </si>
  <si>
    <t>Rv2092c, (MTCY49.32c), len: 906 aa. HelY, ATP-dependent DNA helicase, similar to many; contains PS00017 ATP/GTP-binding site motif A, PS00402 Binding-protein-dependent transport systems inner membrane component signature. Belongs to the SKI2 subfamily of helicases.</t>
  </si>
  <si>
    <t>Involved in proteins export: required for correct localization of precursor proteins bearing signal peptides with the twin arginine conserved motif S/T-R-R-X-F-L-K. This sec-independent pathway is termed tat for twin-arginine translocation system. This system mainly transports proteins with bound cofactors that require folding prior to export.</t>
  </si>
  <si>
    <t>Sec-independent protein translocase transmembrane protein TatC</t>
  </si>
  <si>
    <t>Rv2093c, (MT2154, MTCY49.33c), len: 308 aa. TatC, transmembrane protein, component of twin-arginine translocation protein export system (see citation below), similar to many. Belongs to the TatC family.</t>
  </si>
  <si>
    <t>Involved in protein export: required for correct localization of precursor proteins bearing signal peptides with the twin arginine conserved motif S/T-R-R-X-F-L-K. This sec-independent pathway is termed tat for twin-arginine translocation system. This system mainly transports proteins with bound cofactors that require folding prior to export.</t>
  </si>
  <si>
    <t>Sec-independent protein translocase membrane-bound protein TatA</t>
  </si>
  <si>
    <t>Rv2094c, (MT2155, MTCY49.34c), len: 83 aa. TatA, membrane-bound protein, component of twin-arginine translocation protein export system (see Berks et al., 2000), similar to many. Contains PS00017 ATP/GTP-binding site motif A (P-loop). Belongs to the TATA/E family.</t>
  </si>
  <si>
    <t>pafC</t>
  </si>
  <si>
    <t>Proteasome accessory factor C PafC</t>
  </si>
  <si>
    <t>Rv2095c, (MTCY49.35c), len: 316 aa. PafC, proteasome accessory factor C, similar to many. Contains possible helix-turn-helix motif at aa 25-46, (+2.92 SD). PafB|Rv2096c and PafC|Rv2095c interact (See Festa et al., 2007).</t>
  </si>
  <si>
    <t>pafB</t>
  </si>
  <si>
    <t>Proteasome accessory factor B PafB</t>
  </si>
  <si>
    <t>Rv2096c, (MTCY49.36c), len: 332 aa. PafB, proteasome accessory factor B, similar to many. PafB|Rv2096c and PafC|Rv2095c interact (See Festa et al., 2007).</t>
  </si>
  <si>
    <t>pafA</t>
  </si>
  <si>
    <t>Ligates deamidated pup to proteasomal substrate proteins. Requires hydrolysis of ATP to ADP.</t>
  </si>
  <si>
    <t>Proteasome accessory factor a PafA</t>
  </si>
  <si>
    <t>Rv2097c, (MTCY49.37c), len: 452 aa. PafA, proteasome accessory factor A, similar to many. Belongs to the carboxylate amine/ammonia ligase family.</t>
  </si>
  <si>
    <t>PE_PGRS36</t>
  </si>
  <si>
    <t>Rv2098c</t>
  </si>
  <si>
    <t>PE-PGRS family protein PE_PGRS36</t>
  </si>
  <si>
    <t>Rv2098c, (MTCY49.38c), len: 434 aa. PE_PGRS36, Member of the Mycobacterium tuberculosis PE family, PGRS subfamily of gly-rich proteins (see citation below). Frameshifted near N-terminus (see Rv2099c|PE21).</t>
  </si>
  <si>
    <t>PE21</t>
  </si>
  <si>
    <t>Rv2099c</t>
  </si>
  <si>
    <t>PE family protein PE21</t>
  </si>
  <si>
    <t>Rv2099c, (MTCY49.39c), len: 58 aa. PE21, Member of the Mycobacterium tuberculosis PE family (see Brennan and Delogu, 2002); 5'-end of Rv2098c|PE_PGRS36|MTCY49.38c, then frameshifts. Sequence has been checked, no errors found.</t>
  </si>
  <si>
    <t>Rv2100, (MTCY49.40), len: 550 aa. Conserved hypothetical protein. Member of Mycobacterium tuberculosis REP13E12 repeat family with Rv1148c, Rv1945, Rv3467, Rv0094c, Rv1128c, Rv1587c, Rv1702c, Rv3466, Rv1588c.</t>
  </si>
  <si>
    <t>Has helicase activity.</t>
  </si>
  <si>
    <t>Probable helicase HelZ</t>
  </si>
  <si>
    <t>Rv2101, (MTV020.01), len: 1013 aa. Probable helZ, helicase, similar to many. Nucleotide position 2361623 in the genome sequence has been corrected, A:C resulting in M462L.</t>
  </si>
  <si>
    <t>Rv2102, (MTV020.02), len: 238 aa. Conserved hypothetical protein, similar to many. Contains PS00017 ATP/GTP-binding site motif A (P-loop).</t>
  </si>
  <si>
    <t>vapC37</t>
  </si>
  <si>
    <t>Possible toxin VapC37. Contains PIN domain.</t>
  </si>
  <si>
    <t>Rv2103c, (MTV020.03), len: 144 aa. Possible vapC37, toxin, part of toxin-antitoxin (TA) operon with Rv2104c, contains PIN domain, see Arcus et al. 2005. Similar to others in Mycobacterium tuberculosis including Rv0749, Rv0277c, Rv2530c, Rv3320c, Rv2494, Rv2872, Rv0617, Rv1242 etc.</t>
  </si>
  <si>
    <t>vapB37</t>
  </si>
  <si>
    <t>Rv2104c</t>
  </si>
  <si>
    <t>Possible antitoxin VapB37</t>
  </si>
  <si>
    <t>Rv2104c, (MTV020.04), len: 84 aa. Possible vapB37, antitoxin, part of toxin-antitoxin (TA) operon with Rv2103c, see Arcus et al. 2005. Similar to others in M. tuberculosis including Rv2871, Rv1241, Rv2132, Rv3321c, Rv1113, Rv0657, Rv1560, etc.</t>
  </si>
  <si>
    <t>Rv2105</t>
  </si>
  <si>
    <t>Rv2105, (MTCY261.01), len: 108 aa. Putative transposase for IS6110 (fragment), identical to many other Mycobacterium tuberculosis IS6110 transposase subunits e.g. Q50686|YIA4_MYCTU Insertion element IS6110 hypothetical 12.0 kDa protein (108 aa), fasta scores: E(): 1.4e-43, (100.00% identity in 108 aa overlap). The transposase described here may be made by a frame shifting mechanism during translation that fuses Rv2105 and Rv2106, the sequence UUUUAAAG (directly upstream of Rv2106) maybe responsible for such a frameshifting event (see McAdam et al., 1990).</t>
  </si>
  <si>
    <t>Rv2106</t>
  </si>
  <si>
    <t>Rv2106, (MTCY261.02), len: 328 aa. Probable transposase subunit for IS6110. Identical to many other M. tuberculosis IS6110 transposase subunits. The transposase described here may be made by a frame shifting mechanism during translation that fuses Rv2105 and Rv2106, the sequence UUUUAAAG (directly upstream of Rv2106) maybe responsible for such a frameshifting event (see McAdam et al., 1990). Start changed since first submission (+ 16 aa).</t>
  </si>
  <si>
    <t>PE22</t>
  </si>
  <si>
    <t>Rv2107</t>
  </si>
  <si>
    <t>PE family protein PE22</t>
  </si>
  <si>
    <t>Rv2107, (MTCY261.03), len: 98 aa. PE22, Member of mycobacterial PE family (see citation below). A core mycobacterial gene; conserved in mycobacterial strains (See Marmiesse et al., 2004).</t>
  </si>
  <si>
    <t>PPE family protein PPE36</t>
  </si>
  <si>
    <t>Rv2108, (MTCY261.04), len: 243 aa. PPE36, Member of the Mycobacterium tuberculosis PE family: N-terminus is similar to N-terminal region of Mycobacterium tuberculosis PPE family proteins. A core mycobacterial gene; conserved in mycobacterial strains (See Marmiesse et al., 2004).</t>
  </si>
  <si>
    <t>Protein degradation</t>
  </si>
  <si>
    <t>Proteasome alpha subunit PrcA; assembles with beta subunit PrcB.</t>
  </si>
  <si>
    <t>Rv2109c, (MTCY261.05c), len: 248 aa. PrcA, proteasome alpha-type subunit 1. Conserved in M. tuberculosis, M. leprae, M. bovis and M. avium paratuberculosis; predicted to be essential for in vivo survival and pathogenicity (See Ribeiro-Guimaraes and Pessolani, 2007). prcBA genes encode a proteasome with broad substrate specificity (See Lin et al., 2006).</t>
  </si>
  <si>
    <t>Proteasome beta subunit PrcB; assembles with alpha subunit PrcA.</t>
  </si>
  <si>
    <t>Rv2110c, (MTCY261.06c), len: 291 aa. PrcB, proteasome beta-type subunit 2. Conserved in M. tuberculosis, M. leprae, M. bovis and M. avium paratuberculosis; predicted to be essential for in vivo survival and pathogenicity (See Ribeiro-Guimaraes and Pessolani, 2007). prcBA genes encode a proteasome with broad substrate specificity (See Lin et al., 2006).</t>
  </si>
  <si>
    <t>pup</t>
  </si>
  <si>
    <t>Involved in proteasomal degradation. Covalently binds to protein substrates.</t>
  </si>
  <si>
    <t>Prokaryotic ubiquitin-like protein Pup</t>
  </si>
  <si>
    <t>Rv2111c, MTCY261.07c, len: 64 aa. Pup, prokaryotic ubiquitin-like protein (See Pearce et al., 2008). Highly similar to many. Pup|Rv2111c and Mpa|Rv2115c interact (See Pearce et al., 2008).</t>
  </si>
  <si>
    <t>dop</t>
  </si>
  <si>
    <t>Deamidates the C-terminal glutamine of pup</t>
  </si>
  <si>
    <t>Deamidase of pup Dop</t>
  </si>
  <si>
    <t>Rv2112c, (MTCY261.08c), len: 554 aa. Dop, deamidase of Pup (See Streibel et al., 2009). Highly similar to many. Cofactor: ATP. Predicted to be an outer membrane protein (See Song et al., 2008).</t>
  </si>
  <si>
    <t>Rv2113, (MTCY261.09), len: 397 aa. Probable integral membrane protein.</t>
  </si>
  <si>
    <t>Rv2114, (MTCY261.10), len: 207 aa. Conserved protein, similar to many.</t>
  </si>
  <si>
    <t>mpa</t>
  </si>
  <si>
    <t>Involved in proteasomal protein degradation</t>
  </si>
  <si>
    <t>Mycobacterial proteasome ATPase Mpa</t>
  </si>
  <si>
    <t>Rv2115c, (MTCY261.11c), len: 609 aa. Mpa, mycobacterial proteasome ATPase, similar to many. Contains PS00674 AAA-protein family signature and PS00017 ATP/GTP-binding site motif A (P-loop). Identified as a substrate for proteasomal degradation (See Pearce et al., 2006). Pup|Rv2111c and Mpa|Rv2115c interact (See Pearce et al., 2008).</t>
  </si>
  <si>
    <t>Conserved lipoprotein LppK</t>
  </si>
  <si>
    <t>Rv2116, (MTCY261.12), len: 189 aa. LppK, conserved lipoprotein, similar to many. Contains N-terminal signal sequence and PS00013 Prokaryotic membrane lipoprotein lipid attachment site. Some similarity to Rv2376c. A core mycobacterial gene; conserved in mycobacterial strains (See Marmiesse et al., 2004).</t>
  </si>
  <si>
    <t>Rv2117</t>
  </si>
  <si>
    <t>Rv2117, (MTCY261.13), len: 97 aa. Conserved hypothetical protein, similar to many.</t>
  </si>
  <si>
    <t>Involved in transfer of methyl group (from S-adenosyl-L-methionine to the substrate).</t>
  </si>
  <si>
    <t>Rv2118c, (MTCY261.14c), len: 280 aa. S-adenosyl-l-methionine-dependent RNA methyltransferase (see citation below), similar to many. The larger catalytic C-terminal domain binds the cofactor S-adenosyl-l-methionine (AdoMet) and is involved in the transfer of methyl group from AdoMet to the substrate.</t>
  </si>
  <si>
    <t>Rv2119, (MTCY261.15), len: 278 aa. Conserved hypothetical protein, similar to many.</t>
  </si>
  <si>
    <t>Rv2120c, (MTCY261.16c), len: 160 aa. Probable conserved integral membrane protein, similar to many.</t>
  </si>
  <si>
    <t>Involved in histidine biosynthesis.</t>
  </si>
  <si>
    <t>ATP phosphoribosyltransferase HisG</t>
  </si>
  <si>
    <t>Rv2121c, (MTCY261.17c), len: 284 aa. HisG, ATP phosphoribosyltransferase (see citation below), similar to many.</t>
  </si>
  <si>
    <t>Phosphoribosyl-AMP pyrophosphatase HisE</t>
  </si>
  <si>
    <t>Rv2122c, (MTCY261.18), len: 93 aa. HisE (alternate gene name: irg1), phosphoribosyl-AMP cyclohydrolase (see citation below), similar to many. Note that previously misnamed hisI.</t>
  </si>
  <si>
    <t>PPE family protein PPE37</t>
  </si>
  <si>
    <t>Rv2123, (MTCY261.19), len: 473 aa. PPE37 (alternate gene name: irg2), member of the Mycobacterium tuberculosis PPE family of proteins but the C-terminus is not repetitive (see citation below).</t>
  </si>
  <si>
    <t>Involved in biosynthesis of methionine (at the terminal step) [catalytic activity: 5-methyltetrahydrofolate + L-homocysteine = tetrahydrofolate + L-methionine].</t>
  </si>
  <si>
    <t>5-methyltetrahydrofolate--homocystein methyltransferase MetH (methionine synthase, vitamin-B12 dependent isozyme) (ms)</t>
  </si>
  <si>
    <t>Rv2124c, (MTCY261.20c), len: 1192 aa. MetH, methionine synthase, similar to many. Contains PS00178 Aminoacyl-transfer RNA synthetases class-I signature. Belongs to the vitamin-B12 dependent methionine synthase family.</t>
  </si>
  <si>
    <t>Rv2125, (MTCY261.21), len: 292 aa. Conserved hypothetical protein, similar to many.</t>
  </si>
  <si>
    <t>PE_PGRS37</t>
  </si>
  <si>
    <t>Rv2126c</t>
  </si>
  <si>
    <t>PE-PGRS family protein PE_PGRS37</t>
  </si>
  <si>
    <t>Rv2126c, (MTCY261.22c), len: 256 aa. PE_PGRS37, Possible PE_PGRS pseudogene fragment, similar to the Gly-rich C-terminus of many members of the Mycobacterium tuberculosis PGRS family.</t>
  </si>
  <si>
    <t>Involved in L-asparagine transport.</t>
  </si>
  <si>
    <t>L-asparagine permease AnsP1</t>
  </si>
  <si>
    <t>Rv2127, (MTCY261.26), len: 489 aa. AnsP1, L-asparagine permease, integral membrane protein similar to many. Contains PS00218 Amino acid permeases signature. Seems to belong to the APC family.</t>
  </si>
  <si>
    <t>Rv2128, (MTCY26.27), len: 67 aa. Conserved transmembrane protein, similar to many.</t>
  </si>
  <si>
    <t>Rv2129c, (MTCY261.28), len: 293 aa. Probable oxidoreductase, similar to many e.g. FABG_SYNY3|P73826 3-oxoacyl-[acyl-carrier protein] reductase (240 aa), FASTA scores: opt: 241, E(): 5.1e-17, (32.7% identity in 196 aa overlap); etc. Also similar to a number of other Mycobacterium tuberculosis oxidoreductases e.g. MTCY210.04 (34.1% identity in 217 aa overlap).</t>
  </si>
  <si>
    <t>mshC</t>
  </si>
  <si>
    <t>Involved in the third step of mycothiol biosynthesis</t>
  </si>
  <si>
    <t>Cysteine:1D-myo-inosityl 2-amino-2-deoxy--D-glucopyranoside ligase MshC</t>
  </si>
  <si>
    <t>Rv2130c, (MTCY261.29c), len: 414 aa. MshC, cysteine:1D-myo-inosityl 2-amino-2-deoxy--D-glucopyranoside ligase (see Rawat et al., 2002), similar to several cysteinyl-tRNA synthetases e.g. SYC_ECOLI|P21888 cysteinyl-tRNA synthetase from Escherichia coli (461 aa), FASTA scores: opt: 535, E(): 0, (37.0% identity in 370 aa overlap); etc. Also similar to Mycobacterium tuberculosis cysS|Rv3580c|MTCY06G11.27c, (35.8% identity in 372 aa overlap). Contains a match to Pfam entry PF01406 tRNA synthetases class I (C). Previously known as cysS2.</t>
  </si>
  <si>
    <t>Can dephosphorylate a broad range of substrates. Likely involved in sulfur metabolism, controlling the pool of 3'-phosphoadenosine 5'-phosphate (pap) and 3'-phosphoadenoside 5'-phosphosulfate (PAPS) [catalytic activity: adenosine 3',5'-bisphosphate + H2O = adenosine 5'-phosphate + phosphate]. Has also been shown to have myo-inositol 1-phosphatase [catalytic activity: myo-inositol 1-phosphate + H(2)O = myo-inositol + phosphate] and fructose 1,6-bisphosphatase [catalytic activity: D-fructose 1,6-bisphosphate + H2O = D-fructose 6-phosphate + phosphate] activities.</t>
  </si>
  <si>
    <t>Monophosphatase CysQ</t>
  </si>
  <si>
    <t>Rv2131c, (MTCY270.37), len: 267 aa. CysQ, monophosphatase, equivalent to CYSQ_MYCLE|P46726 cysQ protein homolog from Mycobacterium leprae (289 aa), FASTA scores: opt: 1374, E(): 0, (77.3% identity in 264 aa overlap). Contains inositol monophosphatase family signature 1 (PS00629), significance uncertain. Seems to belong to the inositol monophosphatase family. Cofactor: Mg2+. Inhibited by Li+; PAPase activity is inhibited by Na+ and K+, but IMPase activity is not (See Gu et al., 2006; Hatzios et al., 2008).</t>
  </si>
  <si>
    <t>Rv2132, (MTCY270.36c), len: 76 aa. Conserved hypothetical protein. Function unknown but belongs to Mycobacterium tuberculosis protein family including Rv2871, Rv1241, Rv3321c, Rv1113, Rv0657c, Rv1560, Rv2104c, etc. Similarity to Mycobacterium tuberculosis protein Rv2871 (AL021924|MTV020_4, 84 aa). FASTA score: opt: 142, E(): 0.00036; 41.8% identity in 55 aa overlap</t>
  </si>
  <si>
    <t>Rv2133c, (MTCY270.35), len: 262 aa. Conserved hypothetical protein. Function: unknown but equivalent to hypothetical Mycobacterium leprae protein, Q49774. FASTA best: Q49774 B2126_C1_150 (262 aa) opt: 1447, E(): 0; (79.0% identity in 262 aa overlap). A core mycobacterial gene; conserved in mycobacterial strains (See Marmiesse et al., 2004).</t>
  </si>
  <si>
    <t>Rv2134c, (MTCY270.34), len: 195 aa. Conserved protein. Function: unknown but equivalent to hypothetical Mycobacterium leprae protein, Q49789. FASTA best: Q49789 B2126_C3_228, opt: 1192, E(): 0 (91.1% identity in 192 aa overlap). A core mycobacterial gene; conserved in mycobacterial strains (See Marmiesse et al., 2004).</t>
  </si>
  <si>
    <t>Rv2135c, (MTCY270.33), len: 236 aa. Conserved protein. Function: unknown but equivalent to hypothetical Mycobacterium leprae protein, Q49773. FASTA best: Q49773 B2126_C1_148 opt: 1183, E() : 0; (74.8% identity in 250 aa overlap), also similar in C-terminus to PMG2_ECOLI P36942 probable phosphoglycerate mutase 2 (215 aa), FASTA scores; opt: 212, E(): 2.5e-07 27.9% identity in 190 aa overlap; and to Rv2228 and Rv2419c</t>
  </si>
  <si>
    <t>Rv2136c, (MTCY270.32), len: 276 aa. Possible conserved transmembrane protein, very similar to hypothetical Mycobacterium leprae protein Q49783. FASTA best: Q49783 B2126_C2_190 opt: 1023, E(): 0; (82.4% identity in 187 aa over lap) similar to BACA_ECOLI P31054 bacitracin resistance protein (273 aa) opt: 477, E(): 7e-26, (35.6% identity in 267 aa overlap)</t>
  </si>
  <si>
    <t>Rv2137c, (MTCY270.31), len: 137 aa. Conserved hypothetical protein. C-terminus is very similar to hypothetical Mycobacterium leprae protein B2126_C2_188 (150 aa). FASTA best: Q49782 B2126_C2_188. (150 aa) opt: 469, E(): 9.6e-28; (77.2% identity in 101 aa overlap). A core mycobacterial gene; conserved in mycobacterial strains (See Marmiesse et al., 2004).</t>
  </si>
  <si>
    <t>Probable conserved lipoprotein LppL</t>
  </si>
  <si>
    <t>Rv2138, (MTCY270.30c), len: 358 aa. Probable lppL, conserved lipoprotein, with appropriately placed lipoprotein signature (PS00013) strongly similar to hypothetical Mycobacterium leprae protein, Q49806. FASTA best: Q49806 B2126_F3_142. (298 aa) opt: 1495, E(): 0; (75.3% identity in 300 aa overlap).</t>
  </si>
  <si>
    <t>Pyrimidine biosynthesis</t>
  </si>
  <si>
    <t>Probable dihydroorotate dehydrogenase PyrD</t>
  </si>
  <si>
    <t>Rv2139, (MTCY270.29c), len: 357 aa. Probable pyrD, dihydroorotate dehydrogenase ; contains dihydroorotate dehydrogenase signatures 1 and 2 (PS00911, PS00912). FASTA best: PYRD_MYCLE P46727 dihydroorotate dehydrogenase (309 aa) opt: 1653, E(): 0; (82.6% identity in 304 aa overlap)</t>
  </si>
  <si>
    <t>Conserved protein TB18.6</t>
  </si>
  <si>
    <t>Rv2140c, (MTCY270.28), len: 176 aa. TB18.6, conserved protein; shows good similarity to hypothetical proteins from Streptomyces coelicolor (177 aa; 58% identity) &gt;emb|CAC32358.1| (AL583945) and to 17.1 kDa Escherichia coli protein YbhB. FASTA best: YBHB_ECOLI P12994 hypothetical 17.1 kDa protein (158 aa) opt: 465 E( ): 2e-23; (46.2% identity in 156 aa overlap).</t>
  </si>
  <si>
    <t>Rv2141c, (MTCY270.27), len: 448 aa. Conserved protein. Shows some similarity to conserved hypothetical proteins and to acetylornithine deacetylase and succinyl-diaminopimelate desuccinylase and contains ArgE/dapE/ACY1/CPG2/yscS family signature 1 (PS00758). FASTA best: CBPS_YEAST P27614 carboxypeptidases precursor (576 aa) opt: 234, E(): 4.3e-08; (24.3% identity in 412 aa overlap). Previously named dapE2. Conserved in M. tuberculosis, M. leprae, M. bovis and M. avium paratuberculosis; predicted to be essential for in vivo survival and pathogenicity (See Ribeiro-Guimaraes and Pessolani, 2007).</t>
  </si>
  <si>
    <t>parD2</t>
  </si>
  <si>
    <t>Rv2142A</t>
  </si>
  <si>
    <t>Possible antitoxin ParD2</t>
  </si>
  <si>
    <t>Rv2142A, len: 71 aa. Possible parD2, antitoxin, part of toxin-antitoxin (TA) operon with Rv2142c (See Pandey and Gerdes, 2005).</t>
  </si>
  <si>
    <t>parE2</t>
  </si>
  <si>
    <t>Rv2142c</t>
  </si>
  <si>
    <t>Possible toxin ParE2</t>
  </si>
  <si>
    <t>Rv2142c, (MTCY270.26), len: 105 aa. Possible parE2, toxin, part of toxin-antitoxin (TA) operon with Rv2142A (See Pandey and Gerdes, 2005).</t>
  </si>
  <si>
    <t>Rv2143, (MTCY270.25c), len: 352 aa. Conserved hypothetical protein, strongly similar to two hypothetical mycobacterial proteins Rv2030c 2.1e-50 and Rv0571c from position 120 (Q50819; Q50111). FASTA best: Q50819 opt: 882, E() 0; (61.1% identity in 226 aa overlap). Also similar to AL021942|MTV039_9 (443 aa), FASTA scores: opt: 592, E(): 5e-30; 46.9% identity in 224 aa overlap</t>
  </si>
  <si>
    <t>Rv2144c, (MTCY270.24), len: 118 aa. Probable transmembrane protein. A core mycobacterial gene; conserved in mycobacterial strains (See Marmiesse et al., 2004).</t>
  </si>
  <si>
    <t>Diviva family protein Wag31</t>
  </si>
  <si>
    <t>Rv2145c, (MTCY270.23), len: 260 aa. Wag31 (alternate gene name: ag84). Function unknown but corresponds to antigen 84 of Mycobacterium tuberculosis (wag31) (see Hermans et al., 1995). Predicted to contain significant amount of coiled coil structure. Some similarity to Rv1682 and Rv2927c. FASTA best: AG84_MYCTU P46816 antigen 84. Wag31|Rv2145c and PbpB|Rv2163c have been shown to interact; cleavage of PbpB|Rv2163c by Rv2869c under conditions of oxidative stress is prevented by Wag31|Rv2145c (See Mukherjee et al., 2009).</t>
  </si>
  <si>
    <t>Rv2146c, (MTCY270.22), len: 96 aa. Possible conserved transmembrane protein, orthologs present in M. leprae, ML0921 (96 aa) and Streptomyces coelicolor. Second start taken GTG alternative upstream but much less probable in TBParse. FASTA best: Q44935 similar to a hypothetical integral membrane prot EIN (97 aa) opt: 105, E(): 0.093; (25.3% identity in 87 aa overlap). &gt;emb|CAC31302.1| (AL583920) possible membrane protein ML0921 [Mycobacterium leprae] E(): 5e-32 (76% identity in 96 aa overlap)</t>
  </si>
  <si>
    <t>Rv2147c, (MTCY270.21), len: 241 aa. Conserved hypothetical protein, similar to conserved hypothetical proteins in Mycobacterium leprae ML0920 (210 aa) and Streptomyces coelicolor. FASTA scores: &gt;emb|CAC31301.1| (AL583920) hypothetical protein ML0920 hypothetical protein (210 aa) opt: 1242, E(): 5.7e-74; 83.486% identity in 218 aa overlap. A core mycobacterial gene; conserved in mycobacterial strains (See Marmiesse et al., 2004).</t>
  </si>
  <si>
    <t>Rv2148c, (MTCY270.20), len: 258 aa. Conserved protein; should belong to the YGGS/YBL036C/F09E5.8 family. FASTA best: AB003132|AB003132_5 Corynebacterium glutamicum gene (221 aa) opt: 440, E(): 2.3e-23; 42.8% identity in 236 aa overlap; and YPI1_VIBAL P52055 hypothetical protein in pilt-proc intergenic region in Vibrio alginolyticus. opt: 266, E(): 1.8e-11; 27.9% identity in 244 aa overlap.</t>
  </si>
  <si>
    <t>Conserved protein YfiH</t>
  </si>
  <si>
    <t>Rv2149c, (MTCY270.19), len: 250 aa. YfiH; corresponds to 25.3 kDa YfiH protein in ftsZ 3' region of Streptomyces griseus, and to YfiH proteins in other bacteria. Belongs to UPF0124 Family. FASTA best: YFIH_STRGR P45496, (246 aa) opt: 722, E(): 1.9e-37; (49.4% identity in 245 aa overlap)</t>
  </si>
  <si>
    <t>Essential for cell division. It is thought that the intracellular concentration of FTSZ protein is critical for productive septum formation in mycobacteria.</t>
  </si>
  <si>
    <t>Cell division protein FtsZ</t>
  </si>
  <si>
    <t>Rv2150c, (MTCY270.18), len: 379 aa. FtsZ, cell division protein (see Dziadek et al., 2002). Contains FtsZ protein signature 2 (PS01135). FASTA best: FTSZ_STRCO P45500 cell division protein FtsZ (399 aa) opt: 1674, E(): 0; (77.3% identity in 339 aa overlap). FtsW|Rv2154c interacts with PbpB|Rv2163c and FtsZ|RvRv2150c (See Datta et al., 2006).</t>
  </si>
  <si>
    <t>This protein may be involved in septum formation.</t>
  </si>
  <si>
    <t>Possible cell division protein FtsQ</t>
  </si>
  <si>
    <t>Rv2151c, (MTCY270.17), len: 314 aa. Possible ftsQ, cell division protein, with some homology to FTSQ_STRGR|P45503 cell division protein ftsq homolog from Streptomyces griseus (208 aa), FASTA scores: opt: 204, E(): 4e-05; (30.6% identity in 193 aa overlap).</t>
  </si>
  <si>
    <t>Involved in cell wall formation; peptidoglycan biosynthesis</t>
  </si>
  <si>
    <t>Probable UDP-N-acetylmuramate-alanine ligase MurC</t>
  </si>
  <si>
    <t>Rv2152c, (MTCY270.16), len: 494 aa. Probable murC, UDP-N-acetylmuramate-alanine ligase (see citation below), similar to others e.g. MURC_ECOLI|P17952 (491 aa), FASTA scores: opt: 764, E(): 0, (36.9% identity in 474 aa overlap); etc.</t>
  </si>
  <si>
    <t>Involved in cell wall formation; peptidoglycan biosynthesis.</t>
  </si>
  <si>
    <t>Probable UPD-N-acetylglucosamine-N-acetylmuramyl-(pentapeptide) pyrophosphoryl-undecaprenol-N-acetylglucosamine transferase MurG</t>
  </si>
  <si>
    <t>Rv2153c, (MTCY270.15), len: 410 aa. Probable murG, UPD-N-acetylglucosamine-N-acetylmuramyl-(pentapeptide) pyrophosphoryl-undecaprenol-N-acetylglucosamine transferase (see citation below), similar to others e.g. MURG_BACSU[P37585 murg protein from Bacilus subtilis (363 aa), FASTA score: opt: 494, E(): 1.1e-20, (27.9% identity in 365 aa overlap); etc.</t>
  </si>
  <si>
    <t>Rv2154c, (MTCY270.14), len: 524 aa. Probable ftsW, cell division protein, related to MTCY10H4.17c, 3.2e-17. FASTA best: SP5E_BACSU P07373 stage V sporulation protein E (366 aa) opt: 755, E(): 1.6e-33; (38.4% identity in 357 aa overlap). FtsW|Rv2154c interacts with PbpB|Rv2163c and FtsZ|RvRv2150c (See Datta et al., 2006).</t>
  </si>
  <si>
    <t>Probable UDP-N-acetylmuramoylalanine-D-glutamate ligase MurD</t>
  </si>
  <si>
    <t>Rv2155c, (MTCY270.13), len: 486 aa. Probable murD, UDP-N-acetylmuramoylalanine-D-glutamate ligase (see citation below), similar to others e.g. MURD_BACSU|Q03522 (451 aa), FASTA scores: opt: 534, E(): 2.7e-25, (28.8% identity in 483 aa overlap); etc. Contains PS01011 Folylpolyglutamate synthase signature 1.</t>
  </si>
  <si>
    <t>murX</t>
  </si>
  <si>
    <t>Probable phospho-N-acetylmuramoyl-pentappeptidetransferase MurX</t>
  </si>
  <si>
    <t>Rv2156c, (MTCY270.12), len: 359 aa. Probable murX, phospho-N-acetylmuramoyl-pentappeptidetransferase (see citation below), similar to others e.g.MRAY_ECOLI|P15876 (360 aa), FASTA scores: opt: 572, E(): 2.7e-29, (35.8% identity in 344 aa overlap); etc.</t>
  </si>
  <si>
    <t>Probable UDP-N-acetylmuramoylalanyl-D-glutamyl-2,6-diaminopimelate-D-alanyl-D-alanyl ligase MurF</t>
  </si>
  <si>
    <t>Rv2157c, (MTCY270.11), len: 510 aa. Probable murF, UDP-N-acetylmuramoylalanyl-D-glutamyl-2,6-diaminopimelate-D-alanyl-D-alanyl ligase (UDP-murnac-pentapeptide synthetase) (see citation below), also related to other Mycobacterium tuberculosis mur gene products. FASTA best: MURF_ECOLI|P11880 (452 aa), opt: 515, E(): 2.6e-24, (31.9% identity in 511 aa overlap).</t>
  </si>
  <si>
    <t>Probable UDP-N-acetylmuramoylalanyl-D-glutamate-2,6-diaminopimelate ligase MurE</t>
  </si>
  <si>
    <t>Rv2158c, (MTCY270.10), len: 535 aa. Probable murE, UDP-N-acetylmuramoylalanyl-D-glutamate-2,6-diaminopimelate ligase; UDP-N-acetylmuramyl-tripeptide synthetase (see citation below), also related to other Mycobacterium tuberculosis mur gene products. FASTA best: MURE_BACSU|Q03523 (494 aa), opt: 1020, E(): 0, (40.1% identity in 476 aa overlap).</t>
  </si>
  <si>
    <t>Rv2159c</t>
  </si>
  <si>
    <t>Rv2159c, (MTCY270.09), len: 344 aa. Conserved protein; some similarity to hypothetical protein from Streptomyces coelicolor SC1A6.09c (337 aa, 29% identity). Smith-Waterman scores: &gt;pir||T28690 hypothetical protein - Streptomyces coelicolor &gt;gi|3127841|emb|CAA18907.1| (AL023496) Expect = 2e-18. This region is a possible MT-complex-specific genomic island (See Becq et al., 2007).</t>
  </si>
  <si>
    <t>Rv2160A</t>
  </si>
  <si>
    <t>Rv2160A, len: 211 aa. Conserved hypothetical protein, possibly a TetR-family transcriptional regulator, similar to N-terminal half of AL512667_12|Q9AD73|SCK31.01c putative TetR-family transcriptional regulator from Streptomyces coelicolor (200 aa), FASTA scores: opt: 285, E(): 1.4e-08, (51.042% identity in 96 aa overlap). Next gene, Rv2160c, is similar to C-terminal half of 2SCK31.01c suggesting possible frameshift near 2421978 but sequence of this region has been checked and is also identical in strain CDC1551. This region is a possible MT-complex-specific genomic island (See Becq et al., 2007).</t>
  </si>
  <si>
    <t>Rv2160c</t>
  </si>
  <si>
    <t>Rv2160c, (MTCY270.08), len: 113 aa. Conserved hypothetical protein, possibly a TetR-family transcriptional regulator, similar to C-terminal half of AL512667_12|Q9AD73|SCK31.01c putative TetR-family transcriptional regulator from Streptomyces coelicolor (200 aa), while Rv2160A is similar to the N-terminal half of 2SCK31.01c. This suggests possible frameshift near 2421978 but sequence of this region has been checked and is also identical in strain CDC1551. This region is a possible MT-complex-specific genomic island (See Becq et al., 2007).</t>
  </si>
  <si>
    <t>Rv2161c</t>
  </si>
  <si>
    <t>Rv2161c, (MTCY270.07), len: 288 aa. Conserved protein; shows some similarity to protein involved in lincomycin production and to other M. tuberculosis proteins e.g. Rv0953c, Rv0791c, Rv0132c, Rv2951c, Rv1855c. FASTA best: Q54379 (78-11) lincomycin production genes (295 aa) opt: 243, E(): 2.4e-09; (29.5% identity in 285 aa overlap). This region is a possible MT-complex-specific genomic island (See Becq et al., 2007).</t>
  </si>
  <si>
    <t>PE-PGRS family protein PE_PGRS38</t>
  </si>
  <si>
    <t>Rv2162c, (MTCY270.06), len: 532 aa. PE_PGRS38, Member of M. tuberculosis PE_PGRS family (see citations below). FASTA score: Y03A_MYCTU Q 10637 hypothetical glycine-rich 49.6 kDa protein (603 aa) op t: 1798 z-score: 1220.0 E(): 0; (55.4% identity in 590 aa overlap). This region is a possible MT-complex-specific genomic island (See Becq et al., 2007).</t>
  </si>
  <si>
    <t>Involved in peptidoglycan biosynthesis</t>
  </si>
  <si>
    <t>Probable penicillin-binding membrane protein PbpB</t>
  </si>
  <si>
    <t>Rv2163c, (MTCY270.05), len: 679 aa. Probable pbpB, penicillin-binding membrane protein, similar to many bacterial PBP2 proteins e.g. P11882|PBP2_NEIME|PENA|NMA2072|NMB0413 penicillin-binding protein 2 (pbp-2) from Neisseria meningitidis (serogroups a and B) (581 aa), FASTA scores: opt: 665, E(): 1.6e-31, (33.2% identity in 591 aa overlap); etc. Also similar to Rv0016c and Rv2864c from Mycobacterium tuberculosis (2.8e-10). Contains PS00017 possible ATP/GTP-binding site motif A (P-loop) near C-terminus. FASTA best: PBP2_NEIME P11882 penicillin-binding protein 2 (pbp-2). (581 aa) opt: 665, E(): 1.6e-31; (33.2% identity in 591 aa overlap). FtsW|Rv2154c interacts with PbpB|Rv2163c and FtsZ|RvRv2150c (See Datta et al., 2006). Cleavage of PbpB|Rv2163c by Rv2869c under conditions of oxidative stress is prevented by Wag31|Rv2145c (See Mukherjee et al., 2009).</t>
  </si>
  <si>
    <t>Probable conserved proline rich membrane protein</t>
  </si>
  <si>
    <t>Rv2164c, (MTCY270.04), len: 384 aa. Probable pro- rich conserved membrane protein, equivalent to ML0907|AL022602 putative conserved membrane protein from Mycobacterium leprae (377 aa) (AL022602), FASTA scores: opt: 1495, E(): 1.7e-56, (62.217% identity in 397 aa overlap). A core mycobacterial gene; conserved in mycobacterial strains (See Marmiesse et al., 2004).</t>
  </si>
  <si>
    <t>Rv2165c, (MTCY270.03), len: 396 aa. Conserved protein; shows strong similarity to several hypothetical bacterial proteins but has extra 80 aa residues at N-terminus FASTA best: YLXA_BACSU Q07876 hypothetical 35.3 kDa protein in ftsl (311 aa) opt: 781, E(): 0; (45.6% identity in 296 aa overlap), belongs to the YABC (E.coli), YLXA (B.subtilis) family</t>
  </si>
  <si>
    <t>Rv2166c, (MTCY270.02), len: 143 aa. Conserved protein; shows strong similarity to several hypothetical bacterial proteins such as YLLB_BACSU P55343. Is equivalent to Mycobacterium leprae hypothetical protein ML0905 (143 aa, 92% identity) MLCB268.11c &gt;sp|O69561|YL66_MYCLE hypothetical 16.1 KDA protein ML0905 &gt;gi|3080482|emb|CAA18677.1|(AL022602) &gt;gi|13092975|emb|CAC31286.1|(AL583920). FASTA scores: ML0905|ML0905 conserved hypothetical protein (143 aa) opt: 873, E(): 3.1e-52; 92.254% identity in 142 aa overlap; YLLB_BACSU P55343 hypothetical 16.6 kDa protein (143 aa) opt: 340, E(): 3.6e-17; (35.0% identity in 143 aa overlap). Belongs to the YABB (E.coli), YLLB (B.subtilis), MG221 (M.genitalium) family</t>
  </si>
  <si>
    <t>Rv2167c</t>
  </si>
  <si>
    <t>Rv2167c, (MTCY270.01), len: 328 aa. Probable IS6110 transposase. Identical to many other M. tuberculosis IS6110 transposase subunits. The transposase described here may be made by a frame shifting mechanism during translation that fuses Rv2167c and Rv2168c, the sequence UUUUAAAG (directly upstream of Rv2167c) maybe responsible for such a frameshifting event (see McAdam et al., 1990). Start changed since first submission (- 18 aa).</t>
  </si>
  <si>
    <t>Rv2168c</t>
  </si>
  <si>
    <t>Rv2168c, (MTV021.01c), len: 108 aa. Putative transposase for IS6110 (fragment), identical to many other Mycobacterium tuberculosis IS6110 transposase subunits e.g. Q50686|YIA4_MYCTU Insertion element IS6110 hypothetical 12.0 kDa protein (108 aa), fasta scores: E(): 1.4e-43, (100.00% identity in 108 aa overlap). The transposase described here may be made by a frame shifting mechanism during translation that fuses Rv2167c and Rv2168c, the sequence UUUUAAAG (directly upstream of Rv2167c) maybe responsible for such a frameshifting event (see McAdam et al., 1990).</t>
  </si>
  <si>
    <t>Rv2169c, (MTV021.02c), len: 134 aa. Probable conserved transmembrane protein, with orthologs in M. leprae, ML0904 probable membrane protein (134 aa), and Streptomyces coelicolor. FASTA scores with ML0904, opt: 767, E(): 5.1e-43; 86.567% identity in 134 aa overlap. emb|CAA18678.1| (AL022602) &gt;gi|13092974|emb|CAC31285.1| (AL583920). A core mycobacterial gene; conserved in mycobacterial strains (See Marmiesse et al., 2004).</t>
  </si>
  <si>
    <t>Rv2170</t>
  </si>
  <si>
    <t>Rv2170, (MTV021.03), len: 206 aa. Probable acetyltransferase. Contains GNAT (Gcn5-related N-acetyltransferase) domain in C-terminal part. See Vetting et al. 2005. Equivalent to hypothetical protein ML0903 (210 aa) from Mycobacterium leprae. FASTA scores: ML0903 conserved hypothetical protein (210 aa) opt: 1045, E(): 9.1e-57; 77.143% identity in 210 aa overlap. &gt;emb|CAA18679.1| (AL022602) &gt;gi|13092973|emb|CAC31284.1| (AL583920). A core mycobacterial gene; conserved in mycobacterial strains (See Marmiesse et al., 2004).</t>
  </si>
  <si>
    <t>Probable conserved lipoprotein LppM</t>
  </si>
  <si>
    <t>Rv2171, (MTV021.04), len: 227 aa. Probable lppM, conserved lipoprotein; contains putative signal peptide and appropriately positioned PS00013 Prokaryotic membrane lipoprotein lipid attachment site. Has hydrophobic stretch at C-terminus and also contains PS00225 Crystallins beta and gamma 'Greek key' motif signature. Unknown but equivalent to Mycobacterium leprae lipoprotein ML0902 (239 aa). FASTA scores: opt: 1083, E(): 2.4e-56; 75.446% identity in 224 aa overlap (5-227:16-239) &gt;emb|CAA18680.1| (AL022602) &gt;gi|13092972|emb|CAC31283.1| (AL583920). A core mycobacterial gene; conserved in mycobacterial strains (See Marmiesse et al., 2004).</t>
  </si>
  <si>
    <t>Rv2172c, (MTV021.05c), len: 301 aa. Conserved protein, equivalent to Mycobacterium leprae conserved hypothetical protein ML0901 (304 aa). FASTA scores: opt: 1656, E(): 7.7e-98; 81.271% identity in 299 aa overlap (1-299:1-299) &gt;emb|CAA18681.1| (AL022602) &gt;gi|13092971|emb|CAC31282.1| (AL583920). A core mycobacterial gene; conserved in mycobacterial strains (See Marmiesse et al., 2004).</t>
  </si>
  <si>
    <t>Involved in lipid biosynthesis.</t>
  </si>
  <si>
    <t>Probable geranylgeranyl pyrophosphate synthetase IdsA2 (ggppsase) (GGPP synthetase) (geranylgeranyl diphosphate synthase)</t>
  </si>
  <si>
    <t>Rv2173, (MTV021.06), len: 352 aa. Probable idsA2, geranylgeranyl pyrophosphate synthase, similar to many e.g. Q54193 geranylgeranyl pyrophosphate synthase from Streptomyces griseus (425 aa). Contains PS00723 and PS00444Polyprenyl synthetases signature 1 and 2. FASTA scores: sptr|Q54193|Q54193 geranylgeranyl pyrophosphate synthase (425 aa) opt: 744, E(): 0; 39.2% identity in 352 aa overlap.</t>
  </si>
  <si>
    <t>mptA</t>
  </si>
  <si>
    <t>Mannosyltransferase, likely involved in the biosynthesis of lipomannan (LM)</t>
  </si>
  <si>
    <t>Alpha(1-&gt;6)mannosyltransferase. Possible conserved integral membrane protein.</t>
  </si>
  <si>
    <t>Rv2174, (MTV021.07), len: 516 aa. MptA (mannopyranosyltransferase A) (See Mishra et al., 2007). Possible conserved integral membrane protein, similar to some hypothetical mycobacterial proteins e.g. Mycobacterium leprae ML0899 probable integral-membrane protein (505 aa) and MLCL536_26 (593 aa). FASTA scores: ML0899 opt: 2715; 78.884% identity in 502 aa overlap and gp|Z99125|MLCL536_26 Mycobacterium leprae cosmid L536. (593 aa) opt: 552, E(): 7.1e-30; 31.6% identity in 513 aa overlap. Also similar to Rv1459c. Predicted to be in the GT-C superfamily of glycosyltransferases (See Liu and Mushegian, 2003).</t>
  </si>
  <si>
    <t>Conserved regulatory protein</t>
  </si>
  <si>
    <t>Rv2175c, (MTV021.08c), len: 146 aa. Conserved protein, possibly involved in regulation. Contains possible helix-turn-helix domain at aa 31-52 (Score 1042, +2.74 SD). Equivalent to Mycobacterium leprae ML0898 putative DNA-binding protein (134 aa). FASTA scores: opt: 747; 82.090% identity in 134 aa overlap (AL022602) &gt;gi|13092969|emb|CAC31279.1| (AL583920). A core mycobacterial gene; conserved in mycobacterial strains (See Marmiesse et al., 2004).</t>
  </si>
  <si>
    <t>Involved in signal transduction (via phosphorylation). May be involved in transcriptional mechanism.</t>
  </si>
  <si>
    <t>Probable transmembrane serine/threonine-protein kinase L PknL (protein kinase L) (STPK L)</t>
  </si>
  <si>
    <t>Rv2176, (MTV021.09), len: 399 aa. Probable pknL, transmembrane serine/threonine-protein kinase (see citation below), similar to many e.g. MLCB1770_9 (622 aa). Lacks C-terminal domain and ends with putative transmembrane segment. Contains PS00108 Serine/Threonine protein kinases active-site signature. FASTA scores: Z70722|MLC B1770_9 Mycobacterium leprae cosmid B1770 (622 aa) opt: 732, E(): 5.9e-23; 44.4% identity in 266 aa overlap. Also similar to several Mycobacterium tuberculosis STPK proteins e.g. Rv0014c|PKNB, Rv0015c|PKNA, Rv1743|PKNE, Rv1266c|PKNH etc. Contains Hank's kinase subdomain. Belongs to the Ser/Thr family of protein kinases.</t>
  </si>
  <si>
    <t>Required for the transposition of an insertion element, possibly IS1558.</t>
  </si>
  <si>
    <t>Rv2177c, (MTV021.10c), len: 221 aa. Possible IS1558 transposase (see citation below), similar to several is element proteins and transposases but nearly identical to last 221 residues of MTCY428_23 (333 aa). FASTA scores: Z81451|MTCY428_23 Mycobacterium tuberculosis cosmid (333 aa) opt: 1491, E() : 0; 98.6% identity in 221 aa overlap.</t>
  </si>
  <si>
    <t>Chorismate biosynthesis</t>
  </si>
  <si>
    <t>3-deoxy-D-arabino-heptulosonate 7-phosphate synthase AroG (DAHP synthetase, phenylalanine-repressible)</t>
  </si>
  <si>
    <t>Rv2178c, (MTV021.11c), len: 462 aa. aroG, 3-deoxy-D-arabino-heptulosonate 7-phosphate synthase similar to many, especially those from plants. FASTA scores: Y15113|M C3DDAH7P_1Morinda citrifolia mRNA for 3-deoxy-D-arabino-heptulosonate 7-phosphate synthase (535 aa) opt: 1421, E(): 0; 48.3% identity in 443 aa overlap.</t>
  </si>
  <si>
    <t>Rv2179c</t>
  </si>
  <si>
    <t>Rv2179c, (MTV021.12c), len: 168 aa. Conserved hypothetical protein, equivalent to conserved hypothetical protein from Mycobacterium leprae ML0895 conserved hypothetical protein (171 aa). FASTA scores: opt: 977, E(): 1.4e-58; 82.530% identity in 166 aa overlap (AL022602). A core mycobacterial gene; conserved in mycobacterial strains (See Marmiesse et al., 2004).</t>
  </si>
  <si>
    <t>Rv2180c, (MTV021.13c), len: 295 aa. Probable conserved integral membrane protein, similar to pir||T35292 probable integral membrane protein from Streptomyces coelicolor &gt;gi|5578858|emb|CAB51260.1| (AL096872) (246 aa) (36% identity in 249 aa overlap).</t>
  </si>
  <si>
    <t>Mannosyltansferase responsible for the addition of alpha(1-&gt;2) branches to the mannan core in the biosynthesis of lipomannan (LM) and lipoarabinomannan (lam)</t>
  </si>
  <si>
    <t>Alpha(1-&gt;2)mannosyltransferase</t>
  </si>
  <si>
    <t>Rv2181, (MTV021.14), len: 427 aa. Alpha(1-&gt;2)mannosyltransferase (See Kaur et al., 2006). Probable integral membrane protein, similar to others in Mycobacterium tuberculosis e.g. Rv1159 (MTCI65.26, 431 aa). Start uncertain. FASTA scores: Z95584|MTCI65_26 (431 aa) opt: 428, E(): 8e-22; 31.2% identity in 407 aa overlap. Predicted to be in the GT-C superfamily of glycosyltransferases (See Liu and Mushegian, 2003).</t>
  </si>
  <si>
    <t>Transfer of fatty acyl groups</t>
  </si>
  <si>
    <t>Rv2182c, (MTV021.15c), len: 247 aa. Probable 1-acylglycerol-3-phosphate O-acyltransferase, similar to many e.g. in Streptomyces. Contains PS00017 ATP/GTP-binding site motif A (P-loop). FASTA scores: pir||T35503 1-acylglycerol-3-phosphate O-acyltransferase homolog SC6E10.16c - Streptomyces coelicolor &gt;gi|5689932|emb|CAB51970.1| (AL109661) hypothetical protein [Streptomyces coelicolor A3(2)] Length = 262, Expect = 6e-61 (54% identity in 215 aa overlap).</t>
  </si>
  <si>
    <t>Rv2183c, (MTV021.16c), len: 131 aa. Conserved protein, equivalent to Mycobacterium leprae hypothetical protein ML0891 (MLCB268.25c, 130 aa). FASTA scores: opt: 558, E(): 8.3e-28; 61.832% identity in 131 aa overlap &gt;gi|13092963|emb|CAC31272.1| (AL583920) (AL022602). A core mycobacterial gene; conserved in mycobacterial strains (See Marmiesse et al., 2004).</t>
  </si>
  <si>
    <t>Rv2184c, (MTV021.17c), len: 379 aa. Conserved hypothetical protein, equivalent to hypothetical protein ML0890 (415 aa) from Mycobacterium leprae and also shows some similarity to other hypothetical proteins. FASTA scores: ML0890 opt: 1949; 79.630% identity in 378 aa overlap &gt;emb|CAA18692.1| (AL022602) &gt;gi|13092962|emb|CAC31271.1| (AL583920) and sptr|Q55794|Q55794 hypothetical 44.6 kDa protein. (396 aa) opt: 251, E(): 3.3e-09; 25.5% identity in 384 aa overlap.</t>
  </si>
  <si>
    <t>Conserved protein TB16.3</t>
  </si>
  <si>
    <t>Rv2185c, (MTV021.18c), len: 144 aa. TB16.3, conserved protein, similar to other hypothetical actinomycete proteins and equivalent to Mycobacterium leprae ML0889 (144 aa). Some similarity to Mycobacterium tuberculosis Rv0854, Rv0856, Rv0857, Rv0164 and other Mycobacterium leprae proteins. FASTA scores : ML0889 opt: 811; 85.417% identity in 144 aa overlap (AL022602). A core mycobacterial gene; conserved in mycobacterial strains (See Marmiesse et al., 2004).</t>
  </si>
  <si>
    <t>Rv2186c, (MTV021.19c), len: 129 aa. Conserved hypothetical protein, equivalent to hypothetical Mycobacterium leprae protein ML0888 (135 aa). FASTA scores: ML0888 opt: 704, E(): 2.9e-43; 80.000% identity in 130 aa overlap CAA18694.1| (AL022602). A core mycobacterial gene; conserved in mycobacterial strains (See Marmiesse et al., 2004).</t>
  </si>
  <si>
    <t>Long-chain-fatty-acid-CoA ligase FadD15 (fatty-acid-CoA synthetase) (fatty-acid-CoA synthase)</t>
  </si>
  <si>
    <t>Rv2187, (MTV021.20), len: 600 aa. fadD15, long-chain-fatty-acid-CoA ligase, similar to several e.g. P44446|LCFH_HAEIN putative long-chain-fatty-acid--CoA ligase from Haemophilus influenzae (607 aa), FASTA scores: (607 aa) opt: 992, E(): 0, (31.5% identity in 578 aa overlap); etc. Contains PS00455 Putative AMP-binding domain signature. Belongs to the ATP-dependent AMP-binding enzyme family.</t>
  </si>
  <si>
    <t>Involved in lipoarabinomannan (lam) biosynthesis</t>
  </si>
  <si>
    <t>Mannosyltransferase PimB</t>
  </si>
  <si>
    <t>Rv2188c, (MTV021.21c), len: 385 aa. PimB (previously known as pimB'), mannosyltransferase. Equivalent to Mycobacterium leprae ML0886 putative glycosyl transferase (384 aa). FASTA scores: ML0886 (CAA18697.1| (AL022602) ) opt: 2113, E(): 1.8e-106; 81.462% identity in 383 aa overlap; sptr|P73369|P73369 hypothetical 46.2 kDa protein (404 aa) opt: 379, E(): 2.2e-18; 27.5% identity in 397 aa overlap. Start changed since first submission, now 14 aa shorter.</t>
  </si>
  <si>
    <t>Rv2189c, (MTV021.22c), len: 257 aa. Conserved hypothetical protein; some similarity to hypothetical protein SC6G10.07c (385 aa) from Streptomyces coelicolor A3(2). Smith-Waterman scores: pir||T35516 hypothetical protein SC6G10.07c - Streptomyces coelicolor &gt;gi|4539203|emb|CAB39861.1| (AL049497) Expect = 2e-08; 30% identity in 245 aa overlap.</t>
  </si>
  <si>
    <t>Rv2190c, (MTV021.23c, MTCY190.01c), len: 385 aa. Conserved hypothetical protein; similar to other hypothetical mycobacterial proteins, including Rv1477, Rv1478, Rv1566c, Rv0024, that are similar to protein p60 precursors from Listeria e.g. Q018 38|P60_LISSE protein p60 precursor (invasion-associated protein) (524 aa). FASTA scores: gp|Z80233|MTCY10H4_25 (281 aa) opt: 290, E(): 6.9e-05; 37.0% identity in 127 aa overlap and sp|Q01838|P60_LISSE protein P60 precursor (523 aa) opt: 268, E(): 0.00071; 38.5% identity in 104 aa overlap.</t>
  </si>
  <si>
    <t>Rv2191, (MTCY190.02), len: 645 aa. Conserved hypothetical protein, similar to SW:DP3A_B ACSU P13267 DNA polymerase III, alpha chain (31.3% identity in 249 aa overlap) and SW:UVRC_ECOLI P07028 excinuclease ABC subunit C (25.7% identity in 230 aa overlap). Also similar to M. tuberculosis Rv3711c (dnaQ DNA polymerase III e chain) and Rv1420 (uvrC excinuclease ABC subunit C)</t>
  </si>
  <si>
    <t>Tryptophan biosynthesis</t>
  </si>
  <si>
    <t>Probable anthranilate phosphoribosyltransferase TrpD</t>
  </si>
  <si>
    <t>Rv2192c, (MTCY190.03c), len: 370 aa. Probable trpD, anthranilate phosphoribosyltransferase (see citation below), similar to e.g. TRPD_LACCA|P17170, (43.2% identity in 308 aa overlap). Initiation codon uncertain, gtg at 4086 in MTCY190 favoured by homology but this has no clear ribosome binding site.</t>
  </si>
  <si>
    <t>Probable cytochrome C oxidase (subunit III) CtaE</t>
  </si>
  <si>
    <t>Rv2193, (MTCY190.04), len: 203 aa. Probable ctaE, cytochrome c oxidase polypeptide III (cox3), with strong similarity to others e.g. COX3_SYNY3|Q06475 (29.8% identity in 225 aa overlap).</t>
  </si>
  <si>
    <t>Probable ubiquinol-cytochrome C reductase QcrC (cytochrome C subunit)</t>
  </si>
  <si>
    <t>Rv2194, (MTCY190.05), len: 280 aa. Probable qcrC, Ubiquinol-cytochrome C reductase cytochrome C subunit (cyoA), shows similarity to cytochrome c family; contains 2 X PS00190 Cytochrome c family heme-binding site signature.</t>
  </si>
  <si>
    <t>Probable rieske iron-sulfur protein QcrA</t>
  </si>
  <si>
    <t>Rv2195, (MTCY190.06), len: 429 aa. Probable qcrA, Ubiquinol-cytochrome C reductase iron-sulfur subunit (cyoB), shows some similarity to cytochrome B6-F complex iron-sulphur subunits (Rieske iron-sulfur protein); contains PS00200 Rieske iron-sulfur protein signature 2</t>
  </si>
  <si>
    <t>Probable ubiquinol-cytochrome C reductase QcrB (cytochrome B subunit)</t>
  </si>
  <si>
    <t>Rv2196, (MTCY190.07), len: 549 aa. Probable qcrB, Ubiquinol-cytochrome C reductase cytochrome B subunit (cytB), integral membrane protein, low similarity in amino-terminal half to cytochrome b subunits, highly similar at C-terminus to SW:12KD_MYCLE P15878 12 KD protein PIR:S08427 (86.9% identity in 153 aa overlap). FASTA scores: sp|Q45658|QCRB_BACST menaquinol-cytochrome C reductase (224 aa) opt: 341, E(): 6.8e-15; 28.0% identity in 207 aa overlap</t>
  </si>
  <si>
    <t>Rv2197c, (MTCY190.08c), len: 214 aa. Probable conserved transmembrane protein, equivalent to ML0878 conserved hypothetical protein (212 aa) of Mycobacterium leprae. FASTA scores: opt: 858; 62.559% identity in 211 aa overlap CAC31259.1|(AL583920). A core mycobacterial gene; conserved in mycobacterial strains (See Marmiesse et al., 2004).</t>
  </si>
  <si>
    <t>Probable conserved membrane protein MmpS3</t>
  </si>
  <si>
    <t>Rv2198c, (MTCY190.09c), len: 299 aa. Probable mmpS3, conserved membrane protein (see citation below), equivalent to ML0877|mmpS3 putative membrane protein from Mycobacterium leprae (293 aa), FASTA scores: opt: 1089, E(): 1.2e-43, (69.80% identity in 308 aa overlap). Also similar to other proteins e.g. Rv3209 from Mycobacterium tuberculosis. Contains PS00499 C2 domain signature, a hydrophobic region, and a repetitive proline and threonine rich region. Belongs to the MmpS family. A core mycobacterial gene; conserved in mycobacterial strains (See Marmiesse et al., 2004).</t>
  </si>
  <si>
    <t>Rv2199c, (MTCY190.10c), len: 139 aa. Possible conserved integral membrane protein, similar to hypothetical membrane proteins in Actinomycetes and equivalent to Mycobacterium leprae, ML0876, putative membrane protein (139 aa) FASTA scores: opt: 866, E(): 1.1e-43; 91.367% identity in 139 aa overlap CAC31257.1| (AL583920)</t>
  </si>
  <si>
    <t>Involved in aerobic respiration. Subunit I and II form the functional core of the enzyme complex. Electrons originating in cytochrome C are transferred via heme a and Cu(A) to the binuclear center formed by heme A3 and Cu(B).</t>
  </si>
  <si>
    <t>Probable transmembrane cytochrome C oxidase (subunit II) CtaC</t>
  </si>
  <si>
    <t>Rv2200c, (MTCY190.11c), len: 363 aa. Probable ctaC, transmembrane cytochrome C oxidase (subunit II), COX2, similar e.g. to JT0964 cytochrome-c oxidase chain II (23.0% identity in 317 aa overlap); etc. Contains PS00078 Cytochrome c oxidase subunit II, copper a binding region signature. Belongs to the cytochrome C oxidase subunit 2 family.</t>
  </si>
  <si>
    <t>Asparagine biosynthesis</t>
  </si>
  <si>
    <t>Probable asparagine synthetase AsnB</t>
  </si>
  <si>
    <t>Rv2201, (MTCY190.12), len: 652 aa. Probable asnB, asparagine synthetase, similar to e.g. SW:ASNH_BACSU P42113 putative asparagine synthetase (26.0% identity in 438 aa overlap)</t>
  </si>
  <si>
    <t>Adenosine phosphorylation</t>
  </si>
  <si>
    <t>Adenosine kinase</t>
  </si>
  <si>
    <t>Rv2202c, (MTCY190.13c), len: 324 aa. AdoK, Adenosine kinase activity proven biochemically (See Long et al. 2003). Similar to several others but shows greater sequence homology with ribokinase and fructokinase than it does with other AKs e.g. AE000915_1 Methanobacterium thermoautotrop (309 aa) FASTA score: opt: 370, E(): 3.3e-18; 31.2% identity in 276 aa overlap. Low similarity to carbohydrate kinases, e.g. SW:RBSK_BACSU P36945 ribokinase (23.9% identity in 272 aa overlap); contains PS00583 pfkB family of carbohydrate kinases signature 1. Previously known as cbhK</t>
  </si>
  <si>
    <t>Rv2203, (MTCY190.14), len: 230 aa. Possible conserved membrane protein; has single hydrophobic stretch from aa 75 to 97 and is equivalent to Mycobacterium leprae ML0872 putative membrane protein (171 aa). FASTA scores: opt: 821, E(): 3.4e-42; 72.353% identity in 170 aa overlap - CAC31253.1| (AL583920). 2468411. A core mycobacterial gene; conserved in mycobacterial strains (See Marmiesse et al., 2004).</t>
  </si>
  <si>
    <t>Rv2204c, (MTCY190.15c), len: 118 aa. Conserved protein. Similar to conserved hypothetical proteins in Actinomycetes and equivalent to Mycobacterium leprae ML0871|ML0871 conserved hypothetical protein (118 aa) and to sp|P45344|YADR_HAEIN hypothetical protein HI1723 (114 aa). FASTA score: ML0871 opt: 720, E(): 8.4e-45; 92.373% identity in 118 aa overlapCAC31252.1| (AL583920); and P45344 opt: 346, E(): 1.8e-18; 45.6% identity in 103 aa overlap. Contains PS01152 Hypothetical hesB/y yadR/yfhF family signature</t>
  </si>
  <si>
    <t>Rv2205c, (MTCY190.16c), len: 358 aa. Conserved hypothetical protein. Very similar to YHAD_ECOLI|P23524 hypothetical protein (YHAD (E.coli) / YXAA (S14A) (B.subtilis) family) (41.6% identity in 154 aa overlap), and to other members of the glycerate kinase family. Start changed since first submission; protein now 122 aa shorter, owing to extension of Rv2206. Nucleotide position 2470149 in the genome sequence has been corrected, T:C resulting in E105E.</t>
  </si>
  <si>
    <t>Rv2206, (MTCY190.17), len: 236 aa. Probable conserved transmembrane protein. Equivalent to hypothetical protein ML0869 (247 aa) of Mycobacterium leprae gZ98741|MLCB22_2 (247 aa), FASTA scores: opt: 1052, (67.5% identity in 237 aa overlap). Two hydrophobic stretches in C-terminal part. Start changed since original submission (+112 aa).</t>
  </si>
  <si>
    <t>Probable nicotinate-nucleotide-dimethylbenzimidazol phosphoribosyltransferase CobT</t>
  </si>
  <si>
    <t>Rv2207, (MTCY190.18), len: 361 aa. Probable cobT, phosphoribosyltransferase, similar to many e.g. SW:COBT_ECOLI P36562 nicotinate-nucleotide--dimethylbenzimidazol phosphoribosyltransferase (34.6% identity in 341 aa overlap)</t>
  </si>
  <si>
    <t>Probable cobalamin 5'-phosphate synthase CobS</t>
  </si>
  <si>
    <t>Rv2208, (MTCY190.19), len: 249 aa. Probable cobS, cobalamin 5'-phosphate synthase; similarity to SW:COBS_ECOLI P36561 cobalamin (5'-phosphate) synthase (28.0% identity in 243 aa overlap)</t>
  </si>
  <si>
    <t>Rv2209, (MTCY190.20), len: 512 aa. Probable conserved integral membrane protein, similar to but longer than Rv0246 gp|AL021929|MTV 034_12 Mycobacterium tuberculosis (436 aa). FASTA score: opt: 712, E(): 2.8e- 32; 33.4% identity in 422 aa overlap</t>
  </si>
  <si>
    <t>Thought to catalyze the first reaction in the catabolism of the essential branched chain amino acids leucine, isoleucine, and valine [catalytic activity: L-leucine + 2-oxoglutarate = 4-methyl-2-oxopentanoate + L-glutamate].</t>
  </si>
  <si>
    <t>Branched-chain amino acid transaminase IlvE</t>
  </si>
  <si>
    <t>Rv2210c, (MTCY190.21c), len: 368 aa. ilvE, Branched-chain-amino-acid transaminase, highly similar to many e.g. YWAA_BACSU|P39576 from Bacillus subtilis (48.4% identity in 339 aa overlap); etc.</t>
  </si>
  <si>
    <t>The glycine cleavage system catalyzes the degradation of glycine [catalytic activity: (6S)-tetrahydrofolate + S-aminomethyldihydrolipoylprotein = (6R)-5,10-methylenetetrahydrofolate + NH3 + dihydrolipoylprotein].</t>
  </si>
  <si>
    <t>Probable aminomethyltransferase GcvT (glycine cleavage system T protein)</t>
  </si>
  <si>
    <t>Rv2211c, (MTCY190.22), len: 379 aa. Probable gcvT, aminomethyltransferase, similar to many e.g. GCST_ECOLI|P27248 for Escherichia coli (38.2% identity in 364 aa overlap); etc. Belongs to the GcvT family.</t>
  </si>
  <si>
    <t>Rv2212, (MTCY190.23), len: 378 aa. Adenylyl cyclase (See Abdel Motaal et al., 2006). Some similarity to e.g. SW:CYAA_STRCO P40135 adenylate cyclase (29.2% identity in 291 aa overlap); ttg at 24614 in MTCY190 has a better rbs. Contains possible helix-turn-helix motif at aa 64- 85, (+2.72 SD). Also similar to Rv1264 and Rv1647</t>
  </si>
  <si>
    <t>Probable aminopeptidase PepB</t>
  </si>
  <si>
    <t>Rv2213, (MTCY190.24), len: 515 aa. Probable pepB, leucine aminopeptidase, similar to many e.g. SW:AMPA_ECOLI P11648 aminopeptidase a/I, (41.4% identity in 309 aa overlap). Equivalent to Z98741|MLCB22_6 Mycobacterium leprae cosmid B22; Am (524 aa), FASTA scores: opt: 2793, E(): 0; 83.1% identity in 522 aa overlap. Contains PS00631 Cytosol aminopeptidase signature, ntdaegrl. Conserved in M. tuberculosis, M. leprae, M. bovis and M. avium paratuberculosis; predicted to be essential for in vivo survival and pathogenicity (See Ribeiro-Guimaraes and Pessolani, 2007).</t>
  </si>
  <si>
    <t>Thought to be involved in detoxification reactions following oxidative damage to lipids.</t>
  </si>
  <si>
    <t>Possible short-chain dehydrogenase EphD</t>
  </si>
  <si>
    <t>Rv2214c, (MTCY190.25c), len: 592 aa. Possible ephD, short-chain dehydrogenase (see citation below), equivalent to Z98741|MLCB22_8 Mycobacterium leprae cosmid B22; (596 aa), FASTA score: opt: 3262, E(): 0; 80.4% identity in 596 aa overlap. C-terminus similar to short-chain alcohol dehydrogenase family, similar to SW:LIGD_PSEPA Q01198 c alpha-dehydrogenase (30.7% identity in 241 aa overlap); contains PS00061 Short-chain alcohol dehydrogenase family signature, PS00697 ATP-dependent DNA ligase AMP-binding site. N-terminus corresponds to several epoxide hydrolases of plants and Mycobacterium tuberculosis e.g. MTCY9F925</t>
  </si>
  <si>
    <t>Involved in tricarboxylic acid cycle; converts pyruvate to acetyl-CoA and CO2. Also involved in antioxidant defense; LPDC|Rv0462, DLAT|Rv2215, AHPD|Rv2429, and AHPC|Rv2428 constitute an NADH-dependent peroxidase and peroxynitrite reductase that provides protection against oxidative stress.</t>
  </si>
  <si>
    <t>DlaT, dihydrolipoamide acyltransferase, E2 component of pyruvate dehydrogenase</t>
  </si>
  <si>
    <t>Rv2215, (MTCY190.26), len: 553 aa. DlaT, dihydrolipoamide acyltransferase, E2 component of pyruvate dehydrogenase, proven biochemically (see Tian et al. 2005), similar to e.g. SW:O PD2_ACHLA P35489 dihydrolipoamide acetyltransferase component (E2) of pyruvate dehydrogenase complex (35.3% identity in 552 aa overlap); contains PS00189 2-oxo acid dehydrogenases acyltransferase component lipoyl binding site. Rhodanine compounds inhibit DlaT|Rv2215 and can kill non-replicating mycobacteria in mouse bone marrow-derived macrophages (See Bryk et al., 2008). LpdC|Rv0462 co-immunoprecipitates with DlaT|Rv2215 (in lpdC|Rv0462 mutant) and with BkdC|Rv2495c (in dlaT|Rv2215 mutant) (See Venugopal et al., 2011).</t>
  </si>
  <si>
    <t>Rv2216, (MTCY190.27), len: 301 aa. Conserved protein, equivalent to Mycobacterium leprae ML0860 (307 aa), Z98741|MLCB22_10 Mycobacterium leprae cosmid B22; H (307 aa). FASTA score: opt: 1656, E(): 0; 84.2% identity in 297 aa overlap. Also gp|AE000319|ECAE000319_8 Escherichia coli strain K12 MG1655 (297 aa) opt: 640, E(): 0; 39.5% identity in 294 aa overlap.</t>
  </si>
  <si>
    <t>Lipoate biosynthesis</t>
  </si>
  <si>
    <t>Probable lipoate biosynthesis protein B LipB</t>
  </si>
  <si>
    <t>Rv2217, (MTCY190.28), len: 230 aa. Probable lipB, similar to SW:LIPB_ECOLI P30976 liopate biosynthesis protein B (33.8% identity in 160 aa overlap). Equivalent to gp|Z98741| MLCB22_11 Mycobacterium leprae (235 aa). FASTA score: opt: 1124, E(): 0; 78.4% identity in 218 aa overlap</t>
  </si>
  <si>
    <t>Probable lipoate biosynthesis protein A LipA</t>
  </si>
  <si>
    <t>Rv2218, (MTCY190.29), len: 311 aa. Probable lipA, lipoic acid synthetase, similar to e.g. SW:LIPA_HAEIN P44463 (42.6% identity in 291 aa overlap). Equivalent to Z98741|MLCB2 2_12 Mycobacterium leprae cosmid B22; (314 aa). FASTA score : opt: 1836, E(): 0; 86.8% identity in 310 aa overlap</t>
  </si>
  <si>
    <t>Rv2219, (MTCY190.30), len: 250 aa. Probable conserved transmembrane protein. Equivalent to hypothetical membrane protein ML0857 (250 aa) from Mycobacterium leprae Z98741 |MLCB22_13 Mycobacterium leprae cosmid B22; H (250 aa) opt : 1328, E(): 0; 80.8% identity in 250 aa overlap.</t>
  </si>
  <si>
    <t>Rv2219A</t>
  </si>
  <si>
    <t>Rv2219A, len: 140 aa. Probable conserved membrane protein, similar to SC3H12.05c|AL355740_5 possible integral membrane protein from Streptomyces coelicolor (155 aa), FASTA scores: opt: 327, E(): 7.5e-14, (46.6% identity in 133 aa overlap), also linked to glnA.</t>
  </si>
  <si>
    <t>Glutamine synthetase GlnA1 (glutamine synthase) (GS-I)</t>
  </si>
  <si>
    <t>Rv2220, (MTCY190.31, MTCY427.01), len: 478 aa. glnA1, glutamine synthetase class I (see Tullius et al., 2001), similar to many e.g. GLNA_STRCO|P15106 from Streptomyces coelicolor, FASTA score: (71.4% identity in 475 aa overlap); etc. Also similar to three other potential glutamine synthetases in Mycobacterium tuberculosis: Rv2222c|glnA2, Rv2860c|glnA4, and Rv1878|glnA3. Contains PS00180 Glutamine synthetase signature 1, PS00181 Glutamine synthetase putative ATP-binding region signature, and PS00182 Glutamine synthetase class-I adenylation site. Belongs to the glutamine synthetase family. Note has shown to be essential for M. tuberculosis virulence.</t>
  </si>
  <si>
    <t>Regulatory protein involved in the regulation of glutamine synthetase activity. Adenylylation and deadenylylation of glutamine synthetase. Possibly regulates GLNB|Rv2919c [catalytic activity: ATP + [L-glutamate:ammonia ligase (ADP-forming)] = pyrophosphate + adenylyl-[L-glutamate:ammonia ligase (ADP-forming)]].</t>
  </si>
  <si>
    <t>Glutamate-ammonia-ligase adenylyltransferase GlnE (glutamine-synthetase adenylyltransferase)</t>
  </si>
  <si>
    <t>Rv2221c, (MTCY190.32c, MTCY427.02c), len: 994 aa. glnE, glutamate-ammonia-ligase adenylyltransferase (see citations below), similar to others e.g. GLNE_ECOLI|P30870 glutamate-ammonia-ligase adenylyltransferase from Escherichia coli, FASTA score: (24.4% identity in 721 aa overlap); GLNE_HAEIN|P44419 Glutamate-ammonia-ligase adenylyltransferase from Haemophilus influenzae (981 aa), FASTA score: (28.1% identity in 199 aa overlap); etc. Note that initiation codon uncertain.</t>
  </si>
  <si>
    <t>Probable glutamine synthetase GlnA2 (glutamine synthase) (GS-II)</t>
  </si>
  <si>
    <t>Rv2222c, (MTCY427.03c), len: 446 aa. Probable glnA2, glutamine synthetase class II, similar to others. Also similar to three other potential glutamine synthetases in Mycobacterium tuberculosis: Rv2220|glnA1, Rv2860c|glnA4, and Rv1878|glnA3. Belongs to the glutamine synthetase family.</t>
  </si>
  <si>
    <t>Function unknown; thought to hydrolyze peptides and/or proteins.</t>
  </si>
  <si>
    <t>Probable exported protease</t>
  </si>
  <si>
    <t>Rv2223c, (MTCY427.04c), len: 520 aa. Probable exported protease ; has signal sequence. Very similar to three proteases/peptidases from Streptomyces spp.: L42758, L42759, L27466. FASTA score: L42758|STMSLPD STMSLPD NID: g940302 - Streptomyces (539 aa) opt: 1032 E(): 0, (37.5% identity in 533 aa overlap). Also similar to hypothetical proteins YZZE _ECOLI|P34211 from Escherichia coli (25.4% identity in 406 aa overlap) and PIR:B36944 in ompP 3' region (27.5% identity in 218 aa overlap). Highly similar to Rv2224c and Rv2672 (49.3% identity in 507 aa overlap); contains PS00120 Lipases, serine active site. Conserved in M. tuberculosis, M. leprae, M. bovis and M. avium paratuberculosis; predicted to be essential for in vivo survival and pathogenicity (See Ribeiro-Guimaraes and Pessolani, 2007). Predicted to be an outer membrane protein (See Song et al., 2008).</t>
  </si>
  <si>
    <t>caeA</t>
  </si>
  <si>
    <t>Probable carboxylesterase CaeA</t>
  </si>
  <si>
    <t>Rv2224c, (MTCY427.05c), len: 520 aa. Probable caeA, carboxylesterase; has signal sequence and lipoprotein motif at N-terminal end. Very similar to three proteases/peptidases from Streptomyces spp.: L42758, L42759, L27466. FASTA score: L4 2758|STMSLPD STMSLPD NID: g940302 - Streptomyces (539 aa) opt: 1032 E(): 0, (37.5% identity in 533 aa overlap). Similar to hypothetical protein SW:YZZE_ECOLI P34211 (27.7% identity in 412 aa overlap) and highly similar to Rv2224c and Rv2672 (49.3% identity in 507 aa overlap); contains PS00013, Prokaryotic membrane lipoprotein lipid attachment site, and PS00120 Lipases, serine active site. Conserved in M. tuberculosis, M. leprae, M. bovis and M. avium paratuberculosis; predicted to be essential for in vivo survival and pathogenicity (See Ribeiro-Guimaraes and Pessolani, 2007). Predicted to be an outer membrane protein (See Song et al., 2008).</t>
  </si>
  <si>
    <t>Involved in pantothenate biosynthesis.</t>
  </si>
  <si>
    <t>3-methyl-2-oxobutanoate hydroxymethyltransferase PanB</t>
  </si>
  <si>
    <t>Rv2225, (MTCY427.06), len: 281 aa. panB, 3-methyl-2-oxobutanoate hydroxymethyltransferase, similar to PANB_ECOLI|P31057 3-methyl-2-oxobutanoate hydroxymethyltransferase from Escherichia coli (45.9% identity in 257 aa overlap). Identified as a substrate for proteasomal degradation (See Pearce et al., 2006).</t>
  </si>
  <si>
    <t>Rv2226, (MTCY427.07), len: 513 aa. Conserved protein, similar to hypothetical secreted protein (510 aa) from Streptomyces coelicolor A3(2) emb|CAB59601.1| (AL132662) hypothetical secreted protein [Streptomyces coelicolor. Smith-Waterman scores Expect = 5e-44 Identities = 166/506 (32%)</t>
  </si>
  <si>
    <t>Rv2227, (MTCY427.08), len: 233 aa. Conserved hypothetical protein, similar to conserved hypothetical proteins from various bacteria e.g. gb|AAK22693.1| (AE005746) conserved hypothetical protein from Caulobacter crescentus (234 aa) Smith-Waterman score = 109 bits (429), Expect = 1e-41 Identities = 83/167 (49%)</t>
  </si>
  <si>
    <t>Multifunctional protein. Has RNASE H, alpha-ribazole phosphatase, and acid phosphatase activities.</t>
  </si>
  <si>
    <t>Rv2228c, (MTCY427.09c), len: 364 aa. Multifunctional protein with RNase H, alpha-ribazole phosphatase, and acid phosphatase activities. Some similarity to phosphoglycerate mutase and ribonuclease H. Similar to CAB88177.1|AL352972 putative bifunctional protein (ribonuclease H/phosphoglycerate mutase) from Streptomyces coelicolor A3(2) (497 aa); Smith-Waterman scores: 107 bits (424), Expect = 4e-41 Identities = 160/485 (32%). Also similar in C-terminal part to Rv2419c and Rv2135c.</t>
  </si>
  <si>
    <t>Rv2229c, (MTCY427.10c), len: 245 aa. Conserved protein; probable coiled-coil protein similar to conserved hypothetical proteins in Actinomycetes. Equivalent to Mycobacterium leprae ML1638 (232 aa), FASTA scores: opt: 868 E(): 4.4e-43; 60.870% identity in 230 aa overlap emb|CAC30589.1| (AL583922). A core mycobacterial gene; conserved in mycobacterial strains (See Marmiesse et al., 2004).</t>
  </si>
  <si>
    <t>Rv2230c, (MTCY427.11c), len: 379 aa. Conserved protein. Equivalent to Mycobacterium leprae, ML1639, conserved hypothetical protein (385 aa). Similar to hypothetical proteins from B. subtilis, P54472, and L. monocytogenes, P53434. FASTA score: ML1639 (MLCB1243.36) opt: 2088, E(): 4e-107; 79.481% identity in 385 aa overlap same as &gt;pir||T44719 hypothetical protein MLCB1243.36 [imported] - Mycobacterium leprae &gt;gi|3150237|emb|CAA19217.1| (AL023635); P54472|YQFO_BACSU hypothetical 30. 7 kDa protein in (279 aa) opt: 604; E(): 2.2e-30; 38.8% identity in 258 aa overlap. P53434|YRP2_LISMO hypothetical 41.4 kDa protein (373 aa) opt: 595, E(): 1e-29; 30.7% identity in 326 aa overlap</t>
  </si>
  <si>
    <t>vapC16</t>
  </si>
  <si>
    <t>Rv2231A</t>
  </si>
  <si>
    <t>Possible toxin VapC16</t>
  </si>
  <si>
    <t>Rv2231A, len: 141 aa. Possible vapC16, toxin, part of toxin-antitoxin (TA) operon with Rv2231B (See Pandey and Gerdes, 2005). Nucleotide position 2505919 in the genome sequence has been corrected, A:G resulting in A81A.</t>
  </si>
  <si>
    <t>vapB16</t>
  </si>
  <si>
    <t>Rv2231B</t>
  </si>
  <si>
    <t>Possible antitoxin VapB16</t>
  </si>
  <si>
    <t>Rv2231B, len: 58 aa. Possible vapB16, antitoxin, part of toxin-antitoxin (TA) operon with Rv2231A (See Pandey and Gerdes, 2005).</t>
  </si>
  <si>
    <t>Possible aminotransferase CobC</t>
  </si>
  <si>
    <t>Rv2231c, (MTCY427.12c), len: 364 aa. Possible cobC, aminotransferase. Note that initiation codon uncertain. Similar to CobC aminotransferases e.g. sp|P21633|COBC_PSEDE COBC protein (333 aa) opt: 277, E(): 1.7e-11; 28.8% identity in 313 aa overlap and also to e.g. SW:HIS8_ECOLI P06986 histidinol-phosphate aminotransferase (27.0% identity in 289 aa overlap), contains PS00105 aminotransferases class-I pyridoxal-phosphate attachment site. Real Mycobacterium tuberculosis histidinol-phosphate aminotransferase, hisC, is Rv1600 (MTCY336.04c).</t>
  </si>
  <si>
    <t>ptkA</t>
  </si>
  <si>
    <t>Involved in signal transduction (via phosphorylation). Can phosphorylate PTPA|Rv2234 and the peptide substrate myelin basic protein (MBP) [catalytic activity: ATP + a protein = ADP + a phosphoprotein]</t>
  </si>
  <si>
    <t>Protein tyrosine kinase transcriptional regulatory protein PtkA</t>
  </si>
  <si>
    <t>Rv2232, (MTCY427.13), len: 291 aa. PtkA, protein tyrosine kinase, similar to members of haloacid dehalogenase-like family from several bacteria and to putative phosphatases e.g. Q9I767 and AAK78398. Contains N-terminal extension. FASTA scores: Q9I767 hypothetical protein PA0065 (221 aa) opt: 439 E(): 3.2e-18; 38.679% identity (40.196% ungapped) in 212 aa overlap; &gt;&gt;tr|AAK78398 Predicted phosphatase, had family (216 aa) opt: 427, E(): 1.5e-17; 34.762% identity (35.437% ungapped) in 210 aa overlap. Replaces previous Rv2232 and Rv2233. Predicted to be an outer membrane protein (See Song et al., 2008).</t>
  </si>
  <si>
    <t>ptpA</t>
  </si>
  <si>
    <t>Rv2234</t>
  </si>
  <si>
    <t>Involved in signal transduction (via dephosphorylation). Can dephosphorylated in vitro the phosphotyrosine residue of myelin basic protein (MBP) at pH 7.0 [catalytic activity: protein tyrosine phosphate + H(2)O = protein tyrosine + phosphate].</t>
  </si>
  <si>
    <t>Phosphotyrosine protein phosphatase PtpA (protein-tyrosine-phosphatase) (PTPase) (LMW phosphatase)</t>
  </si>
  <si>
    <t>Rv2234, (MTCY427.15), len: 163 aa. PtpA (alternate gene name: MPtpA), low molecular weight protein-tyrosine-phosphatase (see citations below), similar to other phosphotyrosine protein phosphatases e.g. P53433|PTPA_STRCO low molecular weight protein-tyrosine phosphatase from Streptomyces coelicolor (164 aa), FASTA scores: opt: 455, E(): 3.3e -25, (49.7% identity in 155 aa overlap); PA1S_HUMAN|P24667 red cell acid phosphatase 1, FASTA score: (37.7% identity in 138 aa overlap); etc. Contains a phosphatase catalytic site domain located in N-terminal part. Activity proven biochemically. Supposed a secreted protein. Substrate of PtkA|Rv2232.</t>
  </si>
  <si>
    <t>Rv2235, (MTCY427.16), len: 271 aa. Probable conserved transmembrane protein (see Miller &amp; Shinnick 2001); hydrophobic regions near N- and C-terminus. Similar to conserved membrane proteins in other Actinomycetes. Equivalent to Mycobacterium leprae. ML1644 (270 aa). FASTA scores: opt: 1357, E(): 1.2e-72; 74.170% identity in 271 aa overlap T44717|3150235|CAA19213.1|AL023635 13093419|CAC30595.1|AL583922. A core mycobacterial gene; conserved in mycobacterial strains (See Marmiesse et al., 2004).</t>
  </si>
  <si>
    <t>Involved in cobalamin biosynthesis, in the conversion of cobyric acid to cobinamide.</t>
  </si>
  <si>
    <t>Probable cobalamin biosynthesis transmembrane protein CobD</t>
  </si>
  <si>
    <t>Rv2236c, (MTCY427.17c), len: 313 aa. Probable cobD, cobalamin biosynthesis transmembrane protein, similar to S52223 Rhodobacter capsulatus 945 protein BluD (39.0% identity in 287 aa overlap) involved in cobinamide synthesis, and to COBD_PSEDE Pseudomonas dentrificans cobD protein (37.5% identity in 269 aa overlap), also CBIB_SALTY Salmonella typhimurum cbiB protein (35.5% identity in 304 aa overlap).</t>
  </si>
  <si>
    <t>Rv2237, (MTCY427.18), len: 255 aa. Conserved protein. Similar to Mycobacterium tuberculosis hypothetical proteins Rv0276, Rv0826, Rv1645c. FASTA score: Rv0276 gp|AL021930|MTV035_4 (306 aa) opt: 874, E(): 0; 49.6% identity in 282 aa overlap</t>
  </si>
  <si>
    <t>Rv2237A</t>
  </si>
  <si>
    <t>Rv2237A, len: 78 aa. Conserved protein.</t>
  </si>
  <si>
    <t>Detoxification of organic peroxides.</t>
  </si>
  <si>
    <t>Probable peroxiredoxin AhpE</t>
  </si>
  <si>
    <t>Rv2238c, (MTCY427.19c), len: 153 aa. Probable ahpE, peroxiredoxin. Similarity to many members of AHPC/TSA family e.g. sp|Q96291|BAS1_ARATH 2-CYS peroxiredoxin BAS1 precursor (265 aa). FASTA score: opt: 275, E(): 2.7e-12; 35.0% identity in 143 aa overlap.</t>
  </si>
  <si>
    <t>Rv2239c, (MTCY427.20c), len: 158 aa. Conserved hypothetical protein, similar to conserved hypothetical proteins from Mycobacterium leprae (ML1649, 140 aa) and Streptomyces coelicolor A3(2) (SCC8A.28c, 159 aa). Equivalent to ML1649 conserved hypothetical protein (140 aa). FASTA scores: ML1649 conserved hypothetical protein (140 aa) opt: 846, E(): 6.5e-45; 86.429% identity in 140 aa overlap (tr|O69479|O69479 hypothetical 15.2 KDA protein (140 aa); and opt: 447, E(): 1.2e-21; 50.355% identity (51.825% ungapped) in 141 aa overlap. Similarity with ML1649 suggests alternative start at 251198.</t>
  </si>
  <si>
    <t>Rv2240c, (MTCY427.21c), len: 196 aa. Unknown protein. Start changed since first submission (-69 aa).</t>
  </si>
  <si>
    <t>Involved in energy metabolism; contributes to acetyl-CoA production as part of pyruvate dehydrogenase complex [catalytic activity: pyruvate + lipoamide = S-acetyl-dihydro-lipoamide + CO(2)].</t>
  </si>
  <si>
    <t>Pyruvate dehydrogenase E1 component AceE (pyruvate decarboxylase) (pyruvate dehydrogenase) (pyruvic dehydrogenase)</t>
  </si>
  <si>
    <t>Rv2241, (MTCY427.22), len: 901 aa. AceE, pyruvate dehydrogenase E1 component, similar to others e.g. ODP1_ECOLI|P06958 pyruvate dehydrogenase E1 component from Escherichia coli, FASTA score: (51.2% identity in 891 aa overlap); etc.</t>
  </si>
  <si>
    <t>Rv2242, (MTCY427.23), len: 414 aa. Conserved hypothetical protein. Equivalent to ML1652 conserved hypothetical protein from Mycobacterium leprae (414 aa), and orthologue in Streptomyces coelicolor A3(2). FASTA scores: ML1652 opt: 2369, E(): 4.2e-128; 88.406% identity in 414 aa overlap (AL023635)(AL583922). Some similarity at 3' end with S25203 srmR protein - Streptomyces ambofaciens (604 aa) opt: 188 E(): 9e-05; (26.4% identity in 277 aa overlap) and with SW:YAEG_HAEIN P44509 hypothetical protein HI0093 (42.3% identity in 52 aa overlap). Contains possible helix-turn-helix motif at aa 360-381 (+3.52 SD)</t>
  </si>
  <si>
    <t>Catalyzes malonyl-CoA-ACP transacylase (MCAT) activity using holo-ACPM as substrate for transacylation [catalytic activity: malonyl-CoA + [acyl-carrier protein] = CoA + malonyl-[acyl-carrier protein]].</t>
  </si>
  <si>
    <t>Malonyl CoA-acyl carrier protein transacylase FabD (malonyl CoA:ACPM acyltransferase) (MCT)</t>
  </si>
  <si>
    <t>Rv2243, (MTCY427.24), len: 302 aa. FabD (alternate gene name: mtFabD), malonyl CoA-acyl carrier protein transacylase (see citations below), highly similar to e.g. A57356 acyl-CoA carrier protein malonyltransferase from Streptomyces coelicolor (316 aa), FASTA score: opt: 955, E(): 0, (52.6% identity in 304 aa overlap); FABD_HAEIN|P43712 malonyl CoA-acyl carrier protein transacylase from Haemophilus influenzae, FASTA score: (30.5% identity in 308 aa overlap); and FABD_ECOLI|P25715 from Escherichia coli, FASTA score: (31.4% identity in 309 aa overlap). Identified as a substrate for proteasomal degradation (See Pearce et al., 2006).</t>
  </si>
  <si>
    <t>acpM</t>
  </si>
  <si>
    <t>Involved in fatty acid biosynthesis (mycolic acids synthesis); involved in meromycolate extension.</t>
  </si>
  <si>
    <t>Meromycolate extension acyl carrier protein AcpM</t>
  </si>
  <si>
    <t>Rv2244, (MT2304, MTCY427.25), len: 115 aa. AcpM, acyl carrier protein, meromycolate precursor transport, involved in meromycolate extension (see citations below). Highly similar to others e.g. L43074|STMFABD2|STMFABD|g870805 acyl carrier protein from Streptomyces glaucescens (82 aa), FASTA scores: opt: 298, E(): 8.4e-13, (56.6% identity in 76 aa overlap); and ACP_ECOLI|P02901 acyl carrier protein from Escherichia coli, FASTA score: (37.3% identity in 67 aa overlap); etc.</t>
  </si>
  <si>
    <t>Involved in fatty acid biosynthesis (mycolic acids synthesis); involved in meromycolate extension. Catalyzes the condensation reaction of fatty acid synthesis by the addition to an acyl acceptor of two carbons from malonyl-ACP [catalytic activity: acyl-[acyl-carrier protein] + malonyl-[acyl-carrier protein] = 3-oxoacyl-[acyl-carrier protein] + [acyl-carrier protein] + CO(2)].</t>
  </si>
  <si>
    <t>3-oxoacyl-[acyl-carrier protein] synthase 1 KasA (beta-ketoacyl-ACP synthase) (KAS I)</t>
  </si>
  <si>
    <t>Rv2245, (MTCY427.26), len: 416 aa. KasA, beta-ketoacyl-ACP synthase, involved in meromycolate extension (see citations below): belongs to the fas-II system, which utilizes primarily palmitoyl-ACP rather than short-chain acyl-ACP primers. Highly similar to others e.g. L43074|STMFABD3|g870805 beta-ketoacyl-ACP synthase from Streptomyces glaucescens (423 aa), FASTA scores: opt: 1105, E(): 0, (44.6% identity in 417 aa overlap); FABF_ECOLI|P39435 3-oxoacyl-[acyl-carrier-protein] synthase II from Escherichia coli, FASTA score: (39.4% identity in 254 aa overlap); FABB_HORVU|P23902 3-oxoacyl-[acyl-carrier-protein] synthase I, FASTA score: (33.4% identity in 413 aa overlap); etc. Strongest similarity to downstream ORF kasB|Rv2246|MTCY427.27 3-oxoacyl-[acyl-carrier-protein] synthase 2 from Mycobacterium tuberculosis (438 aa), FASTA score: (66.3% identity in 409 aa overlap). Belongs to the beta-ketoacyl-ACP synthases family.</t>
  </si>
  <si>
    <t>3-oxoacyl-[acyl-carrier protein] synthase 2 KasB (beta-ketoacyl-ACP synthase) (KAS I)</t>
  </si>
  <si>
    <t>Rv2246, (MTCY427.27), len: 438 aa. KasB, beta-ketoacyl-ACP synthase, involved in meromycolate extension (see citations below). Highly similar or similar to others e.g. L43074|STMFABD3|g870805 beta-ketoacyl-ACP synthase from Streptomyces glaucescens (423 aa), FASTA scores: opt: 1091, E(): 0, (44.7% identity in 416 aa overlap); FABF_ECOLI|P39435 3-oxoacyl-[acyl-carrier-protein] synthase II from Escherichia coli, FASTA score: (37.0% identity in 411 aa overlap); FABB_HORVU|P23902 3-oxoacyl-[acyl-carrier-protein] synthase I, FASTA score: (32.5% identity in 415 aa overlap); etc. Strongest similarity to upstream ORF Rv2245|kasA|MTCY427.26 3-oxoacyl-[acyl-carrier-protein] synthase 1 from Mycobacterium tuberculosis (416 aa), FASTA score: (66.3% identity in 409 aa overlap). Belongs to the beta-ketoacyl-ACP synthases family.</t>
  </si>
  <si>
    <t>Involved in fatty acid biosynthesis (mycolic acids synthesis) [catalytic activity: ATP + propionyl-CoA + CO(2) + H(2)O = ADP + orthophosphate + methylmalonyl-CoA].</t>
  </si>
  <si>
    <t>Acetyl/propionyl-CoA carboxylase (beta subunit) AccD6</t>
  </si>
  <si>
    <t>Rv2247, (MTCY427.28), len: 473 aa. AccD6, Acetyl/Propionyl CoA Carboxylase, beta subunit (see citations below), highly similar to e.g. PCCB_RHOSO|Q06101 propionyl-CoA carboxylase beta chain, FASTA score: (75.1% identity in 437 aa overlap). Similar to many other Acetyl/Propionyl CoA Carboxylases from Mycobacterium tuberculosis. Belongs to the AccD / PccB family.</t>
  </si>
  <si>
    <t>Rv2248, (MTCY427.29), len: 271 aa. Conserved hypothetical protein. Very similar to hypothetical M. tuberculosis proteins Rv3517, Rv1482c, Rv3555c, Rv3714c, Rv1073. FASTA score: MTCY06G11.02c MTCY6G11 NID: g1877284 - (289 aa) opt: 366 E(): 5.3e-18; (32.1% identity in 249 aa overlap). Some similarity to Mycobacterium avium protein AF002133|AF0021 339 AF002133 NID: g2183254 (346 aa) opt: 308 E(): 5.2e-14; (28.3% identity in 254 aa overlap)</t>
  </si>
  <si>
    <t>Involved in aerobic respiration and oxidation of glycerol. Reduces an acceptor and generates glycerone phosphate from Sn-glycerol 3-phosphate. Possibly play a role in metabolism of riboflavin, FAD,FMN [catalytic activity: SN-glycerol 3-phosphate + acceptor = glycerone phosphate + reduced acceptor].</t>
  </si>
  <si>
    <t>Probable glycerol-3-phosphate dehydrogenase GlpD1</t>
  </si>
  <si>
    <t>Rv2249c, (MTCY427.31c), len: 516 aa. Probable glpD1, glycerol-3-phosphate dehydrogenase, similar to SW:GLPD_ECOLI P13035 aerobic glycerol-3-phosphate dehydrogenase (30.0% identity in 486 aa overlap) and SW:GLPA_ECOLI P13032 anaerobic glycerol-3-phosphate dehydrogenase (28.2% identity in 504 aa overlap). Also similar to Rv3302c|glpD2 glycerol-3-phosphate dehydrogenase. Cofactor: FAD (by similarity). Belongs to the FAD-dependent glycerol-3-phosphate dehydrogenase family.</t>
  </si>
  <si>
    <t>Rv2250A</t>
  </si>
  <si>
    <t>Electron acceptor</t>
  </si>
  <si>
    <t>Rv2250A, len: 139 aa. Conserved hypothetical protein, possibly flavoprotein. Similar to N-terminus of SCF91.28c|AL132973_28 possible flavoprotein from Streptomyces coelicolor (530 aa), FASTA scores: opt: 240, E(): 1.1e-07, (39.25% identity in 107 aa overlap). Possible frameshift between nt 2525723 to 2525727. The sequences of CDC 1551 and Mycobacterium bovis are missing a single G base.</t>
  </si>
  <si>
    <t>Possibly involved in transcriptional regulation</t>
  </si>
  <si>
    <t>Rv2250c, (MTCY427.32c), len: 189 aa. Possible transcriptional regulatory protein, TetR family. Start unclear; ORF has been shortened since first submission to avoid overlap with Rv2251 (-30 aa). Contains probable helix-turn-helix motif (Score 2243, +6.70 SD)</t>
  </si>
  <si>
    <t>Rv2251, (MTV022.01), len: 475 aa. Possible flavoprotein, probably continuation of Rv2250A, similar to MTCY164.18 from Mycobacterium tuberculosis and to several alkyldihydroxyacetonephosphate synthases (e.g. O00116). Also some similarity to D-lactate dehydrogenases. FASTA scores: sptr|O05784|O05784 hypothetical 56.5 kDa protein. (527 aa) opt: 1019 E(): 0; (38.6% identity in 487 aa overlap) and sp|O00116|ADAS_HUMAN alkyldihydroxyaceton ephosphate synthase precursor (658 aa) opt: 558 E(): 6.2e-27; (31.3% identity in 447 aa overlap). Predicted to be an outer membrane protein (See Song et al., 2008).</t>
  </si>
  <si>
    <t>Unknown. Involved in synthesis of phosphatidylinositol mannosides (PIMS).</t>
  </si>
  <si>
    <t>Diacylglycerol kinase</t>
  </si>
  <si>
    <t>Rv2252, (MTV022.02), len: 309 aa. Diacylglycerol kinase (See Owens et al., 2006), similar to hypothetical proteins from Bacillus subtilis (e.g. BSUB0004_120), Streptomyces coelicolor A3(2) &gt;emb|CAB61184.1| (AL132973) hypothetical protein SCF91.27c (293 aa) and P39074. FASTA scores: Z99107|BSUB0004_120 Bacillus subtilis complete genome (303 aa) opt: 397, E(): 1.7e-19; (26.4% identity in 299 aa overlap) and P390 74|BMRU_BACSU BMRU protein (297 aa) opt: 309, E(): 1.3e-13; (25.0% identity in 284 aa overlap).</t>
  </si>
  <si>
    <t>Rv2253</t>
  </si>
  <si>
    <t>Possible secreted unknown protein</t>
  </si>
  <si>
    <t>Rv2253, (MTV022.03), len: 167 aa. Possible secreted protein; has potential N-terminal signal peptide. Predicted to be an outer membrane protein (See Song et al., 2008).</t>
  </si>
  <si>
    <t>Rv2254c, (MTV022.04c), len: 151 aa. Probable integral membrane protein.</t>
  </si>
  <si>
    <t>Rv2255c</t>
  </si>
  <si>
    <t>Rv2255c, (MTV022.05c), len: 64 aa. Hypothetical unknown protein.</t>
  </si>
  <si>
    <t>Rv2256c, (MTV022.06c), len: 177 aa. Conserved hypothetical protein, similar to Streptomyces glaucescens ORF5 (164 aa) and Streptomyces coelicolor hypothetical protein SC4A7.19c (164 aa; emb|CAB62723.1|AL133423). FASTA scores: sptr|Q54209|Q54209 FABD, FABH, FABC, FABB, and ORF5 (164 aa) opt: 504, E(): 3.9e-27; (44.4% identity in 162 aa overlap).</t>
  </si>
  <si>
    <t>Rv2257c, (MTV022.07c), len: 272 aa. Conserved protein, similar to hypothetical protein SC4A7.08 from Streptomyces coelicolor (273 aa; 58% identity in 243 aa overlap). Also similar to several putative esterases and penicillin-binding proteins in M. tuberculosis e.g. Rv1923, Rv1497, Rv2463, Rv3775, Rv1922, Rv1730c.</t>
  </si>
  <si>
    <t>Rv2258c, (MTV022.08c), len: 353 aa. Possible transcriptional regulatory protein, similar to several hypothetical proteins from C. elegans. FASTA scores: sptr|O01593|O01593 coded for by C. elegans CDNA YK102 F (365 aa) opt: 577, E(): 6.4e-31; (30.5% identity in 341 aa overlap). Contains possible helix-turn helix motif at aa 47-68 (+3.65 SD)</t>
  </si>
  <si>
    <t>mscR</t>
  </si>
  <si>
    <t>Involved in the reduction of S-nitroglutathione</t>
  </si>
  <si>
    <t>S-nitrosomycothiol reductase MscR</t>
  </si>
  <si>
    <t>Rv2259, (MTV022.09), len: 361 aa. MscR, S-nitrosomycothiol reductase (see Vogt et al., 2003), similar to several zinc-containing alcohol dehydrogenases especially from Amycolatopsis methanolica P80094 (360 aa), FASTA scores: sp|P80094|FADH_AMYME NAD/mycothiol-dependent formaldehyde dehydrogenase (MD-FALDH) Length = 360, Expect = e-156, Identities = 268/358 (74%). Also similar to Rv0162c, (MTCI28.02c, 35.0% identity in 371 aa overlap). Contains PS00059 Zinc-containing alcohol dehydrogenases signature. Note previously known as adhE2</t>
  </si>
  <si>
    <t>Rv2260, (MTV022.10), len: 211 aa. Conserved hypothetical protein, similar to hypothetical proteins Rv0634c, Rv1637c, Rv3677c, Rv2581c from Mycobacterium tuberculosis and to various hydrolases. FASTA scores: sptr|O06154|O06154 hypothetical 21.3 kDa protein (200 aa) opt: 355, E(): 4e- 15; (37.4% identity in 198 aa overlap).</t>
  </si>
  <si>
    <t>Rv2261c</t>
  </si>
  <si>
    <t>Rv2261c, (MTV022.11c), len: 140 aa. Conserved hypothetical protein, with function unknown but some similarity to C-terminal end of PCC6803 apolipoprotein N-acyltransferase from Synechocystis sp. Note that next ORF shows similarity to N-terminal part of P74055 apolipoprotein N-acyltransferase from Escherichia coli (519 aa), FASTA scores: opt: 142, E(): 0.007, (29.9% identity in 117 aa overlap), suggesting possible frameshift. Sequence of clones from two sources has been checked but no error found.</t>
  </si>
  <si>
    <t>Rv2262c, (MTV022.12c), len: 360 aa. Conserved hypothetical protein, with function unknown but some similarity to N-terminal 70% of P23930|P77703|LNT_ECOLI|cute|B0657 apolipoprotein N-acyltransferase from Escherichia coli strain K12 (512 aa), FASTA scores: opt: 239, E(): 1.6e-07, (30.4% identity in 359 aa overlap). Note that neighboring ORF shows similarity to N -terminal part of PCC6803 apolipoprotein N-acyltransferase from Synechocystis sp., suggesting possibility of frameshift. Sequence of clones from two sources has been checked but no error found. Appear to be two extra bases at position 1876970 compared to CDC1551 strain.</t>
  </si>
  <si>
    <t>Oxidoreduction</t>
  </si>
  <si>
    <t>Rv2263, (MTV022.13), len: 317 aa. Possible oxidoreductase, similar to several oxidoreductases. Similarity suggests alternative GTG start at 10154 but then no rbs. FASTA scores: sptr|Q544 05|Q54405 probably an NADP-dependent oxidoreductase (297 aa) opt: 487, E(): 1.1e-23; (36.1% identity in 299 aa overlap). Also similar to Mycobacterium tuberculosis Rv0068, and Rv0439c.</t>
  </si>
  <si>
    <t>Conserved hypothetical proline rich protein</t>
  </si>
  <si>
    <t>Rv2264c, (MTV022.14c), len: 592 aa. Conserved hypothetical Pro-rich protein, similar to hypothetical proteins Rv0312 (MTCY63.17, 620 aa and Rv0350) that has highly Pro-, Thr-rich C-terminus. Contains PS00343 Gram-positive cocci surface proteins 'anchoring' hexapeptide. FASTA scores: Z96800|MTCY63_17 Mycobacterium tuberculosis cosmid (620 aa) opt: 1075, E(): 8.8e-24; (38.9% identity in 627 aa overlap). Predicted to be an outer membrane protein (See Song et al., 2008).</t>
  </si>
  <si>
    <t>Rv2265</t>
  </si>
  <si>
    <t>Rv2265, (MTCY339.45c), len: 409 aa. Possible conserved integral membrane protein, with some similarity to others e.g. M. thermoauto. sp|O26855|O26855 conserved protein (383 aa), FASTA score: opt: 898 z-score: 1023.5 E(): 0; 38.0% identity in 384 aa overlap; Q58713 hypothetical 44.1 kDa protein 1 317 (398 aa), FASTA scores, opt: 305 E(): 1.2e-11; 22.8% identity in 382 aa overlap; also KGTP_ECOLI P17448 alpha-ketoglutarate permease (432 aa), FASTA scores, opt: 156, E(): 0.006, (24.8% identity in 416 aa overlap)</t>
  </si>
  <si>
    <t>Probable cytochrome P450 124 Cyp124</t>
  </si>
  <si>
    <t>Rv2266, (MT2328, MTCY339.44c), len: 428 aa. Probable cyp124, cytochrome P450, similar to e.g. G405543 cytochrome P450 (406 aa), FASTA scores, opt: 763,E(): 0, (35.4% identity in 393 aa overlap), similar to e.g. MTCY50.26, 33.8% identity in 370 aa overlap</t>
  </si>
  <si>
    <t>Rv2267c, (MTCY339.43), len: 388 aa. Conserved hypothetical protein; some similarity to Mycobacterium tuberculosis Rv3529c; gp|Z82098|MTCY3C7_27 (384 aa) FASTA score: opt: 261, E(): 3.6e-10; 27.3% identity in 253 aa overlap. This region is a possible MT-complex-specific genomic island (See Becq et al., 2007).</t>
  </si>
  <si>
    <t>Probable cytochrome P450 128 Cyp128</t>
  </si>
  <si>
    <t>Rv2268c, (MT2330, MTCY339.42), len: 489 aa. Probable cyp128, cytochrome P450, similar to (but longer than) cytochrome p-450 e.g. CPXK_SACER P3 3271 cytochrome p-450 107b1 (405 aa), FASTA scores, opt: 620, E(): 8.3e-33, (31.8% identity in 406 aa overlap); contains PS00086 Cytochrome P450 cysteine heme-iron ligand signature, similar to MTCY50.26, 32.7% identity in 382 aa overlap. This region is a possible MT-complex-specific genomic island (See Becq et al., 2007).</t>
  </si>
  <si>
    <t>Rv2269c, (MTCY339.41), len: 110 aa. Unknown protein; questionable ORF. This region is a possible MT-complex-specific genomic island (See Becq et al., 2007).</t>
  </si>
  <si>
    <t>lppN</t>
  </si>
  <si>
    <t>Rv2270</t>
  </si>
  <si>
    <t>Probable lipoprotein LppN</t>
  </si>
  <si>
    <t>Rv2270, (MTCY339.40c), len: 175 aa. Probable lppN, lipoprotein; has appropriately positioned prokaryotic membrane lipoprotein attachment site PS00013.</t>
  </si>
  <si>
    <t>Rv2271, (MTCY339.39c), len: 99 aa. Conserved hypothetical protein; some similarity to hypothetical protein AAK01340.1|AF265275_3 (AF265275) from uncultured organism Pu8 (104 aa) E= 4e-10, (34% identity in 91 aa overlap)</t>
  </si>
  <si>
    <t>Rv2272, (MTCY339.38c), len: 122 aa. Probable conserved transmembrane protein, similar to YIDH_ECOLI P31445 hypothetical 12.8 kDa protein (115 aa), FASTA scores, opt: 291, E(): 2.9e-14, (45.6% identity in 103 aa overlap), similar to MTCY339.37c, (35.0% identity in 100 aa overlap).</t>
  </si>
  <si>
    <t>Rv2273</t>
  </si>
  <si>
    <t>Rv2273, (MTCY339.37c), len: 109 aa. Probable conserved transmembrane protein, similar to Rv2272 (MTCY339.38c), (35.0% identity in 100 aa overlap).</t>
  </si>
  <si>
    <t>mazE8</t>
  </si>
  <si>
    <t>Rv2274A</t>
  </si>
  <si>
    <t>Possible antitoxin MazE8</t>
  </si>
  <si>
    <t>Rv2274A, len: 82 aa. Possible mazE8, antitoxin, part of toxin-antitoxin (TA) operon with Rv2274c (See Pandey and Gerdes, 2005).</t>
  </si>
  <si>
    <t>mazF8</t>
  </si>
  <si>
    <t>Possible toxin MazF8</t>
  </si>
  <si>
    <t>Rv2274c, (MTCY339.36), len: 105 aa. Possible mazF8, toxin, part of toxin-antitoxin (TA) operon with Rv2274A (See Pandey and Gerdes, 2005). Questionable ORF.</t>
  </si>
  <si>
    <t>Rv2275, (MTCY339.35c), len: 289 aa. Conserved hypothetical protein. Some similarity to Bacillus subtilis sp|O34351|O34351 YVMC (248 aa), FASTA score: opt: 280, E(): 2.7e -11; 28.2% identity in 227 aa overlap</t>
  </si>
  <si>
    <t>Cytochromes P450 are a group of heme-thiolate monooxygenases. They oxidize a variety of structurally unrelated compounds, including steroids, fatty acids, and xenobiotics. It has been shown to bind tighly to a range of azole-based antifungal drugs (e.g. miconazole, clotrimazole).</t>
  </si>
  <si>
    <t>Cytochrome P450 121 Cyp121</t>
  </si>
  <si>
    <t>Rv2276, (MT2336, MTCY339.34c), len: 396 aa. Cyp121, cytochrome P450 (see citation below), similar to e.g. G303644 (397 aa) opt: 675, z-score: 776.4, E(): 2.7e-36, (33.7% identity in 407 aa overlap); contains PS00086 Cytochrome P450 cysteine heme-iron ligand signature, similar to MTCY339.42, 29.2% identity in 298 aa overlap.</t>
  </si>
  <si>
    <t>Possible glycerolphosphodiesterase</t>
  </si>
  <si>
    <t>Rv2277c, (MTCY339.33), len: 301 aa. Possible glycerolphosphodiesterase, similar to e.g. UGPQ_ECOLI P10908 glycerophosphoryldiester phosphodiesterase (cytosolic) (247 aa), FASTA scores, opt: 149, E(): 0.0061, (27.2% identity in 195 aa overlap). Start of protein uncertain, encoded by neighbouring IS6110 as given, is intact in Mycobacterium tuberculosis CDC1551</t>
  </si>
  <si>
    <t>Rv2278</t>
  </si>
  <si>
    <t>Rv2278, (MTCY339.32c), len: 108 aa. Putative Transposase for IS6110 (fragment). Identical to many other M. tuberculosis IS6110 transposase subunits. The transposase described here may be made by a frame shifting mechanism during translation that fuses Rv2278 and Rv2279, the sequence UUUUAAAG (directly upstream of Rv2279) maybe responsible for such a frameshifting event (see McAdam et al., 1990).</t>
  </si>
  <si>
    <t>Rv2279</t>
  </si>
  <si>
    <t>Rv2279, (MTCY339.31c), len: 328 aa. Probable IS6110 transposase. Identical to many other M. tuberculosis IS6110 transposase subunits. The transposase described here may be made by a frame shifting mechanism during translation that fuses Rv2278 and Rv2279, the sequence UUUUAAAG (directly upstream of Rv2279) maybe responsible for such a frameshifting event (see McAdam et al., 1990). Start changed since first submission (+ 16 aa).</t>
  </si>
  <si>
    <t>Rv2280, (MTCY339.30c), len: 459 aa. Probable dehydrogenase. Similar to D-lactate dehydrogenase (cytochrome) precursor e.g. G1061264 (587 aa), FASTA scores, opt: 645,E(): 1.3e-31, (28.0% identity in 478 aa overlap), similar to MTCY50.25, 36.5% identity in 447 aa overlap</t>
  </si>
  <si>
    <t>Involved in phosphate transport.</t>
  </si>
  <si>
    <t>Putative phosphate-transport permease PitB</t>
  </si>
  <si>
    <t>Rv2281, (MTCY339.29c), len: 552 aa. Putative pitB, phosphate-transport permease, integral membrane protein, similar to YG04_HAEIN P45268 putative phosphate permease hi1604 (420 aa). FASTA scores, opt: 484, E(): 5e-23, (33.5% identity in 498 aa overlap) also to G399598 amphotropic murine retrovirus receptor (656 aa) FASTA scores, opt: 453, E(): 5.8e-21, (26.8% identity in 645 aa overlap). Also similar to Rv0545c|pitA from M. tuberculosis. Belongs to the pit subfamily.</t>
  </si>
  <si>
    <t>Probable transcription regulator (LysR family)</t>
  </si>
  <si>
    <t>Rv2282c, (MTCY339.28), len: 312 aa. Probable transcriptional regulator, lysR family, similar to others e.g. YC30_CYAPA|P48271 hypothetical transcriptional regulator YCF30 (324 aa), FASTA scores: opt: 292, E(): 4e-12, (27.6% identity in 286 aa overlap); etc. Also similar to Rv0377|MTCY39.34 from Mycobacterium tuberculosis, FASTA score: (25.4% identity in 268 aa overlap). Contains PS00044 Bacterial regulatory proteins, lysR family signature, and contains helix-turn-helix motif at aa 24 -45 (+4.93 SD).</t>
  </si>
  <si>
    <t>Rv2283</t>
  </si>
  <si>
    <t>Rv2283, (MTCY339.27c), len: 64 aa. Unknown protein; questionable ORF.</t>
  </si>
  <si>
    <t>Hydrolysis of lipids (bound ester).</t>
  </si>
  <si>
    <t>Probable esterase LipM</t>
  </si>
  <si>
    <t>Rv2284, (MTCY339.26c), len: 431 aa. Probable lipM, esterase, similar to others e.g. gp|Z95844|MTCY493_28 from Mycobacterium tuberculosis cosmid (420 aa), FASTA scores: opt: 1266, E(): 0, (50.1% identity in 411 aa overlap). Some similarity to G537514 arylacetamide deacetylase (399 aa), FASTA scores: opt: 190, E(): 5.9e-05, (30.4% identity in 138 aa overlap).</t>
  </si>
  <si>
    <t>Rv2285, (MTCY339.25c), len: 445 aa. Possible triacylglycerol synthase (See Daniel et al., 2004), member of Mycobacterium tuberculosis 15-membered protein family including Rv3740c, Rv3734c, Rv1425, Rv1760, Rv0895, Rv3480c. FASTA scores: gp|Z95844|MTCY493_29 Mycobacterium tuberculosis cosmid (459 aa) opt: 640, E(): 0; 33.4% identity in 470 aa overlap.</t>
  </si>
  <si>
    <t>Rv2286c, (MTCY339.24), len: 230 aa. Conserved hypothetical protein. Similar to Mycobacterium tuberculosis hypothetical protein, Rv2466c, AL021246|MTV008_22 (207 aa). FASTA score: opt: 324, E(): 8.9e-15; 30.4% identity in 194 aa overlap</t>
  </si>
  <si>
    <t>Possibly involved in transport of NA+/H+ across the membrane.</t>
  </si>
  <si>
    <t>Probable conserved integral membrane transport protein YjcE</t>
  </si>
  <si>
    <t>Rv2287, (MTCY339.23c), len: 542 aa. Probable yjcE, conserved integral membrane transport protein, similar to eukaryote NA+/H+ exchangers e.g. YJCE_ECOLI|P32703|B4065 Putative Na(+)/H(+) exchanger from Escherichia coli (549 aa), FASTA scores: opt: 436, E(): 5.6e-21, (29.4% identity in 555 aa overlap); etc. Seems to belong to CPA1 family (NA(+)/H(+) exchanger family).</t>
  </si>
  <si>
    <t>Rv2288</t>
  </si>
  <si>
    <t>Rv2288, (MTCY339.22c), len: 125 aa. Unknown hypothetical protein</t>
  </si>
  <si>
    <t>Involved in phospholipid biosynthesis [catalytic activity: CDP-diacylglycerol + H(2)O = CMP + phosphatidate].</t>
  </si>
  <si>
    <t>Probable CDP-diacylglycerol pyrophosphatase Cdh (CDP-diacylglycerol diphosphatase) (CDP-diacylglycerol phosphatidylhydrolase)</t>
  </si>
  <si>
    <t>Rv2289, (MTCY339.21c), len: 260 aa. Probable cdh, CDP-diacylglycerol pyrophosphatase, similar to CDH_SALTY|P26219 cdp-diacylglycerol pyrophosphatase (251 aa), FASTA scores: opt: 395, E(): 5.9e-20, (33.5% identity in 221 aa overlap).</t>
  </si>
  <si>
    <t>lppO</t>
  </si>
  <si>
    <t>Probable conserved lipoprotein LppO</t>
  </si>
  <si>
    <t>Rv2290, (MTCY339.20c), len: 171 aa. Probable lppO, conserved lipoprotein, similar to Rv3763, 19KD_MYCTU P11572 19 kDa lipoprotein antigen precursor (159 aa) FASTA scores, opt: 119, E (): 1.3, (25.6% identity in 164 aa overlap). Contains appropriately positioned PS00013 lipoprotein motif (with one mismatch). This region is a possible MT-complex-specific genomic island (See Becq et al., 2007).</t>
  </si>
  <si>
    <t>Probable thiosulfate sulfurtransferase SseB</t>
  </si>
  <si>
    <t>Rv2291, (MTCY339.19c), len: 284 aa. Probable sseB, thiosulfate sulfurtransferase. Very similar to thiosulfate sulfurtransferas/rhodanese from Streptomyces coelicolor AL00920 4|SC9B10_21 (283 aa) opt: 765, E(): 0; Smith-Waterman score: 765; 46.9% identity in 286 aa overlap, similar to THTR_ECOLI P31142 putative thiosulfate sulfurtransferase (280 aa), FASTA scores, opt: 478, E(): 1e-23, (35.1% identity in 265 aa overlap)</t>
  </si>
  <si>
    <t>Rv2292c</t>
  </si>
  <si>
    <t>Rv2292c, (MTCY339.18), len: 74 aa. Unknown hypothetical protein</t>
  </si>
  <si>
    <t>Rv2293c, (MTCY339.17), len: 246 aa. Conserved hypothetical protein; some similarity to hypothetical protein (299 aa) AAK24237.1| (AE005897) belonging to phosphorylase family [Caulobacter crescentus] (33% identity in 131 aa overlap). Possible lipoprotein: signal peptide at N-terminus</t>
  </si>
  <si>
    <t>Rv2294, (MTCY339.16c), len: 407 aa. Probable aminotransferase, similar to others in M. tuberculosis e.g. MTV030_19, also similar to PATB_BACSU|Q08432 putative aminotransferase b from Bacillus subtilis (387 aa), FASTA scores: opt: 563, E(): 2.8e-29, (31.4% identity in 408 aa overlap); and to MALY_ECOLI|P23256 maly protein from Escherichia coli (390 aa), FASTA scores: opt: 530, E(): 3.6e-27, (31.3% identity in 384 aa overlap). Belongs to class-II of pyridoxal-phosphate-dependent aminotransferases.</t>
  </si>
  <si>
    <t>Rv2295, (MTCY339.15c), len: 212 aa. Conserved hypothetical protein, cysteine-rich protein, similar to YIEJ_ECOLI P31469 hypothetical 22.5 kDa protein in tnab-bglb intergenic region (195 aa), opt: 270, E(): 3.4e-11, (36.4% identity in 198 aa overlap). Alternative start suggested by similarity 26 codons further downstream</t>
  </si>
  <si>
    <t>Converts haloalkanes to corresponding alcohol and halides [catalytic activity: 1-haloalkane + H2O = a primary alcohol + halide].</t>
  </si>
  <si>
    <t>Probable haloalkane dehalogenase</t>
  </si>
  <si>
    <t>Rv2296, (MTCY339.14c), len: 300 aa. Probable haloalkane dehalogenase, similar to e.g. HALO_XANAU P22643, haloalkane dehalogenase, (310 aa), opt: 510 z-score: 577.7 E(): 3.1e-25 (39.0% identity in 315 aa overlap).</t>
  </si>
  <si>
    <t>Rv2297, (MTCY339.13c), len: 150 aa. Unknown protein; contains PS00343 Gram-positive cocci surface proteins 'anchoring' hexapeptide</t>
  </si>
  <si>
    <t>Rv2298, (MTCY339.12c), len: 323 aa. Conserved protein. Similar to SLR0545 Synechocystis sp, Q55493 hypothetical 34.6 kDa protein (314 aa), FASTA scores, opt: 427, E(): 1.7e-20, (39.3% identity in 303 aa overlap) and to YZAE_BACSU P46905 hypothetical protein in natb 3'region (268 aa) FASTA scores, opt: 370, E(): 6.1e-17, (31.4% identity in 264 aa overlap)</t>
  </si>
  <si>
    <t>Molecular chaperone involved in protein folding. Has ATPase activity.</t>
  </si>
  <si>
    <t>Probable chaperone protein HtpG (heat shock protein) (HSP90 family protein) (high temperature protein G)</t>
  </si>
  <si>
    <t>Rv2299c, (MTCY339.11), len: 647 aa. HtpG, probable chaperone, heat shock protein 90 family. Similar to HTPG_BACSU|P46208 heat shock protein htpG homologue from Bacillus subtilis (626 aa), FASTA scores: opt: 1551, E(): 0, (39.6% identity in 631 aa overlap). Contains possible helix-turn-helix motif at aa 519-540 (+3.77 SD).</t>
  </si>
  <si>
    <t>Rv2300c, (MTCY339.09), len: 310 aa (start uncertain). Conserved protein, similar to others e.g. Q9RXY2|DR0172 conserved hypothetical protein from Deinococcus radiodurans (271 aa), FASTA scores: opt: 306, E(): 1.3e-12, (34.6% identity in 229 aa overlap); Q9HZH1|PA3037 hypothetical protein from Pseudomonas aeruginosa (288 aa), FASTA scores: opt: 248, E(): 7.9e-09, (31.5% identity in 238 aa overlap); Q9PDL8|XF1361 hypothetical protein from Xylella fastidiosa (279 aa), FASTA scores: opt: 236, E(): 4.6e-08, (29.7% identity in 249 aa overlap); U70053|XCU70053_3 GumP protein from Xanthomonas campestris (282 aa), FASTA scores: opt: 222, E(): 3.7e-07, (30.1% identity in 248 aa overlap); etc.</t>
  </si>
  <si>
    <t>Hydrolysis of cutin (a polyester that forms the structure of plant cuticle).</t>
  </si>
  <si>
    <t>Probable cutinase Cut2</t>
  </si>
  <si>
    <t>Rv2301, (MTCY339.08c), len: 230 aa. Probable cut2 (alternate gene name: cfp25), cutinase, highly similar to others from Mycobacteria tuberculosis e.g. MTCY13E12.04|Rv3451|O06318|CUT3_MYCTU (247 aa), FASTA scores: opt: 569, E(): 2.3e-27, (45.3% identity in 223 aa overlap); MT2037|MTCY39.35|RV1984C|Q10837|CUT1_MYCTU (217 aa), FASTA scores: opt: 383, E(): 3.4e-16 (42.9% identity in 217 aa overlap); O69691|Rv3724|MTV025.072 putative cutinase precursor (187 aa), FASTA scores: opt: 248, E(): 4.3e-08, (41.85% identity in 172 aa overlap); etc. Also similar to few others from other organisms e.g. Q9KK87 serine esterase cutinase from Mycobacterium avium (220 aa), FASTA scores: opt: 391, E(): 1.1e-16, (39.15% identity in 235 aa overlap); etc. Contains PS00095 C-5 cytosine-specific DNA methylases C-terminal signature. Belongs to the cutinase family. Start changed since first submission (+11 aa).</t>
  </si>
  <si>
    <t>Rv2302</t>
  </si>
  <si>
    <t>Rv2302, (MTCY339.07c), len: 80 aa. Conserved protein, highly similar to others: O53766|AL021942|Rv0569|MTV039.07 hypothetical 9.5 KDA protein from Mycobacterium tuberculosis (88 aa), FASTA scores: opt: 300, E(): 1.4e-14, (61.85% identity in 76 aa overlap); O88049|SCI35.11 hypothetical 7.1 KDA protein from Streptomyces coelicolor (64 aa), FASTA scores: opt: 169, E(): 1.5e-05, (46.55% identity in 58 aa overlap) (has its C-terminus shorter); Q9XCD1 hypothetical 12.0 KDA protein (fragment) from Thermomonospora fusca (106 aa), FASTA scores: opt: 126, E(): 0.023, (50.0% identity in 34 aa overlap) (similarity in part for this one). Also weakly similar to U650M|G699303|Q50105 hypothetical 5.7 KDA protein from Mycobacterium leprae (53 aa), FASTA scores: opt: 89, E(): 0.66, (45.5% identity in 33 aa overlap); and weakly similar to N-terminus of Q9RIZ1|SCJ1.23c putative DNA-binding protein from Streptomyces coelicolor (323 aa), FASTA scores: opt: 182, E(): 7.3e-06, (42.25% identity in 71 aa overlap). This region is a possible MT-complex-specific genomic island (See Becq et al., 2007).</t>
  </si>
  <si>
    <t>Could be involved in antibiotic-resistance.</t>
  </si>
  <si>
    <t>Probable antibiotic-resistance protein</t>
  </si>
  <si>
    <t>Rv2303c, (MTCY339.06, MT2360), len: 307 aa. Probable antibiotic-resistance protein, with some similarity to Q54229|G153373 macrotetrolide antibiotic-resistance protein (NONR) from Streptomyces griseus (347 aa) (see Plater and Robinson, 1992), FASTA scores: opt: 438, E(): 3.1e-21, (33.2% identity in 226 aa overlap); and other hypothetical proteins e.g. P95886 ORF C02006 from Sulfolobus solfataricus (269 aa), FASTA scores: opt: 252, E(): 3.5e-09, (25.5% identity in 286 aa overlap); etc. Also similar to Mycobacterium tuberculosis Rv3510c|O53555|MTV023.17. Note that the protein Q9XDF3|NONC from Streptomyces griseus subsp. griseus (317 aa) is equivalent to Q54229|G153373|NONR however the N-terminal end is shorter (30 aa) owing to a changed start codon (see Walczak et al., 2000). This region is a possible MT-complex-specific genomic island (See Becq et al., 2007).</t>
  </si>
  <si>
    <t>Rv2304c</t>
  </si>
  <si>
    <t>Rv2304c, (MTCY339.05), len: 69 aa. Hypothetical unknown protein. This region is a possible MT-complex-specific genomic island (See Becq et al., 2007).</t>
  </si>
  <si>
    <t>Rv2305, (MTCY339.04c), len: 429 aa. Unknown protein. This region is a possible MT-complex-specific genomic island (See Becq et al., 2007).</t>
  </si>
  <si>
    <t>Rv2306A</t>
  </si>
  <si>
    <t>Rv2306A, len: 197 aa. Possible conserved membrane protein, similar to several hypothetical membrane proteins from Mycobacterium tuberculosis and Streptomyces coelicolor, e.g. Rv0625c|P96915|Y625_MYCTU hypothetical 25.2 KDA protein from Mycobacterium tuberculosis (246 aa), FASTA scores: opt: 410, E(): 2.7e-17, (53.25% identity in 139 aa overlap). First 140 aa show high similarity, this then decreases but continues in next ORF Rv2306B, suggesting a frameshift near nt 2577473. However the sequence has been checked and no error found. The sequence is identical in CDC1551 and Mycobacterium bovis. Replaces original Rv2306c on other strand. This region is a possible MT-complex-specific genomic island (See Becq et al., 2007).</t>
  </si>
  <si>
    <t>Rv2306B</t>
  </si>
  <si>
    <t>Rv2306B, len: 144 aa. Possible conserved membrane protein, similar to C-terminal part of several hypothetical membrane proteins from Mycobacterium tuberculosis and Streptomyces coelicolor e.g. P96915|Y625_MYCTU|RV0625c hypothetical 25.2 KDA protein from Mycobacterium tuberculosis (246 aa), FASTA scores: opt: 480, E(): 5e-24, (77.15% identity in 92 aa overlap). Could be a continuation of Rv2306A suggesting there may be a frameshift near nt 2577473. The C-terminal part is longer than Rv0625c and the 3'-end of gene overlaps Rv2307c, so maybe a further framehift. However, sequence has been checked and no error found. Also same sequence as strain CDC1551 and Mycobacterium bovis. Replaces original Rv2306c on other strand. This region is a possible MT-complex-specific genomic island (See Becq et al., 2007).</t>
  </si>
  <si>
    <t>Rv2307A</t>
  </si>
  <si>
    <t>Hypothetical glycine rich protein</t>
  </si>
  <si>
    <t>Rv2307A, len: 63 aa. Hypothetical unknown protein. This region is a possible MT-complex-specific genomic island (See Becq et al., 2007).</t>
  </si>
  <si>
    <t>Rv2307B, len: 143 aa. Hypothetical unknown Gly- rich protein. Equivalent to AAK46653 from Mycobacterium tuberculosis strain CDC1551 (133 aa) but longer 10 aa. This region is a possible MT-complex-specific genomic island (See Becq et al., 2007).</t>
  </si>
  <si>
    <t>Rv2307D</t>
  </si>
  <si>
    <t>Rv2307D, len: 60 aa. Hypothetical unknown protein. This region is a possible MT-complex-specific genomic island (See Becq et al., 2007).</t>
  </si>
  <si>
    <t>Rv2307c, (MTCY339.02), len: 281 aa. Conserved hypothetical protein, similar to many other hypothetical proteins and BEM1/BUD5 suppressors e.g. P77538 hypothetical protein from Escherichia coli (293 aa), FASTA scores: opt: 421, E(): 2.4e-18, (32.1% identity in 268 aa overlap) (alias AAG57647|Z3802|BAB36823|ECS3400 Putative enzyme (3.4.-) from Escherichia coli (293 aa), FASTA scores: opt: 425, E(): 1.7e-18, (32.1% identity in 268 aa overlap));P54069|BE46_SCHPO|BEM46|SPBC32H8.03|PI020 BEM46 protein from Schizosaccharomyces pombe (Fission yeast) (352 aa), FASTA scores: opt: 355, E(): 3.3e-14, (30.45% identity in 279 aa overlap); O76462|BEM46 BEM46 protein from Drosophila melanogaster (338 aa), FASTA scores: opt: 404, E(): 2.8e-17, (32.75% identity in 281 aa overlap); etc. Equivalent (but with few differences) to AAK46650|MT2364 protein from Mycobacterium tuberculosis strain CDC1551 (281 aa). Predicted to be an outer membrane protein (See Song et al., 2008). This region is a possible MT-complex-specific genomic island (See Becq et al., 2007).</t>
  </si>
  <si>
    <t>Rv2308, (MTCY339.01c), len: 238 aa. Conserved hypothetical protein, sharing similarity with O53464|Rv2018|MTV018.05 from Mycobacterium tuberculosis (239 aa), FASTA scores: opt: 142, E(): 0.034, (24.8% identity in 250 aa overlap). As contains possible helix-turn-helix motif at aa 16-37 (Sequence: YVYAEVDKLIGLPAGTAKRWIN) (Score 1169, +3.17 SD), may be a transcriptional regulator. This region is a possible MT-complex-specific genomic island (See Becq et al., 2007).</t>
  </si>
  <si>
    <t>Rv2309A</t>
  </si>
  <si>
    <t>Rv2309A, len: 95 aa. Hypothetical unknown protein. Equivalent to AAK46663 from Mycobacterium tuberculosis strain CDC1551 (95 aa) but longer 13 aa. This region is a possible MT-complex-specific genomic island (See Becq et al., 2007).</t>
  </si>
  <si>
    <t>Rv2309c, (MTCY3G12.25), len: 151 aa. Possible integrase (fragment), similar to others e.g. Q48908 integrase (fragment) from Mycobacterium paratuberculos (191 aa), FASTA scores: opt: 279, E(): 3.2e-11, (40.4% identity in 136 aa overlap); etc. Also similar to others from Mycobacterium tuberculosis e.g. Rv1055|MTV017.08 integrase (fragment) (78 aa) (72.85% identity in 70 aa overlap); and Rv1054|MTV017.07 integrase (fragment). Could belong to the 'phage' integrase family. This region is a possible MT-complex-specific genomic island (See Becq et al., 2007).</t>
  </si>
  <si>
    <t>Rv2310</t>
  </si>
  <si>
    <t>Use for sequence excision.</t>
  </si>
  <si>
    <t>Possible excisionase</t>
  </si>
  <si>
    <t>Rv2310, (MT2372, MTCY3G12.24c), len: 114 aa. Possible excisionase, showing some similarity to others e.g. Q9LCU5 putative excisionase from Arthrobacter sp. TM1 (174 aa) FASTA scores: opt: 341, E(): 6.6e-15, (48.2% identity in 110 aa overlap); O85865 putative excisionase from Sphingomonas aromaticivorans (152 aa), FASTA scores: opt: 205, E(): 2.2e-06, (41.25% identity in 80 aa overlap); etc. Also similar to Rv3750c|O69717 hypothetical protein from Mycobacterium tuberculosis (130 aa), FASTA scores: opt: 228, E(): 6.9e-08, (43.9% identity in 82 aa overlap). Contains possible helix-turn-helix motif at aa 20-41 (Score 2181, +6.62 SD). This region is a possible MT-complex-specific genomic island (See Becq et al., 2007).</t>
  </si>
  <si>
    <t>Rv2311</t>
  </si>
  <si>
    <t>Rv2311, (MTCY3G12.23c), len: 174 aa. Conserved hypothetical protein, with similarity (in part) to transfer proteins homologous TRAA e.g. Q9EUN8|TRAA transfer protein homolog TRAA from Corynebacterium glutamicum (1160 aa), FASTA scores: opt: 221, E(): 2.9e-07, (36.8% identity in 136 aa overlap); Q9ETQ3|TRAA conjugal transfer protein (TRAA-like protein) from Corynebacterium equii (1367 aa), FASTA scores: opt: 188, E(): 5.5e-05, (33% identity in 106 aa overlap); P55418|TRAA_RHISN|Y4DS probable conjugal transfer protein from Rhizobium sp. strain NGR234 (1102 aa), FASTA scores: opt: 145, E(): 0.035, (29.08% identity in 141 aa overlap); etc. This region is a possible MT-complex-specific genomic island (See Becq et al., 2007).</t>
  </si>
  <si>
    <t>Rv2312</t>
  </si>
  <si>
    <t>Rv2312, (MTCY3G12.22c), len: 89 aa. Hypothetical unknown protein. This region is a possible MT-complex-specific genomic island (See Becq et al., 2007).</t>
  </si>
  <si>
    <t>Rv2313c, (MTCY3G12.21), len: 284 aa. Hypothetical unknown protein.</t>
  </si>
  <si>
    <t>Rv2314c, (MTCY3G12.20), len: 457 aa. Conserved protein, highly similar to Q9RJ51|SCI8.02 hypothetical protein from Streptomyces coelicolor (464 aa) FASTA scores: opt: 1485, E(): 5.2e-83, (53.5% identity in 454 aa overlap); similar to AAK24788|CC2824 TldD/PmbA family protein from Caulobacter crescentus (441 aa), FASTA scores: opt: 364, E(): 8.3e-15, (29.8% identity in 460 aa overlap); and showing similarity with Q9HJZ6|TA0814 hypothetical protein from Thermoplasma acidophilum (430 aa), FASTA scores: opt: 220, E(): 4.7e-06, (21.85% identity in 348 aa overlap).</t>
  </si>
  <si>
    <t>Rv2315c, (MTCY3G12.19), len: 505 aa. Conserved protein, highly similar to Q9S273|SCI28.10 hypothetical 47.1 KDA protein from Streptomyces coelicolor (435 aa), FASTA scores: opt: 1768, E():5.6e-101, (63.2% identity in 432 overlap); and similar to others e.g. AAK24787|CC2823 hypothetical protein (TldD/PmbA family) from Caulobacter crescentus (543 aa), FASTA scores: opt: 876, E():3.1e-46, (42.8% identity in 505 overlap); O58578|PH0848 hypothetical 54.4 KDA protein from Pyrococcus horikoshii (481 aa), FASTA scores: opt: 661, E(): 4.3e-33, (29.95% identity in 484 aa overlap); Q9UZ95|PAB1547 hypothetical 53.6 KDA protein from Pyrococcus abyssi (473 aa), FASTA scores: opt: 656, E(): 8.6e-33, (29.1% identity in 481 aa overlap); etc.</t>
  </si>
  <si>
    <t>Probable sugar-transport integral membrane protein ABC transporter UspA</t>
  </si>
  <si>
    <t>Rv2316, (MTCY3G12.18c), len: 290 aa. Probable uspA, sugar-transport integral membrane protein ABC transporter (see citation below), most similar to Q9CBN8|USPA|ML1768 sugar transport integral membrane protein from Mycobacterium leprae (328 aa), FASTA scores: opt: 1593, E(): 1.9e-93, (82.35% identity in 289 aa overlap); and similar to O32940|ML1426|MLCB2052.28 possible sugar transport protein (probable ABC-transport protein, inner membrane component) from Mycobacterium leprae (319 aa), FASTA scores: opt: 600, E(): 9.2e-31, (34.25% identity in 295 aa overlap). Also similar to other proteins involved in transport e.g. Q9X860|SCE134.05c putative binding protein dependent transport protein from Streptomyces coelicolor (327 aa), FASTA scores: opt: 639, E(): 3.2e-33, (40.45% identity in 272 aa overlap); Q9K6N9|BH3689 sugar transport system (permease) from Bacillus halodurans (300 aa), FASTA scores: opt: 590, E(): 3.7e-30, (35.65% identity in 289 aa overlap); etc.</t>
  </si>
  <si>
    <t>uspB</t>
  </si>
  <si>
    <t>Rv2317</t>
  </si>
  <si>
    <t>Probable sugar-transport integral membrane protein ABC transporter UspB</t>
  </si>
  <si>
    <t>Rv2317, (MTC3G12.17c), len: 274 aa. Probable uspB, sugar-transport integral membrane protein ABC transporter (see citation below), most similar to Q9CBN7|USPE|ML1769 sugar transport integral membrane protein from Mycobacterium leprae (274 aa), FASTA scores: opt: 1522, E(): 3.4e-89, (85.0% identity in 274 aa overlap); and similar to O32941|ML1425|MLCB2052.29 probable ABC-transport protein, inner membrane component from Mycobacterium leprae (283 aa), FASTA scores: opt: 630, E(): 8.4e-33, (36.55% identity in 268 aa overlap). Also similar to other integral membrane proteins e.g. P73854|LACG|SLR1723 lactose transport system permease protein from Synechocystis sp. strain PCC 6803 (270 aa), FASTA scores: opt: 605, E(): 3.1e-31, (36.0% identity in 264 aa overlap); Q9F3B8|SC5F1.11 putative sugar transport integral membrane protein from Streptomyces coelicolor (307 aa), FASTA scores: opt: 582, E(): 9.7e-30, (34.45% identity in 264 aa overlap); etc. Also similar to O53483|Rv2039c|MTV018.26c sugar transport protein from Mycobacterium tuberculosis (280 aa), FASTA scores: opt: 630, E(): 8.3e-89, (37.7% identity in 268 aa overlap).</t>
  </si>
  <si>
    <t>Probable periplasmic sugar-binding lipoprotein UspC</t>
  </si>
  <si>
    <t>Rv2318, (MTCY3G12.16c), len: 440 aa. Probable uspC, sugar-binding lipoprotein component of sugar transport system (see citation below), most similar to Q9CBN6|USPC|ML1770 sugar transport periplasmic binding protein from Mycobacterium leprae (446 aa), FASTA scores: opt: 2294, E(): 8.1e-135, (74.7% identity in 446 aa overlap). Also similar to other substrate-binding proteins e.g. Q9RK89|SCF1.15 putative substrate binding protein (extracellular) (binding-protein-dependent transport) (fragment) from Streptomyces coelicolor (221 aa), FASTA scores: opt: 377, E(): 3e-16, (32.25% identity in 217 aa overlap); Q9K6N8|BH3690 sugar transport system (sugar-binding protein) from Bacillus halodurans (420 aa), FASTA scores: opt: 227, E(): 1e-06, (25.00% identity in 452 aa overlap); etc. Also similar to O53485|Rv2041c|MTV018.28C lipoprotein component of sugar transport system from Mycobacterium tuberculosis (439 aa), FASTA scores: opt: 246, E(): 7e-08, (26.75% identity in 325 aa overlap). Contains a hydrophobic stretch (possible signal peptide) at N-terminal end.</t>
  </si>
  <si>
    <t>Rv2319c, (MTCY3G12.15), len: 292 aa. Universal stress protein family protein.</t>
  </si>
  <si>
    <t>Thought to be involved in transport of cationic amino acid (especially arginine and ornithine) across the membrane. Responsible for the translocation of the substrate across the membrane.</t>
  </si>
  <si>
    <t>Probable cationic amino acid transport integral membrane protein RocE</t>
  </si>
  <si>
    <t>Rv2320c, (MTCY3G12.14), len: 476 aa. Probable rocE, cationic amino acid (especially arginine and ornithine) transporter (permease), highly similar to other amino acid transporters e.g. Q9L100|SCL6.16C putative amino acid transporter from Streptomyces coelicolor (496 aa), FASTA scores: opt: 1485, E(): 9.4e-82, (48.4% identity in 477 aa overlap); O06479|YFNA putative amino acid transporter from Bacillus subtilis (462 aa), FASTA scores: opt: 1271, E(): 6.1e-69, (41.9% identity in 463 aa overlap); Q9PG94|XF0408 amino acid transporter from Xylella fastidiosa (509 aa), FASTA scores: opt: 1128, E(): 2.5e-60, (39.5% identity in 481 aa overlap); etc. Also some similarity with Z99108.1|BSUB0005 from Bacillus subtilis (461 aa), FASTA scores: opt: 1271, E(): 0, (41.9% identity in 463 aa overlap); and G403170 ethanolamine permease (488 aa), FASTA scores: opt: 468, E(): 1e-23, (28.1% identity in 462 aa overlap). Seems to belong to the APC family.</t>
  </si>
  <si>
    <t>rocD2</t>
  </si>
  <si>
    <t>Rv2321c</t>
  </si>
  <si>
    <t>Involved in arginine metabolism [catalytic activity: L-ornithine + a 2-oxo acid = L-glutamate 5-semialdehyde + an L-amino acid].</t>
  </si>
  <si>
    <t>Probable ornithine aminotransferase (C-terminus part) RocD2 (ornithine--oxo-acid aminotransferase)</t>
  </si>
  <si>
    <t>Rv2321c, (MTCY3G12.13), len: 181 aa. Probable rocD2, ornithine aminotransferase, highly similar to C-terminal region of other ornithine aminotransferases, e.g. Q9FC90|ROCD from Streptomyces coelicolor (407 aa), FASTA scores: opt: 628, E(): 1.2e-32, (55.35% identity in 168 aa overlap); P3802|OAT_BACSU|ROCD from Bacillus subtilis (401 aa), FASTA scores: opt: 477, E(): 4.3e-23, (42.1% identity in 178 aa overlap); BAB42057|ROCD|SA0818 from Staphylococcus aureus subsp. aureus N315 (396 aa), FASTA scores: opt: 437, E(): 1.5e-20, (41.3% identity in 170 aa overlap); etc. Contains PS00600 Aminotransferases class-III pyridoxal-phosphate attachment site. Belongs to class-III of pyridoxal-phosphate-dependent aminotransferases. Rv2322c|MTCY3G12.12 (upstream ORF) and Rv2321c|MTCY3G12.13 appear to be an ornithine aminotransferase homologue but are frameshifted - we can find no sequence error in the cosmid to account for this.</t>
  </si>
  <si>
    <t>Probable ornithine aminotransferase (N-terminus part) RocD1 (ornithine--oxo-acid aminotransferase)</t>
  </si>
  <si>
    <t>Rv2322c, (MTCY3G12.12), len: 221 aa. Probable rocD1, ornithine aminotransferase, highly similar to N-terminal region of other ornithine aminotransferases, e.g. Q9FC90|ROCD from Streptomyces coelicolor (407 aa), FASTA scores: opt: 770, E(): 8.7e-40, (55.7% identity in 201 aa overlap); BAB42057|ROCD|SA0818 from Staphylococcus aureus subsp. aureus N315 (396 aa) FASTA scores: opt: 632, E(): 2.2e-31, (46.1% identity in 208 aa overlap); P38021|OAT_BACSU|ROCD from Bacillus subtilis (401 aa), FASTA scores: opt: 626, E(): 5.1e-31, (43.1% identity in 218 aa overlap); etc. Belongs to class-III of pyridoxal-phosphate-dependent aminotransferases. Rv2322c|MTCY3G12.12 and Rv2321c|MTCY3G12.13 (upstream ORF) appear to be an ornithine aminotransferase homologue but are frameshifted - we can find no sequence error in the cosmid to account for this.</t>
  </si>
  <si>
    <t>Rv2323c, (MTCY3G12.11), len: 302 aa. Conserved protein, highly similar to others e.g. Q9FC91|2SCG58.22 conserved hypothetical protein from Streptomyces coelicolor (288 aa), FASTA scores: opt: 561, E(): 7.3e-28, (46.95% identity in 279 aa overlap); P74535|SLL1336 hypothetical 78.3 KDA protein from Synechocystis sp. (705 aa), FASTA scores: opt: 555, E(): 2.1e-27, (37.75% identity in 265 aa overlap); etc. Also similar to various hydrolases e.g. Q53797 beta-hydroxylase (bleomycin/phleomycin binding protein, ankyrin homologue, bleomycin and transport protein) from Streptomyces verticillus (326 aa), FASTA scores: opt: 211, E(): 4.5e-06, (26.75% identity in 303 aa overlap); Q9X7M4|DDAH_STRCO|SC5F2A.01c NG,NG-dimethylarginine dimethylaminohydrolase (Dimethylargininase) (Dimethylarginine dimethylaminohydrolase) (258 aa), FASTA scores: opt: 209, E(): 4.9e-06, (27.15% identity in 243 aa overlap); G434715 beta-hydroxylase (bleomicin/phleomycin binding protein) from Streptomyces verticillus (326 aa), FASTA scores: opt: 211, E(): 4.5e-06, (26.75% identity in 303 aa overlap); etc.</t>
  </si>
  <si>
    <t>Rv2324</t>
  </si>
  <si>
    <t>Probable transcriptional regulatory protein (probably AsnC-family)</t>
  </si>
  <si>
    <t>Rv2324, (MTCY3G12.10), len: 148 aa. Probable transcriptional regulatory protein, asnC-family, similar to other putative AsnC-family regulatory proteins e.g. Q9L101|SCL6.15C from Streptomyces coelicolor (150 aa) FASTA scores: opt: 466, E(): 2.4e-24, (52.8% identity in 142 aa overlap); Q9RKY4|SC6D7.14 putative AsnC-family transcriptional regulatory protein from Streptomyces coelicolor (165 aa), FASTA scores: opt: 266, E(): 5.5e-11, (32.4% identity in 145 aa overlap); Q9ZEP1|LRPA|SCE94.12c putative transcriptional regulator from Streptomyces coelicolor (150 aa), FASTA scores: opt: 249, E(): 6.9e-10, (33.35% identity in 147 aa overlap); etc. Also similar to P96896|Rv3291c|MTCY71.31c from Mycobacterium tuberculosis (150 aa), FASTA scores: opt: 261, E(): 1.1e-10, (36.4% identity in 143 aa overlap).</t>
  </si>
  <si>
    <t>Rv2325c, (MTCY3G12.09), len: 282 aa. Conserved hypothetical protein, equivalent to O32970|MLCB22.37c|ML0849 hypothetical protein from Mycobacterium leprae (283 aa), FASTA scores: opt: 1405, E(): 1.8e-78, (77.7% identity in 282 aa overlap). Also some similarity to other proteins e.g. Q9Z9J1|YBAF|BH0166 YBAF protein (BH0166 protein) (hypothetical protein) from Bacillus halodurans (265 aa), FASTA scores: opt: 288, E(): 2.8e-10, (25.8% identity in 264 aa overlap); P70972|YBAF YBAF protein (hypothetical protein) from Bacillus subtilis (265 aa), FASTA scores: opt: 259, E(): 1.5e-08, (25.45% identity in 224 aa overlap); AAK34821|SPY2193|Q99X13 Conserved hypothetical protein from Streptococcus pyogenes (266 aa), FASTA scores: opt: 232, E(): 6.5e-07, (25.1% identity in 267 aa overlap); etc.</t>
  </si>
  <si>
    <t>Probably involved in active transport accross the membrane. Thought to be responsible for energy coupling to the transport system and the translocation of the substrate across the membrane.</t>
  </si>
  <si>
    <t>Possible transmembrane ATP-binding protein ABC transporter</t>
  </si>
  <si>
    <t>Rv2326c, (MTC3G12.08), len: 697 aa. Possible transmembrane ATP-binding protein ABC transporter (see citation below). Equivalent to Q9CCF9|ML0848 ABC transporter from Mycobacterium leprae (724 aa), FASTA scores: opt: 3482, E(): 2.8e-182, (76.9% identity in 697 aa overlap) and also to O32971|MLCB22.38c ABC-type transporter from Mycobacterium leprae (726 aa), FASTA scores: opt: 3482, E(): 2.8e-182, (76.9% identity in 697 aa overlap). Similar in part to other ABC transporters e.g. Q9WY65|TM0222 from Thermotoga maritima (266 aa), FASTA scores: opt: 407, E(): 4.2e-15, (38.0% identity in 213 aa overlap); etc. Contains 2 X PS00017 ATP/GTP-binding site motif A (P-loop); and 2 x PS00211 ABC transporters family signature. Belongs to the ATP-binding transport protein family (ABC transporters).</t>
  </si>
  <si>
    <t>Rv2327, (MTCY3G12.07c), len: 163 aa. Conserved protein, similar to Z80775|MTCY21D4.05c|Rv0042c from Mycobacterium tuberculosis (208 aa), FASTA scores: opt: 242, E(): 5e-08, (43.0% identity in 107 aa overlap). Also slight similarity to putative transcriptional regulatory proteins belonging to the MarR-family e.g. Q9CCY2/ML2696 from Mycobacterium leprae (243 aa), FASTA scores: opt: 245, E(): 3.7e-08, (35.35% identity in 150 aa overlap); Q9L135|SC6D11.20 from Streptomyces coelicolor (155 aa), FASTA scores: opt: 242, E(): 3.9e-08, (34.75% identity in 141 aa overlap); etc.</t>
  </si>
  <si>
    <t>PE family protein PE23</t>
  </si>
  <si>
    <t>Rv2328, (MTCY3G12.06), len: 382 aa. PE23, Member of the Mycobacterium tuberculosis PE family (see citation below), similar to others e.g. Q9L8K5|MAG24-1 PE-PGRS homolog from Mycobacterium marinum (638 aa), FASTA scores: opt: 495, E(): 6.6e-18, (34.65% identity in 401 aa overlap); etc.</t>
  </si>
  <si>
    <t>Involved in excretion of nitrite produced by the dissimilatory reduction of nitrate.</t>
  </si>
  <si>
    <t>Probable nitrite extrusion protein 1 NarK1 (nitrite facilitator 1)</t>
  </si>
  <si>
    <t>Rv2329c, (MTCY3G12.05), len: 515 aa. Probable narK1, nitrite extrusion protein, possibly member of major facilitator superfamily (MFS). Equivalent to O32974|MLCB22.41c|nark|ML0844 putative nitrite extrusion protein from Mycobacterium leprae (517 aa), FASTA scores: opt: 2224, E(): 1.9e-129, (69.3% identity in 488 aa overlap). Also highly similar to others e.g. P94933 nitrite extrusion protein from Mycobacterium fortuitum (471 aa), FASTA scores: opt: 1969, E(): 8.6e-114, (62.1% identity in 459 aa overlap); P37758|NARU_ECOLI nitrite extrusion protein 2 from Escherichia coli strain K12 (462 aa), FASTA scores: opt: 792, E(): 2.3e-41, (36.95% identity in 476 aa overlap); P10903|NARK_ECOLI nitrite extrusion protein (nitrite facilitator 1) from Escherichia coli strain K12 (463 aa), FASTA scores: opt: 784, E(): 7e-41, (35.3% identity in 468 aa overlap); etc. Also similar to RV0261c|Z86089|MTCY6A4_5 from Mycobacterium tuberculosis (469 aa), FASTA scores: opt: 2000, E(): 1.1e-115, (62.6% identity in 470 aa overlap). Belongs to the nark/NASA family of transporters.</t>
  </si>
  <si>
    <t>Probable lipoprotein LppP</t>
  </si>
  <si>
    <t>Rv2330c, (MTCY3G12.04), len: 175 aa. Probable lppP, lipoprotein. Contains signal sequence and appropriately positioned PS00013 Prokaryotic membrane lipoprotein lipid attachment site.</t>
  </si>
  <si>
    <t>Rv2331, (MT2393, MTCY3G12.03c), len: 128 aa. Hypothetical unknown protein; shortened version of MTCY3G12.03c to eliminate overlap with MTCY3G12.04.</t>
  </si>
  <si>
    <t>Rv2331A, len: 112 aa. Hypothetical unknown protein.</t>
  </si>
  <si>
    <t>Catalyzes the oxidative decarboxylation of malate into pyruvate, important for a wide range of metabolic pathways [catalytic activity: (S)-malate + NAD(+) = pyruvate + CO(2) + NADH].</t>
  </si>
  <si>
    <t>Probable [NAD] dependent malate oxidoreductase Mez (malic enzyme) (NAD-malic enzyme) (malate dehydrogenase (oxaloacetate decarboxylating)) (pyruvic-malic carboxylase) (NAD-me)</t>
  </si>
  <si>
    <t>Rv2332, (MTCY3G12.02c, MTCY98.01, MT2394), len: 548 aa. Probable mez, malate oxidoreductase [NAD] dependent (malic enzyme), highly similar to others e.g. O34389|MALS putative malolactic enzyme [includes: malic enzyme ; L-lactate dehydrogenase] from Bacillus subtilis (566 aa), FASTA scores: opt: 1927, E(): 5.5e-111, (52.9% identity in 539 aa overlap); P45868|MAO2_BACSU|YWKA probable NAD-dependent malic enzyme from Bacillus subtilis (582 aa), FASTA scores: opt: 1849, E(): 3.6e-106, (50.45% identity in 543 aa overlap); Q48796|MLES_OENOE malolactic enzyme from Oenococcus oeni (541 aa), FASTA scores: opt: 1540, E(): 3.6e-87, (44.2% identity in 536 aa overlap); etc. Belongs to the malic enzymes family. N-terminus shortened since first submission (previously 652 aa).</t>
  </si>
  <si>
    <t>stp</t>
  </si>
  <si>
    <t>Involved in transport of drug across the membrane (export)</t>
  </si>
  <si>
    <t>Integral membrane drug efflux protein Stp</t>
  </si>
  <si>
    <t>Rv2333c, (MTCY3G12.01), len: 537 aa. stp, integral membrane drug efflux protein (See Ramon-Garcia et al., 2007), member of major facilitator superfamily (MFS), highly similar to many e.g. Q9RL22|C5G9.04c putative transmembrane efflux protein from Streptomyces coelicolor (489 aa), FASTA scores: opt: 1031, E(): 4e-55, (37.4% identity in 412 aa overlap); Q9L0L9|SCD82.12 putative transmembrane efflux protein from Streptomyces coelicolor (490 aa), FASTA scores: opt: 883, E(): 3.8e-46, (36.35% identity in 407 aa overlap); Q9ZBW5|SC4B5.03c putative integral membrane efflux protein from Streptomyces coelicolor (504 aa), FASTA scores: opt: 899, E(): 4.1e-47, (37.4% identity in 415 aa overlap); P39886|TCMA_STRGA tetracenomycin C resistance and export protein from Streptomyces glaucescens (538 aa), FASTA scores: opt: 839, E(): 1.9e-43, (32.3% identity in 489 aa overlap); etc. Also highly similar to Rv2459|O53186|MTV008.15 probable conserved integral membrane transport protein from Mycobacterium tuberculosis strain H37Rv (508 aa), FASTA scores: opt: 1385, E(): 1.5e-76, (44.05% identity in 504 aa overlap); and AAK46834|MT2534 drug transporter from Mycobacterium tuberculosis strain CDC1551 (523 aa), FASTA scores: opt: 1385, E(): 1.5e-76, (44.4% identity in 504 aa overlap).</t>
  </si>
  <si>
    <t>Involved in cysteine biosynthesis [catalytic activity: O3-acetyl-L-serine + H(2)S = L-cysteine + acetate].</t>
  </si>
  <si>
    <t>Cysteine synthase a CysK1 (O-acetylserine sulfhydrylase A) (O-acetylserine (thiol)-lyase A) (CSASE A)</t>
  </si>
  <si>
    <t>Rv2334, (MT2397, MTCY98.03), len: 310 aa. cysK1, cysteine synthase A, equivalent to O32978|CYSK_MYCLE|ML0839|MLCB22.47 cysteine synthase a from Mycobacterium leprae (310 aa), FASTA scores: opt: 1756, E(): 8.6e-96, (85.8% identity in 310 aa overlap). Also highly similar to other cysteine synthases e.g. Q9JQL6|CYSK|NMA0974|NMB0763 putative cysteine synthase from Neisseria meningitidis (serogroup a and B) (310 aa), FASTA scores: opt: 1368, E(): 4.6e-73, (66.45% identity in 310 aa overlap); P73410|CYSK_SYNY3|SLR1842 from Synechocystis sp (312 aa), FASTA scores: opt: 1310, E(): 1.2e-69, (64.65% identity in 311 aa overlap); Q43725|CYSM_ARATH|OASC|ACS1|AT3G59760|F24G16.30 cysteine synthase (mitochondrial precursor) from Arabidopsis thaliana (Mouse-ear cress) (424 aa), FASTA scores: opt: 1253, E(): 3.2e-66, (59.2% identity in 309 aa overlap) (has its N-terminus longer 104 aa); etc. Contains PS00901 Cysteine synthase/cystathionine beta-synthase P-phosphate attachment site. Belongs to the cysteine synthase/cystathionine beta-synthase family. Note that previously known as cysK.</t>
  </si>
  <si>
    <t>cysE</t>
  </si>
  <si>
    <t>Involved in cysteine biosynthesis [catalytic activity: acetyl-CoA + L-serine = CoA + O-acetyl-L-serine].</t>
  </si>
  <si>
    <t>Probable serine acetyltransferase CysE (sat)</t>
  </si>
  <si>
    <t>Rv2335, (MTCY98.04), len: 229 aa. Probable cysE, serine acetyltransferase, equivalent to O32979|CYSE|ML0838 serine acetyltransferase from Mycobacterium leprae (227 aa), FASTA scores: opt: 1152, E(): 9.6e-62, (76.4% identity in 229 aa overlap). Also highly similar, except in C-terminal part, to others e.g. Q9HXI6|CYSE|PA3816 O-acetylserine synthase from Pseudomonas aeruginosa (258 aa), FASTA scores: opt: 737, E(): 6e-37, (61.3% identity in 168 aa overlap); P23145|NIFP_AZOCH probable serine acetyltransferase from Azotobacter chroococcum mcd 1 (269 aa), FASTA scores: opt: 718, E(): 8.4e-36, (55.45% identity in 220 aa overlap); Q06750|CYSE_BACSU serine acetyltransferase from Bacillus subtilis (217 aa), FASTA scores: opt: 640, E(): 3.1e-31, (48.0% identity in 200 aa overlap); etc. Contains PS00101 Bacterial hexapeptide-repeat containing-transferases signature. Belongs to the CYSE/LACA/LPXA/NODL family of acetyltransferases. Composed of multiple repeats of [LIV]-G-X(4).</t>
  </si>
  <si>
    <t>Unknown. May be involved in virulence.</t>
  </si>
  <si>
    <t>Rv2336, (MTCY98.05), len: 322 aa. Hypothetical unknown protein (see Rindi et al., 2001). This region is a possible MT-complex-specific genomic island (See Becq et al., 2007).</t>
  </si>
  <si>
    <t>Rv2337c, (MTCY98.06c), len: 372 aa. Hypothetical unknown protein, sharing some similarity with Q9RI33|SCJ12.27c hypothetical 37.2 KDA protein from Streptomyces coelicolor (335 aa), blast scores: 134 and 46, (28% and 33% identity, 52% and 44% positive); FASTA scores: opt: 176, E(): 0.00042, (31.95% identity in 355 aa overlap). This region is a possible MT-complex-specific genomic island (See Becq et al., 2007).</t>
  </si>
  <si>
    <t>moeW</t>
  </si>
  <si>
    <t>Rv2338c</t>
  </si>
  <si>
    <t>Involved in molybdoptenum cofactor biosynthesis; thought to be involved in the biosynthesis of a demolybdo-cofactor (molybdopterin), necessary for molybdo-enzymes.</t>
  </si>
  <si>
    <t>Possible molybdopterin biosynthesis protein MoeW</t>
  </si>
  <si>
    <t>Rv2338c, (MTCY98.07c), len: 318 aa. Possible moeW, molybdoptenum biosynthesis protein, showing some similarity to several molybdopterin biosynthesis proteins e.g. O27613|MTH1571 molybdopterin biosynthesis protein MOEB homolog from Methanobacterium thermoautotrophicum (251 aa), FASTA scores: opt: 309, E(): 4.7e-14; (30.7% identity in 254 aa overlap); Q9KPQ5|VC2311 HESA/MOEB/THIF family protein from Vibrio cholerae (273 aa), FASTA scores: opt: 255, E(): 4e-09, (36.25% identity in 149 aa overlap); Q9PD34|XF1545 molybdopterin biosynthesis protein from Xylella fastidiosa (276 aa), FASTA scores: opt: 233,E(): 1e-07, (33.6% identity in 128 aa overlap); etc. Seems to belong to the HESA/MOEB/THIF family. This region is a possible MT-complex-specific genomic island (See Becq et al., 2007).</t>
  </si>
  <si>
    <t>mmpL9</t>
  </si>
  <si>
    <t>Probable conserved transmembrane transport protein MmpL9</t>
  </si>
  <si>
    <t>Rv2339, (MTCY98.08), len: 962 aa. Probable mmpL9, conserved transmembrane transport protein (see citation below), with strong similarity to other Mycobacterial proteins e.g. P54881|YV34_MYCLE|MML4_MYCLE hypothetical 105.2 kDa protein from Mycobacterium leprae (959 aa), FASTA scores: opt: 3799, E(): 0, (59.3% identity in 937 aa overlap); G699237|U1740AB from Mycobacterium leprae; and MTCY20G9.34; MTCY48.08c; MTCY19G5.06 from Mycobacterium tuberculosis. Belongs to the MmpL family. This region is a possible MT-complex-specific genomic island (See Becq et al., 2007).</t>
  </si>
  <si>
    <t>PE-PGRS family protein PE_PGRS39</t>
  </si>
  <si>
    <t>Rv2340c, (MTCY98.09c), len: 413 aa. PE_PGRS39, Member of the Mycobacterium tuberculosis PE_family, PGRS subfamily of gly-rich proteins (see citations below), similar to others eg YI18_MYCTU|Q50615|Rv1818c|MTCY1A11.25 PE-PGRS family protein from Mycobacterium tuberculosis (498 aa), FASTA scores: opt: 710, E(): 1.4e-22, (41.0% identity in 368 aa overlap); O53884|Rv0872v|MTV043.65c PGRS-family protein from Mycobacterium tuberculosis (606 aa), FASTA scores: opt: 708, E(): 1.9e-22, (42.4% identity in 389 aa overlap); etc. This region is a possible MT-complex-specific genomic island (See Becq et al., 2007).</t>
  </si>
  <si>
    <t>lppQ</t>
  </si>
  <si>
    <t>Rv2341</t>
  </si>
  <si>
    <t>Probable conserved lipoprotein LppQ</t>
  </si>
  <si>
    <t>Rv2341, (MTCY98.10), len: 139 aa. Probable lppQ, conserved lipoprotein, showing some similarity with Rv1228|O33224|LPQX|MTCI61.11 from Mycobacterium tuberculosis (185 aa), FASTA scores: opt: 155; E(): 0.0073; (31.9% identity in 116 aa overlap). Also shows few similarity with P29228|VLPA_MYCHR variant surface antigen a precursor from Mycoplasma hyorhinis (157 aa), FASTA scores: opt: 96, E(): 7.3, (23.1% identity in 143 aa overlap). Contains PS00013 Prokaryotic membrane lipoprotein lipid attachment site.</t>
  </si>
  <si>
    <t>Rv2342</t>
  </si>
  <si>
    <t>Rv2342, (MTCY98.11), len: 85 aa. Conserved hypothetical protein, highly similar to Q9CCG1|ML0834 hypothetical protein from Mycobacterium leprae (100 aa), FASTA scores: opt: 392, E(): 2.9e-20, (78.2% identity in 78 aa overlap). N-terminus highly similar to N-terminal part of Q9L085|SCC24.32 putative secreted protein from Streptomyces coelicolor (108 aa), FASTA scores: opt: 122, E(): 0.077, (39.15% identity in 46 aa overlap). A core mycobacterial gene; conserved in mycobacterial strains (See Marmiesse et al., 2004).</t>
  </si>
  <si>
    <t>DNA primase is the polymerase that synthesizes small RNA primers for the okazaki fragments on both template strands replication FORKS during chromosomal DNA synthesis.</t>
  </si>
  <si>
    <t>Probable DNA primase DnaG</t>
  </si>
  <si>
    <t>Rv2343c, (MTCY98.12c), len: 639 aa. Probable dnaG, DNA primase, equivalent to O52200|PRIM_MYCSM|DNAG DNA primase from Mycobacterium smegmatis (636 aa), FASTA scores: opt: 3504, E(): 5.5e-202, (81.55% identity in 639 aa overlap); and Q9CCG2|DNAG|ML0833 DNA primase from Mycobacterium leprae (642 aa), FASTA scores: opt: 3443, E(): 2.5e-198, (80.4% identity in 642 aa overlap). Also highly similar to many DNA primases e.g. Q9S1N4|PRIM_STRCO|DNAG|SC7A8.07c from Streptomyces coelicolor (641 aa), FASTA scores: opt: 1899, E(): 5.1e-106, (47.9% identity in 643 aa overlap); P74893|PRIM_SYNP7|DNAG from Synechococcus sp. strain PCC 7942 (Anacystis nidulans R2) (616 aa), FASTA scores: opt: 860, E(): 6.6e-44, (35.3% identity in 513 aa overlap); P05096|PRIM_BACSU from Bacillus subtilis (603 aa) FASTA scores: opt: 800, E(): 2.5e-40, (33.7% identity in 430 aa overlap); etc.</t>
  </si>
  <si>
    <t>dGTPase preferentially hydrolyzes dGTP over the other canonical NTPS [catalytic activity: dGTP + H(2)O = deoxyguanosine + triphosphate].</t>
  </si>
  <si>
    <t>Probable deoxyguanosine triphosphate triphosphohydrolase Dgt (dGTPase) (dGTP triphosphohydrolase)</t>
  </si>
  <si>
    <t>Rv2344c, (MT2409, MTCY98.13c), len: 431 aa. Probable dgt, deoxyguanosine triphosphate triphosphohydrolase, equivalent to Q9CCG3|DGT|ML0831 putative deoxyguanosine triphosphate triphosphohydrolase from Mycobacterium leprae (429 aa), FASTA scores: opt: 2316, E(): 1.6e-137, (83.85% identity in 421 aa overlap); and O52199|DGTP_MYCSM|AF027507_2 deoxyguanosinetriphosphate triphosphohydrolase from Mycobacterium smegmatis (428 aa), FASTA scores: opt: 1991, E(): 3.4e-117, (73.5% identity in 422 aa overlap). Also highly similar or similar to several deoxyguanosine triphosphate hydrolases e.g. Q9L2E9|SC7A8.09c putative deoxyguanosinetriphosphate triphosphohydrolase from Streptomyces coelicolor (424 aa), FASTA scores: opt: 1216, E(): 1e-68, (51.05% identity in 425 aa overlap); BAB48544|MLL1093 dGTP triphosphohydrolase from Rhizobium loti (Mesorhizobium loti) (404 aa), FASTA scores: opt: 489, E(): 3.1e-23, (33.85% identity in 387 aa overlap); P15723|DGTP_ECOLI|DGT|B0160 from Escherichia coli strain K12 (504 aa), FASTA scores: opt: 173, E(): 0.0022, (31.65% identity in 259 aa overlap); etc. Belongs to the dGTPase family.</t>
  </si>
  <si>
    <t>Rv2345, (MTCY98.14), len: 660 aa. Possible conserved transmembrane protein, with hydrophobic stretch at N-terminal end around position 180. Similar to O52198 hypothetical 21.2 KDA protein (fragment) from Mycobacterium smegmatis (195 aa), FASTA scores: opt: 589, E(): 1.5e-23; (47.2% identity in 195 aa overlap).</t>
  </si>
  <si>
    <t>esxO</t>
  </si>
  <si>
    <t>Rv2346c</t>
  </si>
  <si>
    <t>Putative ESAT-6 like protein EsxO (ESAT-6 like protein 6)</t>
  </si>
  <si>
    <t>Rv2346c, (MT2411, MTCY98.15c), len: 94 aa. EsxO, ESAT-6 like protein (see citation below), member of Mycobacterium tuberculosis protein family with O53942|Rv1793|MTV049.15, O05300|Rv1198|MTCI364.10, MTCY15C10.33, P96364|MTCY07H7B.03|Rv1037c|MTCY10G2.12, MTCI364.10, etc. Belongs to the ESAT6 family.</t>
  </si>
  <si>
    <t>esxP</t>
  </si>
  <si>
    <t>Rv2347c</t>
  </si>
  <si>
    <t>Putative ESAT-6 like protein EsxP (ESAT-6 like protein 7)</t>
  </si>
  <si>
    <t>Rv2347c, (MT2412, MTCY98.16c), len: 98 aa. EsxP, ESAT-6 like protein (see citation below). Member of M. tuberculosis hypothetical QILSS protein family with Rv1197, Rv1792, Rv1038c and Rv3620c. Belongs to the ESAT6 family. A core mycobacterial gene; conserved in mycobacterial strains (See Marmiesse et al., 2004).</t>
  </si>
  <si>
    <t>Rv2348c</t>
  </si>
  <si>
    <t>Rv2348c, (MTCY98.17c), len: 108 aa. Hypothetical unknown protein.</t>
  </si>
  <si>
    <t>plcC</t>
  </si>
  <si>
    <t>Rv2349c</t>
  </si>
  <si>
    <t>Hydrolyzes sphingomyelin in addition to phosphatidylcholine. Probable virulence factor implicated in the pathogenesis of Mycobacterium tuberculosis at the level of intracellular survival, by the alteration of cell signaling events or by direct cytotoxicity [catalytic activity: a phosphatidylcholine + H(2)O = 1,2- diacylglycerol + choline phosphate].</t>
  </si>
  <si>
    <t>Probable phospholipase C 3 PlcC</t>
  </si>
  <si>
    <t>Rv2349c, (MT2414, MTCY98.18c), len: 508 aa. Probable plcC, phospolipase C 3 (see citations below), similar to other precursors of several phospolipases C e.g. P15713|PHLN_PSEAE|PA3319 non-hemolytic phospholipase C precursor from Pseudomonas aeruginosa (692 aa), FASTA scores: opt: 1013, E(): 9.3e-54, (38.85% identity in 525 aa overlap); P06200|PHLC_PSEAE hemolytic phospholipase C precursor from Pseudomonas aeruginosa (730 aa), FASTA scores: opt: 630, E(): 1.5e-30, (35.15% identity in 535 aa overlap); Q9S816|T12J13.18|T21P5.4 putative phospholipase from Arabidopsis thaliana (Mouse-ear cress) (521 aa), FASTA scores: opt: 218, E(): 1e-05, (27.05% identity in 451 aa overlap); etc. Also highly similar to others from Mycobacterium tuberculosis e.g. Q9XB13|PLCD|Rv1755c|MT1799|MTCY28.21C phospholipase C 4 (514 aa), FASTA scores: opt: 2497, E(): 9e-144, (68.35% identity in 509 aa overlap); Q50560|Rv2351c|PLCA|MTP40|MT2416|MTCY98.20c phospholipase C 1 (520 aa), FASTA scores: opt: 2494, E(): 1.4e-143, (68.1% identity in 514 aa overlap); P95246|PLCB|MPCB|Rv2350c|MT2415|MTCY98.19c phospholipase C 2 (512 aa), FASTA scores: opt: 2474, E(): 2.2e-142, (67.65% identity in 513 aa overlap); etc. Belongs to the bacterial phospholipase C family.</t>
  </si>
  <si>
    <t>plcB</t>
  </si>
  <si>
    <t>Rv2350c</t>
  </si>
  <si>
    <t>Membrane-associated phospholipase C 2 PlcB</t>
  </si>
  <si>
    <t>Rv2350c, (MT2415, MTCY98.19c), len: 512 aa. plcB (alternate gene name: mpcB), membrane-associated phospolipase C 2 (see citations below), similar to other precursors of several phospolipases C e.g. P15713|PHLN_PSEAE|PA3319 non-hemolytic phospholipase C precursor from Pseudomonas aeruginosa (692 aa), FASTA scores: opt: 885, E(): 2.3e-44, (38.5% identity in 525 aa overlap); P06200|PHLC_PSEAE hemolytic phospholipase C precursor from Pseudomonas aeruginosa (730 aa), FASTA scores: opt: 639, E(): 6.3e-30, (537 aa overlap); Q9RGS8 non-hemolytic phospholipase C from Pseudomonas aeruginosa (700 aa), FASTA scores: opt: 864, E(): 3.9e-43, (39.2% identity in 528 aa overlap); etc. Also highly similar to others from Mycobacterium tuberculosis e.g. Q50560|Rv2351c|PLCA|MTP40|MT2416|MTCY98.20c phospholipase C 1 (520 aa), FASTA scores: opt: 2788, E(): 4.5e-156, (75.5% identity in 514 aa overlap); Q9XB13|PLCD|Rv1755c|MT1799|MTCY28.21C phospholipase C 4 (514 aa), FASTA scores: opt: 2623, E(): 2.1e-146, (71.5% identity in 512 aa overlap); P95245|PLCC|Rv2349c|MT2414|MTCY98.18c phospholipase C 3 (508 aa), FASTA scores: opt: 2474, E(): 1.1e-137, (67.65% identity in 513 aa overlap); etc. Belongs to the bacterial phospholipase C family. Supposed membrane-associated, at the extracellular side. Substrate of Tat pathway (See McDonough et al., 2008).</t>
  </si>
  <si>
    <t>plcA</t>
  </si>
  <si>
    <t>Rv2351c</t>
  </si>
  <si>
    <t>Membrane-associated phospholipase C 1 PlcA (MTP40 antigen)</t>
  </si>
  <si>
    <t>Rv2351c, (MTP40, MT2416, MTCY98.20c), len: 512 aa. plcA (alternate gene name: mpcA), membrane-associated phospolipase C 1 (MTP40 antigen) (see citations below), similar to other precursors of several phospolipases C e.g. P15713|PHLN_PSEAE|PA3319 non-hemolytic phospholipase C precursor from Pseudomonas aeruginosa (692 aa), FASTA scores: opt: 1064, E(): 4.3e-55, (39.85% identity in 517 aa overlap); P06200|PHLC_PSEAE hemolytic phospholipase C precursor from Pseudomonas aeruginosa (730 aa), FASTA scores: opt: 562, E(): 1.6e-25, (35.35% identity in 481 aa overlap); Q9RGS8|PLCN|PHLN_BURPS non-hemolytic phospholipase C from Burkholderia pseudomallei (Pseudomonas pseudomallei) (700 aa), FASTA scores: opt: 843, E(): 4.4e-42, (40.5% identity in 531 aa overlap); etc. Also highly similar to others from Mycobacterium tuberculosis e.g. P95246|PLCB|MPCB|Rv2350c|MT2415|MTCY98.19c phospholipase C 2 (512 aa), FASTA scores: opt: 2788, E(): 1.2e-156, (75.5% identity in 514 aa overlap) (alias Q50561|PLCB|MPCB|Rv2350c|MT2415|MTCY98.19c phospholipase C 2 (521 aa), FASTA scores: opt: 2700, E(): 1.8e-151, (73.8% identity in 515 aa overlap)); Q9XB13|PLCD|Rv1755c|MT1799|MTCY28.21C phospholipase C 4 (514 aa), FASTA scores: opt: 2643, E(): 4.1e-148, (71.6% identity in 511 aa overlap); etc. Belongs to the bacterial phospholipase C family. Supposed membrane-associated, at the extracellular side.</t>
  </si>
  <si>
    <t>PPE38</t>
  </si>
  <si>
    <t>Rv2352c</t>
  </si>
  <si>
    <t>PPE family protein PPE38</t>
  </si>
  <si>
    <t>Rv2352c, (MTCY98.21c), len: 391 aa. PPE38, Member of Mycobacterium tuberculosis PPE_family, highly similar to many e.g. Q10778|MTCY48.17|Y04H_MYCTU (734 aa), FASTA scores: opt: 713, E(): 2.8e-27, (37.7% identity in 430 aa overlap); Q10540|MTCY31.06c, Q11031|MTCY02B10.25c, Q10813|MTCY274.23c, P42611|MTV037.06C, P71868|MTCY03C7.23, P95248|MTCY98.22c, P71869|MTCY03C7.24c, etc.</t>
  </si>
  <si>
    <t>PPE39</t>
  </si>
  <si>
    <t>PPE family protein PPE39</t>
  </si>
  <si>
    <t>Rv2353c, (MTCY98.22c), len: 354 aa. PPE39, Member of Mycobacterium tuberculosis PPE family, highly similar to many e.g. near ORF P95249|Rv2356c|MTCY98.25 from Mycobacterium tuberculosis (615 aa), FASTA scores: opt: 1566, E(): 3.2e-69, (66.1% identity in 349 aa overlap); Q10778|MTCY48.17, Q10540|MTCY31.06c, E241779|MTCY98, Q10813|MTCY274.23c, P71868|MTCY03C7.23, P71869|MTCY03C7.24c, P42611|MTV037.06C, E64997|MTCY98, Q10707|MTCY49.38C, P71657|MTCY02B10.25c, etc. Note that the ATG and RBS appear to be provided by the IR of neighbouring IS6110. Predicted to be an outer membrane protein (See Song et al., 2008).</t>
  </si>
  <si>
    <t>Rv2354</t>
  </si>
  <si>
    <t>Required for the transposition of the insertion sequence IS6110.</t>
  </si>
  <si>
    <t>Probable transposase for insertion sequence element IS6110 (fragment)</t>
  </si>
  <si>
    <t>Rv2354, (MTCY98.23), len: 108 aa. Putative Transposase for IS6110 (fragment). Identical to many other M. tuberculosis IS6110 transposase subunits. The transposase described here may be made by a frame shifting mechanism during translation that fuses Rv2354 and Rv2355, the sequence UUUUAAAG (directly upstream of Rv2355) maybe responsible for such a frameshifting event (see McAdam et al., 1990).</t>
  </si>
  <si>
    <t>Rv2355</t>
  </si>
  <si>
    <t>Rv2355, (MTCY98.24), len: 328 aa. Probable IS6110 transposase. Identical to many other M. tuberculosis IS6110 transposase subunits. The transposase described here may be made by a frame shifting mechanism during translation that fuses Rv2354 and Rv2355, the sequence UUUUAAAG (directly upstream of Rv2355) maybe responsible for such a frameshifting event (see McAdam et al., 1990). Start changed since first submission (+ 16 aa).</t>
  </si>
  <si>
    <t>PPE40</t>
  </si>
  <si>
    <t>Rv2356c</t>
  </si>
  <si>
    <t>PPE family protein PPE40</t>
  </si>
  <si>
    <t>Rv2356c, (MTCY98.25), len: 615 aa. PPE40, Member of Mycobacterium tuberculosis PPE_family, highly similar to others e.g. Q10778|MTCY48.17|YF48_MYCTU hypothetical PPE-family protein (678 aa), FASTA scores: opt: 1888, E(): 1.9e-78, (54.4% identity in 667 aa overlap); Q10540|MTCY31.06c, E241779|MTCY98, P42611|MTV037.06c, Q10813|MTCY274.23c, P71657|MTCY02B10.25c, MTCY03C7.23, P71869|MTCY03C7.24c, etc. Predicted to be an outer membrane protein (See Song et al., 2008).</t>
  </si>
  <si>
    <t>Involved in translation mechanisms [catalytic activity: ATP + L-glycine + tRNA(GLY) = AMP + pyrophosphate + L-glycyl-tRNA(GLY)].</t>
  </si>
  <si>
    <t>Probable glycyl-tRNA synthetase GlyS (glycine--tRNA ligase) (GLYRS)</t>
  </si>
  <si>
    <t>Rv2357c, (MTCY27.23, MTCY98.26), len: 463 aa. Probable glyS, glycyl-tRNA synthetase, equivalent to Q9CCG4|GLYS|ML0826 putative glycyl-tRNA synthase from Mycobacterium leprae (463 aa), FASTA scores: opt: 2898, E(): 1e-179, (90.2% identity in 459 aa overlap). Also highly similar to others e.g. Q9L2H9|SYG_STRCO|SCC121.07c from Streptomyces coelicolor (460 aa), FASTA scores: opt: 2210, E(): 2.9e-135, (68.3% identity in 457 aa overlap); Q9PPZ7|SYG_UREPA|GLYS|UU493 glycyl-tRNA synthetase from Ureaplasma parvum (Ureaplasma urealyticum biotype 1) (473 aa), FASTA scores: opt: 1254, E(): 1.7e-73, (45.25% identity in 462 aa overlap); P75425|SYG_MYCPN|GLYS|MPN354|MP482 glycyl-tRNA synthetase from Mycoplasma pneumoniae (449 aa), FASTA scores: opt: 1074, E(): 6.9e-62, (39.45% identity in 454 aa overlap); etc. Contains PS00017 ATP/GTP-binding site motif A (P-loop), and PS00179 Aminoacyl-transfer RNA synthetases class-II signature 1. Belongs to class-II aminoacyl-tRNA synthetase family.</t>
  </si>
  <si>
    <t>Probable transcriptional regulatory protein SmtB (probably ArsR-family)</t>
  </si>
  <si>
    <t>Rv2358, (MTCY27.22c), len: 135 aa. Probable smtB, transcriptional regulator, arsR family, equivalent to Q9CCG5|ML0825 putative ArsR-family transcriptional regulator from Mycobacterium leprae (140 aa), FASTA scores: opt: 647, E(): 2e-34, (72.9% identity in 140 aa overlap). Also similar to others e.g. BAB48273|MLR0745 Transcriptional regulator from Rhizobium loti (Mesorhizobium loti) (104 aa), FASTA scores: opt: 185, E(): 3.4e-05, (43.25% identity in 74 aa overlap) (has its N-terminus shorter); P15905|ARR1_ECOLI arsenical resistance operon repressor from Escherichia coli (117 aa), FASTA scores: opt: 164, E(): 8.1e-05, (39.1% identity in 69 aa overlap); etc. Also similar to O53838|Rv0827|MTV043.19c putative transcriptional regulator from Mycobacterium tuberculosis (130 aa), FASTA scores: opt: 201, E(): 4e-06, (35.7% identity in 98 aa overlap); and O69711|Rv3744|MTV025.092 putative regulatory protein from Mycobacterium tuberculosis (120 aa), FASTA scores: opt: 209, E(): 1.2e-06, (35.5 % identity in 93 aa overlap). Contains possible helix-turn-helix motif at aa 72-93 (Score 1103, +2.94 SD). Belongs to the ArsR family of transciptional regulators. Shown to bind palindromic DNA sequence upstream of Rv2358; inhibited by Zn2+ (See Canneva et al., 2005).</t>
  </si>
  <si>
    <t>zur</t>
  </si>
  <si>
    <t>Acts as a global negative controlling element, employing Zn(2+) as a cofactor to bind the operator of the repressed genes.</t>
  </si>
  <si>
    <t>Probable zinc uptake regulation protein Zur</t>
  </si>
  <si>
    <t>Rv2359, (MTCY27.21c), len: 130 aa. Probable zur, zinc uptake regulation protein, equivalent to FURB|ML0824|Q9CCG6 putative ferric uptake regulatory protein from Mycobacterium leprae (131 aa), FASTA scores: opt: 765, E(): 1.7e-43, (86.9% identity in 130 aa overlap). Also highly similar to ferric uptake regulation proteins e.g. Q9L2H5|SCC121.11 putative metal uptake regulation protein from Streptomyces coelicolor (139 aa), FASTA scores: opt: 547, E(): 3.4e-29, (59.4% identity in 133 aa overlap); P06975|FUR_ECOLI from Escherichia coli (148 aa), FASTA scores: opt: 322, E(): 1.9e-14, (37.9% identity in 132 aa overlap); P45599|FUR_KLEPN ferric uptake regulation protein from Klebsiella pneumoniae (155 aa), FASTA scores: opt: 314, E(): 6.7e-14, (36.35% identity in 132 aa overlap); etc. Belongs to the fur/ZUR family. Note that previously known as furB.</t>
  </si>
  <si>
    <t>Rv2360c, (MTCY27.20), len: 142 aa. Unknown protein.</t>
  </si>
  <si>
    <t>Involved in the synthesis of decaprenyl diphosphate, a molecule which has a central role in the biosynthesis of most features of the mycobacterial cell wall. Adds seven more isoprene UNITS to omega,E, Z-farnesyl diphosphate and releases decaprenyl diphosphate.</t>
  </si>
  <si>
    <t>Long (C50) chain Z-isoprenyl diphosphate synthase (Z-decaprenyl diphosphate synthase)</t>
  </si>
  <si>
    <t>Rv2361c, (MT2430, MTCY27.19), len: 296 aa. Long (C50) chain Z-isoprenyl diphosphate synthase (see citation below), equivalent to UPPS_MYCLE|ML0634|B1937_F2_65|P38119 undecaprenyl pyrophosphate synthetase from Mycobacterium leprae (296 aa), FASTA scores: opt: 1789, E(): 1.8e-97, (86.5% identity in 296 aa overlap). Also highly similar to others e.g. UPPS|Q9L2H4 undecaprenyl pyrophosphate synthetase from Streptomyces coelicolor (277 aa), FASTA scores: opt: 1098, E(): 8.2e-60, (63.5% identity in 247 aa overlap); Q55482|UPPS_SYNY3|SLL0506 from Synechocystis sp. strain PCC 6803 (249 aa), FASTA scores: opt: 686, E(): 4.2e-33, (46.4% identity in 235 aa overlap); O67291|UPPS_AQUAE|AQ_1248 from Aquifex aeolicus (231 aa), FASTA scores: opt: 684, E(): 5.2e-33, (46.3% identity in 229 aa overlap); etc. Also similar to Rv1086|MTV017.39 from Mycobacterium tuberculosis. Contains PS01066 Hypothetical YBR002c family signature. Seems to belong to the UPP synthetase family. Note that previously known as uppS.</t>
  </si>
  <si>
    <t>Involved in DNA repair and RECF pathway recombination</t>
  </si>
  <si>
    <t>Possible DNA repair protein RecO</t>
  </si>
  <si>
    <t>Rv2362c, (MTCY27.18), len: 265 aa. RecO, DNA repair protein, equivalent to Q9CCN0|ML0633 Mycobacterium leprae Hypothetical protein (268 aa), FASTA scores: opt: 1560, E(): 8.5e-93, (86.6% identity in 268 aa overlap). Also highly similar to others e.g. Q9L2H3|SCC121.13c DNA repair protein recO from Streptomyces coelicolor (251 aa), FASTA scores: opt: 843, E(): 6.9e-47, (52.2% identity in 249 aa overlap); and similar to other hypothetical proteins. Weak similarity with P42095|RECO_BACSU DNA repair protein recombinase from Bacillus subtilis (255 aa), FASTA scores: opt: 270, E(): 3.6e-10, (26.4% identity in 182 aa overlap). Maybe involved in modulating assembly and disassembly of RECA filaments (with RECF|Rv0003 and RECR|Rv3715c) (see citation below). Contains match to Pfam entry PF02565 Recombination protein O. Belongs to the RECO family.</t>
  </si>
  <si>
    <t>Generates monocarboxylate from monocarboxylic acid amide [catalytic activity: a monocarboxylic acid amide + H(2)O = a monocarboxylate + NH(3)].</t>
  </si>
  <si>
    <t>Probable amidase AmiA2 (aminohydrolase)</t>
  </si>
  <si>
    <t>Rv2363, (MTCY27.17c), len: 484 aa. Probable amiA2, amidase, highly similar or similar to others e.g. O28325|YJ54_ARCFU|AF1954 putative amidase from Archaeoglobus fulgidus (453 aa), FASTA scores: opt: 777, E(): 1.1e-38, (35.0% identity in 474 aa overlap); Q55424|AMID_SYNY3|SLL0828 putative amidase from Synechocystis sp. strain PCC 6803 (506 aa), FASTA scores: opt: 770, E(): 3e-38, (36.4% identity in 456 aa overlap); Q53116|AMDA enantiomerase-selective amidase from Rhodococcus sp. (462 aa), FASTA scores: opt: 701, E(): 3.5e-34, (32.7% identity in 468 aa overlap); etc. Also highly similar to others from Mycobacterium tuberculosis e.g. AMI2_MYCTU|AMIB2|Q11056|Rv1263|MT1301|MTCY50.19c|cy50.19c amidase (462 aa), FASTA scores: opt: 1141, E(): 2.9e-60, (45.4% identity in 454 aa overlap); etc. Contains PS00571 Amidases signature, and PS00017 ATP/GTP-binding site motif A (P-loop). Belongs to the amidase family.</t>
  </si>
  <si>
    <t>Probable GTP-binding protein Era</t>
  </si>
  <si>
    <t>Rv2364c, (MT2433, MTCY27.16), len: 300 aa. Probable era, GTP-binding protein, equivalent to Q49768|ERA_MYCLE|ML0631|B1937_F3_102 GTP-binding protein era homolog from Mycobacterium leprae (300 aa) FASTA scores: opt: 1589, E(): 3.4e-88, (81.4% identity in 301 aa overlap). Also highly similar to other GTP-binding proteins e.g. Q9RDF2|ERA_STRCO|SCC77.06 from Streptomyces coelicolor (317 aa), FASTA scores: opt: 1264, E(): 1.1e-68, (64.0% identity in 306 aa overlap); Q9KD52|ERA_BACHD|BH1367|BEX from Bacillus halodurans (304 aa), FASTA scores: opt: 869, (44.8% identity in 297 aa overlap); Q9KIH7|ERA_LACLA|ERAL from Lactococcus lactis (subsp. lactis) (Streptococcus lactis), and Lactococcus lactis (subsp. cremoris) (Streptococcus cremoris) (303 aa), FASTA scores: opt: 781, E(): 9.4e-40, (40.25% identity in 298 aa overlap); etc. Contains PS00017 ATP/GTP-binding site motif A (P-loop). Belongs to the era/TRME family of GTP-binding proteins, era subfamily. Note that previously known as bex.</t>
  </si>
  <si>
    <t>Rv2365c</t>
  </si>
  <si>
    <t>Rv2365c, (MTCY27.15), len: 113 aa. Conserved hypothetical protein, highly similar to Q49767|ML0630|B1937_F3_101|CAC30138 Hypothetical protein from Mycobacterium leprae (108 aa), FASTA scores: opt: 426, E(): 1.4e-18, (67.9% identity in 106 aa overlap). Also highly similar to Q9RDF3|SCC77.05 from Streptomyces coelicolor (132 aa), FASTA scores: opt: 254, E(): 1.9e-18, (53.1% identity in 96 aa overlap). Equivalent to AAK46728 from Mycobacterium tuberculosis strain CDC1551 (93 aa) but longer 20 aa.</t>
  </si>
  <si>
    <t>Rv2366c, (MTCY27.14), len: 435 aa. Probable conserved transmembrane protein, highly similar to Q9L2L3|SCC117.07 putative membrane protein from Streptomyces coelicolor (358 aa), FASTA scores: opt: 1159, E(): 5.5e-64, (53.0% identity in 353 aa overlap); ans similar to hypothetical proteins and hemolysin-related proteins e.g. Q9HN02|HLP|VNG2308G hemolysin protein from Halobacterium sp. strain NRC-1 (457 aa), FASTA scores: opt: 623, E(): 6.2e-31, (28.4% identity in 433 aa overlap); etc. Potential transmembrane protein with 2 CBS domains. Belongs to the UPF0053 family.</t>
  </si>
  <si>
    <t>Rv2367c, (MTCY27.13), len: 182 aa. Conserved hypothetical protein, equivalent to Q49752|YN67_MYCLE|ML0628|B1937_F1_21 hypothetical 19.8 KDA protein from Mycobacterium leprae (178 aa), FASTA scores: opt: 1051, E(): 2e-59, (89.1% identity in 175 aa overlap). Also highly similar to others e.g. Q9L2L4|SCC117.06 conserved hypothetical protein from Streptomyces coelicolor (165 aa), FASTA scores: opt: 599, E(): 6e-31, (56.5% identity in 154 aa overlap); Q9KD56|BH1363 hypothetical protein from Bacillus halodurans (159 aa), FASTA scores: opt: 311, E(): 8.3e-13, (45.05% identity in 111 aa overlap); etc.</t>
  </si>
  <si>
    <t>Probable PHOH-like protein PhoH1 (phosphate starvation-inducible protein PSIH)</t>
  </si>
  <si>
    <t>Rv2368c, (MTCY27.12), len: 352 aa. Probable phoH1, phoH-like protein (phosphate starvation-induced protein), probably ATP-binding protein, equivalent to Q49751|PHOL_MYCLE| ML0627|B1937_F1_20 PHOH-like protein from Mycobacterium leprae (349 aa), FASTA scores: opt: 1952, E(): 4.7e-107, (88.9% identity in 352 aa overlap). Also highly similar to Q9L2L5|SCC117.05 PHOH-like protein from Streptomyces coelicolor (359 aa), FASTA scores: opt: 1407, E(): 3.6e-75, (63.6% identity in 349 aa overlap); Q9RSY1|DR1988 PHOH-related protein from Deinococcus radiodurans (380 aa), FASTA scores: opt: 1053, E(): 1.9e-54, (53.3% identity in 349 aa overlap); Q9KD58|PHOH|BH1361 phosphate starvation-induced protein from Bacillus halodurans (320 aa), FASTA scores: opt: 1019, E(): 1.6e-52, (54.35% identity in 300 aa overlap); P46343|PHOL_BACSU PHOH-like protein from Bacillus subtilis (319 aa), FASTA scores: opt: 1014, E(): 3.2e-52, (50.8% identity in 303 aa overlap); etc. Contains PS00017 ATP/GTP-binding site motif A (P-loop). Belongs to the PHOH family. Note that previously known as phoH.</t>
  </si>
  <si>
    <t>Rv2369c</t>
  </si>
  <si>
    <t>Rv2369c, (MTCY27.11), len: 100 aa. Hypothetical unknown protein.</t>
  </si>
  <si>
    <t>Rv2370c</t>
  </si>
  <si>
    <t>Rv2370c, (MTCY27.10), len: 437 aa. Conserved hypothetical protein, member of family proteins from Mycobacterium tuberculosis with Rv1453|MTCY493_01c|O06807 conserved hypothetical protein from Mycobacterium tuberculosis (432 aa), FASTA scores: opt: 1943, E(): 9.4e-115, (69.9% identity in 409 aa overlap); Rv1194c|MTCI364.06c; etc. Also similar to AAK45764|MT1500 conserved hypothetical protein from Mycobacterium tuberculosis strain CDC1551 (432 aa), FASTA scores: opt: 1934, E(): 9.4e-115, (69.9% identity in 409 aa overlap).</t>
  </si>
  <si>
    <t>PE_PGRS40</t>
  </si>
  <si>
    <t>Rv2371</t>
  </si>
  <si>
    <t>PE-PGRS family protein PE_PGRS40</t>
  </si>
  <si>
    <t>Rv2371, (MTCY27.09c), len: 61 aa. PE_PGRS40, Short protein, member of the Mycobacterium tuberculosis PE family, PGRS subfamily of gly-rich proteins (see citation below), highly similar to N-terminal part of others e.g. AAK44356|MT0132 PE_PGRS family protein from Mycobacterium tuberculosis strain CDC1551 (561 aa), FASTA scores: opt: 217, E(): 4.9e-08, (69.65% identity in 56 aa overlap); etc.</t>
  </si>
  <si>
    <t>Rv2372c, (MTCY27.08), len: 262 aa. Conserved hypothetical protein, equivalent to Q9CCN1|ML0626 hypothetical protein from Mycobacterium leprae (257 aa), FASTA scores: opt: 1277, E(): 3e-71, (77.25% identity in 255 aa overlap). Also highly similar to others e.g. Q9RDD9|SDRD hypothetical 26.1 KDA protein from Streptomyces coelicolor (249 aa), FASTA scores: opt: 624, E(): 3.2e-31, (45.05% identity in 253 aa overlap); P54461|YQEU_BACSU hypothetical 28.8 kDa protein from Bacillus subtilis (256 aa), FASTA scores: opt: 375, E(): 6e-16, (32.5% identity in 234 aa overlap); etc. C-terminal half highly similar to Q49763|B1937_F2_57 from Mycobacterium leprae (128 aa), FASTA scores: opt: 577, E(): 1.4e-28, (75.8% identity in 124 aa overlap). Belongs to the UPF0088 family.</t>
  </si>
  <si>
    <t>Acts as a co-chaperone. Stimulates, jointly with GRPE, the ATPase activity of DNAK|Rv0350.</t>
  </si>
  <si>
    <t>Probable chaperone protein DnaJ2</t>
  </si>
  <si>
    <t>Rv2373c, (MTCY27.07), len: 382 aa. Probable dnaJ2, chaperone protein, equivalent to Q49762|DNJ2_MYCLE|ML0625|B1937_F2_56 chaperone protein from Mycobacterium leprae (378 aa), FASTA scores: opt: 2301, E(): 1.7e-120, (87.5% identity in 382 aa overlap). Also highly similar to other chaperone proteins DNAJ/DNAJ2 e.g. Q9RDD7|DNJ2_STRCO|SCC77.21c from Streptomyces coelicolor (378 aa), FASTA scores: opt: 1456, E(): 1.2e-73, (54.8% identity in 385 aa overlap); O52164|DNJ2_STRAL from Streptomyces albus (379 aa) FASTA scores: opt: 1378, E(): 2.6e-69, (52.2% identity in 385 aa overlap); Q9S5A3|DNAJ_LISMO from Listeria monocytogenes (377 aa), FASTA scores: opt: 1013, E(): 4.6e-49, (41.3% identity in 385 aa overlap); etc. Also similar to Rv0352|MTCY13E10.12 from Mycobacterium tuberculosis. Contains 1 J domain and 1 cr domain. Belongs to the DNAJ family.</t>
  </si>
  <si>
    <t>Involved in transcriptional regulation (repression) of class I heat shock proteins e.g. DNAK-GRPE-DNAJ1 and groels operons). Prevents heat-shock induction of these operons.</t>
  </si>
  <si>
    <t>Probable heat shock protein transcriptional repressor HrcA</t>
  </si>
  <si>
    <t>Rv2374c, (MTCY27.06), len: 343 aa. Probable hrcA, heat-inducible transcriptional repressor (see citation below), equivalent to Q9CCN2|HRCA|ML0624 putative heat-inducible transcriptional regulator from Mycobacterium leprae (343 aa), FASTA scores: opt: 1926, E(): 3.9e-107, (89.8% identity in 343 aa overlap). Also highly similar to other heat-inducible transcription repressor proteins e.g. Q9RDD6|HRCA|SCC77.22c from Streptomyces coelicolor (338 aa), FASTA scores: opt: 1227, E(): 1.1e-65, (58.8% identity in 335 aa overlap); O52163|HRCA_STRAL from Streptomyces albus (338 aa), FASTA scores: opt: 1196, E(): 7.7e-64, (56.1% identity in 335 aa overlap); P25499|HRCA_BACSU heat-inducible transcription repressor from Bacillus subtilis (343 aa), FASTA scores: opt: 538, E(): 8.4e-25, (28.9% identity in 325 aa overlap); etc. Almost identical, but conflict at C-terminus, to Q49749|YGRP|B1937_F1_18 putative heat-inducible transcription repressor from Mycobacterium leprae (197 aa) FASTA scores: opt: 1126, E(): 6.9e-60, (91.8% identity in 195 aa overlap). Belongs to the HRCA family.</t>
  </si>
  <si>
    <t>Rv2375, (MTCY27.05c), len: 105 aa. Conserved hypothetical protein, highly similar to only CAC32314|2SCD60.09c conserved hypothetical protein from Streptomyces coelicolor (98 aa), FASTA scores: opt: 425, E(): 5.7e-24, (63.25% identity in 98 aa overlap).</t>
  </si>
  <si>
    <t>Function not known (putative secreted protein); may play a role in the development of protective immune responses.</t>
  </si>
  <si>
    <t>Low molecular weight antigen CFP2 (low molecular weight protein antigen 2) (CFP-2)</t>
  </si>
  <si>
    <t>Rv2376c, (MT2445, MTCY27.04), len: 168 aa. Cfp2 (alternate gene name: mtb12), low molecular weight antigen, secreted protein similar to Q49771|MB12_MYCLE|ML0620|B1937_F3_91 low molecular weight antigen MTB12 homolog precursor from Mycobacterium leprae (167 aa), FASTA scores: opt: 682, E(): 1.7e-32, (65.5% identity in 165 aa overlap). Belongs to the MTB12 family. A core mycobacterial gene; conserved in mycobacterial strains (See Marmiesse et al., 2004). Predicted to be an outer membrane protein (See Song et al., 2008).</t>
  </si>
  <si>
    <t>Thought to be involved in the biogenesis of the hydroxyphenyloxazoline-containing siderophore mycobactins.</t>
  </si>
  <si>
    <t>Putative conserved protein MbtH</t>
  </si>
  <si>
    <t>Rv2377c, (MT2445.1, MTCY27.03), len: 71 aa. Putative mbtH, conserved protein with no function assigned (see Quadri et al., 1998; De Voss et al., 1999), similar to hypothetical proteins or proteins found in several gene clusters for biosynthesis or transport of siderophores and other nonribosomally synthesized peptides e.g. Q9Z388|SCE8.11c putative small conserved hypothetical protein from Streptomyces coelicolor (71 aa), FASTA scores: opt: 345, E(): 1.4e-19, (68.2% identity in 66 aa overlap); Q9F8V3|CUMB COUY protein (probably involved in the biosynthesis of aminocoumarin antibiotic coumermycin a(1)) (see Wang et al., 2000) from Streptomyces rishiriensis (71 aa), FASTA scores: opt: 329, E(): 2.2e-18, (63.2% identity in 68 aa overlap); Q9F5J2|SIM-CB MBTH-like protein (probably protein involved in the biosynthesis of aminocoumarin antibiotic coumermycin a(1)) from Streptomyces antibioticus (70 aa), FASTA scores: opt: 308, E(): 8.4e-17, (65.6% identity in 64 aa overlap); Q9FB14 MBTH-like protein (involved in the biosynthesis of the antitumor drug bleomycin) (see Du et al., 2000) from Streptomyces verticillus FASTA scores: opt: 220, E(): 8.8e-10, (41.2% identity in 68 aa overlap); etc.</t>
  </si>
  <si>
    <t>Involved in the biogenesis of the hydroxyphenyloxazoline-containing siderophore mycobactins. This hydroxylase is possibly required for N-hydroxylation of the two lysine residues at some stage during mycobactin assembly [catalytic activity: L-lysine + O(2) = N6-hydroxy-L-lysine + H(2)O. No information can be found if this enzyme is NADPH dependent or independent].</t>
  </si>
  <si>
    <t>Lysine-N-oxygenase MbtG (L-lysine 6-monooxygenase) (lysine N6-hydroxylase)</t>
  </si>
  <si>
    <t>Rv2378c, (MTCY27.02), len: 431 aa. MbtG, lysine-N-oxygenase (hydroxylase) (EC 1.13.12.10 or 1.14.13.59; depending if enzyme is NADPH dependent or independent) (see citations below), showing some similarity with various proteins including ornithine and lysine-N-oxygenases, e.g. Q9K6Q1|TRKA|BH3677 potassium uptake protein from Bacillus halodurans (350 aa), FASTA scores: opt: 153, E(): 0.016, (25.2% identity in 246 aa overlap); P56584|SID1_USTMA L-ornithine 5-monooxygenase from Ustilago maydis (Smut fungus) (570 aa), FASTA scores: opt: 136, E(): 0.31, (22.85% identity in 127 aa overlap); Q9HHV0|HXYA|VNG6214G monooxygenase from Halobacterium sp. strain NRC-1 (477 aa), FASTA scores: opt: 119, E(): 3.4, (40.0% identity in 70 aa overlap); O69828|SC1A6.23 putative lysine N-hydroxlase (fragment) from Streptomyces coelicolor (134 aa), blast score: 76 (similarity in part for this one); etc. Cofactors: FAD (by similarity).</t>
  </si>
  <si>
    <t>Involved in the biogenesis of the hydroxyphenyloxazoline-containing siderophore mycobactins. Probably activates the two lysine residues that are incorporated into mycobactin (lysine ligation).</t>
  </si>
  <si>
    <t>Peptide synthetase MbtF (peptide synthase)</t>
  </si>
  <si>
    <t>Rv2379c, (MTCY27.01), len: 1461 aa. MbtF, peptide synthetase (see citations below), similar in part to several synthases e.g. O52820|PCZA363.4 protein from Amycolatopsis orientalis (4077 aa), FASTA scores: opt: 1873, E(): 1.1e-99, (35.55% identity in 1522 aa overlap); O07944|SNBDE pristinamycin I synthase 3 and 4 from Streptomyces pristinaespiralis (4848 aa), FASTA scores: opt: 1817, E(): 2.1e-96, (33.65% identity in 1463 aa overlap); O52821 protein similar to peptide synthetase from Amycolatopsis orientalis (1860 aa) FASTA scores: opt: 1705, E(): 2.9e-90, (34.75% identity in 1344 aa overlap); Q9XCF2|PSTB putative peptide synthetase (similar to Mycobacterium tuberculosis nrp protein) from Mycobacterium avium (2552 aa), FASTA scores: opt: 1687, E(): 4e-89, (35.45% identity in 1058 aa overlap); Q9ZET7 peptide synthetase (fragment) from Mycobacterium smegmatis (1438 aa), FASTA scores: opt: 1479, E(): 2.5e-77, (30.45% identity in 1507 aa overlap); etc. Contains PS00455 putative AMP-binding domain signature. Belongs to the ATP-dependent AMP-binding enzyme family.</t>
  </si>
  <si>
    <t>Peptide synthetase MbtE (peptide synthase)</t>
  </si>
  <si>
    <t>Rv2380c, (MTCY22H8.05), len: 1682 aa. MbtE, peptide synthetase (see citations below), similar in part to several synthases e.g. O07944|SNBDE pristinamycin I synthase 3 and 4 from Streptomyces pristinaespiralis (4848 aa), FASTA scores: opt: 2635, E(): 1.9e-146, (36.8% identity in 1657 aa overlap); O05647|SNBDE virginiamycin S synthetase (fragment) from Streptomyces virginiae (1997 aa) FASTA scores: opt: 2580, E(): 1.6e-143, (40.65% identity in 1163 aa overlap); Q9R9I2|DHBF protein involved in siderophore production from Bacillus subtilis (2378 aa), FASTA scores: opt: 2388, E(): 3.6e-132, (33.9% identity in 1579 aa overlap); O68487|ACMB actinomycin synthetase II from Streptomyces chrysomallus (2611 aa), FASTA scores: opt: 2165, E(): 4.9e-119, (35.0% identity in 1634 aa overlap); etc. Equivalent to AAK46743 from Mycobacterium tuberculosis strain CDC1551 (1787 aa) but shorter 105 aa. Contains PS00455 putative AMP-binding domain signature, and PS00012 Phosphopantetheine attachment site. Belongs to the ATP-dependent AMP-binding enzyme family.</t>
  </si>
  <si>
    <t>Involved in the biogenesis of the hydroxyphenyloxazoline-containing siderophore mycobactins.</t>
  </si>
  <si>
    <t>Polyketide synthetase MbtD (polyketide synthase)</t>
  </si>
  <si>
    <t>Rv2381c, (MTCY22H8.04), len: 1004 aa. MbtD, polyketide synthase (see citations below), similar in part to several synthases e.g. Q03132|ERY2_SACER|ERYA erythronolide synthase, modules 3 and 4 from Saccharopolyspora erythraea (Streptomyces erythraeus) (3567 aa), FASTA scores: opt: 971, E(): 1e-46, (29.35% identity in 1043 aa overlap); Q9F829|megaii megalomicin 6-deoxyerythronolide B synthase 2 from Micromonospora megalomicea subsp. nigra (3562 aa), FASTA scores: opt: 787, E(): 2.4e-36, (29.35% identity in 1032 aa overlap); Q9L4W4|NYSB polyketide synthase from Streptomyces noursei (3192 aa), FASTA scores: opt: 761, E(): 6.6e-35, (29.55% identity in 1086 aa overlap); O30764|NIDA1 polyketide synthase modules 1 and 2 from Streptomyces caelestis (4340 aa), FASTA scores: opt: 726, E(): 7.8e-33, (27.3% identity in 1052 aa overlap); etc. Contains PS00012 Phosphopantetheine attachment site.</t>
  </si>
  <si>
    <t>Polyketide synthetase MbtC (polyketide synthase)</t>
  </si>
  <si>
    <t>Rv2382c, (MTCY22H8.03), len: 444 aa. MbtC, polyketide synthase (see citations below), similar in part to several synthases e.g. Q9F7T9 avermectin polyketide synthase (fragment) from Streptomyces avermitilis (3626 aa), FASTA scores: opt: 1458, E(): 7e-82, (50.65% identity in 446 aa overlap); AAG23264|SPNA polyketide synthase loading and extender module 1 from Saccharopolyspora spinosa (2595 aa) FASTA scores: opt: 1441, E(): 6e-81, (49.1% identity in 446 aa overlap); O33954|TYLG tylactone synthase starter module and modules 1 &amp; 2 from Streptomyces fradiae (4472 aa) FASTA scores: opt: 1439, E(): 1.2e-80, (51.0% identity in 447 aa overlap); O30764|NIDA1 polyketide synthase modules 1 and 2 from Streptomyces caelestis (4340 aa) FASTA scores: opt: 1432, E(): 3.3e-80, (50.9% identity in 442 aa overlap); etc.</t>
  </si>
  <si>
    <t>Involved in the biogenesis of the hydroxyphenyloxazoline-containing siderophore mycobactins. This peptide synthase forms amide bound between the carboxylic acid of salicylate and the alpha-amino group of serine (serine/threonine ligation).</t>
  </si>
  <si>
    <t>Phenyloxazoline synthase MbtB (phenyloxazoline synthetase)</t>
  </si>
  <si>
    <t>Rv2383c, (MTCY22H8.02), len: 1414 aa. MbtB, phenyloxazoline synthase (see citations below), similar to the N-terminal region of several synthetases e.g. Q9EWP5|SC4C2.17 putative non-ribosomal peptide synthase from Streptomyces coelicolor (2229 aa), FASTA scores: opt: 2878, E(): 4.1e-156, (46.85% identity in 1138 aa overlap); Q9Z399|IRP2 yersiniabactin biosynthetic from Yersinia pestis (2041 aa), FASTA scores: opt: 2297, E(): 5.3e-123, (38.55% identity in 1069 aa overlap); P48633|HMP2_YEREN|IRP2 high-molecular-weight protein 2 (may be involved in the nonribosomal synthesis of small peptides) from Yersinia enterocolitica (2035 aa), FASTA scores: opt: 2275, E(): 9.4e-122, (38.45% identity in 1069 aa overlap); O85739|PCHE|PA4226 dihydroaeruginoic acid synthetase from Pseudomonas aeruginosa (1438 aa) FASTA scores: opt: 2236, E(): 1.2e-119, (38.2% identity in 1330 aa overlap); Q9RFM8|PCHE pyochelin synthetase from Pseudomonas aeruginosa (1438 aa), FASTA scores: opt: 2229, E(): 3e-119, (38.0% identity in 1329 aa overlap); etc. Contains PS00455 Putative AMP-binding domain signature, and PS00012 Phosphopantetheine attachment site. Belongs to the ATP-dependent AMP-binding enzyme family.</t>
  </si>
  <si>
    <t>Involved in the biogenesis of the hydroxyphenyloxazoline-containing siderophore mycobactins (initiation step of mycobactin chain growth). Activates the mycobactin ArCP in two half-reactions: activates salicylic acid as acyladenylate (adenylation step) + transfers activated salicylate to the MBTA ArCP as a thioester (arylation step).</t>
  </si>
  <si>
    <t>Bifunctional enzyme MbtA: salicyl-AMP ligase (SAL-AMP ligase) + salicyl-S-ArCP synthetase</t>
  </si>
  <si>
    <t>Rv2384, (MTCY22H8.01, MTCY253.37c), len: 565 aa. mbtA, bifunctional enzyme, including salicyl-AMP ligase (Sal-AMP ligase) and salicyl-S-ArCP synthetase (see Quadri et al., 1998; De Voss et al., 1999), highly similar to other ligases e.g. Q9F638|MXCE from Stigmatella aurantiaca 2,3-DHBA-AMP ligase (protein involved in the biosynthesis of 2,3-dihydroxybenzoic acid, contains the AMP binding signature) (543 aa), FASTA scores: opt: 1683, E(): 2.8e-90, (48.25% identity in 545 aa overlap) (see Silakowski et al., 2000); P40871|DHBE_BACSU|ENTE 2,3-dihydroxybenzoate-AMP ligase from Bacillus subtilis (539 aa), FASTA scores: opt: 1569, E(): 1.2e-83, (44.9% identity in 532 aa overlap); O07899|VIBE_VIBCHVC0772 vibriobactin-specific 2,3-dihydroxybenzoate-AMP ligase from Vibrio cholerae (543 aa), FASTA scores: opt: 1457, E(): 3.7e-77, (44.6% identity in 545 aa overlap); etc. Also similar to P95819|SNBA pristinamycin I synthetase I from Streptomyces pristinaespiralis (582 aa), FASTA scores: opt: 1532, E(): 1.7e-81, (46.35% identity in 548 aa overlap); and Q9RFM9|PCHD salicyl-AMP ligase from Pseudomonas aeruginosa (547 aa), FASTA scores: opt: 1415, E(): 1e-74, (45.95% identity in 533 aa overlap). Contains PS00455 Putative AMP-binding domain signature. Belongs to the ATP-dependent AMP-binding enzyme family.</t>
  </si>
  <si>
    <t>Involved in the biogenesis of the hydroxyphenyloxazoline-containing siderophore mycobactins. Possibly required for N-hydroxylation of the two lysine residues at some stage during mycobactin assembly.</t>
  </si>
  <si>
    <t>Putative acetyl hydrolase MbtJ</t>
  </si>
  <si>
    <t>Rv2385, (MTCY253.36c), len: 306 aa. Putative mbtJ, acetyl hydrolase (see citations below), showing some similarity with various hydrolases including acetyl hydrolases e.g. Q9ZBM4|MLCB1450.08|ML0314 putative hydrolase/esterase from Mycobacterium leprae (335 aa), FASTA scores: opt: 449, E(): 6.7e-21, (33.85% identity in 313 aa overlap); AAK47950|MT3591 Esterase from M. tuberculosis strain CDC1551 (327 aa), FASTA scores: opt: 469, E(): 3.6e-22, (35% identity in 283 aa overlap); Q9X8J4|SCE9.22 putative esterase from Streptomyces coelicolor (266 aa), FASTA scores: opt: 430,E(): 8.5e-20, (38% identity in 245 aa overlap); Q01109|BAH_STRHY acetyl-hydrolase from Streptomyces hygroscopicus (299 aa), FASTA scores: opt: 420, E(): 4e-19, (35.1% identity in 265 aa overlap). Equivalent to AAK46748 from Mycobacterium tuberculosis strain CDC1551 (327 aa) but shorter 21 aa. Note that previously known as lipK.</t>
  </si>
  <si>
    <t>Involved in the biogenesis of the hydroxyphenyloxazoline-containing siderophore mycobactins. Possibly plays a role in the conversion of chorismate to salicilate (the starter unit for mycobactin siderophore construction).</t>
  </si>
  <si>
    <t>Isochorismate synthase MbtI</t>
  </si>
  <si>
    <t>Rv2386c, (MTCY253.35), len: 450 aa. mbtI, isochorismate synthase (see citations below), similar to Q9X9I8|IRP9 salicylate synthetase from Yersinia enterocolitica (434 aa), FASTA scores: opt: 887, E(): 7.5e-48, (37.45% identity in 422 aa overlap); and similar in C-terminal region to many anthranilate synthases component I e.g. Q9Z4W7|TRPE_STRCO|SCE8.07c from Streptomyces coelicolor (511 aa), FASTA scores: opt: 509, E(): 3e-24, (40.4% identity in 255 aa overlap); P33975|TRPE_HALVO from Halobacterium volcanii (Haloferax volcanii) (523 aa) FASTA scores: opt: 488, E(): 6.2e-23, (34.2% identity in 298 aa overlap); and similar to Q08653|TRPE_THEMA|TM0142 anthranilate synthase component I from Thermotoga maritima (461 aa), FASTA scores: opt: 478, E(): 2.3e-22, (28.4% identity in 440 aa overlap); etc. Could be belong to the anthranilate synthase component I family. Note that previously known as trpE2, an anthranilate synthase component I.</t>
  </si>
  <si>
    <t>Rv2387, (MTCY253.34c), len: 417 aa. Conserved protein, showing some similarities with others e.g. Q9K663|BH3869 hypothetical protein from Bacillus halodurans (337 aa), FASTA scores: opt: 343, E(): 4.8e-14, (29.0% identity in 400 aa overlap); AAK25471|CC3509 hypothetical protein from Caulobacter crescentus (365 aa), FASTA scores: opt: 282, E(): 3.2e-10, (32.6% identity in 399 aa overlap); P73953|SLR1512 [D90911_21] conserved hypothetical protein from Synechocystis sp. strain PCC6803 (374 aa), FASTA scores: opt: 230, E(): 5.5e-07; (24.75% identity in 408 aa overlap); etc. Contains PS00213 Lipocalin signature.</t>
  </si>
  <si>
    <t>Involved in porphyrin biosynthesis. Anaerobic transformation of coproporphyrinogen-III into protoporphyrinogen-IX.</t>
  </si>
  <si>
    <t>Probable oxygen-independent coproporphyrinogen III oxidase HemN (coproporphyrinogenase) (coprogen oxidase)</t>
  </si>
  <si>
    <t>Rv2388c, (MTCY253.33), len: 375 aa. Probable hemN, oxygen-independent coproporphyrinogen III oxidases, highly similar to many putative oxygen-independent coproporphyrinogen III oxidases e.g. Q9RDD2|SCC77.26 from Streptomyces coelicolor (435 aa), FASTA scores: opt: 1358, E(): 1.5e-76, (56.55% identity in 382 aa overlap); BAB51237|MLR4627 from Rhizobium loti (Mesorhizobium loti) (392 aa), FASTA scores: opt: 696, E(): 1.1e-35, (36.8% identity in 383 aa overlap); Q9KUR0|VC0455 from Vibrio cholerae (391 aa), FASTA scores: opt: 691, 2.2e-35, (32.65% identity in 386 aa overlap); P54304|HEMN_BACSU from Bacillus subtilis (366 aa), FASTA scores: opt: 668 , E(): 5.6e-34; (34.9% identity in 327 aa overlap); etc. Equivalent to AAK46752 from Mycobacterium tuberculosis strain CDC1551 (390 aa) but shorter 375 aa. Belongs to the anaerobic coproporphyrinogen III oxidase family.</t>
  </si>
  <si>
    <t>Promotes the resuscitation and growth of dormant, nongrowing cell. Could also stimulates the growth of several other high G+C gram+ organisms, e.g. Mycobacterium avium, Mycobacterium bovis (BCG), Mycobacterium kansasii, Mycobacterium smegmatis.</t>
  </si>
  <si>
    <t>Probable resuscitation-promoting factor RpfD</t>
  </si>
  <si>
    <t>Rv2389c, (MTCY253.32), len: 154 aa. Probable rpfD, resuscitation-promoting factor. Possible autocrine and/or paracrine bacterial growth factor or cytokine (see citation below). Similar to others from Mycobacterium tuberculosis e.g. O07747|Rv1884c|MTCY180.34|RPFC probable resuscitation-promoting factor from Mycobacterium tuberculosis (176 aa), FASTA scores: opt: 382, E(): 2.3e-17, (55.45% identity in 101 aa overlap); etc. Also similarity with Q9CBF8|ML2030 hypothetical protein from Mycobacterium leprae (157 aa), FASTA scores: opt: 397, E(): 2.4e-18, (47.95% identity in 121 aa overlap); Q9F2Q2|SCE41.06c putative secreted protein from Streptomyces coelicolor (244 aa), FASTA scores: opt: 341, E(): 1.1e-14, (40.45% identity in 131 aa overlap); and O86308|Z96935|MLRPF_1 RPF protein precursor from Micrococcus luteus (220 aa), FASTA scores: opt: 301, E(): 3.6e-12, (39.4% identity in 132 aa overlap). Contains a secretory signal sequence in N-terminus. Supposed acts at very low concentration. Predicted possible vaccine candidate (See Zvi et al., 2008).</t>
  </si>
  <si>
    <t>Rv2390c, (MTCY253.31), len: 185 aa. Conserved hypothetical protein, similar to other Mycobacterium tuberculosis proteins Q11032|YD62_MYCTU|MTCY02B10.26c|Rv1362c hypothetical 23.5 kDa protein (220 aa), FASTA scores: opt: 223, E(): 2.1e-07, (27.4% identity in 190 aa overlap); and Q11033|YD63_MYCTU|MTCY02B10.27c|Rv1363c hypothetical 28.3 kDa protein (261 aa), FASTA scores: opt: 238, E(): 2.7e-08, (27.6% identity in 163 aa overlap).</t>
  </si>
  <si>
    <t>sirA</t>
  </si>
  <si>
    <t>Catalyzes the reduction of sulfite to sulfide, in the biosynthesis of sulfur-containing amino acids and co-factors</t>
  </si>
  <si>
    <t>Ferredoxin-dependent sulfite reductase SirA</t>
  </si>
  <si>
    <t>Rv2391, (MTCY253.30c), len: 563 aa. SirA, ferredoxin-dependent sulfite reductase (See Schnell et al., 2005). Previously annotated as nirA. Similar to e.g. CAC33947|SCBAC1A6.26c Putative nitrite/sulphite reductase from Streptomyces coelicolor (565 aa), FASTA scores: opt: 2335, E(): 1.2e-137, (60.1% identity in 567 aa overlap); Q9RZD6|DRA0013 ferredoxin-nitrite reductase from Deinococcus radiodurans (563 aa), FASTA scores: opt: 1141, E(): 2.2e-63, (39.6% identity in 533 aa overlap); Q59656|NIRA (D31732|PEENIRNRT_1) ferredoxin-dependent nitrite reductase from Plectonema boryanum (654 aa) (see Suzuki &amp; Kikuchi 1995), FASTA scores: opt: 805, E(): 1.9e-42, (31.7% identity in 517 aa overlap); Q55366|NIRA|SLR0898 ferredoxin-nitrite reductase from Synechocystis sp. strain PCC 6803 (502 aa), FASTA scores: opt: 799, E(): 3.7e-42, (32.3% identity in 517 aa overlap); etc. Highly similar (only in N-terminal part because shortened protein (fragment) owing to an IS900 insertion) to Q9K541|NIRA nitrate reductase (fragment) from Mycobacterium paratuberculosis (198 aa), FASTA scores: opt: 798, E(): 2.1e-42, (65.4% identity in 182 aa overlap) (see Bull et al., 2000).</t>
  </si>
  <si>
    <t>Involved in the sulfate activation pathway (at the third step) in the reductive branch of the cysteine biosynthetic pathway. Reduces activated sulfate into sulfite [catalytic activity: 5-phosphoadenosine 3-phosphosulfate + reduced thioredoxin = phosphoadenosine phosphate + oxidized thioredoxin + sulfite].</t>
  </si>
  <si>
    <t>Probable 3'-phosphoadenosine 5'-phosphosulfate reductase CysH (PAPS reductase, thioredoxin DEP.) (padops reductase) (3'- phosphoadenylylsulfate reductase) (PAPS sulfotransferase)</t>
  </si>
  <si>
    <t>Rv2392, (MTCY253.29c), len: 254 aa. Probable cysH, 3'-phosphoadenosine 5'-phosphosulfate reductase (see citation below), similar to many e.g. P94498|O34620|CYH1_BACSU|CYSH from Bacillus subtilis (233 aa), FASTA scores: opt: 618, E(): 8.1e-32, (46.5% identity in 202 aa overlap); Q9KCT3|CYSH|BH1486 from Bacillus halodurans (231 aa), FASTA scores: opt: 560, E(): 3.6e-28, (41.3% identity in 230 aa overlap); P56860|CYSH_DEIRA from Deinococcus radiodurans (255 aa), FASTA scores: opt: 489, E(): 1.1e-23, (44.7% identity in 190 aa overlap); etc. Belongs to the PAPS reductase family and CYSH subfamily. Note that operon cysA-cysW-cysT-subI, probably involved in sulfate transport, is near this putative ORF.</t>
  </si>
  <si>
    <t>Possibly involved in inserting FE2+ into sirohydrochlorin to produce siroheme, required for SIRA (Rv2391) function</t>
  </si>
  <si>
    <t>Ferrochelatase Che1</t>
  </si>
  <si>
    <t>Rv2393, (MTCY253.28c), len: 281 aa. Che1, ferrochelatase (See Pinto et al., 2007). Conserved protein, with some similarity to Q9L2E8|SC7A8.10c putative secreted protein from Streptomyces coelicolor (274 aa), FASTA scores: opt: 407, E(): 2.8e-18, (37% identity in 246 aa overlap); CAC38793|SCI39.05 Conserved hypothetical protein from Streptomyces coelicolor (305 aa), FASTA scores: opt: 394, E(): 2e-17, (35.0% identity in 251 aa overlap); AAK44492|MT0272 Chalcone/stilbene synthase family protein from Mycobacterium tuberculosis (247 aa), FASTA scores: opt: 350, E(): 9.2e-15, (34.0% identity in 235 aa overlap); P95216|Rv0259c|MTCY06A4.03c|Z86089 hypothetical protein from Mycobacterium tuberculosis (247 aa), FASTA scores: opt: 345, E(): 1.9e-14,(33.6% identity in 235 aa overlap).</t>
  </si>
  <si>
    <t>Plays a key role in the gamma-glutamyl cycle, a pathway for the synthesis and degradation of glutathione [catalytic activity: 5-L-glutamyl)-peptide + an amino acid = peptide + 5-L-glutamyl-amino acid].</t>
  </si>
  <si>
    <t>Probable gamma-glutamyltranspeptidase precursor GgtB (gamma-glutamyltransferase) (glutamyl transpeptidase)</t>
  </si>
  <si>
    <t>Rv2394, (MTCY253.27c), len: 643 aa. Probable ggtB, gamma-glutamyltranspeptidase precursor, similar to many e.g. Q9KVF2|VC0194 from Vibrio cholerae (588 aa), FASTA scores: opt: 943, E(): 7.5e-47, (40.0% identity in 597 aa overlap); O69935|SC3C8.26 from Streptomyces coelicolor (603 aa), FASTA scores: opt: 822, E(): 7.2e-40, (33.6% identity in 622 aa overlap); P54422|GGT_BACSU from Bacillus subtilis (587 aa) FASTA scores: opt: 491, E(): 8.2e-21, (33.4% identity in 574 aa overlap); etc. Has potential signal peptide and appropriately positioned prokaryotic lipoprotein attachment site (PS00013).</t>
  </si>
  <si>
    <t>Function unknown (possibly involved in transport across the membrane).</t>
  </si>
  <si>
    <t>Rv2395, (MTCY253.26c), len: 667 aa. Probable conserved integral membrane protein, similar to AAK24613|CC2646 oligopeptide transporter/opt family protein from Caulobacter crescentus (666 aa), FASTA scores: opt: 1638, E(): 4.8e-86, (51.0% identity in 658 aa overlap); Q9PIS5|CJ0204 putative integral membrane protein from Campylobacter jejuni (665 aa), FASTA scores: opt: 1484, E(): 2.9e-77, (40.6% identity in 658 aa overlap); and P44016|Y561_HAEIN hypothetical integral membrane protein from Haemophilus influenzae (635 aa), FASTA scores: opt: 1449, E(): 2.8e-75, (42.15% identity in 624 aa overlap).</t>
  </si>
  <si>
    <t>aprA</t>
  </si>
  <si>
    <t>Rv2395A</t>
  </si>
  <si>
    <t>Acid and phagosome regulated protein A AprA</t>
  </si>
  <si>
    <t>Rv2395A, len: 71 aa. AprA, acid and phagosome regulated protein A, restricted to M. tuberculosis complex. Note completely overlapped by sRNA mcr7.</t>
  </si>
  <si>
    <t>aprB</t>
  </si>
  <si>
    <t>Rv2395B</t>
  </si>
  <si>
    <t>Acid and phagosome regulated protein B AprB</t>
  </si>
  <si>
    <t>Rv2395B, len: 54 aa. AprB, acid and phagosome regulated protein B, restricted to M. tuberculosis complex.</t>
  </si>
  <si>
    <t>PE-PGRS family protein PE_PGRS41</t>
  </si>
  <si>
    <t>Rv2396, (MTCY253.25c), len: 361 aa. PE_PGRS41, member of the Mycobacterium tuberculosis PE family, PGRS subfamily of gly-rich proteins (see citation below). Also known as aprC, acid and phagosome regulated protein C, restricted to M. tuberculosis complex (See Abramovitch et al., 2011). Contains PS00583 pfkB family of carbohydrate kinases signature 1. Predicted to be an outer membrane protein (See Song et al., 2008).</t>
  </si>
  <si>
    <t>Involved in the active transport across the membrane of multiple sulfur-containing compounds, including sulfate and thiosulfate (import). Responsible for energy coupling to the transport system.</t>
  </si>
  <si>
    <t>Sulfate-transport ATP-binding protein ABC transporter CysA1</t>
  </si>
  <si>
    <t>Rv2397c, (MTCY253.24), len: 351 aa. cysA1, sulfate-transport ATP-binding protein ABC transporter (see citations below), similar to other sulfate ABC transporter ATP-binding proteins e.g. P14788|CYSA_SYNP7 from Synechococcus sp. (344 aa), FASTA scores: opt: 1112, E(): 2.6e-56, (54.6% identity in 328 aa overlap); P74548|CYSA_SYNY3 from Synechocystis sp. (355 aa), FASTA scores: opt: 1063, E(): 1.7e-53, (51.9% identity in 343 aa overlap); Q9I6L0|CYSA|PA0280 from Pseudomonas aeruginosa (329 aa), FASTA scores: opt: 987, E(): 3.3e-49, (49.2% identity in 339 aa overlap); etc. Also similar to many ATP-binding proteins from Mycobacterium tuberculosis e.g. Rv2038c, Rv1238, Rv2832c, etc. Contains PS00017 ATP/GTP-binding site motif A (P-loop), and PS00211 ABC transporters family signature. Belongs to the ATP-binding transport protein family (ABC transporters). Note that previously known as cysA.</t>
  </si>
  <si>
    <t>Involved in the active transport across the membrane of multiple sulfur-containing compounds, including sulfate and thiosulfate (import). Responsible for the translocation of the substrate across the membrane.</t>
  </si>
  <si>
    <t>Probable sulfate-transport integral membrane protein ABC transporter CysW</t>
  </si>
  <si>
    <t>Rv2398c, (MTCY253.23), len: 272 aa. Probable cysW, sulfate-transport integral membrane protein ABC transporter (see citations below), similar to others e.g. Q9K877|CYSW|BH3129 sulfate ABC transporter (permease) from Bacillus halodurans (287 aa), FASTA scores: opt: 765, E(): 4.1e-40, (43.8% identity in 249 aa overlap); P27370|CYSW_SYNP7 sulfate transport system (permease) protein from Synechococcus sp. strain PCC 7942 (Anacystis nidulans R2) (286 aa), FASTA scores: opt: 757, E(): 1.3e-39, (44.3% identity in 264 aa overlap); Q9I6K9|CYSW|PA0281 sulfate transport protein from Pseudomonas aeruginosa (289 aa), FASTA scores: opt: 753, E(): 2.3e-39, (44.4% identity in 250 aa overlap); P16702|P76534|CYSW_ECOLI sulfate transport system permease from Escherichia coli (291 aa), FASTA scores: opt: 633, E(): 5.7e-32, (38.2% identity in 267 aa overlap); etc. Contains PS00402 Binding-protein-dependent transport systems inner membrane component signature. Similarity with integral membrane components of other binding-protein-dependent transport systems and belongs to the CYSTW subfamily.</t>
  </si>
  <si>
    <t>Probable sulfate-transport integral membrane protein ABC transporter CysT</t>
  </si>
  <si>
    <t>Rv2399c, (MTCY253.22), len: 283 aa. Probable cysT, sulfate-transport integral membrane protein ABC transporter (see citations below), similar to others e.g. BAB48989|MLR1667 permease protein of sulfate ABC transporter from Rhizobium loti (283 aa), FASTA scores: opt: 756, E(): 7.9e-40, (40.95% identity in 271 aa overlap); Q9K878|cyst|BH3128 sulfate ABC transporter (permease) from Bacillus halodurans (279 aa), FASTA scores: opt: 750, E(): 1.8e-39, (44.55% identity in 258 aa overlap); P16701|CYST_ECOLI|CYSU|cyst|B2424 from Escherichia coli (277 aa), FASTA scores: opt: 669, E(): 1.9e-34, (40.0% identity in 260 aa overlap); etc. Contains PS00402 Binding-protein-dependent transport systems inner membrane component signature, and PS00017 ATP/GTP-binding site motif A (P-loop). Belongs to the CYSTW subfamily.</t>
  </si>
  <si>
    <t>Involved in the active transport across the membrane of multiple sulfur-containing compounds, including sulfate and thiosulfate (import).</t>
  </si>
  <si>
    <t>Probable sulfate-binding lipoprotein SubI</t>
  </si>
  <si>
    <t>Rv2400c, (MTCY253.21), len: 356 aa. Probable subI, sulfate-binding lipoprotein component of sulfate transport system (see citations below), equivalent to Q9CCN3|SUBI|ML0615 (alias Q49748|B1937_F1_11, 358 aa) putative sulphate-binding protein from Mycobacterium leprae (348 aa), FASTA scores: opt: 1775, E(): 2.3e-102, (76.45% identity in 340 aa overlap). Also similar to others and other substrate-binding proteins e.g. P27366|SUBI_SYNP7|SBPA sulfate-binding protein precursor from Synechococcus sp. strain PCC 7942 (Anacystis nidulans R2) (350 aa), FASTA scores: opt: 703, E(): 4.6e-36, (35.6% identity in 351 aa overlap); Q9I6K7|SBP|PA0283 sulfate-binding protein precursor from Pseudomonas aeruginosa (332 aa), FASTA scores: opt: 591, E(): 3.7e-29, (36.9% identity in 317 aa overlap); CAC49112|SMB21133 putative sulfate uptake ABC transporter periplasmic solute-binding protein precursor from Rhizobium meliloti (Sinorhizobium meliloti) (341 aa), FASTA scores: opt: 569, E(): 8.8e-28, (36.15% identity in 321 aa overlap); etc. Belongs to the prokaryotic sulfate binding protein family.</t>
  </si>
  <si>
    <t>Rv2401, (MTCY253.19c), len: 109 aa. Hypothetical unknown protein. Equivalent to AAK46768 from Mycobacterium tuberculosis strain CDC1551 (134 aa) but shorter 25 aa. N-terminus extended since first submission (previously 72 aa).</t>
  </si>
  <si>
    <t>Rv2401A</t>
  </si>
  <si>
    <t>Rv2401A, len: 67 aa. Possible conserved membrane protein, highly similar, but with 29 aa shorter, to ML0614|AL583919_34|Q49760 from Mycobacterium leprae (95 aa), FASTA scores: opt: 297, E(): 3.6e-15, (67.7% identity in 65 aa overlap). Has hydrophobic stretch.</t>
  </si>
  <si>
    <t>Rv2402, (MTCY253.18c), len: 642 aa. Conserved protein, highly similar to others e.g. 9X8C4|SCE36.11c conserved hypothetical protein (fragment) from Streptomyces coelicolor (612 aa), FASTA scores: opt: 1283, E(): 6.5e-75, (41.9% identity in 623 aa overlap); Q9RJ38|SCI8.15 hypothetical 66.3 KDA protein from Streptomyces coelicolor (595 aa), FASTA scores: opt: 1152, E(): 1.7e-66, (39.9% identity in 622 aa overlap), Q9S223|CI51.17 hypothetical 68.4 KDA protein from Streptomyces coelicolor (612 aa), FASTA scores: opt: 1146, E(): 4.2e-66, (40.6% identity in 623 aa overlap); YAY3_SCHPO|Q10211|c4h3.03c hypothetical 74.5 kDa protein from Schizosaccharomyces pombe (Fission yeast) (649 aa) FASTA scores: opt: 999, E(): 1.3e-56, (35.0% identity in 642 aa overlap); etc. Contains possible helix-turn-helix motif, at aa 224-245 (+4.68 SD).</t>
  </si>
  <si>
    <t>Probable conserved lipoprotein LppR</t>
  </si>
  <si>
    <t>Rv2403c, (MTCY253.17), len: 251 aa. Probable lppR, conserved lipoprotein, with weak similarity with mycobacterial serine/threonine protein kinases e.g. AAK45563|MT1304 from Mycobacterium tuberculosis strain CDC1551 (626 aa), FASTA scores: opt: 186, E(): 0.00023, (24.4% identity in 238 aa overlap), and the C-terminal part of Q11053|Rv1266c|MTCY50.16|PKNH_MYCTU from Mycobacterium tuberculosis (626 aa), FASTA scores: opt: 185, E()= 0.00027, (24.35% identity in 238 aa overlap). Has signal peptide and appropriate positioned prokaryotic lipoprotein attachment site (PS00013). Could belong to the Ser/Thr family of protein kinases.</t>
  </si>
  <si>
    <t>Involved in translation.</t>
  </si>
  <si>
    <t>Probable GTP-binding protein LepA (GTP-binding elongation factor)</t>
  </si>
  <si>
    <t>Rv2404c, (MT2476, MTCY253.16), len: 653 aa. Probable lepA, GTP-binding protein (a protein of unknown function, but apparently with membrane-related functions and very similar to protein synthesis elongation factors; see citations below). Equivalent to P53530|LEPA_MYCLE|ML0611|B1937_F3_81 GTP-binding protein from Mycobacterium leprae (646 aa), FASTA scores: opt: 3610, E(): 1.2e-205, (88.0% identity in 649 aa overlap). Also highly similar to many GTP-binding proteins LEPA e.g. Q9RDC9|LEPA_STRCO|SCC77.29c from Streptomyces coelicolor (622 aa), FASTA scores: opt: 3046, E(): 2.3e-172, (74.3% identity in 626 aa overlap); P37949|LEPA_BACSU from B. subtilis (612 aa), FASTA scores: opt: 2430, E(): 5.3e-136, (58.7% identity in 610 aa overlap); etc. Contains PS00017 ATP/GTP-binding site motif A (P-loop), and PS00301 GTP-binding elongation factors signature. Belongs to the GTP-binding elongation factor family, LEPA subfamily.</t>
  </si>
  <si>
    <t>Rv2405, (MTCY253.15c), len: 189 aa. Conserved protein, identical (but N-terminus longer 40 residues) to AAK46773|MT2477 hypothetical protein from Mycobacterium tuberculosis strain CDC1551. Also highly similar, but N-terminus longer 38 residues, to Q9RD03|SCCM1.41 hypothetical 17.4 KDA protein from Streptomyces coelicolor (154 aa), FASTA scores: opt: 451, E(): 2e-22, (48.7% identity in 154 aa overlap). Shows also similarity with hypothetical proteins from other species.</t>
  </si>
  <si>
    <t>Rv2406c, (MTCY253.14), len: 142 aa. Conserved protein. C-terminal region is identical with many CBS domain protein e.g. AAK46774|MT2478 CBS domain protein from Mycobacterium tuberculosis strain CDC1551 (aa 47-142), FASTA scores: opt: 594, E(): 1.9e-30, (98.97% identity in 97 aa overlap); etc. Also similar to other hypothetical proteins e.g. AAK24594|CC2626 CBS domain protein from Caulobacter crescentus (157 aa), FASTA scores: opt: 377, E(): 8.3e-17, (42.55% identity in 141 aa overlap); BAB47826|MLR0188 from Rhizobium loti; etc.</t>
  </si>
  <si>
    <t>Rv2407, (MTCY253.13c), len: 273 aa. Conserved hypothetical protein, highly similar (but longer at N-terminus) to AAK46775|MT2479 putative arylsulfatase from Mycobacterium tuberculosis strain CDC1551 (224 aa) FASTA scores: opt: 1433, E(): 2.5e-81, (96.43% identity in 224 aa overlap); O33130|MLCL536.01 hypothetical protein from Mycobacterium leprae (220 aa), FASTA scores: opt: 658, E(): 1.5e-33, (56.75% identity in 215 aa overlap). Also similar to AAK23160|CC1176 Metallo-beta-lactamase family protein from Caulobacter crescentus (317 aa), FASTA scores: opt: 286, E(): 1.8e-10, (33% identity in 291 aa overlap). And similar to other hypothetical proteins eg Q49744|B1937_C1_163 hypothetical 22.6 KDA protein (precursor) from Mycobacterium leprae (211 aa), FASTA scores: opt: 623, E(): 2.1e-31, (56.3% identity in 206 aa overlap); O27859|MTH1831 conserved protein from Methanothermobacter thermautotrophicus (307 aa), FASTA scores: opt: 268, E(): 2.3e-09, (28.35% identity in 307 aa overlap); etc.</t>
  </si>
  <si>
    <t>Possible PE family-related protein PE24</t>
  </si>
  <si>
    <t>Rv2408, (MTCY253.12c), len: 239 aa. Possibly PE24, a member of PE family (see citation below), similar to AAK46440|MT2159 from Mycobacterium tuberculosis strain CDC1551 (491 aa) FASTA scores: opt: 269, E(): 5.4e-08, (38.45% identity in 156 aa overlap) and AAK45466|MT1209 from Mycobacterium tuberculosis strain CDC1551 (308 aa), FASTA scores: opt: 265, E(): 6.3e-08, (36.0% identity in 197 aa overlap).</t>
  </si>
  <si>
    <t>Rv2409c, (MTCY253.11), len: 279 aa. Conserved protein, equivalent to Q49757|YP69_MYCLE|G466976|B1937_F2_39 hypothetical protein from Mycobacterium leprae (279 aa), FASTA scores: opt: 1564, E(): 4.6e-95, (82.1% identity in 279 aa overlap). Also similar to others e.g. Q9RSX6|DR1993 from Deinococcus radiodurans (274 aa), FASTA scores: opt: 494, E(): 4e-25, (35.1% identity in 282 aa overlap); BAB49898|Mll2875 from Rhizobium loti (Mesorhizobium loti) (294 aa), FASTA scores: opt: 382, E(): 8.9e-18, (29.75% identity in 269 aa overlap); Q9I305|PA1732 from Pseudomonas aeruginosa (266 aa), FASTA scores: opt: 326, E(): 3.7e-14, (31.25% identity in 275 aa overlap); etc. Also similar to Rv2569c|MTCY227.32 from Mycobacterium tuberculosis.</t>
  </si>
  <si>
    <t>Rv2410c, (MTCY253.10), len: 325 aa. Conserved protein, equivalent to Q49770|CAC30114|ML0606 conserved hypothetical protein from Mycobacterium leprae (325 aa), FASTA scores: opt: 1928, E(): 3.5e-117, (90.75% identity in 325 aa overlap). Also some similarity with other hypothetical proteins e.g. Q9RST2|DR2041 conserved hypothetical protein from Deinococcus radiodurans (316 aa), FASTA scores: opt: 329, E(): 5.3e-14, (32.4% identity in 318 aa overlap); C-terminus of Q9HUN7|PA4927 hypothetical protein from Pseudomonas aeruginosa (830 aa), FASTA scores: opt: 297, E(): 1.5e-11, (27.6% identity in 315 aa overlap); etc.</t>
  </si>
  <si>
    <t>Rv2411c, (MTCY253.09c), len: 551 aa. Hypothetical protein, highly similar to Q49755|YO11_MYCLE|ML0605|MLCL536.05c|U1937B|B1937_F1_4 hypothetical 61.8 KDA protein from Mycobacterium leprae (561 aa), FASTA scores, opt: 3163, E(): 4.1e-178, (87.35% identity in 554 aa overlap). Also highly similar, except in N-terminus, to others e.g. Q55587|Y335_SYNY3|SLL0335 hypothetical protein from Synechocystis sp. strain PCC 6803 (481 aa), FASTA scores: opt: 1620, E(): 1.2e-87, (52.8% identity in 468 aa overlap); Q9I307|PA1730 hypothetical protein from Pseudomonas aeruginosa (470 aa), FASTA scores: opt: 1574, E(): 5.8e-85, (52.7% identity in 467 aa overlap); Q9RST1|DR2042 conserved hypothetical protein from Deinococcus radiodurans (655 aa), FASTA scores: opt: 1561, E(): 4.4e-84, (53.3% identity in 467 aa overlap); etc.</t>
  </si>
  <si>
    <t>Involved in translation mechanisms. Binds directly to 16S ribosomal RNA.</t>
  </si>
  <si>
    <t>30S ribosomal protein S20 RpsT</t>
  </si>
  <si>
    <t>Rv2412, (MT2485, MTCY253.08c), len: 86 aa. rpsT, 30s ribosomal protein s20, equivalent to O33132|RS20_MYCLE|L0604|MLCL536.06 30S ribosomal protein S20 from Mycobacterium leprae (86 aa), FASTA scores: opt: 456, E(): 4.6e-24, (87.20% identity in 86 aa overlap). Also highly similar or similar to others e.g. Q9RDM3|RPST|SCC123.01 30S ribosomal protein S20 from Streptomyces coelicolor (88 aa), FASTA scores: opt: 363, E(): 7.1e-18, (70.95% identity in 86 aa overlap); Q9KD79|RPST|BH1339 ribosomal protein S20 (BS20) from Bacillus halodurans (91 aa), FASTA scores: opt: 252, E(): 1.8e-10, (49.4% identity in 85 aa overlap); P02378|RS20_ECOLI 30s ribosomal protein s20 from Escherichia coli (86 aa), FASTA scores: opt: 210, E(): 1e-07, (42.4% identity in 85 aa overlap); etc. Belongs to the S20P family of ribosomal proteins.</t>
  </si>
  <si>
    <t>Rv2413c, (MTCY253.07), len: 316 aa. Conserved hypothetical protein, highly similar to O33133|MLCL536.07c|ML0603|Q49756|G466975|B1937_F2_36 hypothetical 39.1 KDA protein from Mycobacterium leprae (389 aa), FASTA scores: opt: 1683, E(): 1.8e-88, (83.9% identity in 316 aa overlap). ML0603 is a putative lipoprotein with an N-terminal signal sequence and appropriately positioned prokaryotic lipoprotein lipid attachment site that is not present in Rv2413c as this seems to be 73 aa shorter. Also some similarity with various proteins from other organisms e.g. Q9RDM2|SCC123.02c putative DNA-binding protein from Streptomyces coelicolor (336 aa), FASTA scores: opt: 792, E(): 6.1e-38, (42.4% identity in 316 aa overlap); Q9HX31|HOLA|PA3989 DNA polymerase III, delta subunit from Pseudomonas aeruginosa (345 aa), FASTA scores: opt: 173, E(): 0.0084, (25.4% identity in 307 aa overlap); etc.</t>
  </si>
  <si>
    <t>Rv2414c, (MTCY253.06), len: 514 aa. Conserved hypothetical protein, showing some similarity with come operon proteins 3 (COMEC or COME3) e.g. Q9RTB1|DR1854 putative competence protein COMEC/REC2 from Deinococcus radiodurans (755 aa), FASTA scores: opt: 311, E(): 8.2e-11, (27.3% identity in 538 aa overlap); P73100|come|SLL1929 come protein from Synechocystis sp. strain PCC 6803 (709 aa), FASTA scores: opt: 302, E(): 2.6e-10, (26.3% identity in 323 aa overlap) (no similarity on N-terminus); P39695|CME3_BACSU come operon protein 3 from Bacillus subtilis (776 aa), FASTA scores: opt: 273, E(): 1.4e-08, (25.2% identity in 282 aa overlap) (no similarity on N-terminus); etc.</t>
  </si>
  <si>
    <t>Rv2415c, (MTCY253.05), len: 297 aa. Hypothetical protein, with some similarity in C-terminal part to comE operon proteins 1 e.g. Q9EU10|come|COME4|COME1|COME2|COME3 come protein (a competence protein with DNA-binding activity) from Neisseria gonorrhoeae (99 aa), FASTA scores: opt: 190, E(): 0.0032, (49.2% identity in 61 aa overlap); Q9JYB8|NMB1657 from Neisseria meningitidis (205 aa) FASTA scores: opt: 191, E(): 0.0052, (49.2% identity in 61 aa overlap); CME1_BACSU|P39694 come operon protein 1 from Bacillus subtilis (205 aa), FASTA scores, opt: 181, E(): 0.017 (29.8% identity in 218 aa overlap); etc.</t>
  </si>
  <si>
    <t>eis</t>
  </si>
  <si>
    <t>Acetylation, substrate unknown. Involved in intracellular survival. Possibly associated with the cell surface and secreted. Modulates cytokine secretion by host immune cells.</t>
  </si>
  <si>
    <t>Enhanced intracellular survival protein Eis, GCN5-related N-acetyltransferase</t>
  </si>
  <si>
    <t>Rv2416c, (MTCY253.04), len: 402 aa. Eis, enhanced intracellular survival gene (see citations below). Conserved hypothetical protein, contains GNAT (Gcn5-related N-acetyltransferase) domain in N-terminal part, similar to Q9F309|SCC80.10 hypothetical 44.7 KDA protein from Streptomyces coelicolor (413 aa), FASTA scores: opt: 382, E(): 1e-16, (31.45% identity in 407 aa overlap); Q9K4F4|SCD66.23 conserved hypothetical protein from Streptomyces coelicolor (418 aa), FASTA scores: opt: 238, E(): 1.3e-07, (36.5% identity in 364 aa overlap): and Q54238|G1139577|ORF5 hypothetical protein from Streptomyces griseus (416 aa), FASTA scores: opt: 237, E(): 1.5e-07, (34.0 identity in 423 aa overlap). Start changed since first submission (- 6 aa) (see Dahl et al., 2001; Wei et al., 2000; Vetting et al. 2005).</t>
  </si>
  <si>
    <t>Rv2417c, (MTCY253.03), len: 280 aa. Conserved protein, highly similar to Q9RDL7|SCC123.07c hypothetical 29.2 KDA protein from Streptomyces coelicolor (281 aa), FASTA scores: opt: 579, E(): 3.6e-27, (38.3% identity in 274 aa overlap). Also some similarity with DEGV proteins or hypothetical proteins from other organisms, e.g. Q9RSY3|DR1986 from Deinococcus radiodurans (281 aa), FASTA scores: opt: 393, E(): 3.4e-16, (31.0% identity in 280 aa overlap); P32436|DEGV_BACSU from Bacillus subtilis (281 aa), FASTA scores: opt: 365, E(): 1.5e-14, (27.8% identity in 284 aa overlap); BAB41937|BAB46307|SA0704|SAV0749 Conserved hypothetical protein from Staphylococcus aureus strain Mu50 and N315 (288 aa), FASTA scores: opt: 371, E(): 7e-15, (28.85% identity in 281 aa overlap); etc.</t>
  </si>
  <si>
    <t>Rv2418c, (MTCY253.02), len: 247 aa. Unknown protein.</t>
  </si>
  <si>
    <t>gpgP</t>
  </si>
  <si>
    <t>Involved in the biosynthesis of methylglucose lipopolysaccharide (MGLP). Catalyzes the dephosphorylation of glucosyl-3-phosphoglycerate (GPG) to glucosylglycerate (GG). [Catalytic activity: glucosyl-3-phosphoglycerate + H2O = glucosylglycerate + phosphate]</t>
  </si>
  <si>
    <t>Glucosyl-3-phosphoglycerate phosphatase GpgP</t>
  </si>
  <si>
    <t>Rv2419c, (MTCY428.28-MTCY253.01), len: 223 aa. gpgP, glucosyl-3-phosphoglycerate phosphatase (See Mendes et al., 2011). Contains PS00175 Phosphoglycerate mutase family phosphohistidine signature. Belongs to the phosphoglycerate mutase family. Enzyme activity inhibited by Co2+ and Cu2+ (See Mendes et al., 2011).</t>
  </si>
  <si>
    <t>Rv2420c, (MTCY428.27), len: 126 aa. Conserved hypothetical protein, equivalent to Q9CBZ9|ML1453 hypothetical protein from Mycobacterium leprae (129 aa), FASTA scores: opt: 681, E(): 1.6e-38, (87.0% identity in 123 aa overlap). Also highly similar to Q9RDK9|SCC123.15c hypothetical protein from Streptomyces coelicolor (148 aa), FASTA scores: opt: 447, E(): 5.8e-23, (52.7% identity in 129 aa overlap); and similar to others e.g. P54457|YQEL_BACSU hypothetical protein from Bacillus subtilis (118 aa), FASTA scores: opt: 318, E(): 1.8e-14, (37.3% identity in 110 aa overlap); Q9KD89|BH1328 hypothetical protein from Bacillus halodurans (117 aa), FASTA scores: opt: 296, E(): 5.1e-13, (37.6% identity in 109 aa overlap); etc.</t>
  </si>
  <si>
    <t>Involved in NAD biosynthesis; catalyzes the reversible adenylation of nicotinate mononucleotide [catalytic activity: ATP + nicotinate ribonucleotide = diphosphate + deamido-NAD(+)].</t>
  </si>
  <si>
    <t>Probable nicotinate-nucleotide adenylyltransferase NadD (deamido-NAD(+) pyrophosphorylase) (deamido-NAD(+) diphosphorylase) (nicotinate mononucleotide adenylyltransferase) (NAMN adenylyltransferase)</t>
  </si>
  <si>
    <t>Rv2421c, (MT2494, MTCY428.26), len: 211 aa. Probable nadD, nicotinate-nucleotide adenylyltransferase , equivalent to Q9CBZ8|NADD_MYCLE|ML1454 probable nicotinate-nucleotide adenylyltransferase from Mycobacterium leprae (214 aa), FASTA scores: opt: 1125, E(): 2.7e-66, (80.2% identity in 212 aa overlap). Also highly similar to Q9RDK7|NADD_STRCO probable nicotinate-nucleotide adenylyltransferase from Streptomyces coelicolor (188 aa), FASTA scores: opt: 855, E(): 9.8e-49, (66.5% identity in 194 aa overlap); and similar to others e.g. P54455|NADD_BACSU from Bacillus subtilis (189 aa), FASTA scores: opt: 351, E(): 7e-16, (36.1% identity in 191 aa overlap); etc. Belongs to the NadD family.</t>
  </si>
  <si>
    <t>Rv2422</t>
  </si>
  <si>
    <t>Rv2422, (MTCY428.25c), len: 90 aa. Hypothetical unknown protein.</t>
  </si>
  <si>
    <t>Rv2423, (MTCY428.24c), len: 348 aa. Hypothetical unknown protein.</t>
  </si>
  <si>
    <t>Rv2424c</t>
  </si>
  <si>
    <t>Required for the transposition of the insertion element IS1558.</t>
  </si>
  <si>
    <t>Rv2424c, (MTCY428.23), len: 333 aa. Probable transposase for IS1558, similar to is element proteins e.g. AL021957|Rv2177c|MTV021_10 from Mycobacterium tuberculosis (221 aa), FASTA scores: opt: 1491, E(): 6.2e-87, (98.6% identity in 221 aa overlap); P19780|YIS1_STRCO hypothetical insertion element IS110 from Streptomyces coelicolor (45 aa), FASTA scores: opt: 203, E(): 1.7e-05; (27.3% identity in 238 aa overlap); etc. Contains PS01159 WW/rsp5/WWP domain signature.</t>
  </si>
  <si>
    <t>Rv2425c, (MTCY428.22), len: 480 aa. Hypothetical protein; C-terminal half shares similarity to other unknown conserved proteins e.g. Q53065 hypothetical 24.3 KDA protein from Rhodococcus erythropolis (219 aa), FASTA scores: opt: 398, E(): 9.9e-17, (34.15% identity in 202 aa overlap); C-terminus of O27843|MTH1815 conserved protein from Methanothermobacter thermautotrophicus (346 aa), FASTA scores: opt: 341, E(): 3.7e-13, (31.35% identity in 233 aa overlap); etc.</t>
  </si>
  <si>
    <t>Rv2426c, (MTCY428.21), len: 291 aa. Conserved hypothetical protein, highly similar to others e.g. Q51326|ORF4 from Pseudomonas carboxydovorans (295 aa), FASTA scores: opt: 853, E(): 3.7e-43, (48.75% identity in 277 aa overlap); BAB47746|MLR0088 from Rhizobium loti (309 aa), FASTA scores: opt :809, E(): 1.5e-40, (46.5% identity in 291 aa overlap); Q9Y9R8|APE2220 from Aeropyrum pernix (297 aa), FASTA scores: opt: 763, E(): 7.4e-38, (47.1% identity in 261 aa overlap); etc. Contains PS00017 ATP/GTP-binding site motif A (P-loop).</t>
  </si>
  <si>
    <t>oxyR'</t>
  </si>
  <si>
    <t>Rv2427A</t>
  </si>
  <si>
    <t>UNKNOWN</t>
  </si>
  <si>
    <t>Transcriptional regulator OxyR', pseudogene</t>
  </si>
  <si>
    <t>Rv2427A, Pseudogene oxyR', inactivated by multiple mutations; identical to sequence in u16243 (see Deretic et al., 1995).</t>
  </si>
  <si>
    <t>Involved in proline biosynthesis pathway (at the second step). Catalyzes the NADPH dependent reduction of L-gamma- glutamyl 5-phosphate into L-glutamate 5-semialdehyde and phosphate. The product spontaneously undergoes cyclization to form 1-pyrroline-5-carboxylate. [catalytic activity: L-glutamate 5-semialdehyde + phosphate + NADP(+) = L-gamma-glutamyl 5-phosphate + NADPH].</t>
  </si>
  <si>
    <t>Probable gamma-glutamyl phosphate reductase protein ProA (GPR) (glutamate-5-semialdehyde dehydrogenase) (glutamyl-gamma-semialdehyde dehydrogenase)</t>
  </si>
  <si>
    <t>Rv2427c, (MTCY428.20), len: 415 aa. Probable proA, gamma-glutamyl phosphate reductase protein, equivalent to Q9CBZ7|ML1458|PROA [gamma]-glutamyl phosphate reductase from Mycobacterium leprae (409 aa), FASTA scores: opt: 2120, E(): 7.4e-118, (81.9% identity in 409 aa overlap). Also highly similar or similar to other gamma-glutamyl phosphate reductases proteins (GPR) e.g. Q9RDK1|PROA from Streptomyces coelicolor (428 aa), FASTA scores: opt: 1073, E(): 4.6e-56, (60.4% identity in 429 aa overlap); P45638|PROA_CORGL from Corynebacterium glutamicum (432 aa), FASTA scores: opt: 993, E(): 2.4e-51, (58.5% identity in 417 aa overlap); P96489|PROA_STRTR gamma-glutamyl phosphate reductase from Streptococcus thermophilus (416 aa), FASTA scores: opt: 863, E(): 1.1e-43, (49.15% identity in 413 aa overlap); etc. Belongs to the gamma-glutamyl phosphate reductase family.</t>
  </si>
  <si>
    <t>Involved in oxidative stress response. LPDC|Rv0462, DLAT|Rv2215, AHPD|Rv2429, and AHPC|Rv2428 constitute an NADH-dependent peroxidase and peroxynitrite reductase that provides protection against oxidative stress.</t>
  </si>
  <si>
    <t>Alkyl hydroperoxide reductase C protein AhpC (alkyl hydroperoxidase C)</t>
  </si>
  <si>
    <t>Rv2428, (MTCY428.18c), len: 195 aa. AhpC, alkyl hydroperoxide reductase C (see citations below), equivalent to other alkyl hydroperoxide reductases C mycobacterial proteins e.g. Q9CBF5|AHPC|ML2042 alkyl hydroperoxide reductase from Mycobacterium leprae (195 aa) FASTA scores: opt: 1183, E(): 2.6e-72, (88.20% identity in 195 aa overlap); O87323|AHPC from Mycobacterium marinum (195 aa), FASTA scores: opt: 1215, E(): 1.9e-74, (90.8% identity in 195 aa overlap); Q57413|AHPC|AVI-3 from Mycobacterium avium (195 aa), FASTA scores: opt: 1201, E(): 1.6e-73, (90.25% identity in 195 aa overlap). Also highly similar to others from other organisms e.g. Q9FBP5|AHPC alkyl hydroperoxide reductase from Streptomyces coelicolor (184 aa), FASTA scores: opt: 768, E(): 1.7e-44, (62.45% identity in 189 aa overlap); etc.</t>
  </si>
  <si>
    <t>Alkyl hydroperoxide reductase D protein AhpD (alkyl hydroperoxidase D)</t>
  </si>
  <si>
    <t>Rv2429, (MTCY428.17c), len: 177 aa. AhpD, alkyl hydroperoxide reductase, similar to other alkyl hydroperoxide reductases D proteins e.g. Q9RN73|AHPD from Streptomyces coelicolor (178 aa), FASTA scores: opt: 611, E(): 1.4e-33, (57.4% identity in 169 aa overlap); Q50441|AHPD_MYCSM AHPD protein (fragment) from Mycobacterium smegmatis (52 aa), FASTA score: opt:196.</t>
  </si>
  <si>
    <t>PPE family protein PPE41</t>
  </si>
  <si>
    <t>Rv2430c, (MTCY428.16), len: 194 aa. PPE41, Member of the Mycobacterium tuberculosis PPE family similar to others e.g. AAK46014|Rv1745|MT1745 from Mycobacterium tuberculosis (385 aa) FASTA scores: opt: 389, E(): 1.2e-17, (35.95% identity in 192 aa overlap); etc.</t>
  </si>
  <si>
    <t>PE family protein PE25</t>
  </si>
  <si>
    <t>Rv2431c, (MTCY428.15), len: 99 aa. PE25, Member of the Mycobacterium tuberculosis PE family (see Brennan &amp; Delogu 2002), similar to others e.g. AAK47158|MT2839 from Mycobacterium tuberculosis (275 aa) FASTA scores: opt: 194, E(): 2.5e-06, (40.0% identity in 95 aa overlap); etc.</t>
  </si>
  <si>
    <t>Rv2432c, (MTCY428.14), len: 136 aa. Hypothetical unknown protein.</t>
  </si>
  <si>
    <t>Rv2433c</t>
  </si>
  <si>
    <t>Rv2433c, (MTCY428.13), len: 96 aa. Hypothetical unknown protein.</t>
  </si>
  <si>
    <t>Rv2434c, (MTCY428.12), len: 481 aa. Probable conserved transmembrane protein, with some similarity to BAB48444|MLR0973 probable integral membrane protein from Rhizobium loti (410 aa), FASTA scores: opt: 298, E(): 4.1e-11, (27.25% identity in 389 aa overlap); and also similarity with other hypothetical proteins and/or putative integral membrane proteins.</t>
  </si>
  <si>
    <t>Generates 3,'5'-cyclic (a/G)mp and diphosphate (or pyrophosphate) from (a/G)TP.</t>
  </si>
  <si>
    <t>Probable cyclase (adenylyl- or guanylyl-)(adenylate- or guanylate-)</t>
  </si>
  <si>
    <t>Rv2435c, (MTCY428.11), len: 730 aa. Probable cyclase (adenylyl- or guanylyl-cyclase; EC 4.6.1.1 or 4.6.1.2 respectively); C-terminal domain (aa 500-730) similar to domain at C-terminus of a series of adenylate/guanylate cyclases e.g. O30820|CYA AAK45931|MT1661 from Mycobacterium tuberculosis (443 aa) FASTA scores: opt: 446, E(): 1.3e-19, (30.55% identity in 301 aa overlap); BAB50179|MLL3242 cyclase (adenylyl or guanylyl) from Rhizobium loti (356 aa), FASTA scores: opt: 372, E(): 3.4e-15, (28.75% identity in 219 aa overlap); etc. Belongs to adenylyl cyclase class-4/guanylyl cyclase family.</t>
  </si>
  <si>
    <t>Involved in ribose metabolism (in the first step) [catalytic activity: ATP + D-ribose = ADP + D-ribose 5-phosphate].</t>
  </si>
  <si>
    <t>Ribokinase RbsK</t>
  </si>
  <si>
    <t>Rv2436, (MTCY428.10c), len: 304 aa. Probable rbsK, ribokinase, similar to others e.g. Q9RZ99|DRA0055 from Deinococcus radiodurans (300 aa) FASTA scores: opt: 485, E(): 9.1e-21, (44.55% identity in 301 aa overlap); P36945|P96733|RBSK_BACSU from Bacillus subtilis (293 aa), FASTA scores: opt: 398, E(): 8.5e-16, (36.35% identity in 297 aa overlap); P05054|RBSK_ECOLI|B3752|Z5253|ECS4694 from Escherichia coli strain K12 (309 aa), FASTA scores: opt: 387, E(): 3.8e-15, (34.7% identity in 314 aa overlap); etc. Contains PS00583 pfkB family of carbohydrate kinases signature 1. Belongs to the PFKB family of carbohydrate kinases.</t>
  </si>
  <si>
    <t>Rv2437, (MTCY428.09c), len: 139 aa. Conserved transmembrane protein, with some similarity to conserved hypothetical proteins e.g. O06539|RV1139C|MTCI65.06c from Mycobacterium tuberculosis (166 aa); AAK45430|MT1172 from Mycobacterium tuberculosis (124 aa), FASTA scores: opt: 166, E(): 0.00013, (35.7% identity in 112 aa overlap); BAB48937|Mlr1600 from Rhizobium loti (222 aa), FASTA scores: opt: 163 ,E(): 0.00033, (28.1% identity in 121 aa overlap); etc. Contains membrane spanning regions.</t>
  </si>
  <si>
    <t>Rv2438A</t>
  </si>
  <si>
    <t>Rv2438A, len: 92 aa. Conserved hypothetical protein, showing few similarity with various enzymes e.g. part of O83441|VAA1_TREPA|ATPA1|TP0426 V-type ATP synthase alpha chain 1 from Treponema pallidum (589 aa), FASTA scores: opt: 110, E(): 1.5, (40.3% identity in 72 aa overlap); N-terminus of O95178|NIGM_HUMAN NADH-ubiquinone oxidoreductase AGGG subunit precursor from Homo sapiens (105 aa), FASTA scores: opt: 109, E(): 1.5, (35.5% identity in 62 aa overlap); N-terminus of Q9HJ76|TA1096 probable glycerol kinase from Thermoplasma acidophilum (488 aa); etc.</t>
  </si>
  <si>
    <t>Involved in biosynthesis of NAD. Can use both glutamine or ammonia as a nitrogen source [catalytic activity: ATP + deamido-NAD(+) + L-glutamine + H(2)O = AMP + diphosphate + NAD(+) + L-glutamate].</t>
  </si>
  <si>
    <t>Glutamine-dependent NAD(+) synthetase NadE (NAD(+) synthase [glutamine-hydrolysing])</t>
  </si>
  <si>
    <t>Rv2438c, (MT2513, MTCY428.08), len: 679 aa. NadE, glutamine-dependent NAD(+) synthetase (see citation below), equivalent to Q9CBZ6|NADE_MYCLE|ML1463 Glutamine-dependent NAD(+) synthetase from Mycobacterium leprae (680 aa), FASTA scores: opt: 3877, E(): 0. Also similar to others e.g. O83759|NADE_TREPA|TP0780 from Treponema pallidum (679 aa), FASTA scores: opt: 543, E(): 1.1e-25; O74940|NADE_SCHPO|SPCC553.02 from Schizosaccharomyces pombe (Fission yeast) (700 aa), FASTA scores: opt: 354, E(): 4.7e-14 ; P38795|NADE_YEAST|YHR074W from Saccharomyces cerevisiae (Baker's yeast) (714 aa), FASTA scores: opt: 339, E(): 4e-13; etc. Contains PS00591 Glycosyl hydrolases family 10 active site. Belongs to the NAD synthetase family in the C-terminal section. N-terminus shorter since first submission.</t>
  </si>
  <si>
    <t>Involved in proline biosynthesis pathway (at the first step). Catalyzes the transfer of a phosphate group to glutamate to form glutamate 5-phosphate which rapidly cyclizes to 5-oxoproline [catalytic activity: ATP + L-glutamate = ADP + L-glutamate 5- phosphate].</t>
  </si>
  <si>
    <t>Probable glutamate 5-kinase protein ProB (gamma-glutamyl kinase) (GK)</t>
  </si>
  <si>
    <t>Rv2439c, (MTCY428.07), len: 376 aa. Probable proB, glutamate 5-kinase protein (GK), equivalent to Q9CBZ5|prob|ML1464 from Mycobacterium leprae (367 aa) FASTA scores: opt: 1937, E(): 1.1e-102, (84.4% identity in 366 aa overlap). Also highly similar to other glutamate 5-kinase proteins e.g. P46546|PROB_CORGL from Corynebacterium glutamicum (Brevibacterium flavum) (369 aa), FASTA scores: opt: 1241, E(): 3e-63, (54.35% identity in 368 aa overlap); Q9ZG98|PROB_MEIRU glutamate 5-kinase from Meiothermus ruber (390 aa), FASTA scores: opt: 825, E(): 1.2e-39, (45.05% identity in 353 aa overlap); Q9RDJ9|prob|SCC123.25c from Streptomyces coelicolor (374 aa), FASTA scores: opt: 1193, E(): 1.6e-60, (55.85% identity in 367 aa overlap); etc. Contains PS00902 Glutamate 5-kinase signature. Belongs to the glutamate 5-kinase family.</t>
  </si>
  <si>
    <t>obg</t>
  </si>
  <si>
    <t>Essential GTP-binding protein.</t>
  </si>
  <si>
    <t>Probable GTP1/Obg-family GTP-binding protein Obg</t>
  </si>
  <si>
    <t>Rv2440c, (MTCY428.06), len: 479 aa. Probable obg, nucleotide-binding protein, equivalent to Q9CBZ4|ML1465 GTP1/OBG-family GTP-binding protein from Mycobacterium leprae (478 aa), FASTA scores: opt: 1328, E(): 8.4e-70, (58.9% identity in 479 aa overlap). Also highly similar to others e.g. P95722|OBG GTP-binding protein from Streptomyces coelicolor (478 aa), FASTA scores: opt: 1311, E(): 8.2e-69, (60.7% identity in 476 aa overlap); P20964|OBG_BACSU SPO0B-associated GTP-binding protein from Bacillus subtilis (428 aa), FASTA scores: opt: 1006, E(): 3.9e-51, (42.9% identity in 436 aa overlap); Q9KDK0|OBG|BH1213 GTP-binding protein involved in initiation of sporulation from Bacillus halodurans (427 aa), FASTA scores: opt: 978, E(): 1.7e-49, (41.95% identity in 436 aa overlap); etc. Highly similar (identical but shorter 5 aa) to AAK46813|MT2516 GTP-binding protein from Mycobacterium tuberculosis strain CDC1551 (484 aa), FASTA scores: opt: 3205, E(): 7.9e-179, (100% identity in 479 aa overlap). Contains PS00017 ATP/GTP-binding site motif A (P-loop). Belongs to the GTP1/OBG family.</t>
  </si>
  <si>
    <t>rpmA</t>
  </si>
  <si>
    <t>Rv2441c</t>
  </si>
  <si>
    <t>50S ribosomal protein L27 RpmA</t>
  </si>
  <si>
    <t>Rv2441c, (MTCY428.05), len: 86 aa. rpmA, 50S ribosomal proteins L27, equivalent to Q9CBZ3|RL27_MYCLE from Mycobacterium leprae (88 aa), FASTA scores: opt: 504, E(): 7.6e-28, (93.2% identity in 81 aa overlap). Also highly similar to others e.g. P95757|RL27_STRGR from Streptomyces griseus (85 aa), FASTA scores: opt: 442, E(): 1.2e-23, (81.5% identity in 81 aa overlap); etc. Contains PS00831 Ribosomal protein L27 signature. Belongs to the L27P family of ribosomal proteins.</t>
  </si>
  <si>
    <t>50S ribosomal protein L21 RplU</t>
  </si>
  <si>
    <t>Rv2442c, (MTCY428.04), len: 104 aa. rplU, 50S ribosomal protein L21, equivalent to Q9CBZ2|RL21_MYCLE from Mycobacterium leprae (103 aa), FASTA scores: opt: 579, E(): 4.8e-31, (91.1% identity in 102 aa overlap). Also highly similar to others e.g. P95756|RL21_STRGR from Streptomyces griseus (106 aa), FASTA scores: opt: 362, E(): 5.4e-17, (56.0% identity in 100 aa overlap); etc.</t>
  </si>
  <si>
    <t>Involved in the transport of dicarboxylates such as succinate, fumarate, and malate from the periplasm across the inner membrane. Responsible for the translocation of the substrate across the membrane.</t>
  </si>
  <si>
    <t>Probable C4-dicarboxylate-transport transmembrane protein DctA</t>
  </si>
  <si>
    <t>Rv2443, (MTCY428.03c), len: 491 aa. Probable dctA, C4-dicarboxylate-transport transmembrane protein, similar to other C4-dicarboxylate transport proteins e.g. AAK46817|MT2519 from Mycobacterium tuberculosis strain CDC1551 (491 aa); Q9L1K8|SC6A11.12 putative sodium:dicarboxylate symporter from Streptomyces coelicolor (466 aa), FASTA scores: opt: 1797, E(): 2.9e-98, (61.3% identity in 452 aa overlap); Q9RRG7|DR2525 from Deinococcus radiodurans (463 aa); P50334|DCTA_SALTY from Salmonella typhimurium (428 aa) FASTA scores: opt: 1241, E(): 1.3e-65, (47.2% identity in 415 aa overlap); etc. Belongs to the sodium dicarboxylate symporter family (SDF) (DAACS family).</t>
  </si>
  <si>
    <t>Thought to be involved in several cellular process.</t>
  </si>
  <si>
    <t>Possible ribonuclease E Rne</t>
  </si>
  <si>
    <t>Rv2444c, (MTCY428.02), len: 953 aa. Possible rne, ribonuclease E, highly similar to others e.g. Q9CBZ1|ML1468 possible ribonuclease from Mycobacterium leprae (924 aa), FASTA scores: opt: 3713, E(): 2.4e-174, (74.2% identity in 966 aa overlap); Q9SI08|AT2G04270 putative ribonuclease E from Arabidopsis thaliana (502 aa), FASTA scores: opt: 674, E(): 7.5e-26, (31.2% identity in 410 aa overlap); etc. Similar at C-terminal end to P21513|RNE_ECOLI|ams|HMP1|B1084 ribonuclease E (RNASE E) from Escherichia coli strain K12 (1061 aa), FASTA scores: opt: 554, E(): 9.9e-20, (37.8% identity in 386 aa overlap). Also similar in medium part to several cytoplasmic axial filament proteins e.g. Q9HVU4|CAFA|PA4477 from Pseudomonas aeruginosa (485 aa), FASTA scores: opt: 664, E(): 2.3e-25, (42.8% identity in 418 aa overlap); etc. Equivalent to AAK46818 from Mycobacterium tuberculosis strain CDC1551 (621 aa) but longer 332 aa in N-terminal part. Seems to belong to the RNE family.</t>
  </si>
  <si>
    <t>ndkA</t>
  </si>
  <si>
    <t>Major role in the synthesis of nucleoside triphosphates other than ATP [catalytic activity: ATP + nucleoside diphosphate = ADP + nucleoside triphosphate].</t>
  </si>
  <si>
    <t>Probable nucleoside diphosphate kinase NdkA (NDK) (NDP kinase) (nucleoside-2-P kinase)</t>
  </si>
  <si>
    <t>Rv2445c, (MTV008.01c, MTCY428.01), len: 136 aa. Probable ndkA (alternate gene name: ndk), nucleoside diphosphate kinase, equivalent to Q9CBZ0|NDK|ML1469 from Mycobacterium leprae (136 aa), FASTA scores: opt: 762, E(): 1.5e-42, (87.4% identity in 135 aa overlap); and O85501|NDK from Mycobacterium smegmatis (139 aa), FASTA scores: opt: 714, E(): 1.9e-39, (80.7% identity in 135 aa overlap). Also highly similar to others e.g. P50589|NDK_STRCO from Streptomyces coelicolor (137 aa), FASTA scores: opt: 535, 6.8e-28, (60.3% identity in 136 aa overlap); O29491|NDK_ARCFU|AF0767 from Archaeoglobus fulgidus (151 aa), FASTA scores: opt: 521, E(): 5.9e-27, (58.0% identity in 131 aa overlap); P31103|NDK_BACSU from Bacillus subtilis (151 aa), FASTA scores: opt: 515, E(): 1.4e-26, (56.5% identity in 131 aa overlap); etc. Belongs to the NDK family. Ppk2|Rv3232c and NdkA|Rv2445c interact (See Sureka et al., 2009).</t>
  </si>
  <si>
    <t>Rv2446c</t>
  </si>
  <si>
    <t>Rv2446c, (MTV008.02c), len: 123 aa. Probable conserved integral membrane protein, highly similar to Q9CBY9|ML1470 conserved membrane protein from Mycobacterium leprae (123 aa), FASTA scores: opt: 468, E(): 6.7e-23, (66.65% identity in 108 aa overlap). Also similar to Q9L1G5|SCC88.24c putative membrane protein from Streptomyces coelicolor (118 aa), FASTA scores: opt: 130, E(): 0.13, (37.2% identity in 86 aa overlap); and some similarity to O06852|Y13070 hypothetical Streptomyces coelicolor gene also between fpgs and ndk genes (see citation below) (117 aa), FASTA scores: opt: 128, E(): 0.17, (36.0% identity in 86 aa overlap). A core mycobacterial gene; conserved in mycobacterial strains (See Marmiesse et al., 2004).</t>
  </si>
  <si>
    <t>Conversion of folates to polyglutamate derivatives. Bacteria require folate for the biosynthesis of glycine, methionine, formyl-met-tRNA, thymidylates, purines, and pantothenate [catalytic activity: ATP + {tetrahydrofolyl-[GLU]}(N) + L-glutamate = ADP + phosphate + {tetrahydrofolyl-[GLU]}(N+1)].</t>
  </si>
  <si>
    <t>Probable folylpolyglutamate synthase protein FolC (folylpoly-gamma-glutamate synthetase) (FPGS)</t>
  </si>
  <si>
    <t>Rv2447c, (MTV008.03c), len: 487 aa. Probable folC, folylpolyglutamate synthase, equivalent to Q9CBY8|FOLC|ML1471 from Mycobacterium leprae (485 aa), FASTA scores: opt: 2425, E(): 2.2e-134, (78.7% identity in 483 aa overlap). Also highly similar to others e.g. Q9L1G4|FPGS|O08416|Y13070 from Streptomyces coelicolor (444 aa), FASTA scores: opt: 774, E(): 6.3e-38, (53.9% identity in 462 aa overlap); P15925|FOLC_LACCA|FGS from Lactobacillus casei (428 aa), FASTA scores: opt: 631, E(): 1.4e-29, (34.55% identity in 437 aa overlap); Q05865|FOLC_BACSU from Bacillus subtilis (430 aa), FASTA scores: opt: 421, E(): 2.6e-17, (32.9% identity in 383 aa overlap); etc. Contains PS01012 Folylpolyglutamate synthase signature 2. Belongs to the folylpolyglutamate synthase family.</t>
  </si>
  <si>
    <t>Involved in translation mechanisms [catalyic activity: ATP + L-valine + tRNA(val) = AMP + diphosphate + L-valyl-tRNA(val)].</t>
  </si>
  <si>
    <t>Probable valyl-tRNA synthase protein ValS (valyl-tRNA synthetase) (valine--tRNA ligase) (valine translase)</t>
  </si>
  <si>
    <t>Rv2448c, (MTV008.04c), len: 876 aa. Probable valS, valyl-tRNA synthetases, equivalent to Q9CBY7|VALS|ML1472 valyl-tRNA synthase from Mycobacterium leprae (886 aa), FASTA scores: opt: 5181,E(): 0, (85.4% identity in 876 aa overlap). Also highly similar to others e.g. O06851|SYV_STRCO from Streptomyces coelicolor (874 aa), FASTA scores: opt: 2470, E(): 1.6e-143, (60.45% identity in 880 aa overlap); Q9X2D7|SYV_THEMA|VALS|TM1817 from Thermotoga maritima (865 aa), FASTA scores: opt: 2418, E(): 2.4e-140, (44.2% identity in 891 aa overlap); Q05873|SYV_BACSU|VALS from Bacillus subtilis (880 aa), FASTA scores: opt: 2063, E(): 1.4e-118, (46.08% identity in 894 aa overlap); etc. Contains PS00178 Aminoacyl-transfer RNA synthetases class-I signature. Contains probable coiled-coil from aa 810 to 846. Belongs to class-I aminoacyl-tRNA synthetase family.</t>
  </si>
  <si>
    <t>Rv2449c, (MTV008.05c), len: 419 aa. Conserved protein, highly similar to hypothetical proteins e.g. P95139|Rv2953|MTCY349.37c from M. tuberculosis (418 aa), FASTA scores: opt: 1829, E(): 4.7e-103, (67.3% identity in 419 aa overlap); AAK47353|MT3027 from Mycobacterium tuberculosis strain CDC1551 (418 aa), FASTA score: opt: 1829, E(): 4.7e-103, (67.3 identity in 419 aa overlap); Q9CD87|ML0129 from Mycobacterium leprae (418 aa), FASTA scores: opt: 1727, E(): 6.8e-97, (65.45% identity in 414 aa overlap); etc.</t>
  </si>
  <si>
    <t>Probable resuscitation-promoting factor RpfE</t>
  </si>
  <si>
    <t>Rv2450c, (MTV008.06c), len: 172 aa. Probable rpfE, resuscitation-promoting factor (see Mukamolova et al., 1998), similar to O86308|Z96935|MLRPF_1 RPF protein precursor from Micrococcus luteus (220 aa), FASTA scores: opt: 291, E(): 3e-7, (48.75% identity in 80 aa overlap). C-terminus is similar to other Mycobacterial rpf proteins e.g. O05594|Rv1009|MTCI237.26|RPFB probable resuscitation-promoting factor from Mycobacterium tuberculosis (362 aa), FASTA scores: opt: 344, E(): 1.4e-09, (42.85% identity in 147 aa overlap); etc. C-terminal region similar to N-terminal region of Q9F2Q2|SCE41.06c putative secreted protein from Streptomyces coelicolor (244 aa), FASTA scores: opt: 355, E(): 3.1e-10, (56.65% identity in 90 aa overlap). Also similar to Q9F2Q1|SCE41.07c putative secreted protein from Streptomyces coelicolor (near Q9F2Q2|SCE41.06c) (341 aa) FASTA scores: opt: 317, E(): 2.5e-08, (51.7% identity in 87 aa overlap). With Mycobacterium leprae, high similarity between the two corresponding C-terminal regions of two hypothetical proteins, Q9CD53|ML0240 (375 aa), FASTA scores: opt: 339, E(): 2.5e-09, (59.15% identity in 93 aa overlap) and O33049|MLCB57.05c|ML2151 (174 aa), FASTA scores: opt: 329, E(): 4e-09, (58.14% identity in 86 aa overlap). Contains a possible secretory signal sequence in N-terminus. Possible autocrine and/or paracrine bacterial growth factor or cytokine (see citations below). Interacts with RipA (see Hett et al., 2007). Predicted possible vaccine candidate (See Zvi et al., 2008).</t>
  </si>
  <si>
    <t>Rv2451</t>
  </si>
  <si>
    <t>Hypothetical proline and serine rich protein</t>
  </si>
  <si>
    <t>Rv2451, (MTV008.07), len: 132 aa. Hypothetical unknown pro-, ser-rich protein.</t>
  </si>
  <si>
    <t>Rv2452c</t>
  </si>
  <si>
    <t>Rv2452c, (MTV008.08c), len: 48 aa. Hypothetical unknown protein (see citation below).</t>
  </si>
  <si>
    <t>Involved in molybdenum cofactor biosynthesis. LINKS a guanosine 5'-phosphate to molydopterin (MPT) forming molybdopterin guanine dinucleotide (MGD).</t>
  </si>
  <si>
    <t>Probable molybdopterin-guanine dinucleotide biosynthesis protein A MobA</t>
  </si>
  <si>
    <t>Rv2453c, (MT2528, MTV008.09c), len: 201 aa. Probable mobA, molybdopterin-guanine dinucleotide biosynthesis protein A, similar to others e.g. Q9F8G7 from Carboxydothermus hydrogenoformans (224 aa), FASTA scores: opt: 249, E(): 3.9e-08, (30.6% identity in 173 aa overlap); P95645|MOBA_RHOSH|mob|Y09560 from Rhodobacter sphaeroides (199 aa), FASTA scores: opt: 240, E(): 1.2e-07, (33.9% identity in 186 aa overlap); Q9X7K0|MOBA_RHOCA from Rhodobacter capsulatus (Rhodopseudomonas capsulata) (191 aa), FASTA scores: opt: 217, E(): 2.9e-06, (37.4% identity in 123 aa overlap); etc. Belongs to the MobA family.</t>
  </si>
  <si>
    <t>Probable oxidoreductase (beta subunit)</t>
  </si>
  <si>
    <t>Rv2454c, (MTV008.10c), len: 373 aa. Probable oxidoreductase, beta subunit, similar to Q9F2W7|SCD20.12c putative oxidoreductase from Streptomyces coelicolor (352 aa), FASTA scores: opt: 1461, E(): 6.4e-85, (65.3% identity in 343 aa overlap) alias Q9RKS5|STAH10.34c putative oxidoreductase beta-subunit from Streptomyces coelicolor (350 aa), FASTA scores: opt: 1429, E(): 6.7e-83, (64.0% identity in 342 aa overlap); and similar in part to others e.g. Q9Z5X3 ferredoxin oxidoreductase B-subunit from Frankia sp. (346 aa), FASTA scores: opt: 1143, E(): 7.5e-65, (51.2% identity in 336 aa overlap); BAB21495|KORB ferredoxin oxidoreductase beta subunit from Hydrogenobacter thermophilus TK-6 (295 aa), FASTA scores: opt: 682, E(): 8.3e-36, (48.25% identity in 201 aa overlap); etc. Note that the upstream ORF (MTV008.11c|Rv2455c) is possibly an oxidoreductase alpha subunit.</t>
  </si>
  <si>
    <t>Probable oxidoreductase (alpha subunit)</t>
  </si>
  <si>
    <t>Rv2455c, (MTV008.11c), len: 653 aa. Probable oxidoreductase, alpha subunit, similar to others e.g. Q9F2W6|SCD20.13c putative oxidoreductase from Streptomyces coelicolor (645 aa), FASTA scores: opt: 2017, E(): 1e-111, (66.45% identity in 617 aa overlap) alias Q9RKS4|STAH10.35c putative oxidoreductase alpha-subunit from Streptomyces coelicolor (630 aa), FASTA scores: opt: 2008, E(): 3.4e-111, (66.45% identity in 614 aa overlap); Q9YA13|APE2126 long hypothetical 2-oxoacid--ferredoxin oxidoreductase alpha chain from Aeropyrum pernix (644 aa) FASTA scores: opt: 687, E(): 4.6e-33, (33.35% identity in 441 aa overlap); etc. Note that the downstream ORF (MTV008.10c|Rv2454c) is possibly an oxidoreductase beta subunit.</t>
  </si>
  <si>
    <t>Thought to be involved in transport of undetermined substrate (possibly sugar) across the membrane. Responsible for the translocation of the substrate across the membrane.</t>
  </si>
  <si>
    <t>Rv2456c, (MTV008.12c), len: 418 aa. Probable conserved integral membrane transport protein, involved in a efflux system, weakly similar to many e.g. Q9RUR0|YD22_DEIRA|DR1322 putative sugar efflux transporter from Deinococcus radiodurans (389 aa), FASTA scores: opt: 224, E(): 8.4e-06, (24.45% identity in 409 aa overlap); Q9UYY0|PAB0913 multidrug resistance protein from Pyrococcus abyssi (410 aa), FASTA scores: opt: 210, E(): 5.6e-05, (21.8% identity in 408 aa overlap); etc. Contains PS00216 Sugar transport proteins signature 1.</t>
  </si>
  <si>
    <t>ATP-dependent specificity component of the CLP protease. It directs the protease to specific substrates. Can perform chaperone functions in the absence of CLPP).</t>
  </si>
  <si>
    <t>Probable ATP-dependent CLP protease ATP-binding subunit ClpX</t>
  </si>
  <si>
    <t>Rv2457c, (MTV008.13c), len: 426 aa. Probable clpX, ATP-dependent clp protease ATP-binding subunit clpX, equivalent to Q9CBY6|CLPX|ML1477 ATP-dependent CLP protease ATP-binding protein from Mycobacterium leprae (426 aa), FASTA scores: opt: 2652, E(): 1.4e-142, (96.0% identity in 426 aa overlap). Also highly similar to others e.g. Q9F316|CLPX from Streptomyces coelicolor (428 aa) FASTA scores: opt: 2178, E(): 8.2e-116, (77.8% identity in 428 aa overlap); P50866|CLPX_BACSU from Bacillus subtilis (420 aa), FASTA scores: opt: 1788, E(): 8.5e-94, (63.6% identity in 426 aa overlap); P33138|CLPX_ECOLI from Escherichia coli (423 aa), FASTA scores: opt: 1694, E(): 1.7e-88, (62.4% identity in 415 aa overlap); etc. Contains PS00017 ATP/GTP-binding site motif A (P-loop). Belongs to the CLPX chaperone family. Conserved in M. tuberculosis, M. leprae, M. bovis and M. avium paratuberculosis; predicted to be essential for in vivo survival and pathogenicity (See Ribeiro-Guimaraes and Pessolani, 2007).</t>
  </si>
  <si>
    <t>Catalyzes methyl transfer from S-methylmethionine or S-adenosylmethionine (less efficient) to homocysteine, selenohomocysteine and less efficiently selenocysteine [catalytic activity: S-adenosyl-L-methionine + L-homocysteine = S-adenosyl-L-homocysteine + L-methionine].</t>
  </si>
  <si>
    <t>Probable homocysteine S-methyltransferase MmuM (S-methylmethionine:homocysteine methyltransferase) (cysteine methyltransferase)</t>
  </si>
  <si>
    <t>Rv2458, (MTV008.14), len: 302 aa. Probable mmuM, homocysteine S-methyltransferase, equivalent to Q9CBY5|ML1478 possible transferase from Mycobacterium leprae (293 aa), FASTA scores: opt: 1507, E(): 2.7e-86, (78.85% identity in 293 aa overlap). Also similar to others e.g. Q47690|MMUM_ECOLI|B0261 homocysteine S-methyltransferase from Escherichia coli strain K12 (310 aa), FASTA scores: opt: 863, E(): 2.4e-46, (47.65% identity in 298 aa overlap); Q9FUM7 homocysteine S-methyltransferase-4 from Zea mays (Maize) (342 aa), FASTA scores: opt: 324, E(): 6.8e-13, (44.45% identity in 306 aa overlap); Q9LUI7|HMT3 cysteine methyltransferase from Arabidopsis thaliana (Mouse-ear cress) (347 aa), FASTA scores: opt: 312, E(): 3.8e-12, (41.85% identity in 313 aa overlap); etc. Identical to AAK46833|MT2533 homocysteine S-methyltransferase from Mycobacterium tuberculosis strain CDC1551 (302 aa).</t>
  </si>
  <si>
    <t>Thought to be involved in a transport system across the membrane (perhaps drug transport): responsible for the translocation of the substrate across the membrane.</t>
  </si>
  <si>
    <t>Rv2459, (MTV008.15), len: 508 aa. Probable conserved integral membrane transport protein, member of major facilitator superfamily (MFS) possibly involved in drug transport, highly similar to many efflux proteins e.g. Q9RL22|SC5G9.04c putative transmembrane efflux protein from Streptomyces coelicolor (489 aa), FASTA scores: opt: 788, E(): 1.3e-38, (34.45% identity in 412 aa overlap); Q9I428|PA1316 probable MFS transporter from Pseudomonas aeruginosa (513 aa), FASTA scores: opt: 782, E(): 3.1e-38, (32.75% identity in 519 aa overlap); P39886|TCMA_STRGA tetracenomycin C resistance and export protein from Streptomyces glaucescens (538 aa), FASTA scores: opt: 752, E(): 1.8e-36, (31.7% identity in 511 aa overlap); etc. Also highly similar to AAK46687|MT2395 drug transporter from Mycobacterium tuberculosis strain CDC1551 (537 aa), FASTA scores: opt: 1396, E(): 5.6e-74, (44.45% identity in 504 aa overlap); and P71879|Rv2333c|MTCY3G12.01 probable conserved integral membrane transport protein from Mycobacterium tuberculosis strain H37Rv (537 aa), FASTA scores: opt: 1385, E(): 2.5e-73, (44.25% identity in 504 aa overlap).</t>
  </si>
  <si>
    <t>CLP cleaves peptides in various proteins in a process that requires ATP hydrolysis. CLP may be responsible for a fairly general and central housekeeping function rather than for the degradation of specific substrates.</t>
  </si>
  <si>
    <t>Probable ATP-dependent CLP protease proteolytic subunit 2 ClpP2 (endopeptidase CLP 2)</t>
  </si>
  <si>
    <t>Rv2460c, (MT2535, MTV008.16c), len: 214 aa. Probable clpP2, ATP-dependent clp protease proteolytic subunit 2, equivalent to Q9CBY4|CLP2_MYCLE ATP-dependent CLP protease proteolytic subunit from Mycobacterium leprae (214 aa). Also highly similar to others e.g. Q9ZH58|CLPP2 from Streptomyces coelicolor (236 aa), FASTA scores: opt: 918, E(): 2.1e-50, (66.35% identity in 214 aa overlap); O67357|CLPP_AQUAE|AQ_1339 from Aquifex aeolicus (201 aa), FASTA scores: opt: 680, E(): 1.4e-35, (52.0% identity in 194 aa overlap); P43867|CLPP_HAEIN from Haemophilus influenzae (193 aa), FASTA scores: opt: 662, E(): 1.8e-34, (53.35% identity in 193 aa overlap); etc. Contains PS00381 Endopeptidase Clp serine active site. Also similar to upstream ORF Rv2461c|MTV008.17c|clpP1 (200 aa), FASTA score: (48.3% identity in 172 aa overlap). Belongs to peptidase family S14, also known as ClpP family. Conserved in M. tuberculosis, M. leprae, M. bovis and M. avium paratuberculosis; predicted to be essential for in vivo survival and pathogenicity (See Ribeiro-Guimaraes and Pessolani, 2007).</t>
  </si>
  <si>
    <t>clpP1</t>
  </si>
  <si>
    <t>Probable ATP-dependent CLP protease proteolytic subunit 1 ClpP1 (endopeptidase CLP)</t>
  </si>
  <si>
    <t>Rv2461c, (MT2536, MTV008.17c), len: 200 aa. Probable clpP1, ATP-dependent clp protease proteolytic subunit 1, equivalent to Q9CBY3|CLP1_MYCLE ATP-dependent CLP protease proteolytic subunit from Mycobacterium leprae (224 aa), FASTA scores: opt: 1226, E(): 1.3e-71, (95.0% identity in 200 aa overlap). Also highly similar to others e.g. Q9F315|CLPP1 from Streptomyces coelicolor (219 aa), FASTA scores: opt: 713, E(): 9.3e-39, (61.75% identity in 183 aa overlap); P80244|CLPP_BACSU from Bacillus subtilis (197 aa), FASTA scores: opt: 658, E(): 2.8e-35, (54% identity in 187 aa overlap); Q9WZF9|CLPP_THEMA|TM0695 from Thermotoga maritima (203 aa), FASTA scores: opt: 653, E(): 6.1e-35, (55.25% identity in 172 aa overlap); etc. Also similar to downstream ORF Rv2460c|MTV008.16c|clpP2 (214 aa), FASTA score: (48.3% identity in 172 aa overlap). Belongs to peptidase family S14, also known as CLPP family. Note that previously known as clp. Conserved in M. tuberculosis, M. leprae, M. bovis and M. avium paratuberculosis; predicted to be essential for in vivo survival and pathogenicity (See Ribeiro-Guimaraes and Pessolani, 2007).</t>
  </si>
  <si>
    <t>Involved in protein export. Acts as a chaperone by maintaining the newly synthesized protein in an open conformation.</t>
  </si>
  <si>
    <t>Probable trigger factor (TF) protein Tig</t>
  </si>
  <si>
    <t>Rv2462c, (MTV008.18c), len: 466 aa. Probable tig, trigger factor (TF), a chaperone protein, equivalent to Q9CBY2|ML1481 possible molecular chaperone from Mycobacterium leprae (469 aa), FASTA scores: opt: 2171, E(): 7.2e-113, (70.1% identity in 468 aa overlap). Also similar to oyher trigger factors from several organisms e.g. Q9F314|SCC80.05c from Streptomyces coelicolor (468 aa), FASTA scores: opt: 1224, E(): 1.7e-60, (41.8% identity in 469 aa overlap); Q9K8F3|TIG_BACHD from Bacillus halodurans (431 aa), FASTA scores: opt: 675, E(): 3.6e-30, (28.5% identity in 421 aa overlap); P22257|TIG_ECOLI from Escherichia coli (432 aa), FASTA scores: opt: 493, E(): 4.2e-20, (23.35% identity in 433 aa overlap); etc. Belongs to the FKBP-type PPIase family, TIG subfamily.</t>
  </si>
  <si>
    <t>Probable esterase/lipase LipP</t>
  </si>
  <si>
    <t>Rv2463, (MTV008.19), len: 394 aa. Probable lipP, esterase, lipase similar to others eg O87861|ESTA esterase a from Streptomyces chrysomallus (389 aa), FASTA scores: opt: 964, E(): 1.9e-53, (44.35% identity in 399 aa overlap); Q9I4S7|PA1047 probable esterase from Pseudomonas aeruginosa (392 aa), FASTA scores: opt: 863, E(): 4.6e-47, (40.05% identity in 377 aa overlap); Q53403|ESTC esterase III from Pseudomonas fluorescens (382 aa), FASTA scores: opt: 753, E(): 3.9e-40, (36.3% identity in 380 aa overlap); etc.</t>
  </si>
  <si>
    <t>Hydrolyses DNA (this enzyme may play a significant role in processes leading to recovery from mutagenesis and/or cell death by alkylating agents).</t>
  </si>
  <si>
    <t>Possible DNA glycosylase</t>
  </si>
  <si>
    <t>Rv2464c, (MT2539, MTV008.20c), len: 268 aa. Possible DNA glycosylase, showing some similarity to several other DNA glycosylases e.g. Q9F308|SCC80.11c putative DNA repair hydrolase (fragment) from Streptomyces coelicolor (306 aa), FASTA scores: opt: 894, E(): 6.1e-51, (51.05% identity in 282 aa overlap); O50606|MUTM|FPG_THETH formamidopyrimidine-DNA glycosylase from Thermus aquaticus (267 aa), FASTA scores: opt: 342, E(): 4.6e-15, (32.4% identity in 250 aa overlap); Q9RCW5|SCM10.34c putative formamidopyrimidine-DNA glycosylase from Streptomyces coelicolor (287 aa), FASTA scores: opt: 321, E(): 1.1e-13, (29.35% identity in 259 aa overlap); etc. Identical to AAK46839|MT2539 formamidopyrimidine-DNA glycosylase from Mycobacterium tuberculosis strain CDC1551. Also similar to other Mycobacterium tuberculosis DNA glycosylases e.g. MTCY71.37 (32.9% identity in 277 aa overlap). Belongs to the FPG family.</t>
  </si>
  <si>
    <t>Interconverts ribose-5-phosphate and ribulose-5-phosphate</t>
  </si>
  <si>
    <t>Ribose-5-phosphate isomerase</t>
  </si>
  <si>
    <t>Rv2465c, (MTV008.21c), len: 162 aa. RpiB, Ribose-5-phosphate isomerase, proven biochemically (see Roos et al., 2004) equivalent to AAK46840|MT2540 putative carbohydrate-phosphate isomerase from Mycobacterium tuberculosis strain CDC1551 (159 aa). Equivalent to Q9CBY1|ML1484 possible phosphopentose isomerase from Mycobacterium leprae (162 aa), FASTA scores: opt: 992, E(): 7.1e-59, (89.5% identity in 162 aa overlap). Also highly similar or similar to several diverse isomerases e.g. Q9L206|SC8E4.02c putative isomerase from Streptomyces coelicolor (159 aa), FASTA scores: opt: 661, E(): 6.1e-37, (61.45% identity in 153 aa overlap); P47636|Y396_MYCGE|MG396 hypothetical LACA/RPIB family protein from Mycoplasma genitalium (152 aa), FASTA scores: opt: 357, E(): 8.2e-17, (42% identity in 150 aa overlap); P53527|Y396_MYCPN|MPN595|MP247 hypothetical LACA/RPIB family protein from Mycoplasma pneumoniae (152 aa), FASTA scores: opt: 340, E(): 1.1e-15, (38.6% identity in 145 aa overlap); P26592|LACB_STAAU galactose-6-phosphate isomerase from Staphylococcus aureus (171 aa), FASTA scores: opt: 296, E(): 1e-12, (35.4% identity in 158 aa overlap) and P37351|RPIB_ECOLI ribose 5-phosphate isomerase b from Escherichia coli (149 aa), FASTA scores: opt: 262, E(): 1.6e-10, (32.2% identity in 146 aa overlap); etc. Could belong to the LACA/RPIB family.</t>
  </si>
  <si>
    <t>Function unknown. Seems regulated by sigh (Rv3223c product).</t>
  </si>
  <si>
    <t>Rv2466c, (MTV008.22c), len: 207 aa. Conserved protein (see citation below), equivalent to Q9CBY0|ML1485 hypothetical protein from Mycobacterium leprae (207 aa), FASTA scores: opt: 1154, E(): 1.1e-67, (80.6% identity in 206 aa overlap). Also highly similar to Q9L201|SC8E4A.04c hypothetical protein from Streptomyces coelicolor (216 aa), FASTA scores: opt: 789, E(): 4.6e-44, (57.9% identity in 213 aa overlap). Also similar to AAK46628|MT2344 hypothetical protein from Mycobacterium tuberculosis strain CDC1551 (230 aa), FASTA scores: opt: 324, E(): 6.1e-14, (30.4% identity in 194 aa overlap). Contains PS00195 Glutaredoxin active site.</t>
  </si>
  <si>
    <t>Aminopeptidase with broad substrate specificity to several peptides (could preferentially cleave leucine, arginine and lysine in peptide-bond-containing substrates).</t>
  </si>
  <si>
    <t>Probable aminopeptidase N PepN (Lysyl aminopeptidase) (LYS-AP) (alanine aminopeptidase)</t>
  </si>
  <si>
    <t>Rv2467, (MTV008.23), len: 861 aa. Probable pepN, aminopeptidase N, equivalent to Q9CBX9|ML1486 probable aminopeptidase from Mycobacterium leprae (862 aa), FASTA scores: opt: 4751,E(): 0, (83.3% identity in 862 aa overlap). Also highly similar to others e.g. Q11010|AMPN_STRLI|PEPN from Streptomyces lividans (857 aa), FASTA scores: opt: 2839, E(): 1.8e-170, (53.25% identity in 864 aa overlap); Q9L1Z2|PEPN from Streptomyces coelicolor (857 aa), FASTA scores: opt: 2834, E(): 3.8e-170, (53.1% identity in 864 aa overlap); P37896|AMPN_LACDL|PEPN from Lactobacillus delbrueckii (subsp. lactis) (842 aa), FASTA scores: opt: 719, E(): 2.4e-37, (31.65% identity in 439 aa overlap); etc. Contains PS00142 Neutral zinc metallopeptidases, zinc-binding region signature. Belongs to peptidase family M1 (zinc metalloprotease), also known as the PEPN subfamily. Note that previously known as pepD. Conserved in M. tuberculosis, M. leprae, M. bovis and M. avium paratuberculosis; predicted to be essential for in vivo survival and pathogenicity (See Ribeiro-Guimaraes and Pessolani, 2007).</t>
  </si>
  <si>
    <t>Rv2468A</t>
  </si>
  <si>
    <t>Rv2468A, len: 77 aa. Conserved protein.</t>
  </si>
  <si>
    <t>Rv2468c, (MTV008.24c), len: 167 aa. Conserved protein, highly similar to Mycobacterium leprae hypothetical proteins Q9CC58|ML1255 (163 aa), FASTA scores: opt: 859, E(): 1.6e-49, (81.2% identity in 165 aa overlap) and Q9X7B5|MLCB1610.16 (169 aa), FASTA scores: opt: 859, E(): 1.6e-49, (81.2% identity in 165 aa overlap). Also weak similarity with Q9X8D7|SCE39.14c putative GntR-family regulator from Streptomyces coelicolor (243 aa), FASTA scores: opt: 116, E(): 1.3, (30.1% identity in 156 aa overlap). A core mycobacterial gene; conserved in mycobacterial strains (See Marmiesse et al., 2004).</t>
  </si>
  <si>
    <t>Rv2469c, (MTV008.25c), len: 222 aa. Conserved hypothetical protein, highly similar to other hypothetical proteins e.g. Q9X7B4|MLCB1610.15|ML1254 from Mycobacterium leprae (215 aa), FASTA scores: opt: 1183, E(): 3.3e-70, (77.9% identity in 222 aa overlap); Q9L1Y0|SC8E4A.25c from Streptomyces coelicolor (178 aa), FASTA scores: opt: 589, E(): 1.7e-31, (53.4% identity in 161 aa overlap) (N-terminal region is shorter 50 aa approximately); Q9RRS6|DR2409 conserved hypothetical protein from Deinococcus radiodurans (186 aa), FASTA scores: opt: 440, E(): 9.6e-22, (42.25% identity in 168 aa overlap) (N-terminal region is shorter 30 aa approximately); etc.</t>
  </si>
  <si>
    <t>Oxygen carrier, involved in oxygen transport.</t>
  </si>
  <si>
    <t>Globin (oxygen-binding protein) GlbO</t>
  </si>
  <si>
    <t>Rv2470, (MTV008.26), len: 128 aa. glbO, globin-like protein, highly similar to Q9CC59|GLBO|ML1253 hemoglobin-like (oxygen carrier) from Mycobacterium leprae (128 aa), FASTA scores: opt: 767, E(): 4e-47, (88.1% identity in 126 aa overlap); Q9X7B3|MLCB1610.14c putative globin from Mycobacterium leprae (131 aa); Q9L250|SC6D10.14 putative globin from Streptomyces coelicolor (137 aa), FASTA scores: opt: 466, E(): 5.7e-26, (53.6% identity in 125 aa overlap). Also similar to O31607 YJBI protein from Bacillus subtilis (132 aa), FASTA scores: opt: 294, E(): 6.6e-14; (39.85% identity in 128 aa overlap). Could belong to protozoan/cyanobacterial globin family protein.</t>
  </si>
  <si>
    <t>Involved in sugar metabolism (hydrolysis of terminal, non-reducing 1,4-linked D-glucose residues with release of D-glucose).</t>
  </si>
  <si>
    <t>Probable alpha-glucosidase AglA (maltase) (glucoinvertase) (glucosidosucrase) (maltase-glucoamylase) (lysosomal alpha-glucosidase) (acid maltase)</t>
  </si>
  <si>
    <t>Rv2471, (MTV008.27), len: 546 aa. Probable aglA, maltase (alpha-glucosidase), highly similar or similar to several e.g. Q60027|AGLA from Thermomonospora curvata (544 aa), FASTA scores: opt: 2071, E(): 4e-116, (57.7% identity in 525 aa overlap); Q9KZE3|AGLAE from Streptomyces coelicolor (534 aa), FASTA scores: opt: 1475, E(): 1.5e-80, (50.1% identity in 537 aa overlap); O86874|AGLA from Streptomyces lividans (534 aa), FASTA scores: opt: 1473, E(): 2e-80, (50.1% identity in 537 aa overlap); etc. Seems to belong to family 13 of glycosyl hydrolases, also known as the alpha-amylase family.</t>
  </si>
  <si>
    <t>Rv2472, (MTV008.28), len: 97 aa. Conserved hypothetical protein, showing some similarity to O53451|Rv1103c|MTV017.56c from Mycobacterium tuberculosis strain H37Rv (106 aa), FASTA scores: opt: 135, E(): 0.026, (45.85% identity in 72 aa overlap); and AAK45393|MT1135 hypothetical 11.4 KDA protein from Mycobacterium tuberculosis strain CDC1551 (78 aa) FASTA scores: opt: 139, E(): 0.011, (45.35% identity in 75 aa overlap).</t>
  </si>
  <si>
    <t>Possible alanine and proline rich membrane protein</t>
  </si>
  <si>
    <t>Rv2473, (MTV008.29), len: 238 aa. Possible pro-,ala-rich membrane protein, with possible transmembrane domain around aa 81-104.</t>
  </si>
  <si>
    <t>Rv2474c, (MTV008.30c), len: 217 aa. Hypothetical protein. Shows weak similarity with Q9L246|SC6D10.18c hypothetical 24.9 KDA protein from Streptomyces coelicolor (238 aa), FASTA scores: opt: 111, E(): 5.6, (30% identity in 233 aa overlap), blastp scores: Score= 135, E= 3.5e-07, P= 3.5e-07, Identities= 55/182 (30%).</t>
  </si>
  <si>
    <t>Rv2475c, (MTV008.31c), len: 138 aa. Conserved protein, showing similarity with Q9L245|SC6D10.19c hypothetical 16.2 KDA protein from Streptomyces coelicolor (136 aa), FASTA scores: opt: 236, E(): 1.9e-09, (34.1% identity in 126 aa overlap). Also some similarity with AAK44393|Z97050|MTCI28_3 conserved hypothetical protein from Mycobacterium tuberculosis cosmid I (151 aa), FASTA scores: opt: 147, E(): 0.00025, (29.2% identity in 120 aa overlap).</t>
  </si>
  <si>
    <t>Catabolic glutdh involved in the utilization of glutamate and other amino acids of the glutamate family. Generates 2-oxoglutarate from L-glutamate [catalytic activity: L-glutamate + H(2)O + NAD(+) = 2-oxoglutarate + NH(3) + NADH].</t>
  </si>
  <si>
    <t>Probable NAD-dependent glutamate dehydrogenase Gdh (NAD-Gdh) (NAD-dependent glutamic dehydrogenase)</t>
  </si>
  <si>
    <t>Rv2476c, (MTV008.32c), len: 1624 aa. Probable gdh, glutamate dehydrogenase. Highly similar to Q9X7B2|MLCB1610.10|ML1249 hypothetical 177.9 KDA protein from Mycobacterium leprae (1622 aa), FASTA scores: opt: 8630,E(): 0, (81.45% identity in 1634 aa overlap). But highly similar to Q9F0J1|GDH NAD-glutamate dehydrogenase from Streptomyces clavuligerus (1651 aa), FASTA scores: opt: 3833, E(): 0, (45.8% identity in 1600 aa overlap); (see Minambres et al., 2000). Also similar with others e.g. AAG53963|PA3068|GDHB hypothetical (NAD(+)-dependent glutamate dehydrogenase from Pseudomonas aeruginosa (1620 aa), FASTA scores: opt: 2214, E(): 1e-124, (40.1% identity in 1561 aa overlap) (see Lu &amp; Abdelal 2001); and Q9Y8G5|GDHB NAD-specific glutamate dehydrogenase from Agaricus bisporus (1029 aa), FASTA scores: opt: 194, E(): 0.00099, (22.7% identity in 647 aa overlap) (see Kersten et al., 1999); etc. Contains possible Helix-turn-helix motif at aa 1568 to 1589 (score 1098, +2.93 SD).</t>
  </si>
  <si>
    <t>Thought to be involved in active transport of macrolide across the membrane (export): macrolide antibiotics resistance by an export mechanism. Responsible for energy coupling to the transport system.</t>
  </si>
  <si>
    <t>Rv2477c, (MTV008.33c), len: 558 aa. Probable ATP binding protein ABC-transporter (see citation below), probably involved in macrolide transport, equivalent to Q9X7B1|MLCB1610.09|ML1248 putative ABC transporter ATP-binding protein from Mycobacterium leprae (556 aa) FASTA scores: opt: 3448, E(): 3.8e-176, (92.3% identity in 557 aa overlap). Also highly similar to many ATP binding proteins e.g. Q9L244|SC6D10.20c putative ABC transporter ATP-binding protein from Streptomyces coelicolor (547 aa), FASTA scores: opt: 2937, E(): 5.6e-149, (79.5% identity in 551 aa overlap); AAK24119|CC2148 ABC transporter ATP-binding protein from Caulobacter crescentus (555 aa), FASTA scores: opt: 2175, E(): 1.9e-108, (59.4% identity in 557 aa overlap); Q9HVJ1 probable ATP-binding component of ABC transporter from Pseudomonas aeruginosa (554 aa), FASTA scores: opt: 2054, E(): 5.1e-102, (56.9% identity in 559 aa overlap); etc. Contains 2 x PS00017 ATP/GTP-binding site motif A (P-loop), 2 x PS00211 ABC transporters family signature, and probable coiled-coil from aa 273 to 311. Belongs to the ATP-binding transport protein family (ABC transporters).</t>
  </si>
  <si>
    <t>Rv2478c</t>
  </si>
  <si>
    <t>Rv2478c, (MTV008.34c), len: 161 aa. Conserved hypothetical protein, with weak similarity with many single-strand binding proteins e.g. Q9X8U3|SCH24.29 putative single-strand binding protein from Streptomyces coelicolor (199 aa), FASTA scores: opt: 246, E(): 4.5e-08, (31.5% identity in 162 aa overlap); P46390|SSB_MYCLE|ML2684|MLCB1913.20c single-strand binding protein (SSB) (helix-destabilizing protein) from Mycobacterium leprae (168 aa), FASTA scores: opt: 239, E(): 1e-07, (30.8% identity in 146 aa overlap); P18310|SSBF_ECOLI single-strand binding protein from Escherichia coli (178 aa), FASTA scores: opt: 116, E(): 2.9, (25.7% identity in 140 aa overlap); etc. Also similarity with Rv0054|P71711|MTCY21D4.17|SSB_MYCTU probable single-strand binding protein from M. tuberculosis (164 aa), FASTA scores: opt: 234, E(): 2e-07, (31.75% identity in 148 aa overlap). N-terminus shorter 8 aa from AAK46855|MT2553 single-strand DNA binding protein from Mycobacterium tuberculosis strain CDC1551.</t>
  </si>
  <si>
    <t>Rv2479c</t>
  </si>
  <si>
    <t>Rv2479c, (MTV008.35c), len: 328 aa. Probable transposase for IS6110. Identical to many other M. tuberculosis IS6110 transposase subunits. The transposase described here may be made by a frame shifting mechanism during translation that fuses Rv2480c and Rv2479c, the sequence UUUUAAAG (directly upstream of Rv2479c) maybe responsible for such a frameshifting event (see McAdam et al., 1990). Start changed since first submission (- 18 aa).</t>
  </si>
  <si>
    <t>Rv2480c</t>
  </si>
  <si>
    <t>Thought to be required for the transposition of the insertion element IS6110.</t>
  </si>
  <si>
    <t>Possible transposase for insertion sequence element IS6110 (fragment)</t>
  </si>
  <si>
    <t>Rv2480c, (MTV008.36c), len: 108 aa. Putative Transposase for IS6110 (fragment). Identical to many other M. tuberculosis IS6110 transposase subunits. The transposase described here may be made by a frame shifting mechanism during translation that fuses Rv2480c and Rv2479c, the sequence UUUUAAAG (directly upstream of Rv2479c) maybe responsible for such a frameshifting event (see McAdam et al., 1990).</t>
  </si>
  <si>
    <t>Rv2481c</t>
  </si>
  <si>
    <t>Rv2481c, (MTV008.37c), len: 107 aa. Hypothetical unknown protein.</t>
  </si>
  <si>
    <t>Involved in phospholipid biosynthesis (at the first step). May also function in the regulation of membrane biogenesis [catalytic activity: acyl-CoA + SN-glycerol 3-phosphate = CoA + 1-acyl-SN-glycerol 3-phosphate].</t>
  </si>
  <si>
    <t>Probable glycerol-3-phosphate acyltransferase PlsB2 (GPAT)</t>
  </si>
  <si>
    <t>Rv2482c, (MT2555, MTV008.38c), len: 789 aa. Probable plsB2, glycerol-3-phosphate acyltransferase, highly similar to Q9X7B0|PLSB_MYCLE probable glycerol-3-phosphate acyltransferase from Mycobacterium leprae (775 aa), FASTA scores: opt: 4210, E(): 0, (80.7% identity in 783 aa overlap). Also similar to others e.g. P00482|PLSB_ECOLI from Escherichia coli (806 aa), FASTA scores: opt: 521, E(): 3e-24, (24.35 identity in 612 aa overlap); Q9CLN7|PLSB_PASMU from Pasteurella multocida (809 aa), FASTA scores: opt: 529, E(): 9.7e-25, (27.05% identity in 540 aa overlap); Q9KVP8|PLSB_VIBCH from Vibrio cholerae (811 aa), FASTA scores: opt: 510, E(): 1.4e-23, (26.0% identity in 639 aa overlap); etc. Also highly similar to Q10775|PLSB1|Rv1551|MTCY48.14c from M. tuberculosis (621 aa), FASTA scores: opt: 1013, E(): 1.5e-54, (34.65% identity in 586 aa overlap). Belongs to the GPAT/DAPAT family.</t>
  </si>
  <si>
    <t>C-terminus: involved in phospholipid biosynthesis (at the second step); converts lysophosphatidic acid (LPA) into phosphatidic acid by incorporating acyl moiety at the 2 position [catalytic activity 2: acyl-CoA + 1-acyl-SN-glycerol 3-phosphate = CoA + 1,2-diacyl-SN-glycerol 3-phosphate]. N-terminus: could be generate serine and phosphate from phosphoserine; may catalyze the last step in the biosynthesis of serine from carbohydrates (the reaction mechanism could be proceed via the formation of a phosphoryl-enzyme intermediates) [catalytic activity 1: phosphoserine + H(2)O = serine + phosphate].</t>
  </si>
  <si>
    <t>Possible transmembrane phospholipid biosynthesis bifunctional enzyme PlsC: putative L-3-phosphoserine phosphatase (O-phosphoserine phosphohydrolase) (PSP) (pspase) + 1-acyl-SN-glycerol-3-phosphate acyltransferase (1-AGP acyltransferase) (1-AGPAT) (lysophosphatidic acid acyltransferase) (LPAAT)</t>
  </si>
  <si>
    <t>Rv2483c, (MTV008.39c), len: 580 aa. Possible plsC, a transmembrane phospholipid biosynthesis bifunctional enzyme, including L-3-phosphoserine phosphatase and 1-acyl-Sn-glycerol-3-phosphate acyltransferase , equivalent to Q9X7A9|PLSC|ML1245 putative acyltransferase from Mycobacterium leprae (579 aa), FASTA scores: opt: 2835, E(): 9.2e-153, (77.15% identity in 573 aa overlap). C-terminal end is similar to many 1-acyl-SN-glycerol-3-phosphate acyltransferases (lysophosphatidic acidacyltransferases) e.g. Q9SDQ2 from Limnanthes floccosa (281 aa), FASTA scores: opt: 378, E(): 3.1e-14, (30.0% identity in 230 aa overlap) and Q42868|PLSC_LIMAL from Limnanthes alba (White meadowfoam) (281 aa), FASTA scores: opt: 374, E(): 5.2e-14, (30.55% identity in 221 aa overlap); and the N-terminal end is similar to many SerB family proteins e.g. AAK44749|MT0526 from Mycobacterium tuberculosis strain CDC1551 (308 aa), FASTA scores: opt: 356, E(): 5.8e-13, (32.5% identity in 298 aa overlap) and Q49823|ML2424 from Mycobacterium leprae (300 aa), FASTA scores: opt: 346, E(): 2.1e-12, (32.0% identity in 278 aa overlap). So belongs to the 1-acyl-SN-glycerol-3-phosphate acyltransferase family and may belong to the SerB family.</t>
  </si>
  <si>
    <t>Rv2484c, (MTV008.40c), len: 491 aa. Possible triacylglycerol synthase (See Daniel et al., 2004), highly similar or similar to many Mycobacterial hypothetical proteins e.g. Q9X7A8|MLCB1610.05|ML1244 conserved membrane protein from Mycobacterium leprae (491 aa), FASTA scores: opt: 2459, E(): 3e-138, (75.15% identity in 483 aa overlap); O53304|YU87_MYCTU|Rv3087|MTV013.08 from Mycobacterium tuberculosis (472 aa), FASTA scores: opt: 527, E(): 8.1e-24, (29.1% identity in 485 aa overlap); O53305|YU88_MYCTU|Rv3088|MT3173|MTV013.09 from Mycobacterium tuberculosis (474 aa), FASTA scores: opt: 370, E(): 1.6e-14, (26.05% identity in 422 aa overlap); etc. A core mycobacterial gene; conserved in mycobacterial strains (See Marmiesse et al., 2004).</t>
  </si>
  <si>
    <t>Probable carboxylesterase LipQ</t>
  </si>
  <si>
    <t>Rv2485c, (MTV008.41c), len: 421 aa. Probable lipQ, carboxylesterase protein (lipase). Similar (greater at the C-terminal end) to AAK46626|MT2342 putative carboxylesterase from Mycobacterium tuberculosis strain CDC1551 (431 aa), FASTA scores: opt: 1134, E(): 4.3e-60, (46.25% identity in 428 aa overlap); and Q50681|Rv2284|MTCY339.26c hypothetical protein from M. tuberculosis strain H37Rv (431 aa), FASTA scores: opt: 1134, E(): 4.3e-60, (46.25% identity in 428 aa overlap). Also similar in part to other putative lipases/esterases e.g. AAK44451|MT0230 from Mycobacterium tuberculosis strain CDC1551 (403 aa), FASTA scores: opt: 763, E(): 4.6e-38, (37.95% identity in 390 aa overlap); Q9RY19|DR0133 from Deinococcus radiodurans (296 aa), FASTA scores: opt: 392, E(): 4e-16, (33.7% identity in 276 aa overlap); Q9Z545|SC9B2.14 from Streptomyces coelicolor (502 aa) FASTA scores: opt: 279, E(): 3.2e-09, (31.15% identity in 292 aa overlap); etc.</t>
  </si>
  <si>
    <t>Probable enoyl-CoA hydratase EchA14 (enoyl hydrase) (unsaturated acyl-CoA hydratase) (crotonase)</t>
  </si>
  <si>
    <t>Rv2486, (MTV008.42), len: 256 aa. Probable echA14, enoyl-CoA hydratase, similar to others e.g. P24162|ECHH_RHOCA2|FADB1 from Rhodobacter capsulatus (Rhodopseudomonas capsulata) (257 aa), FASTA scores; opt: 453, E(): 3.8e-23, (39.4% identity in 259 aa overlap); Q9ETY7|PACA|PAAG from Azoarcus evansii (273 aa), FASTA scores: opt: 404, E(): 5.7e-17, (37.5% identity in 224 aa overlap); P77467|PAAG_ECOLI from Escherichia coli (262 aa), FASTA scores: opt: 401, E(): 8.3e-17, (36.3% identity in 259 aa overlap); etc. Contains PS00166 Enoyl-CoA hydratase/isomerase signature. Belongs to the enoyl-CoA hydratase/isomerase family.</t>
  </si>
  <si>
    <t>PE_PGRS42</t>
  </si>
  <si>
    <t>Rv2487c</t>
  </si>
  <si>
    <t>PE-PGRS family protein PE_PGRS42</t>
  </si>
  <si>
    <t>Rv2487c, (MTV008.43c), len: 694 aa. PE_PGRS42, Member of the Mycobacterium tuberculosis PE family, PGRS subfamily of Gly-rich proteins (see citation below), similar to many e.g. AAK47245|MT2919 PE_PGRS family protein from Mycobacterium tuberculosis strain CDC1515 (663 aa), FASTA scores: opt: 2317, E(): 2.3e-84, (58.35% identity in 622 aa overlap); etc.</t>
  </si>
  <si>
    <t>Probable transcriptional regulatory protein (LuxR-family)</t>
  </si>
  <si>
    <t>Rv2488c, (MTV008.44c), len: 1137 aa. Probable transcriptional regulatory protein, belonging to luxR family, similar to many in Mycobacterium tuberculosis e.g. AAK44621|MT0399 from strain CDC1551 (1092 aa) FASTA scores: opt: 3767, E(): 1.8e-211, (56.75% identity in 1093 aa overlap); O53720|Rv0386|MTV036.21 from strain H37Rv (1085 aa), FASTA scores: opt: 3756, E(): 7.6e-211, (56.75% identity in 1089 aa overlap); AAK45665|MT1402 from strain CDC1551 (1159 aa), FASTA scores: opt: 3395, E(): 8.2e-190, (52.0% identity in 1093 aa overlap); etc. Also similar to transcriptional regulatory proteins luxR-family from other organisms e.g. Q9CBP3|ML1753 from Mycobacterium leprae (1106 aa), FASTA scores: opt: 2823, E(): 1.5e-156, (50.35% identity in 1116 aa overlap); Q9KYF4|SCD72A.02 from Streptomyces coelicolor (1114 aa), FASTA scores: opt: 915, E(): 1.7e-45, (30.7% identity in 1143 aa overlap); etc. Some similarity with Q9KXP6|SC9C5.28 hypothetical 81.8 KDA protein from Streptomyces coelicolor (750 aa), FASTA scores: opt: 1085, E(): 1.6e-55, (35.45% identity in 722 aa overlap). Contains PS00017 ATP/GTP-binding site motif A (P-loop), PS00622 Bacterial regulatory proteins, luxR family signature, probable coiled-coil from aa 585 to 616 and probable helix-turn-helix motif at aa 1086 to 1107 (score 1206, +3.29 SD). Belongs to the LuxR/UhpA family of transcriptional regulators.</t>
  </si>
  <si>
    <t>Rv2489c</t>
  </si>
  <si>
    <t>Hypothetical alanine rich protein</t>
  </si>
  <si>
    <t>Rv2489c, (MTV008.45c), len: 99 aa. Hypothetical unknown ala-rich protein.</t>
  </si>
  <si>
    <t>PE_PGRS43</t>
  </si>
  <si>
    <t>Rv2490c</t>
  </si>
  <si>
    <t>PE-PGRS family protein PE_PGRS43</t>
  </si>
  <si>
    <t>Rv2490c, (MTV008.46c), len: 1660 aa. PE_PGRS43, Member of the Mycobacterium tuberculosis PE family, PGRS-subfamily of Gly-rich proteins (see Brennan and Delogu, 2002), similar to many e.g. AAK47971|MT3612.1 PE_PGRS family protein from Mycobacterium tuberculosis strain CDC1551 (1715 aa), FASTA scores: opt: 5161, E(): 1.5e-187, (51.7% identity in 1752 aa overlap); etc.</t>
  </si>
  <si>
    <t>Rv2491</t>
  </si>
  <si>
    <t>Rv2491, (MTV008.47), len: 207 aa. Conserved hypothetical protein, similar in part to other hypothetical proteins e.g. O29139|AF1126 from Archaeoglobus fulgidus (151 aa), FASTA scores: opt: 293, E(): 2.8e-11, (42.85% identity in 126 aa overlap); O66531|AQ_134 from Aquifex aeolicus (151 aa), FASTA scores: opt: 261, E(): 2.6e-09, (37.75% identity in 106 aa overlap); Q9HKU3|TA0501 from Thermoplasma acidophilum (161 aa), FASTA scores: opt: 260, E(): 3.2e-09, (35.9% identity in 117 aa overlap); etc. This region is a possible MT-complex-specific genomic island (See Becq et al., 2007).</t>
  </si>
  <si>
    <t>Rv2492, (MTV008.48), len: 250 aa. Hypothetical unknown protein. This region is a possible MT-complex-specific genomic island (See Becq et al., 2007).</t>
  </si>
  <si>
    <t>vapB38</t>
  </si>
  <si>
    <t>Rv2493</t>
  </si>
  <si>
    <t>Possible antitoxin VapB38</t>
  </si>
  <si>
    <t>Rv2493, (MTV008.49), len: 73 aa. Possible vapB38, antitoxin, part of toxin-antitoxin (TA) operon with Rv2494, see Arcus et al. 2005. Similar to others in Mycobacterium tuberculosis strain e.g. Rv3321c|MTV016.21c hypothetical 8.8 KDA protein from Mycobacterium tuberculosis strain H37Rv (80 aa). This region is a possible MT-complex-specific genomic island (See Becq et al., 2007).</t>
  </si>
  <si>
    <t>vapC38</t>
  </si>
  <si>
    <t>Possible toxin VapC38. Contains PIN domain.</t>
  </si>
  <si>
    <t>Rv2494, (MTV008.50), len: 141 aa. Possible vapC38, toxin, part of toxin-antitoxin (TA) operon with Rv2493, contains PIN domain, see Arcus et al. 2005. Similar to others in Mycobacterium tuberculosis e.g. P95023|EMBL:Z83863|MTCY159.26|Rv2530c (139 aa) FASTA scores: opt: 380 E(): 6.6e-19, (48.0% identity in 125 aa overlap); O53372|Rv3320c|MTV016.20c (142 aa), etc. This region is a possible MT-complex-specific genomic island (See Becq et al., 2007).</t>
  </si>
  <si>
    <t>bkdC</t>
  </si>
  <si>
    <t>Involved in energy metabolism. The branched-chain alpha-keto acid dehydrogenase complex catalyzes the overall conversion of branched chain alpha-keto acids to acyl-CoA and CO2. It contains multiple copies of three enzymatic components: branched-chain alpha-keto acid decarboxylase (E1), lipoamide acyltransferase (E2) and lipoamide dehydrogenase (E3).</t>
  </si>
  <si>
    <t>Probable branched-chain keto acid dehydrogenase E2 component BkdC</t>
  </si>
  <si>
    <t>Rv2495c, (MTCY07A7.01c-MTV008.51c), len: 393 aa. Probable bkdC, branched-chain keto acid dehydrogenase, E2 component, similar to others e.g. Q9XA49|SCGD3.30c from Streptomyces coelicolor (491 aa) FASTA scores: opt: 615, E(): 1.2e-28, (36.45% identity in 491 aa overlap; several gaps); P19262|ODO2_YEAST|KGD2|YDR148C|YD8358.05c from Saccharomyces cerevisiae (Baker's yeast) (463 aa) FASTA scores: opt: 533, E(): 7.1e-24, (28.55% identity in 396 aa overlap); Q9HN75|DSA|VNG2219G from Halobacterium sp. strain NRC-1 (478 aa), FASTA scores: opt: 521, E(): E(): 3.7e-23, (30.25% identity in 486 aa overlap; in part); etc. Belongs to the 2-oxoacid dehydrogenase family. Alternative nucleotide at position 2809621 (T-&gt;C; T107A) has been observed. LpdC|Rv0462 co-immunoprecipitates with DlaT|Rv2215 (in lpdC|Rv0462 mutant) and with BkdC|Rv2495c (in dlaT|Rv2215 mutant) (See Venugopal et al., 2011). Previously known as pdhC.</t>
  </si>
  <si>
    <t>bkdB</t>
  </si>
  <si>
    <t>Probable branched-chain keto acid dehydrogenase E1 component, beta subunit BkdB</t>
  </si>
  <si>
    <t>Rv2496c, (MTCY07A7.02c), len: 348 aa. Probable bkdB, branched-chain keto acid dehydrogenase E1 component, beta subunit, similar to others e.g. Q9Y8I6||PDHB from Halobacterium volcanii (Haloferax volcanii) (327 aa) FASTA scores: opt: 1050, E(): 6.4e-60, (49.7% identity in 324 aa overlap); Q9KG98|BH0214 from Bacillus halodurans (328 aa), FASTA scores: opt: 987, E(): 6.9e-56, (45.7% identity in 324 aa overlap); Q9HN76|PDHB|VNG2218G from Halobacterium sp. strain NRC-1 (297 aa), FASTA scores: opt: 968, E(): 1.1e-54, (51.2% identity in 297 aa overlap); P21874|ODPB_BACST|PDHB pyruvate dehydrogenase E1 component from Bacillus stearothermophilus (324 aa), FASTA scores: opt: 951, E(): 1.4e-53, (47.6% identity in 321 aa overlap); etc. Also similar to Q9XA61|SCGD3.17c putative branched-chain alpha keto acid dehydrogenase E1, beta subunit (2-oxoisovalerate dehydrogenase) from Streptomyces coelicolor, (326 aa), FASTA scores: opt: 1178, E(): 4.1e-68, (55.0% identity in 322 aa overlap); Q9XA48|SCGD3.31c putative branched-chain alpha keto acid dehydrogenase E1 beta subunit from Streptomyces coelicolor (334 aa), FASTA scores: opt: 1173, E(): 8.8e-68, (55.6% identity in 320 aa overlap); Q53593|BKDB E1-beta branched-chain alpha keto acid dehydrogenase from Streptomyces avermitilis (334 aa), FASTA scores: opt: 1132, E(): 3.7e-65, (55.0% identity in 320 aa overlap); etc. Previously known as pdhB.</t>
  </si>
  <si>
    <t>bkdA</t>
  </si>
  <si>
    <t>Probable branched-chain keto acid dehydrogenase E1 component, alpha subunit BkdA</t>
  </si>
  <si>
    <t>Rv2497c, (MTCY07A7.03c), len: 367 aa. Probable bkdA, branched-chain keto acid dehydrogenase E1 component, alpha subunit, similar to many e.g. Q9Y8I5|PDHA from Halobacterium volcanii (Haloferax volcanii) (368 aa) FASTA scores: opt: 961, E(): 1.3e-52, (45.6% identity in 351 aa overlap); BAB40585 from Bacillus sp. UTB2301 (356 aa) FASTA scores: opt: 947, E(): 9.1e-52, (43.1% identity in 355 aa overlap); Q9KG99|BH0213 from Bacillus halodurans (367 aa), FASTA scores: opt: 896, E(): 1.4e-48, (42.65% identity in 340 aa overlap); etc. Also similar to several putative branched-chain alpha keto acid dehydrogenases E1, beta subunit, alternate name : 2-oxoisovalerate dehydrogenase, e.g. Q53592|BKDA from Streptomyces avermitilis (381 aa), FASTA scores: opt: 980, E(): 8.5e-54, (45.65% identity in 370 aa overlap); etc. Previously known as pdhA.</t>
  </si>
  <si>
    <t>Interconversion of acetate and oxaloacetate from citrate [catalytic activity: citrate = acetate + oxaloacetate].</t>
  </si>
  <si>
    <t>Probable citrate (pro-3S)-lyase (beta subunit) CitE (citrase) (citratase) (citritase) (citridesmolase) (citrase aldolase)</t>
  </si>
  <si>
    <t>Rv2498c, (MTCY07A7.04c), len: 273 aa. Probable citE, citrate lyase, beta subunit, similar to others e.g. Q9S3L3|cite from Corynebacterium glutamicum (Brevibacterium flavum) (217 aa), FASTA scores: opt: 565, E(): 1.5e-28, (41.85% identity in 215 aa overlap); Q9HRM8|cite|VNG0627G from Halobacterium sp. strain NRC-1 (303 aa), FASTA scores: opt: 535, E(): 1.5e-26, (41.65% identity in 276 aa overlap); Q9S2U9|SC4G6.02 from Streptomyces coelicolor (274 aa), FASTA scores: opt: 426, E(): 1e-19, (37.6% identity in 274 aa overlap); P77770|CILB_ECOLI from Escherichia coli (307 aa), FASTA scores: opt: 265, E(): 1.5e-10, (32.8% identity in 265 aa overlap); etc. Also similar to Rv3075c|MTCY22D7.06 from Mycobacterium tuberculosis, FASTA score: (35.2% identity in 264 aa overlap).</t>
  </si>
  <si>
    <t>Possible oxidase regulatory-related protein</t>
  </si>
  <si>
    <t>Rv2499c, (MTCY07A7.05c), len: 185 aa. Possible oxidase regulatory-related protein, similar to many maoC monoamine oxidase regulatory protein e.g. Q9RUZ1|DR1239 MAOC-related protein from Deinococcus radiodurans (160 aa), FASTA scores: opt: 519, E(): 7.6e-28, (58.1% identity in 148 aa overlap); BAB48392|MLR0905 Probable monoamine oxidase regulatory protein from Rhizobium loti (Mesorhizobium loti) (150 aa), FASTA scores: opt: 480, E(): 2.9e-25, (49.0% identity in 149 aa overlap); Q9HN18|MAOC1|VNG2290G monoamine oxidase regulatory-like from Halobacterium sp. strain NRC-1 (208 aa), FASTA scores: opt: 419, E(): 4.6e-21, (45.6% identity in 158 aa overlap); P77455|MAOC_ECOLI|PAAZ|B1387 MaoC protein (Phenylacetic acid degradation protein paaZ) from Escherichia coli strain K12 (681 aa), FASTA scores: opt: 252, E(): 1.9e-09, (36.0% identity in 172 aa overlap); etc. But also similar to other proteins with different putative functions e.g. Q9HRM9|MAOC2|VNG0626G molybdenum cofactor biosynthesis protein from Halobacterium sp strain NRC-1 (157 aa), FASTA scores: opt: 380, E(): 1.5e-18, (45.75% identity in 153 aa overlap); Q9KIF1 FKBR2 from Streptomyces hygroscopicus var. ascomyceticus (175 aa), FASTA scores: opt: 355, E(): 7.6e-17, (42.0% identity in 150 aa overlap); CAC36828|Q99Q03|SAPE Spore associated protein from Streptomyces coelicolor (174 aa), FASTA scores: opt: 318, E(): 2.2e-14, (41.45% identity in 152 aa overlap); etc.</t>
  </si>
  <si>
    <t>Function unknown, but seems involved in metabolism of small branched-chain fatty acids and macrolide antibiotic production. Catalyses the alpha, beta-dehydrogenation of acyl-CoA esters and transfer electrons to ETF, the electron transfer protein.</t>
  </si>
  <si>
    <t>Possible acyl-CoA dehydrogenase FadE19 (MMGC)</t>
  </si>
  <si>
    <t>Rv2500c, (MTCY07A7.06c), len: 394 aa. Possible fadE19 (alternate gene name: mmgC), acyl-CoA dehydrogenase, similar to many e.g. Q9XCG6|ACDH from Streptomyces coelicolor (386 aa), FASTA scores: opt: 1714, E(): 1.1e-98, (69.45% identity in 383 aa overlap); Q9XCG5|ACDH from Streptomyces avermitilis (386 aa), FASTA scores: opt: 1713, E(): 1.3e-98, (70.0% identity in 383 aa overlap); Q9L7W5|FENK from Bacillus subtilis (370 aa), FASTA scores: opt: 1094, E(): 2.3e-60, (48.4% identity in 372 aa overlap); etc. Contains PS00072 Acyl-CoA dehydrogenases signature 1, PS00073 Acyl-CoA dehydrogenases signature 2. Belongs to the acyl-CoA dehydrogenases family.</t>
  </si>
  <si>
    <t>Probable acetyl-/propionyl-coenzyme A carboxylase alpha chain (alpha subunit) AccA1: biotin carboxylase + biotin carboxyl carrier protein (BCCP)</t>
  </si>
  <si>
    <t>Rv2501c, (MTCY07A7.07c, P46401), len: 654 aa. Probable accA1 (alternate gene name: bccA), acetyl-/propionyl-coenzyme A carboxylase (alpha subunit) [includes: biotin carboxylase ; biotin carboxyl carrier protein (BCCP)], similar to others eg Q9L076|FABG from Streptomyces coelicolor (646 aa), FASTA scores: opt: 2071, E(): 1e-113, (57.8% identity in 659 aa overlap); AAK24139|Q9A6C6|CC2168 from Caulobacter crescentus (654 aa), FASTA scores: opt: 1754, E(): 3.7e-95, (47.2% identity in 661 aa overlap); etc. Contains PS00188 Biotin-requiring enzymes attachment site, PS00866 Carbamoyl-phosphate synthase subdomain signature 1, and PS00867 Carbamoyl-phosphate synthase subdomain signature 2.</t>
  </si>
  <si>
    <t>Probable acetyl-/propionyl-CoA carboxylase (beta subunit) AccD1</t>
  </si>
  <si>
    <t>Rv2502c, (MTCY07A7.08c), len: 529 aa. Probable accD1, acetyl-/propionyl-CoA carboxylase (beta subunit) , similar, but with N-terminus shorter, to Q9L077|ACCD1 from Streptomyces coelicolor (538 aa), FASTA scores: opt: 2747, E(): 1.9e-159, (77.9% identity in 516 aa overlap). Also similar to others e.g. AAK24141|CC2170 from Caulobacter crescentus (530 aa), FASTA scores: opt: 2413, E(): 3.8e-139, (69.4% identity in 529 aa overlap); BAB54131|MLL7731 from Rhizobium loti (537 aa), FASTA scores: opt: 2399, E(): 2.7e-138, (67.4% identity in 527 aa overlap); etc. Could belong to the ACCD/PCCB family.</t>
  </si>
  <si>
    <t>Involved in various degradation and synthesis [catalytic activity: succinyl-CoA + a 3-oxo acid = succinate + a 3-oxo-acyl-CoA].</t>
  </si>
  <si>
    <t>Probable succinyl-CoA:3-ketoacid-coenzyme A transferase (beta subunit) ScoB (3-oxo-acid:CoA transferase) (OXCT B) (succinyl CoA:3-oxoacid CoA-transferase)</t>
  </si>
  <si>
    <t>Rv2503c, (MTCY07A7.09c, MT2578), len: 218 aa. Probable scoB, 3-oxo acid:CoA transferase, beta subunit (succinyl-CoA:3-ketoacid-CoA transferase). Highly similar to others e.g. Q9XAM8|SC4C6.12c from Streptomyces coelicolor (217 aa), FASTA scores: opt: 1048, E(): 2.6e-60, (73.9% identity in 207 aa overlap); Q9XD82|PCAJ from Streptomyces sp. 2065 (214 aa), FASTA scores: opt: 1031, E(): 3.2e-59, (70.8% identity in 209 aa overlap); AAK53493|LPSJ from Xanthomonas campestris (pv. campestris) (212 aa), FASTA scores: opt: 886, E(): 6.6e-50, (62.5% identity in 208 aa overlap); P42316|SCOB_BACSU from Bacillus subtilis (216 aa), FASTA scores: opt: 820, E(): 1.2e-45, (58.2% identity in 201 aa overlap); etc. Belongs to the 3-oxoacid CoA-transferase subunit B family.</t>
  </si>
  <si>
    <t>Involved in fatty acid degradation/synthesis [catalytic activity: succinyl-CoA + a 3-oxo acid = succinate + a 3-oxo-acyl-CoA].</t>
  </si>
  <si>
    <t>Probable succinyl-CoA:3-ketoacid-coenzyme A transferase (alpha subunit) ScoA (3-oxo acid:CoA transferase) (OXCT A) (succinyl-CoA:3-oxoacid-coenzyme A transferase)</t>
  </si>
  <si>
    <t>Rv2504c, (MT2579, MTCY07A7.10c), len: 248 aa. Probable scoA, succinyl-CoA:3-ketoacid-Coenzyme A transferase, alpha subunit (3-oxo acid:CoA transferase). Highly similar to others e.g. Q9XAM7|SC4C6.13c from Streptomyces coelicolor (260 aa), FASTA scores: opt: 1130, E(): 2.2e-64, (69.9% identity in 249 aa overlap); Q9XD83|PCAI from Streptomyces sp. 2065 (251 aa), FASTA scores: opt: 1121, E(): 8.1e-64, (69.5% identity in 249 aa overlap); etc. Belongs to the 3-oxoacid CoA-transferase subunit A family.</t>
  </si>
  <si>
    <t>Probable fatty-acid-CoA ligase FadD35 (fatty-acid-CoA synthetase) (fatty-acid-CoA synthase)</t>
  </si>
  <si>
    <t>Rv2505c, (MTCY07A7.11c), len: 547 aa. Probable fadD35, fatty-acid-CoA synthetase, highly similar to many e.g. Q9Z5A6|SC2G5.17 from Streptomyces coelicolor (541 aa), FASTA scores: opt: 2202, E(): 8e-131, (61.55% identity in 528 aa overlap); Q9F9U4|FADD from Pseudomonas stutzeri (Pseudomonas perfectomarina), FASTA scores: opt: 1551, E(): 7.3e-90, (55.55% identity in 551 aa overlap); Q987S7|MLR6932 from Rhizobium loti (Mesorhizobium loti) (590 aa), FASTA scores: opt: 1453, E(): 1.1e-83, (50.7% identity in 564 aa overlap); etc.</t>
  </si>
  <si>
    <t>Rv2506, (MTCY07A7.12), len: 215 aa. Probable transcriptional regulator, TetR family, similar to many others e.g. Q9L078|SCC105.06c putative TetR-family regulatory protein from Streptomyces coelicolor (208 aa), FASTA scores: opt: 333, E(): 1.5e-14, (48.75% identity in 197 aa overlap); Q9X7X6|SC6A5.30c putative regulatory protein from Streptomyces coelicolor (404 aa), FASTA scores: opt: 267, E(): 4.8e-10, (30.45% identity in 207 aa overlap) (similarity only with C-terminus for this one); Q9FBI8|SCP8.33c putative TetR-family transcriptional regulator from Streptomyces coelicolor (213 aa), FASTA scores: opt: 239, E(): 1.8e-08, (29.9% identity in 184 aa overlap); etc. Also similar to transcriptional regulatory proteins from Mycobacterium tuberculosis e.g. O05858|Rv3208|MTCY07D11.18c (228 aa), FASTA scores: opt: 218, E(): 4.4e-07, (30.35% identity in 191 aa overlap); C-terminus of P95251|Rv1963c|MTV051.01c|MTCY09F9.01 (406 aa), FASTA scores: opt: 238, E(): 3.6e-08, (28.25% identity in 177 aa overlap); P96839|Rv3557c|MTCY06G11.04c (200 aa), FASTA scores: opt: 215, E(): 6.2e-07, (38.25% identity in 148 aa overlap); etc. Equivalent to AAK46885 from Mycobacterium tuberculosis strain CDC1551 (231 aa) but shorter 16 aa. Contains probable helix-turn-helix motif at aa 46-67, (Score 1660, +4.84 SD). Belongs to the TetR/AcrR family of transcriptional regulators.</t>
  </si>
  <si>
    <t>Possible conserved proline rich membrane protein</t>
  </si>
  <si>
    <t>Rv2507, (MTCY07A7.13), len: 273 aa. Possible conserved pro-rich membrane protein (N-terminal half is Proline-rich), highly similar to Q9CCU3|ML0431 putative membrane protein from Mycobacterium leprae (259 aa) (alias O07711|MLCL383.38c but longer 2 aa), FASTA scores: opt: 968, E(): 1.4e-31, (60.35% identity in 275 aa overlap). Contains potential membrane spanning region. A core mycobacterial gene; conserved in mycobacterial strains (See Marmiesse et al., 2004).</t>
  </si>
  <si>
    <t>Probable conserved integral membrane leucine and alanine rich protein</t>
  </si>
  <si>
    <t>Rv2508c, (MTCY07A7.14c), len: 445 aa. Probable conserved integral membrane leu-, ala-rich protein, equivalent to Q9CCU4|ML0430 putative membrane protein from Mycobacterium leprae (454 aa) (alias O07710|MLCL383.37 longer 10 aa), FASTA scores: opt: 2205, E(): 2.5e-124, (75.75% identity in 441 aa overlap). Also similar to hypothetical or membrane proteins e.g. BAB50841|MLL4103 hypothetical protein from Rhizobium loti (Mesorhizobium loti) (458 aa), FASTA scores: opt: 396, E(): 2.4e-16, (27.75% identity in 447 aa overlap); Q9RKX9|SC6D7.19c putative integral membrane protein from Streptomyces coelicolor (486 aa), FASTA scores: opt: 323, E(): 5.7e-12, (28.95% identity in 428 aa overlap); P42306|YXIO_BACSU probable integral membrane protein from Bacillus subtilis (428 aa), FASTA scores: opt: 220, E(): 7.2e-06, (20.35% identity in 413 aa overlap); etc. Also similar to proteins from Mycobacterium tuberculosis e.g. Q10564|Y876_MYCTU|Rv0876c|MT0899|MTCY31.04c (548 aa), FASTA scores: opt: 184, E(): 0.0012, (24.7% identity in 466 aa overlap).</t>
  </si>
  <si>
    <t>Rv2509, (MTCY07A7.15), len: 268 aa. Probable ala-rich oxidoreductase, short-chain dehydrogenase/reductase, equivalent to O07709|MLCL383.36c|ML0429 dehydrogenase (putative oxidoreductase) from Mycobacterium leprae (268 aa), FASTA scores: opt: 1509, E(): 2.6e-84, (88.75% identity in 267 aa overlap). Also highly similar to others e.g. O86553|SC1F2.16c putative dehydrogenase from Streptomyces coelicolor (276 aa), FASTA scores: opt: 492, E(): 9.5e-23, (38.15% identity in 262 aa overlap); Q9I5R3|PA0658 probable short-chain dehydrogenase from Pseudomonas aeruginosa (266 aa), FASTA scores: opt: 472, E(): 1.5e-21, (37.8% identity in 246 aa overlap); AAK22120|CC0133 oxidoreductase (short-chain dehydrogenase/reductase family) from Caulobacter crescentus (266 aa), FASTA scores: opt: 428, E(): 6.9e-19, (35.8% identity in 243 aa overlap); etc. Also highly similar or similar to oxidoreductases from Mycobacterium tuberculosis e.g. Q10782|Rv1544|MTCY48.21 putative ketoacyl reductase (267 aa), FASTA scores: opt: 656, E(): 1.1e-32, (43.05% identity in 267 aa overlap). Contains PS00061 Short-chain alcohol dehydrogenase family signature. Belongs to the short-chain dehydrogenases/reductases (SDR) family.</t>
  </si>
  <si>
    <t>Rv2510c, (MTCY07A7.16c), len: 533 aa. Conserved protein, highly similar, but longer approximately 20 aa, to others e.g. Q9ABY0|CC0090 hypothetical protein from Caulobacter crescentus (516 aa), FASTA scores: opt: 1282, E(): 8.4e-63, (45.1% identity in 490 aa overlap); Q9A130|SPY0500 hypothetical protein from Streptococcus pyogenes (500 aa), FASTA scores: opt: 1281, E(): 9.3e-63, (43.8% identity in 491 aa overlap); Q985L5|MLR7622 hypothetical protein from Rhizobium loti (Mesorhizobium loti) (515 aa), FASTA scores: opt: 1259, E(): 1.5e-61, (44.1% identity in 510 aa overlap); P39342|YJGR_ECOLI|B4263 hypothetical 54.3 KDA protein from Escherichia coli strain K12 (500 aa), FASTA scores: opt: 1257, E(): 1.9e-61, (42.7% identity in 501 aa overlap); etc. Contains PS00017 ATP/GTP-binding site motif A (P-loop).</t>
  </si>
  <si>
    <t>Involved in RNA degradation: 3'-to-5' exoribonuclease specific for small oligoribonucleotides.</t>
  </si>
  <si>
    <t>Oligoribonuclease Orn</t>
  </si>
  <si>
    <t>Rv2511, (MTCY07A7.17), len: 215 aa. Orn, oligoribonuclease, equivalent to O07708|ORN_MYCLE|ORN|ML0427|MLCL383.34c oligoribonuclease from Mycobacterium leprae (215 aa), FASTA scores: opt: 1170, E(): 3.5e-65, (84.5% identity in 213 aa overlap). Also highly similar to many e.g. P57667|ORN_STRGR|ORNA from Streptomyces griseus (201 aa), FASTA scores: opt: 807, E(): 7.7e-43, (59.0% identity in 200 aa overlap); ORN_STRCO|ORNA|2SC13.01 from Streptomyces coelicolor (200 aa), FASTA scores: opt: 799, E(): 2.4e-42, (59.7% identity in 201 aa overlap); P39287|ORN_ECOLI|B4162 from Escherichia coli strain K12 (180 aa), FASTA scores: opt: 519, E(): 3.9e-25, (47.4% identity in 173 aa overlap); etc. Belongs to the oligoribonuclease family.</t>
  </si>
  <si>
    <t>Rv2512c</t>
  </si>
  <si>
    <t>Required for the transposition of the insertion element IS1081.</t>
  </si>
  <si>
    <t>Transposase for insertion sequence element IS1081</t>
  </si>
  <si>
    <t>Rv2512c, (MTCY07A7.18c), len: 415 aa. Transposase for IS1081, identical to P35882|TRA1_MYCBO transposase for insertion sequence element IS1081 from Mycobacterium bovis (415 aa), FASTA scores: opt: 2680, E(): 1.9e-162, (100.0% identity in 415 aa overlap). Also highly similar to others from Mycobacterium tuberculosis e.g. P96354|Rv1047|MTCY10G2.02c|Rv3115|MTCY164.25|Rv3023c|MTV012.38c (415 aa), FASTA scores: opt: 2675, E(): 3.9e-162, (99.75% identity in 415 aa overlap). Contains PS00435 Peroxidases proximal heme-ligand signature, PS01007 Transposases, Mutator family, signature. Belongs to the mutator family of transposase.</t>
  </si>
  <si>
    <t>Rv2513</t>
  </si>
  <si>
    <t>Rv2513, (MTCY07A7.19), len: 140 aa. Hypothetical unknown protein.</t>
  </si>
  <si>
    <t>Rv2514c, (MTCY07A7.20c), len: 153 aa. Conserved hypothetical protein, showing some similarity to Q9PG05|XF0497 hypothetical protein from Xylella fastidiosa (155 aa), FASTA scores: opt: 215, E(): 1.4e-07, (30.6% identity in 160 aa overlap).</t>
  </si>
  <si>
    <t>Rv2515c, (MTCY07A7.21c), len: 415 aa. Conserved hypothetical protein, showing some similarity to Q9PG06|XF0496 hypothetical protein from Xylella fastidiosa (391 aa), FASTA scores: opt: 388, E(): 4.4e-18, (27.8% identity in 399 aa overlap). Contains PS00142 Neutral zinc metallopeptidases, zinc-binding region signature.</t>
  </si>
  <si>
    <t>Rv2516c, (MTV009.01c), len: 267 aa. Hypothetical unknown protein. Contains probable helix-turn-helix motif at aa 98 to 119 (Score 1743, +5.12 SD). C-terminus extended since first submission (+ 18 aa).</t>
  </si>
  <si>
    <t>Rv2517c</t>
  </si>
  <si>
    <t>Rv2517c, (MTV009.02c), len: 83 aa. Unknown protein. Equivalent to AAK46899 from Mycobacterium tuberculosis strain CDC1551 (97 aa) but shorter 14 aa.</t>
  </si>
  <si>
    <t>ldtB</t>
  </si>
  <si>
    <t>Probable L,D-transpeptidase LdtB</t>
  </si>
  <si>
    <t>Rv2518c, (MTV009.03c), len: 408 aa. Probable ldtB, L,D-transpeptidase, highly similar to O07707|MLCL383.3 hypothetical 43.6 KDA protein from Mycobacterium leprae (407 aa), FASTA scores: opt: 2300, E(): 1.2e-130, (82.5% identity in 406 aa overlap); Q9CCU5|LPPS|ML0426 putative secreted protein from Mycobacterium leprae (404 aa), FASTA scores: opt: 2279, E(): 2.3e-129, (82.4% identity in 403 aa overlap); and Q9CB49|ML2446 possible lipoprotein from Mycobacterium leprae (441 aa), FASTA scores: opt: 736, E(): 8.4e-37, (35.6% identity in 399 aa overlap). Also similar to other proteins from several organisms e.g. Q9X811|SC6G10.26c putative secreted protein from Streptomyces coelicolor (424 aa), FASTA scores: opt: 867, E(): 1.1e-44, (32.25% identity in 403 aa overlap); Q9L1E8|SC3D11.14 putative lipoprotein from Streptomyces coelicolor (416 aa), FASTA scores: opt: 737, E(): 7e-37, (32.95% identity in 413 aa overlap); Q9KYV1|SCE22.11 putative lipoprotein from Streptomyces coelicolor (407 aa), FASTA scores: opt: 721, E(): 6.2e-36, (33.5% identity in 400 aa overlap). And similar to several hypothetical mycobacterial proteins e.g. Q11149|Y483_MYCTU|Rv0483|MT0501|MTCY20G9.09 (451 aa), FASTA scores: opt: 763, E(): 2.1e-38, (34.85% identity in 402 aa overlap). Has very long signal sequence and appropriately positioned PS00013 Prokaryotic membrane lipoprotein lipid attachment site. Note that previously known as lppS</t>
  </si>
  <si>
    <t>PE family protein PE26</t>
  </si>
  <si>
    <t>Rv2519, (MTV009.04), len: 492 aa. PE26, Member of the M. tuberculosis PE family (see citation below), highly similar to many e.g. Q50630|YP91_MYCTU|Rv2591|MT2668.1|MTCY227.10c (543 aa), FASTA scores: opt: 848, E(): 3e-30, (39.55% identity in 445 aa overlap).</t>
  </si>
  <si>
    <t>Rv2520c</t>
  </si>
  <si>
    <t>Rv2520c, (MTV009.05c), len: 75 aa. Possible conserved membrane protein, equivalent to O07706|MLCL383.32 hypothetical 10.0 KDA protein from Mycobacterium leprae (91 aa), FASTA scores: opt: 290, E(): 4.1e-14, (58.65% identity in 75 aa overlap); and Q9CCU6|ML0425 putative membrane protein from Mycobacterium leprae (75 aa), FASTA scores: opt: 286, E(): 6.6e-14, (57.35% identity in 75 aa overlap). A core mycobacterial gene; conserved in mycobacterial strains (See Marmiesse et al., 2004).</t>
  </si>
  <si>
    <t>Putative antioxidant protein.</t>
  </si>
  <si>
    <t>Probable bacterioferritin comigratory protein Bcp</t>
  </si>
  <si>
    <t>Rv2521, (MTV009.06), len: 157 aa. Probable bcp, bacterioferritin comigratory protein, equivalent to O07705|BCP|ML0424 from Mycobacterium leprae (161 aa), FASTA scores: opt: 829, E(): 6.8e-46, (79.6% identity in 157 aa overlap). Also highly similar to Q9KZQ2|SCE6.38 hypothetical 16.8 KDA protein Streptomyces coelicolor (155 aa), FASTA scores: opt: 727, E(): 2e-39, (69.5% identity in 154 aa overlap); P23480|AAG57590|BCP_ECOLI|B2480|BAB36765|Z3739|ECS3342 bacterioferritin comigratory protein from Escherichia coli strain K12 (156 aa), FASTA scores: opt: 513, E(): 8.3e-26, (48.3% identity in 149 aa overlap); Q9RW23|DR0846 bacterioferritin comigratory protein from Deinococcus radiodurans (175 aa), FASTA scores: opt: 465, E(): 1e-22, (46.5% identity in 157 aa overlap); P44411|BCP_HAEIN|HI0254 bacterioferritin comigratory protein from Haemophilus influenzae (155 aa), FASTA scores: opt: 453, E(): 5.3e-22, (47.5% identity in 139 aa overlap); etc. Also similar to Mycobacterium tuberculosis Rv1608c|MTV046.06|bcpB and Rv2238c|MTCY427.19c|hpE.</t>
  </si>
  <si>
    <t>Rv2522c, (MTV009.07c), len: 470 aa. Conserved hypothetical protein, equivalent, but longer 20 aa, to Q9X7E4|ML1193|MLCB458.08 from hypothetical 46.6 KDA protein Mycobacterium leprae (442 aa), FASTA scores: opt: 2521, E(): 4.1e-142, (86.35% identity in 440 aa overlap). Also similar to various proteins e.g. Q9K425|SCG22.20 putative peptidase from Streptomyces coelicolor (451 aa), FASTA scores: opt: 1097, E(): 1.1e-57, (42.5% identity in 451 aa overlap); Q9FCK3|2SC3B6.09 putative peptidase from Streptomyces coelicolor (470 aa), FASTA scores: opt: 669, E(): 2.8e-32, (34.2% identity in 462 aa overlap); Q98AF9|MLL6018 hypothetical protein from Rhizobium loti (Mesorhizobium loti) (486 aa), FASTA scores: opt: 622, E(): 1.7e-29, (33.95% identity in 442 aa overlap); Q9RSU7|DR2025 ARGE/DAPE/ACY1 family protein from Deinococcus radiodurans (459 aa), FASTA scores: opt: 616, E(): 3.7e-29, (34.15% identity in 442 aa overlap); etc (include some similarity to hypothetical proteins from C. elegans and yeast). Alternative start possible at 6687 but then no RBS obvious.</t>
  </si>
  <si>
    <t>Biosynthesis of fatty acids and lipids. Transfers the 4'-phosphopantetheine moiety from coenzyme A to a SER of acyl-carrier protein. Catalyzes the formation of holo-ACP, which mediates the transfer of acyl fatty-acid intermediates during the biosynthesis of fatty acids and lipids [catalytic activity: CoA + APO-[acyl-carrier protein] = adenosine 3',5'-bisphosphate + holo-[acyl-carrier protein] ].</t>
  </si>
  <si>
    <t>holo-[acyl-carrier protein] synthase AcpS (holo-ACP synthase) (CoA:APO-[ACP]pantetheinephosphotransferase) (CoA:APO-[acyl-carrier protein]pantetheinephosphotransferase)</t>
  </si>
  <si>
    <t>Rv2523c, (MT2599, MTV009.08c), len: 130 aa. AcpS, holo-[Acyl Carrier Protein] synthase (see citation below), equivalent to Q9X7E3|ACPS_MYCLE|ML1192|MLCB458.07 holo-[acyl-carrier protein] synthase from Mycobacterium leprae (130 aa), FASTA scores: opt: 732, E(): 5.5e-42, (87.5% identity in 128 aa overlap). Also similar to others e.g. O86785|ACPS_STRCO|SC6G4.22c from Streptomyces coelicolor (123 aa), FASTA scores: opt: 204, E(): 6.6e-07, (36.7% identity in 139 aa overlap); Q9KPB6|VC2457 from Vibrio cholerae (126 aa), FASTA scores: opt: 163, E(): 0.00036, (32.55% identity in 129 aa overlap); P24224|ACPS_ECOLI|DPJ|B2563 from Escherichia coli strain K12 (125 aa), FASTA scores: opt: 151, E(): 0.0022, (30.55% identity in 131 aa overlap); etc. Belongs to the ACPS family. Acts on fas-I enzymes in C. glutamicum (See Chalut et al., 2006).</t>
  </si>
  <si>
    <t>Involved in lipid metabolism. Fatty acid synthetase catalyzes the formation of long-chain fatty acids from acetyl-CoA, malonyl-CoA and NADPH.</t>
  </si>
  <si>
    <t>Probable fatty acid synthase Fas (fatty acid synthetase)</t>
  </si>
  <si>
    <t>Rv2524c, (MTCY159.32, MTV009.09c), len: 3069 aa. Probable fas, Fatty Acid Synthase, equivalent to Q9X7E2|fas|ML1191 putative type I fatty acid synthase from Mycobacterium leprae (3076 aa), FASTA scores: opt: 17484, E(): 0, (85.8% identity in 3081 aa overlap). Also similar to others e.g. Q04846|fas|Q59497 from Corynebacterium ammoniagenes (Brevibacterium ammoniagenes) (3104 aa), FASTA scores: opt: 3981, E(): 5.5e-203, (49.8% identity in 3099 aa overlap); Q48926|fas from Mycobacterium bovis (2796 aa), FASTA scores: opt: 2098, E(): 3.9e-103, (59.7% identity in 2862 aa overlap) (see Fernandes et al., 1996); P34731|FAS1_CANAL fatty acid synthase subunit beta from Candida albicans (Yeast) (2037 aa), FASTA scores: opt: 955, E(): 1.3e-42, (27.4% identity in 1926 aa overlap); etc. Contains PS00017 ATP/GTP-binding site motif A (P-loop), and PS00606 Beta-ketoacyl synthases active site.</t>
  </si>
  <si>
    <t>Function unknown. Possible role in biosynthesis of the cell wall.</t>
  </si>
  <si>
    <t>Conserved hypothetical protein. Secreted; predicted to be a substrate of the twin arginine translocation (tat) export system.</t>
  </si>
  <si>
    <t>Rv2525c, (MTCY159.31), len: 240 aa. Conserved hypothetical protein, equivalent to Q9X7E1|ML1190|MLCB458.05 hypothetical 25.3 KDA protein from Mycobacterium leprae (239 aa), FASTA scores: opt: 1358, E(): 1e-75, (82.15% identity in 241 aa overlap). A core mycobacterial gene; conserved in mycobacterial strains (See Marmiesse et al., 2004). Predicted to be an outer membrane protein (See Song et al., 2008).</t>
  </si>
  <si>
    <t>vapB17</t>
  </si>
  <si>
    <t>Rv2526</t>
  </si>
  <si>
    <t>Possible antitoxin VapB17</t>
  </si>
  <si>
    <t>Rv2526, (MTCY159.30c), len: 75 aa. Possible vapB17, antitoxin, part of toxin-antitoxin (TA) operon with Rv2527 (See Arcus et al., 2005; Pandey and Gerdes, 2005).</t>
  </si>
  <si>
    <t>vapC17</t>
  </si>
  <si>
    <t>Rv2527</t>
  </si>
  <si>
    <t>Possible toxin VapC17</t>
  </si>
  <si>
    <t>Rv2527, (MTCY159.29c), len: 133 aa. Possible vapC17, toxin, part of toxin-antitoxin (TA) operon with Rv2526, contains PIN domain (See Arcus et al., 2005; Pandey and Gerdes, 2005). Similar to others in Mycobacterium tuberculosis e.g. P95007|MTCY159.10c|Rv2546 (137 aa), FASTA scores: opt: 206, E(): 1.4e-07, (38.0% identity in 100 aa overlap); O33299|MTV002.22c|Rv2757c (138 aa), FASTA scores: opt: 201, E(): 3.1e-07, (35.7% identity in 126 aa overlap); and P96411|MTCY08D5.24c|Rv0229c (226 aa), FASTA scores: opt: 153, E(): 0.0011, (32.8% identity in 128 aa overlap).</t>
  </si>
  <si>
    <t>Involved in the acceptance of foreign DNA which is modified. Restricts both adenine- and cytosine-methylated DNA.</t>
  </si>
  <si>
    <t>Probable restriction system protein Mrr</t>
  </si>
  <si>
    <t>Rv2528c, (MTCY159.28), len: 306 aa. Probable mrr, restriction system protein, similar to other mrr proteins e.g. Q9RWS8|DR0587|MRR from Deinococcus radiodurans (306 aa), FASTA scores: opt: 776, E(): 4.2e-40, (40.45% identity in 309 aa overlap); P24202|MRR_ECOLI|B4351 from Escherichia coli strain K12 (304 aa), FASTA scores: opt: 647, E(): 2.9e-32, (35.25% identity in 309 aa overlap); Q9RX07|DR0508 from Deinococcus radiodurans (336 aa), FASTA scores: opt: 456, E(): 1.3e-20, (37.3% identity in 319 aa overlap); etc.</t>
  </si>
  <si>
    <t>Rv2529, (MTCY159.27c), len: 463 aa. Hypothetical unknown protein. Note that C-terminal part is similar to short region of Q53609|MTS1_STRAL|SALIM modification methylase SALI from Streptomyces albus G (587 aa), FASTA scores: opt: 170, E(): 0.016, (59.45% identity in 37 aa overlap).</t>
  </si>
  <si>
    <t>vapB39</t>
  </si>
  <si>
    <t>Rv2530A</t>
  </si>
  <si>
    <t>Possible antitoxin VapB39</t>
  </si>
  <si>
    <t>Rv2530A, len: 74 aa. Possible vapB39, antitoxin, part of toxin-antitoxin (TA) operon with Rv2530c, see Arcus et al. 2005. Similar to others in Mycobacterium tuberculosis e.g. O53218|Rv2493 (73 aa), FASTA scores: opt: 240, E(): 5.7e-11, (56.75% identity in 74 aa overlap); and Q92WE1|RB0399|SMB20413 hypothetical protein from Rhizobium meliloti (Sinorhizobium meliloti)p lasmid pSymB (megaplasmid 2) (75 aa), FASTA scores: opt: 226, E(): 6.5e-10, (56.00% identity in 75 aa overlap).</t>
  </si>
  <si>
    <t>vapC39</t>
  </si>
  <si>
    <t>Possible toxin VapC39. Contains PIN domain.</t>
  </si>
  <si>
    <t>Rv2530c, (MTCY159.26), len: 139 aa. Possible vapC39, toxin, part of toxin-antitoxin (TA) operon with Rv2530A, contains PIN domain, see Arcus et al. 2005. Highly similar to others in Mycobacterium tuberculosis e.g. O53219|Rv2494|MTV008.50 (141 aa), FASTA scores: opt: 380, E(): 3.6e-19, (48.0% identity in 125 aa overlap); and O53372|Rv3320c|MTV016.20c (142 aa), FASTA scores: opt: 286, E(): 9.3e-13, (41.35% identity in 133 aa overlap); and similar to others e.g. O07760|Rv0617|MTCY19H5.04c (133 aa), FASTA scores: opt: 158, E(): 0.00048, (39.55% identity in 129 aa overlap). Also some similarity with CAC48798|SMB20412 conserved hypothetical protein from Rhizobium meliloti (Sinorhizobium meliloti) plasmid pSymB (54 aa), FASTA scores: opt: 184, E(): 3.7e-06, (53.85% identity in 52 aa overlap); and CAC48797|SMB20411 conserved hypothetical protein from Rhizobium meliloti (Sinorhizobium meliloti) plasmid pSymB (82 aa), FASTA scores: opt: 170, E(): 4.8e-05, (44.45% identity in 63 aa overlap).</t>
  </si>
  <si>
    <t>Unknown. Could be an ornithine/arginine/lysine decarboxylase involved in the biosynthesis of spermidine from arginine.</t>
  </si>
  <si>
    <t>Probable amino acid decarboxylase</t>
  </si>
  <si>
    <t>Rv2531c, (MTCY159.25), len: 947 aa. Probable amino acid decarboxylase, equivalent to Q9CCR8|adi|ML0524 putative amino acid decarboxylase from Mycobacterium leprae (950 aa), FASTA scores: opt: 5426, E(): 0, (86.45% identity in 951 aa overlap). Also similar to other amino acid decarboxylases (but longer in N-terminus) e.g. Q9I2S7|PA1818 probable ORN/ARG/LYS amino acid decarboxylase from Pseudomonas aeruginosa (751 aa), FASTA scores: opt: 434, E(): 2.5e-19, (29.15% identity in 738 aa overlap); Q9CML3|SPEF|PM0806 ornithine decarboxylase from Pasteurella multocida (720 aa), FASTA scores: opt: 402, E(): 2.4e-17, (24.85% identity in 752 aa overlap); P21169|DCOR_ECOLI|spec|B2965|BAB37264|ECS3841|AAG58096 ornithine decarboxylase isozyme (constitutive enzyme) from Escherichia coli strain K12 (711 aa), FASTA scores: opt: 396, E(): 5.6e-17, (28.0% identity in 646 aa overlap); P44317|DCOR_HAEIN|SPEF|HI0591 ornithine decarboxylase from Haemophilus influenzae (720 aa), FASTA scores: opt: 393, E(): 8.8e-17, (25.05% identity in 743 aa overlap) ; etc. Seems to belong to family 1 of ornithine, lysine, and arginine decarboxylases. Note that previously known as adi.</t>
  </si>
  <si>
    <t>Rv2532c, (MTCY159.24), len: 133 aa. Hypothetical unknown protein, equivalent to AAK46918 from Mycobacterium tuberculosis strain CDC1551 but shorter 157 aa.</t>
  </si>
  <si>
    <t>Involved in the transcription termination process. Interacts with RPSJ|NUSE|Rv0700.</t>
  </si>
  <si>
    <t>N utilization substance protein NusB (NusB protein)</t>
  </si>
  <si>
    <t>Rv2533c, (MT2608, MTCY159.23), len: 156 aa. NusB, N utilization substance protein (see citations below), equivalent to Q9CCR9|NUSB_MYCLE|ML0523 N utilization substance protein B from Mycobacterium leprae (190 aa), FASTA scores: opt: 749, E(): 2.6e-41, (75.7% identity in 148 aa overlap). Also highly similar to others e.g. Q9KXR0|SC9C5.14 from Streptomyces coelicolor (142 aa), FASTA scores: opt: 358, E(): 2.7e-16, (45.0% identity in 140 aa overlap); P54520|NUSB_BACSU from Bacillus subtilis (131 aa), FASTA scores: opt: 315, E(): 1.5e-13, (39.55% identity in 129 aa overlap); O83979|NUSB_TREPA|TP1015 from Treponema pallidum (141 aa), FASTA scores: opt: 268, E(): 1.6e-10, (36.95% identity in 138 aa overlap); etc. Belongs to the NusB family.</t>
  </si>
  <si>
    <t>Involved in peptide bond synthesis. Stimulate efficient translation and peptide-bond synthesis on native or reconstituted 70S ribosomes in vitro. Probably functions indirectly by altering the affinity of the ribosome for aminoacyl-tRNA, thus increasing their reactivity as acceptors for peptidyl transferase.</t>
  </si>
  <si>
    <t>Probable elongation factor P Efp</t>
  </si>
  <si>
    <t>Rv2534c, (MTCY159.22), len: 187 aa. Probable efp, elongation factor P, equivalent to Q9CCS0|EFP|ML0522 elongation factor P from Mycobacterium leprae (187 aa), FASTA scores: opt: 1158, E(): 2.1e-67, (94.1% identity in 186 aa overlap). Also highly similar to many e.g. Q45288|EFP_CORGL from Corynebacterium glutamicum (Brevibacterium flavum) (187 aa), FASTA scores: opt: 843, E(): 3.4e-47, (69.5% identity in 187 aa overlap); Q9KXQ9|EFP from Streptomyces coelicolor (188 aa), FASTA scores: opt: 833, E(): 1.5e-46, (67.0% identity in 188 aa overlap); P49778|EFP_BACSU from Bacillus subtilis (185 aa), FASTA scores: opt: 607, E(): 4.6e-32, (47.8% identity in 182 aa overlap); P33398|EFP_ECOLI|B4147 from Escherichia coli strain K12 (187 aa), FASTA scores: opt: 503, E(): 1.8e-27, (42.3% identity in 182 aa overlap); etc. Belongs to the elongation factor P family.</t>
  </si>
  <si>
    <t>Function unknown; hydrolyses peptides.</t>
  </si>
  <si>
    <t>Probable cytoplasmic peptidase PepQ</t>
  </si>
  <si>
    <t>Rv2535c, (MTCY159.21), len: 372 aa. Probable pepQ, cytoplasmic peptidase, equivalent to Q9CCS1|PEPQ|ML0521 putative cytoplasmic peptidase from Mycobacterium leprae (376 aa), FASTA scores: opt: 1954, E(): 1.1e-105, (82.7% identity in 376 aa overlap). Also similar to other peptidases e.g. P54518|YQHT_BACSU putative peptidase (belongs to peptidase family M24B) from Bacillus subtilis (353 aa), FASTA scores: opt: 808, E(): 1.6e-39, (39.65% identity in 368 aa overlap); Q9KXQ8|SC9C5.16c putative peptidase from Streptomyces coelicolor (368 aa), FASTA scores: opt: 803, E(): 3.2e-39, (43.15% identity in 380 aa overlap); Q9K950|BH2800 XAA-pro dipeptidase from Bacillus halodurans (355 aa), FASTA scores: opt: 801, E(): 4.1e-39, (39.45% identity in 365 aa overlap); etc. Note that second part of protein is similar to second part of MTCY49.29c|Rv2089c|MT2150|MTCY49.29c probable dipeptidase; belongs to peptidase family M24B from Mycobacterium tuberculosis (375 aa) (33.9% identity in 354 aa overlap) blast results: Score: 142 bits (359), E: 4e-33, Identities: 86/224 (38%), Positives: 119/224 (52%), Gaps: 4/224 (1%). Could be belong to peptidase family M24B. Conserved in M. tuberculosis, M. leprae, M. bovis and M. avium paratuberculosis; predicted to be essential for in vivo survival and pathogenicity (See Ribeiro-Guimaraes and Pessolani, 2007).</t>
  </si>
  <si>
    <t>Rv2536, (MTCY159.20c), len: 230 aa. Probable conserved transmembrane protein, equivalent to Q9CCS2|ML0520 putative membrane protein from Mycobacterium leprae (202 aa), FASTA scores: opt: 812, E(): 2e-41, (63.2% identity in 201 aa overlap). Also similar in part to Q9HMD5|VNG2594c from Halobacterium sp. strain NRC-1 (117 aa), FASTA scores: opt: 33.6, E(): 1.8, (33.6% identity in 116 aa overlap); and perhaps AAK65752|SMA1996 putative ABC transporter permease protein from Rhizobium meliloti (Sinorhizobium meliloti) plasmid pSymA (323 aa), FASTA scores: opt: 117, E(): 6.1, (30.6% identity in 121 aa overlap). A core mycobacterial gene; conserved in mycobacterial strains (See Marmiesse et al., 2004).</t>
  </si>
  <si>
    <t>Involved at the third step in the biosynthesis of chorismate within the biosynthesis of aromatic amino acids (the shikimate pathway). Catalyze a trans-dehydration via an enolate intermediate [catalytic activity: 3-dehydroquinate = 3-dehydroshikimate + H(2)O].</t>
  </si>
  <si>
    <t>3-dehydroquinate dehydratase AroD (AROQ) (3-dehydroquinase) (type II dhqase)</t>
  </si>
  <si>
    <t>Rv2537c, (MTCY159.19), len: 147 aa. AroD (alternate gene name: aroQ), 3-dehydroquinate dehydratase (see citation below), equivalent to Q9CCS3|AROD|ML0519 3-dehydroquinate dehydratase from Mycobacterium leprae (145 aa), FASTA scores: opt: 803, E(): 3.4e-46, (85.9% identity in 142 aa overlap). Also highly similar to many e.g. P96750|AROQ_CORPS from Corynebacterium pseudotuberculosis (146 aa), FASTA scores: opt: 559, E(): 4.1e-30, (61.05% identity in 136 aa overlap); Q9K949|BH2801 from Bacillus halodurans (145 aa), FASTA scores: opt: 453, E(): 4e-23, (52.15% identity in 138 aa overlap); P54517|AROQ_BACSU|YQHS from Bacillus subtilis (148 aa), FASTA scores: opt: 419, E(): 7.1e-21, (45.3% identity in 139 aa overlap); etc. Contains PS01029 Dehydroquinase class II signature. Belongs to the type-II 3-dehydroquinase family.</t>
  </si>
  <si>
    <t>Involved at the second step in the biosynthesis of chorismate within the biosynthesis of aromatic amino acids (the shikimate pathway) [catalytic activity: 7-phospho-3-deoxy-arabino-heptulosonate = 3-dehydroquinate + orthophosphate].</t>
  </si>
  <si>
    <t>3-dehydroquinate synthase AroB</t>
  </si>
  <si>
    <t>Rv2538c, (MTCY159.18), len: 362 aa. AroB, 3-dehydroquinate synthase (see citations below), equivalent to Q9CCS4|AROB_MYCLE|ML0518 3-dehydroquinate synthase from Mycobacterium leprae (361 aa), FASTA scores: opt: 2059, E(): 3.3e-117, (87.25% identity in 361 aa overlap). Also highly similar to many e.g. Q9KXQ6|AROB from Streptomyces coelicolor (363 aa), FASTA scores: opt: 1363, E(): 4e-75, (60.05% identity in 358 aa overlap); Q9X5D2|AROB_CORGL from Corynebacterium glutamicum (Brevibacterium flavum) (366 aa), FASTA scores: opt: 1154, E(): 1.7e-62, (50.95% identity in 359 aa overlap); P07639|AROB_ECOLI|B3389 from Escherichia coli strain K12 (362 aa), FASTA scores: opt: 771, E(): 2.4e-39, (40.6% identity in 345 aa overlap); etc. Belongs to the dehydroquinate synthase family.</t>
  </si>
  <si>
    <t>Involved at the fifth step in the biosynthesis of chorismate within the biosynthesis of aromatic amino acids (the shikimate pathway) [catalytic activity: ATP + shikimate = ADP + shikimate 3-phosphate].</t>
  </si>
  <si>
    <t>Shikimate kinase AroK (SK)</t>
  </si>
  <si>
    <t>Rv2539c, (MTCY159.17), len: 176 aa. AroK, shikimate kinase (see citations below), equivalent to Q9CCS5|AROK|ML0517 putative shikimate kinase from Mycobacterium leprae (199 aa), FASTA scores: opt: 852, E(): 1.3e-42, (79.65% identity in 167 aa overlap). Also highly similar to many e.g. Q9X5D1|AROK_CORG from Corynebacterium glutamicum (Brevibacterium flavum) (169 aa), FASTA scores: opt: 478, E(): 5.4e-21, (47.0% identity in 168 aa overlap); Q9KXQ5|AROK from Streptomyces coelicolor (171 aa), FASTA scores: opt: 465, E(): 3.1e-20, (49.1% identity in 167 aa overlap); P24167|AROK_ECOLI from Escherichia coli strain K12 (172 aa), FASTA scores: opt: 316, E(): 1.3e-11, (38.4% identity in 164 aa overlap); etc. Contains PS00017 ATP/GTP-binding site motif A, and PS01128 Shikimate kinase signature. Belongs to the shikimate kinase family.</t>
  </si>
  <si>
    <t>Involved at the seventh step in the biosynthesis of chorismate within the biosynthesis of aromatic amino acids (the shikimate pathway) [catalytic activity: 5-O-(1-carboxyvinyl)-3-phosphoshikimate = chorismate + orthophosphate].</t>
  </si>
  <si>
    <t>Probable chorismate synthase AroF (5-enolpyruvylshikimate-3-phosphate phospholyase)</t>
  </si>
  <si>
    <t>Rv2540c, (MTCY159.16), len: 401 aa. Probable aroF (alternate gene name: aroC), chorismate synthase, equivalent to Q9CCS6|AROF|ML0516 putative chorismate synthase from Mycobacterium leprae (407 aa), FASTA scores: opt: 2278, E(): 6.2e-123, (88.05% identity in 401 aa overlap). Also highly similar to many e.g. Q9X5D0|AROC_CORGL from Corynebacterium glutamicum (Brevibacterium flavum) (410 aa), FASTA scores: opt: 1811, E(): 3e-96, (70.3% identity in 397 aa overlap); Q9KXQ4|AROC_STRCO|AROF|SC9C5.20c from Streptomyces coelicolor (394 aa), FASTA scores: opt: 1710, E(): 1.7e-90, (67.0% identity in 385 aa overlap); Q9KCB7|AROC_BACHD|AROF|BH1656 from Bacillus halodurans (390 aa), FASTA scores: opt: 1196, E(): 3.9e-61, (48.7% identity in 386 aa overlap); etc. Contains PS00788 Chorismate synthase signature 2. Belongs to the chorismate synthase family. Cofactor: reduced flavin, NADH</t>
  </si>
  <si>
    <t>Rv2541</t>
  </si>
  <si>
    <t>Rv2541, (MTCY159.15c), len: 135 aa. Hypothetical unknown ala-rich protein, equivalent to AAK46926|MT2615.1 hypothetical 38.9 KDA protein from Mycobacterium tuberculosis strain CDC1551 but AAK46926|MT2615.1 longer at C-terminus. Questionable ORF. Some similarity with Rv2077A from Mycobacterium tuberculosis (99 aa).</t>
  </si>
  <si>
    <t>Rv2542, (MTCY159.14c), len: 403 aa. Conserved hypothetical protein, highly similar to AAK46927|MT2616 hypothetical 28.0 KDA protein from Mycobacterium tuberculosis strain CDC1551 (265 aa), FASTA scores: opt: 1776, E(): 2.3e-94, (99.25% identity in 265 aa overlap). And similar to several hypothetical proteins from Mycobacterium tuberculosis (strain H37Rv and CDC1551) e.g. P71654|Rv2797c|MTCY16B7.46 (562 aa), FASTA scores: opt: 537, E(): 2.6e-23, (40.75% identity in 292 aa overlap); P71547|Y963_MYCTU|Rv0963c|MT0992|MTCY10D7.11 (266 aa), FASTA scores: opt: 357, E(): 2.6e-13, (34.6% identity in 234 aa overlap); Q10685|YK77_MYCTU|Rv2077c|MT2137|MTCY49.16c (323 aa), FASTA scores: opt: 261, E(): 9.5e-08, (32.7% identity in 211 aa overlap); etc. Also similar to Q9RDQ9|SC4A7.03 putative secreted protein from Streptomyces coelicolor (406 aa), FASTA scores: opt: 247, E(): 7.3e-07, (30.35% identity in 303 aa overlap).</t>
  </si>
  <si>
    <t>Probable conserved lipoprotein LppA</t>
  </si>
  <si>
    <t>Rv2543, (MTCY159.13c), len: 219 aa. Probable lppA, conserved lipoprotein, highly similar to upstream ORF P95009|LPPB|Rv2544|MTCY159.12 putative lipoprotein LPPB from Mycobacterium tuberculosis (220 aa), FASTA scores: opt: 1240, E(): 1.1e-73, (87.15% identity in 218 aa overlap). Contains PS00013 Prokaryotic membrane lipoprotein lipid attachment site.</t>
  </si>
  <si>
    <t>lppB</t>
  </si>
  <si>
    <t>Rv2544</t>
  </si>
  <si>
    <t>Probable conserved lipoprotein LppB</t>
  </si>
  <si>
    <t>Rv2544, (MTCY159.12c), len: 220 aa. Probable lppB, conserved lipoprotein, highly similar to downstream ORF P95010|MTCY159.13c|LPPA|Rv2543|MTCY159.13 putative lipoprotein LPPA from Mycobacterium tuberculosis (219 aa), FASTA scores: opt: 1242, E(): 4.8e-72, (87.15% identity in 218 aa overlap). Contains PS00013 Prokaryotic membrane lipoprotein lipid attachment site.</t>
  </si>
  <si>
    <t>vapB18</t>
  </si>
  <si>
    <t>Rv2545</t>
  </si>
  <si>
    <t>Possible antitoxin VapB18</t>
  </si>
  <si>
    <t>Rv2545, (MTY159.11c), len: 92 aa. Possible vapB18, antitoxin, part of toxin-antitoxin (TA) operon with Rv2546 (See Arcus et al., 2005; Pandey and Gerdes, 2005). Similar to others in Mycobacterium tuberculosis e.g. O33300|Rv2758c|MTV002.23c (88 aa), FASTA scores: opt: 151, E(): 9.8e-05, (66.65% identity in 45 aa overlap); and Q10771|Rv1560|MT1611|MTCY48.05 (72 aa), FASTA scores: opt: 84, E(): 8.2, (46.5% identity in 43 aa overlap).</t>
  </si>
  <si>
    <t>vapC18</t>
  </si>
  <si>
    <t>Rv2546</t>
  </si>
  <si>
    <t>Possible toxin VapC18</t>
  </si>
  <si>
    <t>Rv2546, (MTCY159.10c), len: 137 aa. Possible vapC18, toxin, part of toxin-antitoxin (TA) operon with Rv2545, contains PIN domain (See Arcus et al., 2005; Pandey and Gerdes, 2005). Similar to others in Mycobacterium tuberculosis e.g. P96411|Rv0229c|MTCY08D5.24c (226 aa), FASTA scores: opt: 272, E(): 1.3e-11, (39.7% identity in 136 aa overlap); O33299|Rv2757c|MTV002.22c (138 aa), FASTA scores: opt: 265, E(): 2.5e-11, (38.5% identity in 135 aa overlap); P95026|Rv2527|MTCY159.29c (133 aa), FASTA scores: opt: 206, E(): 2.6e-07, (38.0% identity in 100 aa overlap); etc.</t>
  </si>
  <si>
    <t>vapB19</t>
  </si>
  <si>
    <t>Rv2547</t>
  </si>
  <si>
    <t>Possible antitoxin VapB19</t>
  </si>
  <si>
    <t>Rv2547, (MTCY159.09c), len: 85 aa. Possible vapB19, antitoxin, part of toxin-antitoxin (TA) operon with Rv2548 (See Arcus et al., 2005; Pandey and Gerdes, 2005). Similar to others in Mycobacterium tuberculosis e.g. P71666|YD98_MYCTU|Rv1398c|MT1442|MTCY21B4.15c hypothetical 9.4 KDA protein from (85 aa), FASTA scores: opt: 108, E(): 0.33, (37.1% identity in 62 aa overlap); and to CAC45864|SMC01933 conserved hypothetical protein from Rhizobium meliloti (Sinorhizobium meliloti) (71 aa), FASTA scores: opt: 105, E(): 0.46, (28.4% identity in 74 aa overlap); Q97W38|SSO10342 hypothetical protein from Sulfolobus solfataricus (58 aa), FASTA scores: opt: 94, E(): 2.3, (46.95% identity in 49 aa overlap).</t>
  </si>
  <si>
    <t>vapC19</t>
  </si>
  <si>
    <t>Rv2548</t>
  </si>
  <si>
    <t>Possible toxin VapC19</t>
  </si>
  <si>
    <t>Rv2548, (MTCY159.08c), len: 125 aa. Possible vapC19, toxin, part of toxin-antitoxin (TA) operon with Rv2547, contains PIN domain (See Arcus et al., 2005; Pandey and Gerdes, 2005). Similarity to others in Mycobacterium tuberculosis e.g. P71665|Rv1397c|MTCY21B4.14c hypothetical 15.0 KDA protein (133 aa), FASTA scores: opt: 265, E(): 7.1e-12, (42.3% identity in 123 aa overlap); and to Q97WY5|SSO1975 hypothetical protein from Sulfolobus solfataricus (125 aa), FASTA scores: opt: 131, E(): 0.018, (30.0% identity in 110 aa overlap); O52285|YLE hypothetical 14.9 KDA protein from Agrobacterium radiobacter (133 aa), FASTA scores: opt: 128, E(): 0.03, (32.8% identity in 125 aa overlap); etc.</t>
  </si>
  <si>
    <t>Rv2548A</t>
  </si>
  <si>
    <t>Rv2548A, len: 124 aa. Conserved protein.</t>
  </si>
  <si>
    <t>vapC20</t>
  </si>
  <si>
    <t>Possible toxin VapC20</t>
  </si>
  <si>
    <t>Rv2549c, (MTCY159.07), len: 131 aa. Possible vapC20, toxin, part of toxin-antitoxin (TA) operon with Rv2550c, contains PIN domain (See Arcus et al., 2005; Pandey and Gerdes, 2005). Conserved hypothetical protein, showing some similarity to P73415|SLL1715 from Synechocystis sp. strain PCC 6803 (157 aa), FASTA scores: opt: 167, E(): 4.2e-05, (29.45% identity in 129 aa overlap); Q9HHY6|VNG6166H from Halobacterium sp. plasmid pNRC200 strain NRC-1 (144 aa), FASTA scores: opt: 133, E(): 0.011, (29.6% identity in 125 aa overlap); and Q9HSU3|VNG0072H from Halobacterium sp. strain NRC-1 (144 aa), FASTA scores: opt: 113, E(): 0.29, (25.75% identity in 136 aa overlap).</t>
  </si>
  <si>
    <t>vapB20</t>
  </si>
  <si>
    <t>Rv2550c</t>
  </si>
  <si>
    <t>Possible antitoxin VapB20</t>
  </si>
  <si>
    <t>Rv2550c, (MTCY159.06), len: 81 aa. Possible vapB20, antitoxin, part of toxin-antitoxin (TA) operon with Rv2549c (See Arcus et al., 2005; Pandey and Gerdes, 2005). Some similarity to others in M. tuberculosis e.g. Rv0581</t>
  </si>
  <si>
    <t>Rv2551c</t>
  </si>
  <si>
    <t>Rv2551c, (MTCY159.05), len: 139 aa. Conserved hypothetical protein, similar to the second part of Q9XAP1|SC10A7.34c putative type IV peptidase from Streptomyces coelicolor (259 aa), FASTA scores: opt: 243, E(): 7.4e-08, (40.95% identity in 144 aa overlap). Also some similarity with other proteins e.g. AAK58497|GSPO GSPO protein from Acetobacter diazotrophicus (261 aa), FASTA scores: opt: 152, E(): 0.025, (33.35% identity in 135 aa overlap).</t>
  </si>
  <si>
    <t>Possibly involved at the fourth step in the biosynthesis of chorismate within the biosynthesis of aromatic amino acids (the shikimate pathway) [catalytic activity: shikimate + NADP(+) = 5-dehydroshikimate + NADPH].</t>
  </si>
  <si>
    <t>Probable shikimate 5-dehydrogenase AroE (5-dehydroshikimate reductase)</t>
  </si>
  <si>
    <t>Rv2552c, (MTCY159.04), len: 269 aa. Probable aroE, shikimate 5-dehydrogenase, equivalent to Q9CCS7|AROE|ML0515 putative shikimate 5-dehydrogenase from Mycobacterium leprae (278 aa), FASTA scores: opt: 1452, E(): 1.8e-77, (81.5% identity in 270 aa overlap). Also highly similar, but longer 101 aa, to Q9KH59|AROE putative shikimate dehydrogenase (fragment) from Mycobacterium marinum (148 aa), FASTA scores: opt: 729, E(): 1.3e-35, (76.35% identity in 148 overlap); Q9F7W3|AROE from Mycobacterium ulcerans (148 aa), FASTA scores: opt: 718, E(): 5.9e-35, (75.7% identity in 148 aa overlap). And also similar to to others e.g. Q9KXQ2|AROE from Streptomyces coelicolor (255 aa), FASTA scores: opt: 572, E(): 2.8e-26, (43.4% identity in 251 aa overlap); Q98DY3|MLR4492 from Rhizobium loti (Mesorhizobium loti) (280 aa), FASTA scores: opt: 385, E(): 2.2e-15, (34.85% identity in 284 aa overlap); P74591|AROE_SYNY3|SLR1559 from Synechocystis sp. strain PCC 6803 (290 aa), FASTA scores: opt: 347, E(): 3.7e-13, (30.9% identity in 275 aa overlap); P15770|AROE_ECOLI|B3281 from Escherichia coli strain K12 (272 aa), FASTA scores: opt: 230, E(): 7.7e-08, (29.5% identity in 251 aa overlap); etc. Belongs to the shikimate dehydrogenase family.</t>
  </si>
  <si>
    <t>Rv2553c, (MTCY159.03), len: 417 aa. Probable conserved membrane protein, equivalent to Q9CCS8|ML0514 putative membrane protein from Mycobacterium leprae (421 aa), FASTA scores: opt: 1955, E(): 1.1e-111, (72.7% identity in 414 aa overlap). Also similar in part to various proteins e.g. Q9L9G6|NOVB NOVB protein (aminodesoxychorismate lyase) from Streptomyces sphaeroides (284 aa), FASTA scores: opt: 451, E(): 2.9e-2, (37.95% identity in 203 aa overlap); Q9EWY3|2SCG38.36 conserved hypothetical protein from Streptomyces coelicolor (253 aa), FASTA scores: opt: 419, E(): 2.3e-18, (39.2% identity in 171 aa overlap); Q9CHT3|YGCC hypothetical protein from Lactococcus lactis (subsp. lactis) (Streptococcus lactis) (550 aa), FASTA scores: opt: 379, E(): 1.2e-15, (23.0% identity in 417 aa overlap); O25309|HP0587 aminodeoxychorismate lyase (PABC) from Helicobacter pylori (Campylobacter pylori) (329 aa), FASTA scores: opt: 290, E(): 2e-10, (31.65% identity in 180 aa overlap); etc.</t>
  </si>
  <si>
    <t>Rv2554c, (MTCY159.02), len: 170 aa. Conserved protein, equivalent to Q9CCS9|ML0513 hypothetical protein from Mycobacterium leprae (184 aa), FASTA scores: opt: 701, E(): 2e-34, (72.05% identity in 161 aa overlap). Also highly similar to Q9KXQ0|SC9C5.24c hypothetical 17.7 KDA protein from Streptomyces coelicolor (167 aa), FASTA scores: opt: 461, E(): 2.3e-20, (54.65% identity in 150 aa overlap); and similar to other hypothetical proteins e.g. Q9KDE4 from Bacillus halodurans (140 aa), FASTA scores: opt: 291, E(): 1.9e-10, (38.7% identity in 137 aa overlap); P74662|SLL1547 from Synechocystis sp. strain PCC 6803 (152 aa), FASTA scores: opt: 290, (36.55% identity in 145 aa overlap); Q52673|YQGF_RHOCA from Rhodobacter capsulatus (Rhodopseudomonas capsulata) (159 aa), FASTA scores: opt: 246, E(): 8.4e-08, (34.8% identity in 135 aa overlap); etc.</t>
  </si>
  <si>
    <t>Involved in translation mechanism [catalytic activity: ATP + L-alanine + tRNA(ala) = AMP + pyrophosphate + L-alanyl-tRNA (ala)].</t>
  </si>
  <si>
    <t>Probable alanyl-tRNA synthetase AlaS (alanine--tRNA ligase) (alanine translase) (ALARS)</t>
  </si>
  <si>
    <t>Rv2555c, (MTCY318.01c-MTCY159.01), len: 904 aa. Probable alaS, alanyl-tRNA synthetase, equivalent to Q9CCT0|alas|ML0512 alanyl-tRNA synthetase from Mycobacterium leprae (908 aa), FASTA scores: opt: 5013, E(): 0, (84.65% identity in 907 aa overlap). Also highly similar to many e.g. Q9KXP9|alas from Streptomyces coelicolor (890 aa), FASTA scores: opt: 2159, E(): 3.8e-118, (53.45% identity in 907 aa overlap); Q9FFC7 Arabidopsis thaliana (Mouse-ear cress) (954 aa), FASTA scores: opt: 1963, E(): 1.1e-106, (41.1% identity in 925 aa overlap); Q9RS27|DR2300 from Deinococcus radiodurans (890 aa), FASTA scores: opt: 1352, E(): 4.1e-71, (38.05% identity in 915 aa overlap); etc. Belongs to class-II aminoacyl-tRNA synthetase family.</t>
  </si>
  <si>
    <t>Rv2556c, (MTCY09C4.12), len: 129 aa. Conserved hypothetical protein, highly similar to others e.g. Q9EWY5|2SCG38.34 conserved hypothetical protein from Streptomyces coelicolor (140 aa), FASTA scores: opt: 488, E(): 8.2e-26, (58.8% identity in 131 aa overlap); Q9L9G4|NOVD NOVD protein from Streptomyces sphaeroides (143 aa), FASTA scores: opt: 474, E(): 7.2e-25, (60.85% identity in 120 aa overlap); Q9X2I5|TM1872 from Thermotoga maritima (132 aa), FASTA scores: opt: 270, E(): 2.7e-11, (39.55% identity in 129 aa overlap); etc.</t>
  </si>
  <si>
    <t>Function unknown; thought to be involved in the persistence in the host.</t>
  </si>
  <si>
    <t>Rv2557, (MTCY9C4.11c), len: 224 aa. Conserved protein, highly similar to upstream ORF Q50740|MTCY9C4.10c|Rv2558|MT2635 conserved hypothetical protein from Mycobacterium tuberculosis (236 aa), FASTA scores: opt: 1007, E(): 6.9e-60, (69.2% identity in 224 aa overlap); and Mb2587 in Mycobacterium bovis (224 aa).</t>
  </si>
  <si>
    <t>Rv2558, (MTCY9C4.10c), len: 236 aa. Conserved protein, highly similar to downstream ORF Q50741|MTCY9C4.11c|Rv2557|MT2645 conserved hypothetical protein from Mycobacterium tuberculosis (224 aa), FASTA scores: opt: 1007, E(): 4.7e-59, (69.2% identity in 224 aa overlap); and Mb2588 in Mycobacterium bovis (236 aa).</t>
  </si>
  <si>
    <t>Conserved hypothetical alanine leucine valine rich protein</t>
  </si>
  <si>
    <t>Rv2559c, (MTCY9C4.09), len: 452 aa. Conserved hypothetical ala-, leu-, val-rich protein, equivalent to Q9CCT1|ML0510 hypothetical protein from Mycobacterium leprae (473 aa), FASTA scores: opt: 2411, E(): 3.9e-121, (83.4% identity in 452 aa overlap); O69490|O69490 hypothetical 47.1 KDA protein from Mycobacterium leprae (447 aa), FASTA scores: opt: 2406, E(): 6.9e-121, (83.95% identity in 448 aa overlap). Also highly similar to Q9KXP4|SC9C5.30c conserved ATP/GTP binding protein from Streptomyces coelicolor (451 aa), FASTA scores: opt: 1742, E(): 1.5e-85, (64.4% identity in 430 aa overlap); Q9RT67|DR1898 conserved hypothetical protein from Deinococcus radiodurans (434 aa), FASTA scores: opt: 1147, E(): 6.6e-54, (46.0% identity in 415 aa overlap); P45262|YCAJ_HAEIN|HI1590 hypothetical protein from Haemophilus influenzae (446 aa), FASTA scores: opt: 1140, E(): 1.6e-53, (42.5% identity in 428 aa overlap); etc. Also similar to Q50629|MTCY227.09|RUVB|Rv2592c|MT2669|MTCY227.09 holliday junction DNA helicase from Mycobacterium tuberculosis (344 aa), (30.1% identity in 296 aa overlap). Contains PS00017 ATP/GTP-binding site motif A (P-loop).</t>
  </si>
  <si>
    <t>Probable proline and glycine rich transmembrane protein</t>
  </si>
  <si>
    <t>Rv2560, (MTCY9C4.08c), len: 325 aa. Probable transmembrane protein, pro-, gly-rich protein.</t>
  </si>
  <si>
    <t>Rv2561</t>
  </si>
  <si>
    <t>Rv2561, (MTCY9C4.07c), len: 97 aa. Conserved hypothetical protein, highly similar in part (and longer 33 aa) to upstream ORF AAK46951|RV2562|MT2638|MTCY9C4.06c conserved hypothetical protein from Mycobacterium tuberculosis (212 aa), FASTA scores: opt: 205, E(): 2e-06, (76.1% identity in 46 aa overlap).</t>
  </si>
  <si>
    <t>Rv2562, (MTCY9C4.06c), len: 129 aa. Conserved hypothetical protein, highly similar, but shorter 83 aa, to downstream ORF AAK46951|RV2561|MT2638|MTCY9C4.07c conserved hypothetical protein from Mycobacterium tuberculosis (97 aa), FASTA scores: opt: 866, E(): 2.2e-54, (100.0% identity in 129 aa overlap).</t>
  </si>
  <si>
    <t>Rv2563, (MTCY9C4.05c), len: 349 aa. Probable glutamine-transport transmembrane protein ABC transporter (see citation below), highly similar to O53617|Rv0072|MTV030.16 putative ABC-transporter transmembrane subunit from Mycobacterium tuberculosis (349 aa), FASTA scores: opt: 1772, E(): 1.1e-89, (76.2% identity in 349 aa overlap). Also some similarity with various hypothetical proteins e.g. Q9RYN1|DRA0279 hypothetical 37.1 KDA protein from Deinococcus radiodurans (353 aa), FASTA scores: opt: 347, E(): 6.6e-12, (24.35% identity in 357 aa overlap); BAB58522|SAV2360 conserved hypothetical protein from Staphylococcus aureus subsp. aureus Mu50 (351 aa), FASTA scores: opt: 262, E(): 2.9e-07, (19.4% identity in 356 aa overlap); Q9AK94|SC10A9.10c putative ABC transport system transmembrane protein from Streptomyces coelicolor (379 aa), FASTA scores: opt: 172, E(): 0.025, (26.85% identity in 387 aa overlap); etc.</t>
  </si>
  <si>
    <t>Probable glutamine-transport ATP-binding protein ABC transporter GlnQ</t>
  </si>
  <si>
    <t>Rv2564, (MTCY9C4.04c), len: 330 aa. Probable glnQ, glutamine-transport ATP-binding protein ABC transporter (see citation below), highly similar to many e.g. Q9L0J9|SCD40A.12c putative ABC-transporter ATP-binding protein from Streptomyces coelicolor (246 aa), FASTA scores: opt: 598, E(): 2.5e-26, (46.35% identity in 218 aa overlap); O54136|SC2E9.11 from Streptomyces coelicolor (230 aa), FASTA scores: opt: 592, E(): 5.1e-26, (46.55% identity in 219 aa overlap); O29244|AF1018 from Archaeoglobus fulgidus (228 aa), FASTA scores: opt: 580, E(): 2.4e-25, (42.4% identity in 210 aa overlap); P75831|YBJZ_ECOLI|B0879 from Escherichia coli strain K12 (648 aa), FASTA scores: opt: 555, E(): 1.3e-23, (39.65% identity in 232 aa overlap); etc. Also highly similar to O53618|Rv0073|MTV030.17 ABC-transporter ATP-binding subunit from Mycobacterium tuberculosis (330 aa), FASTA scores: opt: 1782, E(): 4.7e-92, (83.65% identity in 330 aa overlap); etc. Shows some similarity to Q11040|YC81_MYCTU|MTCY50.01|Rv1281c|MT1318 hypothetical ABC transporter ATP-binding protein from Mycobacterium tuberculosis (612 aa) (32.9 % identity in 234 aa overlap). Contains PS00017 ATP/GTP-binding site motif A (P-loop), PS00211 ABC transporters family signature, and PS00889 Cyclic nucleotide-binding domain signature 2. Belongs to the ATP-binding transport protein family (ABC transporters).</t>
  </si>
  <si>
    <t>Rv2565, (MTCY9C4.03c), len: 583 aa. Conserved protein, similar in part to Q9A6C3|CC2171 hypothetical protein from Caulobacter crescentus (610 aa), FASTA scores: opt: 765, E(): 2.8e-37, (32.15% identity in 575 aa overlap). C-terminus also highly similar to various bacterial proteins e.g. O34731|YLBK_BACSU hypothetical 28.3 KDA protein from Bacillus subtilis (260 aa), FASTA scores: opt: 386, E(): 2.2e-15, (33.05% identity in 245 aa overlap); CAC45997|SMC01003 conserved hypothetical protein from Rhizobium meliloti (Sinorhizobium meliloti) (321 aa), FASTA scores: opt: 352, E(): 2.5e-13, (29.65% identity in 280 aa overlap); Q9K9Q8|BH2587 hypothetical protein from Bacillus halodurans (275 aa), FASTA scores: opt: 334, E(): 2.5e-12, (33.7% identity in 175 aa overlap); etc. And shows similarity to C-terminal half of some eukaryotic proteins e.g. Q9R114|NTE neuropathy target esterase homolog from Mus musculus (Mouse) (1327 aa), FASTA scores: opt: 411, E(): 2.7e-16, (24.45% identity in 626 aa overlap); O60859 neuropathy target esterase from Homo sapiens (Human) (1327 aa), FASTA scores: opt: 410, E(): 3.1e-16, (24.1% identity in 627 aa overlap); Q9U969|SWS|CG2212 swiss cheese protein from Drosophila melanogaster (Fruit fly) (1425 aa), FASTA scores: opt: 401, E(): 1.1e-15, (27.75% identity in 544 aa overlap); etc. Also shows strong similarity to C-terminal half of O05884|Z95121|Rv3239c|MTY20B11.14c hypothetical 110.2 KDA protein from Mycobacterium tuberculosis (1048 aa), FASTA scores: opt: 648, E(): 3e-30, (36.55% identity in 572 aa overlap); and O69695|Rv3728|MTV025.076 putative two-domain membrane protein from Mycobacterium tuberculosis (1065 aa), FASTA scores: opt: 643, E(): 6e-30, (34.3% identity in 595 aa overlap). Predicted to be an outer membrane protein (See Song et al., 2008).</t>
  </si>
  <si>
    <t>Long conserved protein</t>
  </si>
  <si>
    <t>Rv2566, (MTCY9C4.02c), len: 1140 aa. Long conserved protein, equivalent to O53120|ML2678 or MLCB1913.12 hypothetical protein from Mycobacterium leprae (1000 aa), FASTA scores: opt: 760, E(): 7.1e-38, (50.2% identity in 1128 aa overlap); and middle part equivalent to Q9ZB40 72.2 KDA protein (fragment) from Mycobacterium leprae (644 aa), FASTA scores: opt: 1017, E(): 1.5e-65, (45.65% identity in 655 aa overlap). Also highly similar to Q98HG6|MLL2877 hypothetical protein from Rhizobium loti (Mesorhizobium loti) (1119 aa), FASTA scores: opt: 1413, E(): 3.7e-77, (52.4% identity in 1148 aa overlap); and N-terminus shows similarity with other proteins e.g. Q9HUN8|PA4926 hypothetical protein from Pseudomonas aeruginosa (311 aa), FASTA scores: opt: 278, E(): 3e-09, (29.95% identity in 284 aa overlap); and upstream ORF Q50652|YP69_MYCTU|Rv2569c|MT2645|MTCY227.32 conserved hypothetical protein from Mycobacterium tuberculosis (314 aa), FASTA scores: opt: 252, E(): 1.1e-07, (28.9% identity in 315 aa overlap). Equivalent to AAK46955 from Mycobacterium tuberculosis strain CDC1551 (1156 aa) but shorter 16 aa.</t>
  </si>
  <si>
    <t>Conserved hypothetical alanine and leucine rich protein</t>
  </si>
  <si>
    <t>Rv2567, (MTCY227.34c, MTCY9C4.01c), len: 884 aa. Conserved hypothetical ala-, leu-rich protein, equivalent to O53121|ML2679|MLCB1913.13 hypothetical protein from Mycobacterium leprae (893 aa), FASTA scores: opt: 4326, E(): 0, (75.2% identity in 883 aa overlap); and similar to Q49755|YO11_MYCLE|ML0605|MLCL536.05c|U1937B|B1937_F1_4 hypothetical 61.8 KDA protein from Mycobacterium leprae (561 aa), FASTA scores: opt: 758, E(): 1.2e-38, (32.2% identity in 537 aa overlap). Also similar to others e.g. Q9HUN7|PA4927 hypothetical protein from Pseudomonas aeruginosa (830 aa), FASTA scores: opt: 1247, E(): 2.2e-68, (38.25% identity in 831 aa overlap); Q98HG7|MLL2876 hypothetical protein from Rhizobium loti (Mesorhizobium loti) (803 aa), FASTA scores: opt: 937, E(): 1.9e-49, (32.15% identity in 828 aa overlap); CAC47419|SMC04057 conserved hypothetical protein from Rhizobium meliloti (Sinorhizobium meliloti) (802 aa), FASTA scores: opt: 900, E(): 3.4e-47, (30.85% identity in 852 aa overlap); etc. And similar to P71732|YO11_MYCTU|Rv2411c|MT2484|MTCY253.09 conserved hypothetical protein from Mycobacterium tuberculosis (551 aa), FASTA scores: opt: 781, E(): 4.6e-40, (33.75% identity in 495 aa overlap).</t>
  </si>
  <si>
    <t>Rv2568c, (MTCY227.33), len: 341 aa. Conserved hypothetical protein, highly similar (but longer 60 aa) to Q98E75|MLR4376 hypothetical protein from Rhizobium loti (Mesorhizobium loti) (308 aa), FASTA scores: opt: 566, E(): 4.1e-29, (40.2% identity in 291 aa overlap).</t>
  </si>
  <si>
    <t>Rv2569c, (MTCY227.32), len: 314 aa. Conserved hypothetical protein, equivalent to Q9CCT2|ML0508 hypothetical protein from Mycobacterium leprae (313 aa), FASTA scores: opt: 1723, E(): 1.9e-95, (84.4% identity in 301 aa overlap); and some similarity with Q49757|YP69_MYCLE|ML0607|MLCL536.03c|B1937_F2_39 hypothetical 31.1 KDA protein from Mycobacterium leprae (279 aa), FASTA scores: opt: 305, E(): 4.5e-11, (33.0% identity in 300 aa overlap). Also similar to to other hypothetical proteins e.g. Q9HUN8|PA4926 from Pseudomonas aeruginosa (311 aa), FASTA scores: opt: 704, E(): 8.7e-35, (39.7% identity in 320 aa overlap); Q98HG8|MLL2875 from Rhizobium loti (Mesorhizobium loti) (294 aa), FASTA scores: opt: 521, E(): 6.5e-24, (35.05% identity in 294 aa overlap); Q9A7W9|CC1600 from Caulobacter crescentus (325 aa), FASTA scores: opt: 510, E(): 3.2e-23, (34.4% identity in 2588 aa overlap); etc. Also some similarity with proteins from Mycobacterium tuberculosis e.g. P71734|Rv2409c|MTCY253.11 conserved hypothetical protein (279 aa), FASTA scores: opt: 312, E(): 1.7e-11, (34.45% identity in 296 aa overlap); and Q50732|Rv2566|MTCY9C4.02 long conserved hypothetical protein (1140 aa), FASTA scores: opt: 252, E(): 2.2e-07, (28.9% identity in 315 aa overlap)</t>
  </si>
  <si>
    <t>Rv2570, (MTCY227.31c), len: 129 aa. Conserved hypothetical protein, similar to Q98GQ7|MLR3218 hypothetical protein from Rhizobium loti (Mesorhizobium loti) (133 aa), FASTA scores: opt: 174, E(): 9.6e-05, (32.25% identity in 124 aa overlap); Q9A390|CC3314 hypothetical protein from Caulobacter crescentus (129 aa), FASTA scores: opt: 155, E(): 0.0017, (33.35% identity in 108 aa overlap); and Q9A2Y0|CC3426 hypothetical protein from Caulobacter crescentus (120 aa), FASTA scores: opt: 144, E(): 0.0083, (32.95% identity in 91 aa overlap).</t>
  </si>
  <si>
    <t>Probable transmembrane alanine and valine and leucine rich protein</t>
  </si>
  <si>
    <t>Rv2571c, (MTCY227.30), len: 355 aa. Probable transmembrane ala-, val-, leu-rich protein, showing some similarity with other membrane proteins e.g. Q99340|YFDA_CORGL hypothetical integral membrane protein from Corynebacterium glutamicum (Brevibacterium flavum) (359 aa), FASTA scores: opt: 338, E(): 2.5e-13, (29.4% identity in 255 aa overlap); Q9RD86|SCF43.02 putative integral membrane protein from Streptomyces coelicolor (379 aa), FASTA scores: opt: 208, E(): 2.1e-05, (26.05% identity in 303 aa overlap); Q9RD81|SCF43.07 putative integral membrane protein from Streptomyces coelicolor (419 aa), FASTA scores: opt: 205, E(): 3.5e-05, (25.15% identity in 362 aa overlap); etc.</t>
  </si>
  <si>
    <t>Involved in translation mechanism [catalytic activity: ATP + L-aspartate + tRNA(asp) = AMP + pyrophosphate + L-aspartyl-tRNA(asp)].</t>
  </si>
  <si>
    <t>Probable aspartyl-tRNA synthetase AspS (aspartate--tRNA ligase) (ASPRS) (aspartic acid translase)</t>
  </si>
  <si>
    <t>Rv2572c, (MTCY227.29), len: 596 aa. Probable aspS, aspartyl-tRNA synthetase, equivalent to P36429|SYD_MYCLE|ML0501|MLCB1259.19 aspartyl-tRNA synthetase from Mycobacterium leprae (589 aa), FASTA scores: opt: 3534, E(): 1.8e-215, (87.85% identity in 592 aa overlap). Also highly similar to many e.g. O67589|SYD_AQUAE|AQ_1677 from Aquifex aeolicus (603 aa), FASTA scores: opt: 1829, E(): 8.2e-108, (47.5% identity in 598 aa overlap); O32038|SYD_BACSU from Bacillus subtilis (592 aa), FASTA scores: opt: 1732, E(): 1.1e-101, (46.25% identity in 597 aa overlap); P21889|SYD_ECOLI|TLS|B1866 from Escherichia coli strain K12 (590 aa), FASTA scores: opt: 1588, E(): 1.3e-92, (47.35% identity in 581 aa overlap); etc. Contains PS00179 Aminoacyl-transfer RNA synthetases class-II signature 1. Belongs to class-II aminoacyl-tRNA synthetase family.</t>
  </si>
  <si>
    <t>Rv2573, (MTCY227.28c), len: 246 aa. Conserved hypothetical protein, similar to various proteins e.g. Q9ABG6|CC0261 hypothetical protein from Caulobacter crescentus (290 aa), FASTA scores: opt: 516, E(): 5.8e-26, (40.1% identity in 237 aa overlap); Q99R37|SA2393 hypothetical protein (similar to 2-dehydropantoate 2-reductase) from Staphylococcus aureus subsp. aureus N315 (286 aa), FASTA scores: opt: 368, E(): 1.8e-16, (31.75% identity in 230 aa overlap); Q9KPQ9|VC2307 2-dehydropantoate 2-reductase from Vibrio cholerae (296 aa), FASTA scores: opt: 223, E(): 3.9e-07, (27.7% identity in 224 aa overlap); etc. Equivalent to AAK46962 from Mycobacterium tuberculosis strain CDC1551 (275 aa) but shorter 29 aa.</t>
  </si>
  <si>
    <t>Rv2574, (MTCY227.27c), len: 167 aa. Conserved protein, showing similarity with Q9K3N3|SCG20A.07 hypothetical 17.4 KDA protein from Streptomyces coelicolor (157 aa), FASTA scores: opt: 218, E(): 2.8e-08, (30.65% identity in 150 aa overlap).</t>
  </si>
  <si>
    <t>Possible conserved membrane glycine rich protein</t>
  </si>
  <si>
    <t>Rv2575, (MTCY227.26c), len: 293 aa. Possible conserved membrane gly-rich protein, highly similar to hypothetical proteins e.g. Q9RR98|DR2596 conserved hypothetical protein from Deinococcus radiodurans (313 aa), FASTA scores: opt: 734, E(): 2.8e-38, (42.95% identity in 291 aa overlap); Q9HV81|PA4717 from Pseudomonas aeruginosa (297 aa), FASTA scores: opt: 641, E(): 1.5e-32, (43.35% identity in 300 aa overlap); Q98IA4|MLL2493 from Rhizobium loti (Mesorhizobium loti) (306 aa), FASTA scores: opt: 628, E(): 1e-31, (38.45% identity in 307 aa overlap); etc. Contains PS00142 Neutral zinc metallopeptidases, zinc-binding region signature.</t>
  </si>
  <si>
    <t>Rv2576c, (MTCY227.25), len: 154 aa. Possible conserved membrane protein, showing similarity with Q9ZFC2 hypothetical 15.7 KDA protein from Mycobacterium sp. FM10 (146 aa), FASTA scores: opt: 235, E(): 4.1e-08, (31.35% identity in 150 aa overlap).</t>
  </si>
  <si>
    <t>Rv2577, (MTCY227.24c), len: 529 aa. Conserved protein, showing similarity with various proteins from eukaryotes, in particular phosphatases, e.g. Q9SE01|pap purple acid phosphatase precursor from Glycine max (Soybean) (464 aa), FASTA scores: opt: 190, E(): 0.00026, (27.3% identity in 388 aa overlap); Q9SVP2|F18A5.90|AT4G13700 hypothetical 53.4 KDA protein from Arabidopsis thaliana (Mouse-ear cress) (474 aa), FASTA scores: opt: 280, E(): 6.6e-10, (27.2% identity in 331 aa overlap); Q9FK32 similarity to unknown protein from Arabidopsis thaliana (Mouse-ear cress) (529 aa), FASTA scores: opt: 249, E(): 6.2e-08, (25.3% identity in 435 aa overlap); Q12546|APHA acid phosphatase precursor from Aspergillus ficuum (614 aa), FASTA scores: opt: 207, E(): 2.9e-05, (22.95% identity in 458 aa overlap); etc.</t>
  </si>
  <si>
    <t>Rv2578c, (MTCY227.23), len: 340 aa. Conserved hypothetical protein, highly similar to hypothetical proteins (conserved or not) e.g. Q9ZBJ3|SC9C7.17c from Streptomyces coelicolor (348 aa), FASTA scores: opt: 998, E(): 1.6e-55, (47.6% identity in 355 aa overlap); Q9I763|PA0069 from Pseudomonas aeruginosa (352 aa), FASTA scores: opt: 560, E(): 6e-28, (36.6% identity in 284 aa overlap); Q986C9|MLL7417 from Rhizobium loti (Mesorhizobium loti) (356 aa), FASTA scores: opt: 550, E(): 2.6e-27, (39.15% identity in 240 aa overlap); etc.</t>
  </si>
  <si>
    <t>Generates a primary alcohol and halide from 1-haloalkane and H2O [catalytic activity: 1-haloalkane + H2O = a primary alcohol + halide].</t>
  </si>
  <si>
    <t>Possible haloalkane dehalogenase DhaA (1-chlorohexane halidohydrolase)</t>
  </si>
  <si>
    <t>Rv2579, (MTCY227.22c), len: 300 aa. Possible dhaA, haloalkane dehalogenase, strictly equivalent to Q9XB14|ISO-RV2579 haloalkane dehalogenase (1-chlorohexane halidohydrolase) from Mycobacterium bovis (300 aa), FASTA scores: opt: 2075, E(): 7.1e-125, (99.35% identity in 300 aa overlap); note that only two residues, 120 and 293 are different. Also highly similar to others e.g. Q9ZER0|DHAAF haloalkane dehalogenase from Mycobacterium sp strain GP1 (307 aa), FASTA scores: opt: 842, E(): 2.3e-46, (44.95% identity in 298 aa overlap); Q53042|DHAA haloalkane dehalogenase from Rhodococcus rhodochrous, and Pseudomonas pavonaceae (293 aa), FASTA scores: opt: 837, E(): 4.5e-46, (44.6% identity in 298 aa overlap); etc. Note that this protein may also be a 1,3,4,6-tetrachloro-1,4-cyclohexadiene hydrolase, because also highly similar to P51698|LINB_PSEPA 1,3,4,6-tetrachloro-1,4-cyclohexadiene hydrolase from Pseudomonas paucimobilis (Sphingomonas paucimobilis) (see Nagata et al., 1993) (296 aa), FASTA scores: opt: 1494, E(): 6.8e-88, (69.5% identity in 295 aa overlap). Also shows some similarity with proteins from Mycobacterium tuberculosis e.g. Q50670|YM96_MYCTU|Rv2296|MT2353|MTCY339.14c putative haloalkane dehalogenase (300 aa), FASTA scores: opt: 302, E(): 5.3e-12, (30.85% identity in 295 aa overlap); and Q50600|YJ33_MYCTU|Rv1833c|MT1881|MTCY1A11.10 hypothetical 32.2 KDA protein (286 aa), FASTA scores: opt: 286, E(): 5.3e-11, (29.85% identity in 288 aa overlap). May belong to alpha/beta hydrolase fold family. Note that previously known as linB.</t>
  </si>
  <si>
    <t>Involved in translation mechamism [catalytic activity: ATP + L-histidine + tRNA(his) = AMP + pyrophosphate + L-histidyl-tRNA(his)].</t>
  </si>
  <si>
    <t>Probable histidyl-tRNA synthetase HisS (histidine--tRNA ligase) (HISRS) (histidine--translase)</t>
  </si>
  <si>
    <t>Rv2580c, (MT2657, MTCY227.21), len: 423 aa. Probable hisS, histidyl-tRNA synthetase, equivalent to P46696|SYH_MYCLE|hiss|ML0494|MLCB1259.12|B1177_C3_248 histidyl-tRNA synthetase from Mycobacterium leprae (427 aa), FASTA scores: opt: 2380, E(): 2.1e-131, (85.85% identity in 417 aa overlap). Also highly similar to many e.g. Q9KXP2|hiss from Streptomyces coelicolor (425 aa), FASTA scores: opt: 1542, E(): 1.4e-82, (56.0% identity in 418 aa overlap); O32422|SYH_STAAU|hiss from Staphylococcus aureus (420 aa), FASTA scores: opt: 1135, E(): 7.4e-59, (44.9% identity in 412 aa overlap); P04804|SYH_ECOLI|hiss|B2514 from Escherichia coli strain K12 (423 aa), FASTA scores: opt: 1099, E(): 9.4e-57, (43.9% identity in 417 aa overlap); etc. Contains PS00017 ATP/GTP-binding site motif A (P-loop). Belongs to class-II aminoacyl-tRNA synthetase family.</t>
  </si>
  <si>
    <t>Involved in glyoxal pathway. Thiolesterase that catalyzes the hydrolysis of S-D-lactoyl-glutathione to form glutathione and D-lactic acid [catalytic activity: (S)-(2-hydroxyacyl)glutathione + H(2)O = glutathione + a 2-hydroxy acid anion].</t>
  </si>
  <si>
    <t>Rv2581c, (MTCY227.20), len: 224 aa. Possible glyoxalase II, equivalent to Q49649|YP81_MYCLE|ML0493|MLCB1259.11|B1177_C3_247 hypothetical 23.9 KDA protein from Mycobacterium leprae (218 aa), FASTA scores: opt: 1264, E(): 7.8e-73, (82.0% identity in 222 aa overlap). Also highly similar to Q9KXP1|SC9C5.33c possible hydrolase from Streptomyces coelicolor (235 aa), FASTA scores: opt: 654, E(): 2.9e-34, (46.8% identity in 220 aa overlap); and similar to Q9CI24|YFCI hypothetical protein from Lactococcus lactis (subsp. lactis) (Streptococcus lactis) (210 aa), FASTA scores: opt: 360, E(): 9.9e-16, (35.0% identity in 217 aa overlap); AAK75726|SP1646 metallo-beta-lactamase superfamily protein from Streptococcus pneumoniae (209 aa), FASTA scores: opt: 320, E(): 3.3e-13, (35.85% identity in 198 aa overlap); AAK80229|CAC2272 predicted Zn-dependent hydrolase of metallo-beta-lactamase superfamily from Clostridium acetobutylicum (199 aa), FASTA scores: opt: 282, E(): 8e-11, (32.7% identity in 217 aa overlap); etc. Equivalent to AAK46971 from Mycobacterium tuberculosis strain CDC1551 (246 aa) but shorter 22 aa. Belongs to the glyoxalase II family. Cofactor: binds two zinc ions.</t>
  </si>
  <si>
    <t>PPIases accelerate the folding of proteins [catalytic activity: cis-trans isomerization of proline imidic peptide bonds inoligopeptides].</t>
  </si>
  <si>
    <t>Probable peptidyl-prolyl cis-trans isomerase B PpiB (cyclophilin) (PPIase) (rotamase) (peptidylprolyl isomerase)</t>
  </si>
  <si>
    <t>Rv2582, (MTCY227.19c), len: 308 aa. Probable ppiB (alternate gene name: ppi), cyclophilin (peptidyl-prolyl cis-trans isomerase), equivalent to P46697|PPIB_MYCLE|PPI|ML0492|MLCB1259.10c|B1177_F3_97 probable peptidyl-prolyl cis-trans isomerase B from Mycobacterium leprae (295 aa), FASTA scores: opt: 1423, E(): 1.3e-66, (72.2% identity in 295 aa overlap). Also similar to others e.g. Q9KJG8|PPIB peptidyl-prolyl cis-trans isomerase from Streptomyces lividans (277 aa), FASTA scores: opt: 485, E(): 3.2e-18, (38.35% identity in 292 aa overlap); Q9KXP0|SC9C5.34 peptidyl-prolyl cis-trans isomerase from Streptomyces coelicolor (277 aa), FASTA scores: opt: 483, E(): 4.1e-18, (38.35% identity in 292 aa overlap); Q9RT72|DR1893 peptidyl-prolyl cis-trans isomerase from Deinococcus radiodurans (350 aa), FASTA scores: opt: 296, E(): 2.2e-08, (29.0% identity in 276 aa overlap); etc. Belongs to the cyclophilin-type PPIase family.</t>
  </si>
  <si>
    <t>Involved in the metabolism of PPGPP (at the first step). In eubacteria PPGPP (guanosine 3'-diphosphate 5-'diphosphate) is a mediator of the stringent response that coordinates a variety of cellular activities in response to changes in nutritional abundance. This enzyme catalyzes the formation of PPPGPP which is then hydrolysed to form PPGPP [catalytic activity: ATP + GTP = AMP + guanosine 3'-diphosphate 5-'triphosphate].</t>
  </si>
  <si>
    <t>Probable GTP pyrophosphokinase RelA (ATP:GTP 3'- pyrophosphotransferase) (PPGPP synthetase I) ((P)PPGPP synthetase) (GTP diphosphokinase)</t>
  </si>
  <si>
    <t>Rv2583c, (MTCY227.18), len: 790 aa. Probable relA, GTP pyrophosphokinase, equivalent to Q49640|RELA_MYCLE|ML0491|MLCB1259.09|B1177_C1_168 probable GTP pyrophosphokinase from Mycobacterium leprae (787 aa), FASTA scores: opt: 4834, E(): 0, (93.4% identity in 790 aa overlap). Also highly similar to others e.g. O87331|RELA_CORGL|RELA|rel from Corynebacterium glutamicum (Brevibacterium flavum) (760 aa), FASTA scores: opt: 3375, E(): 1.6e-196, (67.0% identity in 758 aa overlap); O85709|RELA_STRAT from Streptomyces antibioticus (841 aa), FASTA scores: opt: 3209, E(): 1.9e-186, (63.85% identity in 786 aa overlap); Q9KDH1|RELA|BH1242 from Bacillus halodurans (728 aa), FASTA scores: opt: 2195,E(): 3.8e-125, (45.65% identity in 714 aa overlap); etc. Belongs to the RELA / spot family.</t>
  </si>
  <si>
    <t>Involved in purine salvage. Catalyses a salvage reaction resulting in the formation of AMP, that is energically less costly than de novo synthesis [catalytic activity: AMP + pyrophosphate = adenine + 5-phospho-alpha-D-ribose 1-diphosphate].</t>
  </si>
  <si>
    <t>Adenine phosphoribosyltransferase Apt (APRT) (AMP diphosphorylase) (AMP pyrophosphorylase) (transphosphoribosidase)</t>
  </si>
  <si>
    <t>Rv2584c, (MTCY227.17), len: 223 aa. Probable apt, adenine phosphoribosyltransferase, similar, but longer in N-terminus, to others e.g. O87330|APT_CORGL from Corynebacterium glutamicum (Brevibacterium flavum) (185 aa), FASTA scores: opt: 524, E(): 1.3e-24, (50.95% identity in 159 aa overlap); P52561|APT_STRCO from Streptomyces coelicolor (182 aa), FASTA scores: opt: 503, E(): 2.3e-23, (51.85% identity in 164 aa overlap); P47956|APT_MUSPA|APRT from Mus pahari (Shrew mouse) (180 aa), FASTA scores: opt: 419, E(): 2.5e-18, (44.7% identity in 170 aa overlap); P07672|P09993|P77121|APT_ECOLI|B0469 from Escherichia coli strain K12 (183 aa), FASTA scores: opt: 393, E(): 1.9e-18, (42.6% identity in 162 aa overlap); etc. Contains PS00103 Purine/ pyrimidine phosphoribosyl transferases signature, and PS00144 Asparaginase / glutaminase active site signature 1. Belongs to the purine/pyrimidine phosphoribosyltransferase family. Nearest initiation codon indicated by homology is TTG at 17426 or GTG at 17465.</t>
  </si>
  <si>
    <t>Possible conserved lipoprotein</t>
  </si>
  <si>
    <t>Rv2585c, (MT2662, MTCY227.16), len: 557 aa. Possible conserved lipoprotein precursor, possibly attached to the membrane by a lipid anchor and substrate-binding protein involved in transport, equivalent to Q49646|YP85_MYCLE|ML0489|MLCB1259.07|B1177_C2_197 hypothetical lipoprotein precursor from Mycobacterium leprae (555 aa), FASTA scores: opt: 2812, E(): 9.8e-158, (78.95% identity in 546 aa overlap); and C-terminus highly similar to C-terminus of Q49638|DCIAE|B1177_C1_166 DCIAE protein from Mycobacterium leprae (344 aa), FASTA scores: opt: 1177, E(): 7.4e-62, (78.6% identity in 229 aa overlap). Also similar in part to various proteins, principally substrate-binding proteins, e.g. O87329|DCIAE dipeptide-binding protein from Corynebacterium glutamicum (Brevibacterium flavum) (502 aa), FASTA scores: opt: 614, E(): 1.2e-28, (30.7% identity in 427 aa overlap); Q9AKR0|OPPA|CAC49261 putative oligopeptide uptake ABC transporter periplasmic solute-binding protein precursor from Rhizobium meliloti (Sinorhizobium meliloti) (532 aa), FASTA scores: opt: 209, E(): 7.7e-05, (22.85% identity in 460 aa overlap); P76128|YDDS_ECOLI|B1487|P77769|P76874 putative ABC transporter periplasmic binding protein from Escherichia coli strain K12 (516 aa), FASTA scores: opt: 182, E(): 0.0029, (20.0% identity in 315 aa overlap); etc.</t>
  </si>
  <si>
    <t>Involved in protein export. Part of the prokaryotic protein translocation apparatus which comprise SECA, SECB, SECD, SECE, SECF, SECG and SECY.</t>
  </si>
  <si>
    <t>Probable protein-export membrane protein SecF</t>
  </si>
  <si>
    <t>Rv2586c, (MT2663, MTCY227.15), len: 442 aa. Probable secF, protein-export membrane protein (integral membrane protein) (see citation below), equivalent to P38386|SECF_MYCLE|SECF|ML0488|MLCB1259.06|B1177_C3_239 protein-export membrane protein from Mycobacterium leprae (471 aa), FASTA scores: opt: 1910, E(): 2.9e-104, (72.15% identity in 456 aa overlap). Also similar to others e.g. Q9AE06|SECF from Corynebacterium glutamicum (Brevibacterium flavum) (403 aa), FASTA scores: opt: 1198, E(): 9.8e-63, (47.1% identity in 399 aa overlap); Q53956|SECF_STRCO|SCL2.05c from Streptomyces coelicolor (373 aa), FASTA scores: opt: 670, E(): 6.4e-32, (39.25% identity in 400 aa overlap); Q55611|SECF_SYNY3|SLR0775 from Synechocystis sp. strain PCC 6803 (315 aa), FASTA scores: opt: 416, E(): 3.8e-17, (33.8% identity in 296 aa overlap); etc. Belongs to the SECD/SECF family, SECF family. Part of the prokaryotic protein translocation apparatus which comprise SECA|Rv3240c, SECD|Rv2587c, SECE|Rv0638, SECF, SECG|Rv1440 and SECY|Rv0732.</t>
  </si>
  <si>
    <t>Probable protein-export membrane protein SecD</t>
  </si>
  <si>
    <t>Rv2587c, (MTCY227.14), len: 573 aa. Probable secD, protein-export membrane protein (integral membrane protein) (see citation below), equivalent to P38387|SECD_MYCLE|ML0487|MLCB1259.05|B1177_C1_164 protein-export membrane protein from Mycobacterium leprae (571 aa), FASTA scores: opt: 2948, E(): 2.6e-97, (80.6% identity in 583 aa overlap). Also similar to others e.g. Q9AE07|SECD from Corynebacterium glutamicum (Brevibacterium flavum) (637 aa), FASTA scores: opt: 1023, E(): 1.9e-29, (44.95% identity in 596 aa overlap); Q53955|SECD_STRCO from Streptomyces coelicolor (570 aa), FASTA scores: opt: 864, E(): 7.2e-24, (38.0% identity in 584 aa overlap); O33517|SECD_RHOCA from Rhodobacter capsulatus (Rhodopseudomonas capsulata) (554 aa), FASTA scores: opt: 551, E(): 7.6e-13, (32.25% identity in 304 aa overlap); etc. Equivalent to AAK46977 from Mycobacterium tuberculosis strain CDC1551 (554 aa) but longer 19 aa. Belongs to the SecD/SecF family, SecD family. Part of the prokaryotic protein translocation apparatus which comprise SECA|Rv3240c, SECD, SECE|Rv0638, SECF|Rv2586c, SECG|Rv1440 and SECY|Rv0732.</t>
  </si>
  <si>
    <t>Thought to be involved in secretion apparatus.</t>
  </si>
  <si>
    <t>Probable conserved membrane protein secretion factor YajC</t>
  </si>
  <si>
    <t>Rv2588c, (MTCY227.13), len: 115 aa. Probable yajC, secretion factor, a conserved membrane protein (see Braunstein &amp; Belisle 2000), equivalent to Q49647|YP88_MYCLE|ML0486|MLCB1259.04|B1177_C3_235 hypothetical 12.8 KDA protein from Mycobacterium leprae (114 aa), FASTA scores: opt: 499, E(): 2.7e-26, (77.0% identity in 100 aa overlap). Also similar to other proteins e.g. Q9AE08 hypothetical 13.5 KDA protein from Corynebacterium glutamicum (Brevibacterium flavum) (121 aa), FASTA scores: opt: 222, E(): 5e-08, (39.8% identity in 103 aa overlap); Q9L292|SCL2.07c putative secreted protein from Streptomyces coelicolor (169 aa), FASTA scores: opt: 203, E(): 1.2e-06, (32.05% identity in 106 aa overlap); Q9CDT0|YWAB unknown protein from Lactococcus lactis (subsp. lactis) (Streptococcus lactis) (110 aa), FASTA scores: opt: 150, E(): 0.0026, (30.85% identity in 94 aa overlap); etc.</t>
  </si>
  <si>
    <t>Involved in 4-aminobutyrate (GABA) degradation pathway [catalytic activity: 4-aminobutanoate + 2-oxoglutarate = succinate semialdehyde + L-glutamate].</t>
  </si>
  <si>
    <t>4-aminobutyrate aminotransferase GabT (gamma-amino-N-butyrate transaminase) (GABA transaminase) (glutamate:succinic semialdehyde transaminase) (GABA aminotransferase) (GABA-at)</t>
  </si>
  <si>
    <t>Rv2589, (MTCY227.12c), len: 449 aa. Probable gabT, 4-aminobutyrate aminotransferase, equivalent to P40829|GABT_MYCLE|ML0485|MLCB1259.03c|B1177_F2_67 4-aminobutyrate aminotransferase (446 aa), FASTA scores: opt: 2468, E(): 4.5e-141, (83.75% identity in 449 aa overlap). Also highly similar to others e.g. O86823|GABT from Streptomyces coelicolor (444 aa), FASTA scores: opt: 1832, E(): 8e-103, (63.9% identity in 443 aa overlap); AAK79395|CAC1427 from Clostridium acetobutylicum (445 aa), FASTA scores: opt: 1283, E(): 8.4e-70, (45.75% identity in 433 aa overlap); Q9KE66|BH0991 from Bacillus halodurans (443 aa), FASTA scores: opt: 1224, E(): 2.9e-66, (44.55% identity in 431 aa overlap); etc. Contains PS00600 Aminotransferases class-III pyridoxal-phosphate attachment site. Belongs to class-III of pyridoxal-phosphate-dependent aminotransferases. Cofactor: pyridoxal phosphate.</t>
  </si>
  <si>
    <t>Probable fatty-acid-CoA ligase FadD9 (fatty-acid-CoA synthetase) (fatty-acid-CoA synthase)</t>
  </si>
  <si>
    <t>Rv2590, (MTCY227.11c), len: 1168 aa. Probable fadD9, fatty-acid-CoA synthetase, highly similar to O69484|FADD9 (alias Q9CCT4|FADD9|ML0484 but longer 14 aa) putative acyl-CoA synthetase from Mycobacterium leprae (1174 aa), FASTA scores: opt: 5247, E(): 0, (68.0% identity in 1178 aa overlap). N-terminal (approximately 700 residues) similar to other long chain fatty acid ligases. And C-terminus highly similar to C-terminus of Q9XCF2|PSTB PSTB protein from Mycobacterium avium (2552 aa), FASTA scores: opt: 2083, E(): 8.4e-116, (40.8% identity in 1150 aa overlap) (and weak similarity on N-terminus). C-terminal part highly similar to polyketide synthases and peptides synthases (weak similarity on N-terminus) e.g. Q10896|Rv0101|MTCY251.20|NRP probable peptide synthetase from Mycobacterium tuberculosis (2512 aa), FASTA scores: opt: 1988, E(): 3.7e-110, (40.2% identity in 1181 aa overlap); etc. Contains PS00455 putative AMP-binding domain signature, and PS00061 Short-chain alcohol dehydrogenase family signature. Seems to belong to the ATP-dependent AMP-binding enzyme family, and to the short-chain dehydrogenases/reductases (SDR) family.</t>
  </si>
  <si>
    <t>PE-PGRS family protein PE_PGRS44</t>
  </si>
  <si>
    <t>Rv2591, (MTCY227.10c), len: 543 aa. PE_PGRS44, Member of the Mycobacterium tuberculosis PE family, PGRS subfamily of gly-rich proteins (see citation below), highly similar to others e.g. O53845|Rv0834c|MTV043.26c from Mycobacterium tuberculosis (882 aa), FASTA scores: opt: 1813, E(): 5.8e-66, (55.3% identity in 568 aa overlap). Equivalent to AAK46982 from Mycobacterium tuberculosis strain CDC1551 (505 aa) but longer 38 aa. Contains PS00583 pfkB family of carbohydrate kinases signature 1.</t>
  </si>
  <si>
    <t>forms a complex with RUVA. RUVB could possess weak ATPase activity, which will be stimulated by the RUVA protein in the presence of DNA. The RUVA-RUVB complex in the presence of ATP renatures cruciform structure in supercoiled DNA with palindromic sequence, indicating that it may promote strand exchange reactions in homologous recombination. RUVAB is an helicase that mediates the holliday junction migration by localized denaturation and reanneling.</t>
  </si>
  <si>
    <t>Probable holliday junction DNA helicase RuvB</t>
  </si>
  <si>
    <t>Rv2592c, (MTCY227.09), len: 344 aa. Probable ruvB, Holliday junction binding protein (see Mizrahi &amp; Andersen 1998), equivalent to P40833|RUVB_MYCLE|ML0483|B1177_C3_227 holliday junction DNA helicase from Mycobacterium leprae (349 aa), FASTA scores: opt: 2059, E(): 2.1e-106, (94.45% identity in 342 aa overlap). Also highly similar to others e.g. Q9AE09|RUVB from Corynebacterium glutamicum (Brevibacterium flavum) (363 aa), FASTA scores: opt: 1651, E(): 6.5e-84, (75.6% identity in 332 aa overlap); Q9L291|RUVB from Streptomyces coelicolor (357 aa), FASTA scores: opt: 1530, E(): 3e-77, (68.2% identity in 343 aa overlap); P08577|RUVB_ECOLI|B1860|Z2912|ECS2570 from Escherichia coli strains K12 and O157:H7 (336 aa), FASTA scores: opt: 1284, E(): 1e-63, (55.45% identity in 330 aa overlap); etc. Contains PS00017 ATP/GTP-binding site motif A (P-loop). Belongs to the RuvB family.</t>
  </si>
  <si>
    <t>forms a complex with RUVB. RUVA stimulates, in the presence of DNA, the weak ATPase activity of RUVB. The RUVA-RUVB complex in the presence of ATP renatures cruciform structure in supercoiled DNA with palindromic sequence, indicating that it may promote strand exchange reactions in homologous recombination. RUVAB is an helicase that mediates the holliday junction migration by localized denaturation and reanneling.</t>
  </si>
  <si>
    <t>Probable holliday junction DNA helicase RuvA</t>
  </si>
  <si>
    <t>Rv2593c, (MTCY227.08), len: 196 aa. Probable ruvA, Holliday junction binding protein (see citations below), equivalent to P40832|RUVA_MYCLE|ML0482|B1177_C2_188 holliday junction DNA helicase from Mycobacterium leprae (203 aa), FASTA scores: opt: 923, E(): 9.9e-50, (76.85% identity in 203 aa overlap). Also highly similar to others e.g. Q9L290|RUVA from Streptomyces coelicolor (201 aa) (201 aa), FASTA scores: opt: 549, E(): 8.2e-27, (47.55% identity in 204 aa overlap); Q9AE10|RUVA from Corynebacterium glutamicum (Brevibacterium flavum) (206 aa), FASTA scores: opt: 440, E(): 4e-20, (47.1% identity in 206 aa overlap); P08576|RUVA_ECOLI|B1861|Z2913|ECS2571 from Escherichia coli strains K12 and O157:H7 (203 aa), FASTA scores: opt: 312, E(): 2.8e-12, (34.85% identity in 201 aa overlap); etc. Belongs to the RuvA family.</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</si>
  <si>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 [catalytic activity: endonucleolytic cleavage at a junction such as a reciprocal single-stranded crossover between two homologous DNA duplexes (holliday junction)].</t>
  </si>
  <si>
    <t>Probable crossover junction endodeoxyribonuclease RuvC (holliday junction nuclease) (holliday junction resolvase)</t>
  </si>
  <si>
    <t>Rv2594c, (MTCY227.07), len: 188 aa. Probable ruvC, Holliday junction resolvase (see citations below), equivalent to P40834|RUVC_MYCLE|ML0481|B1177_C3_226 crossover junction endodeoxyribonuclease from Mycobacterium leprae (188 aa), FASTA scores: opt: 984, E(): 2.3e-55, (81.0% identity in 184 aa overlap). Also highly similar to others e.g. Q9AE11|RUVC from Corynebacterium glutamicum (Brevibacterium flavum) (221 aa), FASTA scores: opt: 713, E(): 3.6e-38, (56.9% identity in 188 aa overlap); Q9L289|RUVC_STRCO|SCL2.10c from Streptomyces coelicolor (188 aa), FASTA scores: opt: 704, E(): 1.2e-37, (60.65% identity in 178 aa overlap); P24239|RUVC_ECOLI|B1863 from Escherichia coli strain K12 (172 aa), FASTA scores: opt: 322, E(): 1.6e-13, (38.65% identity in 163 aa overlap); etc. Belongs to the RUVC family. Cofactor: magnesium.</t>
  </si>
  <si>
    <t>vapB40</t>
  </si>
  <si>
    <t>Possible antitoxin VapB40</t>
  </si>
  <si>
    <t>Rv2595, (MTCY227.06c), len: 81 aa. Possible vapB40, antitoxin, part of toxin-antitoxin (TA) operon with Rv2596, see Arcus et al. 2005. Similarity with various bacterial proteins e.g. O28268|AF2011 conserved hypothetical protein from Archaeoglobus fulgidus (86 aa), FASTA scores: opt: 120, E(): 0.13, (34.35% identity in 67 aa overlap); CAC46196|SMC01176 conserved hypothetical protein from Rhizobium meliloti (Sinorhizobium meliloti) (79 aa), FASTA scores: opt: 119, E(): 0.14, (33.35% identity in 63 aa overlap); P37554|SP5T_BACSU|SPOVT stage V sporulation protein T from Bacillus subtilis (178 aa), FASTA scores: opt: 104, E(): 2.9, (51.45% identity in 35 aa overlap); etc. Also similar to O07779|Rv0599c|MTCY19H5.23 hypothetical protein from Mycobacterium tuberculosis (78 aa), FASTA scores: opt: 160, E(): 0.00026, (35.8% identity in 81 aa overlap).</t>
  </si>
  <si>
    <t>vapC40</t>
  </si>
  <si>
    <t>Rv2596</t>
  </si>
  <si>
    <t>Possible toxin VapC40. Contains PIN domain.</t>
  </si>
  <si>
    <t>Rv2596, (MTCY227.05c), len: 134 aa. Possible vapC40, toxin, part of toxin-antitoxin (TA) operon with Rv2595, contains PIN domain, see Arcus et al. 2005. Similar to others in Mycobacterium tuberculosis e.g. O07780|Rv0598c|MTCY19H5.24 hypothetical 14.8 KDA protein from (137 aa), FASTA scores: opt: 254, E(): 8.8e-11, (41.55% identity in 130 aa overlap).</t>
  </si>
  <si>
    <t>Rv2597, (MTCY227.04c), len: 206 aa. Probable membrane protein. Predicted to be an outer membrane protein (See Song et al., 2008).</t>
  </si>
  <si>
    <t>Rv2598</t>
  </si>
  <si>
    <t>Rv2598, (MTCY227.03c), len: 164 aa. Conserved hypothetical protein, showing similarity with hypothetical proteins from Streptomyces coelicolor e.g. Q9X8S3|SCH10.34c (185 aa), FASTA scores: opt: 197, E(): 3.5e-06, (34.75% identity in 167 aa overlap); and Q9L088|SCC24.29c (172 aa), FASTA scores: opt: 149, E(): 0.0053, (37.65% identity in 146 aa overlap). Equivalent to AAK46988 from Mycobacterium tuberculosis strain CDC1551 (154 aa) but longer 10 aa.</t>
  </si>
  <si>
    <t>Rv2599</t>
  </si>
  <si>
    <t>Rv2599, (MTCY227.02c), len: 143 aa. Probable conserved membrane protein, equivalent to Q9K536|2599 hypothetical 15.0 KDA protein (fragment) from Mycobacterium paratuberculosis (143 aa), FASTA scores: opt: 691, E(): 1.7e-33, (68.55% identity in 143 aa overlap). Shows weak similarity with Q9L089|SCC24.28c putative lipoprotein from Streptomyces coelicolor (131 aa), FASTA scores: opt: 130, E(): 0.52, (26.45% identity in 136 aa overlap). Contains PS00626 Regulator of chromosome condensation (RCC1) signature 2. Predicted to be an outer membrane protein (See Song et al., 2008).</t>
  </si>
  <si>
    <t>Rv2600</t>
  </si>
  <si>
    <t>Rv2600, (MTCY277.01c, MTV001.01), len: 133 aa. Probable conserved integral membrane protein, equivalent (but shorter 18 aa) to Q9K537|YQ00_MYCPA hypothetical protein RV2600 homolog from Mycobacterium paratuberculosis (151 aa), FASTA scores: opt: 543, E(): 4.2e-28, (62.9% identity in 132 aa overlap). Also some similarity with other hypothetical or membrane proteins e.g. Q9L090|SCC24.27c putative integral membrane protein from Streptomyces coelicolor (146 aa), FASTA scores: opt: 241, E(): 8.7e-09, (34.8% identity in 135 aa overlap); O58487|PH0773 hypothetical 15.0 KDA protein from Pyrococcus horikoshii (138 aa), FASTA scores: opt: 116, E(): 0.84, (34.35% identity in 96 aa overlap); etc. Equivalent to AAK46990 from Mycobacterium tuberculosis strain CDC1551 (152 aa) but shorter 19 aa.</t>
  </si>
  <si>
    <t>speE</t>
  </si>
  <si>
    <t>Rv2601</t>
  </si>
  <si>
    <t>Involved in the biosynthesis of spermidine from arginine (at the fifth, last step). The activity is thought to be regulated mainly by the availability of decarboxylated S-adenosylmethionine [catalytic activity: S-adenosylmethioninamine + putrescine = 5'-methylthioadenosine + spermidine].</t>
  </si>
  <si>
    <t>Probable spermidine synthase SpeE (putrescine aminopropyltransferase) (aminopropyltransferase) (SPDSY)</t>
  </si>
  <si>
    <t>Rv2601, (MTCI270.04c-MTV001.02), len: 523 aa. Probable speE, spermidine synthase, highly similar to many e.g. Q9L091|SCC24.26c from Streptomyces coelicolor (531 aa), FASTA scores: opt: 1493, E(): 1.3e-79, (48.45% identity in 514 aa overlap); Q9X8S2|SCH10.33c from Streptomyces coelicolor (554 aa), FASTA scores: opt: 1045, E(): 1.7e-53, (40.55% identity in 525 aa overlap); P09158|SPEE_ECOLI|B0121 from Escherichia coli strain K12 (287 aa), FASTA scores: opt: 368, E(): 2.9e-14, (30.5% identity in 272 aa overlap); etc.</t>
  </si>
  <si>
    <t>vapB41</t>
  </si>
  <si>
    <t>Possible antitoxin VapB41</t>
  </si>
  <si>
    <t>Rv2601A, len: 95 aa. Possible vapB41, antitoxin, part of toxin-antitoxin (TA) operon with Rv2602, see Arcus et al. 2005. Similar to others in Mycobacterium tuberculosis e.g. O53811|Rv0748 conserved hypothetical protein (88 aa), FASTA scores: opt: 132, E(): 0.017, (29.25% identity in 82 aa overlap); O53218|Rv2493 (73 aa), FASTA scores: opt: 107, E(): 0.97, (33.75% identity in 83 aa overlap); and Q10799|YS71_MYCTU|Rv2871 conserved hypothetical protein from Mycobacterium tuberculosis (85 aa), FASTA scores: opt: 108, E(): 0.91, (41.00% identity in 39 aa overlap).</t>
  </si>
  <si>
    <t>vapC41</t>
  </si>
  <si>
    <t>Possible toxin VapC41. Contains PIN domain.</t>
  </si>
  <si>
    <t>Rv2602, (MTCI270A.03c), len: 146 aa. Possible vapC41, toxin, part of toxin-antitoxin (TA) operon with Rv2601A, contains PIN domain, see Arcus et al. 2005. Similar to others in Mycobacterium tuberculosis (strains H37Rv and CDC1551) e.g. O50457|Rv1242|MTV006.14 (143 aa), FASTA scores: opt: 147, E(): 0.0021, (26.25% identity in 141 aa overlap); P95023|Rv2530c|MTCY159.26 (139 aa), FASTA scores: opt: 131, E(): 0.027, (33.35% identity in 135 aa overlap); O53812|Rv0749|MTV041.23 (142 aa), FASTA scores: opt: 125, E(): 0.072, (26.45% identity in 140 aa overlap).</t>
  </si>
  <si>
    <t>Highly conserved protein</t>
  </si>
  <si>
    <t>Rv2603c, (MTCI270A.02), len: 251 aa. Highly conserved protein, equivalent to Q49645|YQ03_MYCLE|ML0475|U1177B|B1177_C2_181 hypothetical 26.6 KDA protein from Mycobacterium leprae (251 aa), FASTA scores: opt: 1514, E(): 2.2e-84, (92.45% identity in 251 aa overlap). Also highly similar to Q9L288|SCL2.11c hypothetical 26.8 KDA protein from Streptomyces coelicolor (250 aa), FASTA scores: opt: 1268, E(): 1.5e-69, (76.7% identity in 249 aa overlap); Q9AE12|YFCA hypothetical structural protein from Corynebacterium glutamicum (Brevibacterium flavum) (251 aa), FASTA scores: opt: 1231, E(): 2.6e-67, (72.9% identity in 251 aa overlap); O83487|Y474_TREPA|TP0474 hypothetical protein from Treponema pallidum (245 aa), FASTA scores: opt: 780, E(): 4.4e-40, (47.75% identity in 245 aa overlap); P24237|YEBC_ECOLI|B1864 protein YEBC from Escherichia coli strain K12 (246 aa), FASTA scores: opt: 776, E(): 7.6e-40, (47.8% identity in 249 aa overlap); etc.</t>
  </si>
  <si>
    <t>snoP</t>
  </si>
  <si>
    <t>Possibly involved in the biosynthesis of pyridoxine/pyridoxal 5-phosphate biosynthesis</t>
  </si>
  <si>
    <t>Probable glutamine amidotransferase SnoP</t>
  </si>
  <si>
    <t>Rv2604c, (MTCY01A10.29, MTCI270A.01), len: 198 aa. Probable snoP, glutamine amidotransferase, equivalent (but shorter 21 aa) to Q49637|HISH|B1177_C1_149 HISH protein (belongs to the YFL060C/YAAE/HI1648 family) (alias Q9CCT5|ML0474 hypothetical protein 223 aa) from Mycobacterium leprae (219 aa), FASTA scores: opt: 1069, E(): 1.7e-60, (83.35% identity in 198 aa overlap). Also highly similar to hypothetical proteins or amidotransferases e.g. Q9L287|SCL2.12c hypothetical 21.5 KDA protein from Streptomyces coelicolor (202 aa), FASTA scores: opt: 702, E(): 2.3e-37, (56.75% identity in 192 aa overlap); P37528|YAAE_BACSU hypothetical 21.4 KDA protein from Bacillus subtilis (196 aa), FASTA scores: opt: 608, E(): 1.9e-31, (48.7% identity in 189 aa overlap); Q9KGN5|BH0023 amidotransferase from Bacillus halodurans (196 aa), FASTA scores: opt: 583, E(): 7.4e-30, (48.7% identity in 195 aa overlap); etc. Also some similarity with several proteins from Mycobacterium tuberculosis e.g. O06589|HIS5_MYCTU|Rv1602|MT1638|MTCY336.02c amidotransferase (206 aa), FASTA scores: opt: 154, E(): 0.00036, (30.6% identity in 193 aa overlap). Contains a Pfam match to entry PF01174 SNO glutamine amidotransferase family. Note possibly co-regulated with snzP (Rv2606c).</t>
  </si>
  <si>
    <t>Function unknown; lipolytic enzyme involved in cellular metabolism. Can hydrolyze a broad range of acyl-CoA thioesters.</t>
  </si>
  <si>
    <t>Probable acyl-CoA thioesterase II TesB2 (TEII)</t>
  </si>
  <si>
    <t>Rv2605c, (MTCY01A10.28), len: 281 aa. Probable tesB2, acyl-CoA thioesterase II, highly similar to others e.g. Q98EG9|MLL4250 from Rhizobium loti (Mesorhizobium loti) (286 aa), FASTA scores: opt: 563, E(): 3.9e-29, (47.75% identity in 287 aa overlap); CAC47767 from Rhizobium meliloti (Sinorhizobium meliloti) (294 aa), FASTA scores: opt: 553, E(): 1.8e-28, (49.3% identity in 280 aa overlap); P23911|TESB_ECOLI|B0452 from Escherichia coli strain K12 (285 aa), FASTA scores: opt: 487, E(): 3.1e-24, (41.9% identity in 277 aa overlap); etc. Also similar to O06135|TESB1|Rv1618|MTCY01B2.10 acyl-CoA thioesterase II from Mycobacterium tuberculosis (300 aa), FASTA scores: opt: 425, E(): 1.1e-21, (34.9% identity in 278 aa overlap). Belongs to the C/M/P thioester hydrolase family.</t>
  </si>
  <si>
    <t>snzP</t>
  </si>
  <si>
    <t>Possible pyridoxine biosynthesis protein SnzP</t>
  </si>
  <si>
    <t>Rv2606c, (MTCY01A10.27), len: 299 aa. Probable snzP, pyridoxine biosynthesis protein. Highly similar to O07145|YQ06_MYCLE|ML0450|MLCL581.12c possible pyridoxine biosynthesis protein from Mycobacterium leprae (307 aa), FASTA scores: opt: 1686, E(): 1.5e-95, (89.7% identity in 291 aa overlap). Also highly similar to several pyridoxine biosynthesis proteins and hypothetical proteins e.g. Q9L286|SCL2.13c hypothetical 32.2 KDA protein from Streptomyces coelicolor (303 aa), FASTA scores: opt: 1461, E(): 7.6e-82, (76.8% identity in 293 aa overlap); O14027|YEM4_SCHPO|SPAC29B12.04 putative stress-induced protein from Schizosaccharomyces pombe (Fission yeast) (296 aa), FASTA scores: opt: 1318, E(): 3.8e-73, (70.35% identity in 290 aa overlap); Q9UW83|PYROA protein involved in pyridoxine biosynthesis from Emericella nidulans (Aspergillus nidulans) (see citation below) (304 aa), FASTA scores: opt: 1288, E(): 2.6e-71, (67.9% identity in 302 aa overlap); etc. Contains Pfam match to entry PF01680, SOR_SNZ family. Contains PS01235 Uncharacterized protein family UPF0019 signature. Belongs to the SOR_SNZ family. Note possibly co-regulated with snoP (Rv2604c).</t>
  </si>
  <si>
    <t>Involved in biosynthesis of pyridoxine (vitamin B6) and pyridoxal phosphate. Oxidize PNP and PMP into pyridoxal 5'-phosphate (PLP)[catalytic activity: pyridoxamine 5'-phosphate + H(2)O + O(2) = pyridoxal 5'-phosphate + NH(3) + H(2)O(2)].</t>
  </si>
  <si>
    <t>Probable pyridoxamine 5'-phosphate oxidase PdxH (PNP/PMP oxidase) (pyridoxinephosphate oxidase) (PNPOX) (pyridoxine 5'-phosphate oxidase)</t>
  </si>
  <si>
    <t>Rv2607, (MTCY01A10.26c), len: 224 aa. Probable pdxH, pyridoxinephosphate oxidase, equivalent to O33065|PDXH_MYCLE|ML2131|MLCB57.46 pyridoxamine 5'-phosphate oxidase from Mycobacterium leprae (219 aa), FASTA scores: opt: 1038, E(): 8.3e-61, (67.1% identity in 219 aa overlap). Also similar to others e.g. Q9I4S5|PDXH|PA1049 from Pseudomonas aeruginosa (215 aa), FASTA scores: opt: 608, E(): 1.1e-32, (49.55% identity in 218 aa overlap); Q9K3V7|SCD10.19c from Streptomyces coelicolor (234 aa), FASTA scores: opt: 600, E(): 3.9e-32, (42.3% identity in 234 aa overlap); P28225|PDXH_ECOLI|B1638 from Escherichia coli strain K12 (217 aa), FASTA scores: opt: 533, E(): 8.9e-28, (40.3% identity in 216 aa overlap); etc. Contains a match to Pfam entry PF01243 Pyridoxamine 5'-phosphate oxidase. Belongs to the pyridoxamine 5'-phosphate oxidase family. Cofactor: FMN.</t>
  </si>
  <si>
    <t>PPE family protein PPE42</t>
  </si>
  <si>
    <t>Rv2608, (MTCY01A10.25c), len: 580 aa. PPE42, Member of the Mycobacterium tuberculosis PPE family, highly similar to many e.g. O06828|Rv1430|MTCY493.24c from Mycobacterium tuberculosis (528 aa), FASTA scores: opt: 1004, E(): 5.9e-48, (56.05% identity in 307 aa overlap).</t>
  </si>
  <si>
    <t>Rv2609c, (MTCY01A10.24), len: 351 aa. Probable conserved membrane protein, equivalent to O07146|MLCL581.13c|ML0451 hypothetical 37.9 KDA protein from Mycobacterium leprae (349 aa), FASTA scores: opt: 1675, E(): 1.4e-95, (77.85% identity in 334 aa overlap). Also similar to hypothetical proteins: O69888|SC2E1.17|mutt hypothetical 19.4 KDA protein from Streptomyces coelicolor and Streptomyces lividans (172 aa), FASTA scores: opt: 345, E(): 3.5e-14, (44.7% identity in 161 aa overlap); Q9L285|SCL2.14c hypothetical 19.8 KDA protein from Streptomyces coelicolor (180 aa), FASTA scores: opt: 179, E(): 0.00056, (43.25% identity in 171 aa overlap); and Q9RYE5|DR0004 mutt/NUDIX family protein from Deinococcus radiodurans (350 aa), FASTA scores: opt: 153, E(): 0.037, (33.35% identity in 123 aa overlap). Contains PS00893 mutT domain signature. Belongs to the mutt/NUDIX family.</t>
  </si>
  <si>
    <t>Involved in the first mannosylation step in phosphatidylinositol mannoside biosynthesis (transfer of mannose residues onto PI, leading to the synthesis of phosphatidylinositol monomannoside).</t>
  </si>
  <si>
    <t>Alpha-mannosyltransferase PimA</t>
  </si>
  <si>
    <t>Rv2610c, (MTCY01A10.23), len: 378 aa. PimA, alpha-mannosyltransferase (see citations below), equivalent to O07147|MLCL581.14c|ML0452 putative glycosyltransferase from Mycobacterium leprae (374 aa), FASTA scores: opt: 2044, E(): 8.8e-118, (82.25% identity in 378 aa overlap). N-terminus (from aa 1 to 27) equivalent to Q9FY7 putative alpha-mannosyl transferase (fragment) from Mycobacterium smegmatis (27 aa), blastp scores: 57.4 bits (137), E(): 3e-8, Identities = 25/27 (92%), Positives = 27/27 (99%) (see citation below). Also highly similar to Q9L284|SCL2.15c putative sugar transferase from Streptomyces coelicolor (387 aa), FASTA scores: opt: 1222, E(): 1.8e-67, (52.95% identity in 376 aa overlap); and similar in part to various proteins e.g. Q9YA73|APE2066 long hypothetical N-acetylglucosaminyl-phosphatidylinositol biosynthetic protein from Aeropyrum pernix (392 aa), FASTA scores: opt: 434, E(): 3e-19, (31.5% identity in 378 aa overlap); Q9UZA1|PAB0827 galactosyltransferase or LPS biosynthesis RFBU related protein from Pyrococcus abyssi (371 aa), FASTA scores: opt: 382, E(): 4.3e-16, (28.2% identity in 383 aa overlap); O26275|MTH173 LPS biosynthesis RFBU related protein from Methanothermobacter thermautotrophicus (382 aa), FASTA scores: opt: 372, E(): 1.8e-15, (28.4% identity in 391 aa overlap); etc. Shows also some similarity with O05313|Rv1212c|MTCI364.24c hypothetical 41.5 KDA protein from Mycobacterium tuberculosis (387 aa), FASTA scores: opt: 232, E(): 1.1e -07, (28.4% identity in 402 aa overlap). Contains PS00017 ATP/GTP-binding site motif A (P-loop).</t>
  </si>
  <si>
    <t>Catalyzes the acylation of the 6-position of the mannose residue linked to position 2 of the myo-inositol in phosphatylinositol mono- and DI-mannosides.</t>
  </si>
  <si>
    <t>Rv2611c, (MTCY01A10.22), len: 316 aa. Probable acyltransferase , equivalent to O07148|MLCL581.15c|ML0453 hypothetical 35.4 KDA protein from Mycobacterium leprae (320 aa), FASTA scores: opt: 1529, E(): 5e-90, (71.45% identity in 312 aa overlap); and equivalent to Q9F7Y8 putative acyltransferase from Mycobacterium smegmatis (303 aa), FASTA scores: opt: 1464, E(): 6.5e-86, (72.15% identity in 291 aa overlap) (see citation below). Also highly similar to Q9L283|SCL2.16c putative acyltransferase from Streptomyces coelicolor (311 aa), FASTA scores: opt: 810, E(): 2.8e-44, (47.7% identity in 302 aa overlap); and similar to other acyltransferases e.g. Q9F0N3 acyltransferase from Campylobacter jejuni (295 aa), FASTA scores: opt: 207, E(): 6.4e-06, (20.45% identity in 220 aa overlap); Q9K379 acyltransferase (lipid a biosynthesis acyltransferase) from Campylobacter jejuni (295 aa), FASTA scores: opt: 203, E(): 1.1e-05, (20.0% identity in 220 aa overlap); etc.</t>
  </si>
  <si>
    <t>Catalyzes the transfer of a free alcohol (inositol) onto CDP-diacylglycerol. The product of this putative ORF seems be essential to mycobacteria [catalytic activity: CDP-diacylglycerol + myo-inositol = CMP + phosphatidyl 1D-myo-inositol].</t>
  </si>
  <si>
    <t>PI synthase PgsA1 (phosphatidylinositol synthase) (CDP-diacylglycerol--inositol-3-phosphatidyltransferase)</t>
  </si>
  <si>
    <t>Rv2612c, (MTCY01A10.21), len: 217 aa. pgsA1 (previously known as pgsA), PI synthase/CDP-diacylglyceride--inositol phosphatidyltransferase, transmembrane protein, equivalent to O07149|MLCL581.16c|PGSA|ML0454 putative phosphatidyltransferase from Mycobacterium leprae (239 aa), FASTA scores: opt: 1141, E(): 4.1e-70, (79.35% identity in 213 aa overlap); and Q9F7Y9|PGSA phosphatidylinositol synthase from Mycobacterium smegmatis (222 aa), FASTA scores: opt: 981, E(): 2.7e-59, (67.3% identity in 217 aa overlap) (see citation below). Also similar to other proteins e.g. Q9L282|SCL2.17c putative membrane transferase from Streptomyces coelicolor (241 aa), FASTA scores: opt: 564, E(): 4.9e-31, (43.4% identity in 212 aa overlap); Q9UYD0|PGSA-like|PAB1041 CDP-diacylglycerol--glycerol-3-phosphate 3-phosphatidyltransferase from Pyrococcus abyssi (186 aa), FASTA scores: opt: 264, E(): 8.4e-11, (33.15% identity in 190 aa overlap); Q9HQS2|PGSA|VNG1030G CDP-diacylglycerol-glycerol-3-phosphate 3-phosphatidyltransferase from Halobacterium sp. strain NRC-1 (199 aa), FASTA scores: opt: 249, E(): 9.1e-10, (32.1% identity in 193 aa overlap); etc. Contains PS00379 CDP-alcohol phosphatidyltransferases signature. Belongs to the CDP-alcohol phosphatidyltransferase class-I family. Note that in Mycobacterium smegmatis, the psgA homologue is essential to the survival of the bacteria and seems cannot be compensated by any other enzyme of Mycobacterium smegmatis.</t>
  </si>
  <si>
    <t>Function unknown; but could be involved in lipid metabolism.</t>
  </si>
  <si>
    <t>Rv2613c, (MTCY01A10.20A), len: 195 aa. Conserved protein, equivalent to Q9CCU0|ML0455 hypothetical protein from Mycobacterium leprae (206 aa), FASTA scores: opt: 1074, E(): 7.4e-62, (84.7% identity in 196 aa overlap); and highly similar, but longer 18 aa, to O07150|MLCL581.17c hypothetical 20.7 KDA protein from Mycobacterium leprae (186 aa), FASTA scores: opt: 1038, E(): 1.4e-59, (89.7% identity in 175 aa overlap). Also highly similar to other hypothetical proteins (often Hit family member) e.g. Q9F7Z0 from Mycobacterium smegmatis (see citation below) (205 aa), FASTA scores: opt: 975, E(): 1.6e-55, (79.35% identity in 184 aa overlap); Q9L279|SCL2.20 from Streptomyces coelicolor (186 aa), FASTA scores: opt: 638, E(): 5.8e-34, (52.85% identity in 176 aa overlap); Q9YFX8|APE0122 from Aeropyrum pernix (184 aa), FASTA scores: opt: 515, E(): 4.4e-26, (45.9% identity in 159 aa overlap); etc. It seems the Rv2613c and downstream ORF Rv2612c|psgA1 are expressed from the same promoter (see citation below) and that Rv2613c should be involved in lipid metabolism.</t>
  </si>
  <si>
    <t>Rv2614A</t>
  </si>
  <si>
    <t>Rv2614A, len: 75 aa. Conserved hypothetical protein. The region from aa 10-35 is similar to part of C-terminal part of several triosephosphate isomerases e.g. P46711|TPIS_MYCLE|TPIA|TPI|ML0572|B1496_C1_127 from Mycobacterium leprae (261 aa), FASTA scores: opt: 112, E(): 0.95, (60.0% identity in 25 aa overlap); and O08408|TPIS_MYCTU|TPIA|TPI|Rv1438|MT1482|MTCY493.16c from Mycobacterium tuberculosis (261 aa), FASTA scores: opt: 104, E(): 3.3, (60.0% identity in 25 aa overlap); P19583|TPIS_CORGL|TPIA|TPI from Corynebacterium glutamicum (Brevibacterium flavum) (259 aa), FASTA scores: opt: 100, E(): 6, (45.45% identity in 33 aa overlap); etc. Triosephosphate isomerases play an important role in several metabolic pathways (catalytic activity: D-glyceraldehyde 3-phosphate = dihydroxy-acetone phosphate). Nucleotide position 2943411 in the genome sequence has been corrected, T:C resulting in L12L.</t>
  </si>
  <si>
    <t>Involved in translation mechanism [catalytic activity: ATP + L-threonine + tRNA(THR) = AMP + pyrophosphate + L-threonyl-tRNA(THR)].</t>
  </si>
  <si>
    <t>Probable threonyl-tRNA synthetase ThrS (threonine-tRNA synthetase)(ThrRS) (threonine-tRNA ligase)</t>
  </si>
  <si>
    <t>Rv2614c, (MT2689, MTCY01A10.20), len: 692 aa. Probable thrS, threonyl-tRNA synthetase (Threonine--tRNA ligase), equivalent to O07151|SYT_MYCLE|THRS|ML0456|MLCL581.18c threonyl-tRNA synthetase from Mycobacterium leprae (702 aa), FASTA scores: opt: 3988, E(): 0, (84.05% identity in 702 aa overlap). Also highly similar to others e.g. Q9L278|THRS from Streptomyces coelicolor (658 aa), FASTA scores: opt: 1982, E(): 5.1e-114, (65.1% identity in 659 aa overlap); P56881|SYT_THETH|THRS from Thermus aquaticus (subsp. thermophilus) (659 aa), FASTA scores: opt: 1551, E(): 1.5e-87, (46.5% identity in 650 aa overlap); P00955|SYT_ECOLI from Escherichia coli (642 aa), FASTA scores: opt: 946, E(): 0, (40.7% identity in 612 aa overl ap); etc. Contains PS00339 Aminoacyl-transfer RNA synthetases class-II signature 2. Belongs to class-II aminoacyl-tRNA synthetase family. Cofactor: binds 1 zinc ion (by similarity).</t>
  </si>
  <si>
    <t>PE_PGRS45</t>
  </si>
  <si>
    <t>Rv2615c</t>
  </si>
  <si>
    <t>PE-PGRS family protein PE_PGRS45</t>
  </si>
  <si>
    <t>Rv2615c, (MTCY01A10.19), len: 461 aa. PE_PGRS45, Member of the Mycobacterium tuberculosis PE family, PGRS subfamily of gly-rich proteins (see citation below), highly similar to many e.g. P71664|Rv1396c|MTCY21B4.13c from Mycobacterium tuberculosis (576 aa), FASTA scores: opt: 1629, E(): 4.8e-58, (56.65% identity in 482 aa overlap). Equivalent to AAK47006 from Mycobacterium tuberculosis strain CDC1551 (476 aa) but shorter 15 aa.</t>
  </si>
  <si>
    <t>Rv2616, (MTCY01A10.18c), len: 166 aa. Conserved protein, highly similar to bacterial proteins: Q9L1G0|SC3D11.02c hypothetical 20.3 KDA protein from Streptomyces coelicolor (188 aa), FASTA scores: opt: 407, E(): 2.3e-20, (44.0% identity in 159 aa overlap); Q9X945 A3(2) glycogen metabolism cluster from Streptomyces coelicolor (134 aa), FASTA scores: opt: 330, E(): 2.5e-15, (46.65% identity in 120 aa overlap) (N-terminus shorter); Q9RST8|DR2035 conserved hypothetical protein from Deinococcus radiodurans (198 aa), FASTA scores: opt: 228, E(): 2.4e-08, (35.1% identity in 168 aa overlap).</t>
  </si>
  <si>
    <t>Rv2617c, (MTCY01A10.17), len: 146 aa. Probable transmembrane protein, showing some similarity to hypothetical or membrane proteins e.g. CAC47207|SMC00744 putative transport protein transmembrane from Rhizobium meliloti (Sinorhizobium meliloti) (399 aa), FASTA scores: opt: 108, E(): 5.5, (29.15% identity in 144 aa overlap).</t>
  </si>
  <si>
    <t>Rv2618, (MTCY01A10.15c), len: 225 aa. Conserved hypothetical protein, similar in part to Q9EWQ9|SC4C2.03 conserved hypothetical protein from Streptomyces coelicolor (159 aa), FASTA scores: opt: 235, E(): 1.3e-07, (43.7% identity in 103 aa overlap); Q9HLM6|TA0201 hypothetical protein from Thermoplasma acidophilum (215 aa), FASTA scores: opt: 164, E(): 0.0038, (23.4% identity in 201 aa overlap); and to mycobacterial proteins e.g. O06191|Rv2621c|MTCY01A10.11 hypothetical 24.2 KDA protein from Mycobacterium tuberculosis (224 aa), FASTA scores: opt: 149, E(): 0.033, (28.05% identity in 196 aa overlap).</t>
  </si>
  <si>
    <t>Rv2619c, (MTCY01A10.14), len: 117 aa. Conserved protein, highly similar to Q9L0F3|SCD31.14 hypothetical 11.6 KDA protein from Streptomyces coelicolor (110 aa), FASTA scores: opt: 407, E(): 2.3e-21, (55.95% identity in 109 aa overlap). Also similarity with other short bacterial hypothetical proteins e.g. Q9F8B9 hypothetical 12.4 KDA protein from Streptococcus agalactiae (112 aa), FASTA scores: opt: 143, E(): 0.0032, (32.45% identity in 74 aa overlap); etc.</t>
  </si>
  <si>
    <t>Rv2620c, (MTCY01A10.13), len: 141 aa. Probable conserved transmembrane protein, highly similar to O54184|SC7H1.25 hypothetical 14.6 KDA protein from Streptomyces coelicolor (144 aa), FASTA scores: opt: 459, E(): 1.4e-22, (56.45% identity in 140 aa overlap). Predicted possible vaccine candidate (See Zvi et al., 2008).</t>
  </si>
  <si>
    <t>Rv2621c, (MTCY01A10.11), len: 224 aa. Possible transcriptional regulator, similar in part to Q49688|MLCL536.29c|ML0592 putative DNA-binding protein from Mycobacterium leprae (254 aa), FASTA scores: opt: 168, E(): 0.0018, (29.75% identity in 222 aa overlap). Shows similarity with Q9XAD0|SCC22.08c putative DNA-binding protein from Streptomyces coelicolor (252 aa), FASTA scores: opt: 148, E(): 0.032, (29.4% identity in 204 aa overlap); and Q9RVM8|DR0999 conserved hypothetical protein from Deinococcus radiodurans (225 aa), FASTA scores: opt: 195, E(): 3.3e-05, (29.6% identity in 213 aa overlap). Also some similarity with O06195|Rv2618|MTCY01A10.15c from Mycobacterium tuberculosis (225 aa), FASTA scores: opt: 149, E(): 0.025, (28.95% identity in 197 aa overlap). Contains helix-turn-helix motif at aa 31-52 (Score 1662, +4.85 SD).</t>
  </si>
  <si>
    <t>Rv2622, (MTCY01A10.10c), len: 273 aa. Possible methyltransferase, similar in part to others e.g. AAK75664|SP1578 putative methyltransferase from Streptococcus pneumoniae (252 aa), FASTA scores: opt: 406, E(): 6.6e-18, (32.65% identity in 251 aa overlap); Q9F8B8 methyltransferase from Streptococcus agalactiae (254 aa), FASTA scores: opt: 381, E(): 2.3e-16, (31.75% identity in 252 aa overlap); Q9RJB6|SCF91.08 putative methyltransferase from Streptomyces coelicolor (231 aa), FASTA scores: opt: 159, E(): 0.0091, (33.1% identity in 151 aa overlap); etc. Also similar in part to several hypothetical proteins e.g. Q99YR0|SPY1582 hypothetical protein from Streptococcus pyogenes (251 aa), FASTA scores: opt: 397, E(): 2.3e-17, (36.3% identity in 248 aa overlap).</t>
  </si>
  <si>
    <t>Universal stress protein family protein TB31.7</t>
  </si>
  <si>
    <t>Rv2623, (MTCY01A10.09c), len: 297 aa. TB31.7, universal stress protein family protein, highly similar to hypothetical proteins from Mycobacterium tuberculosis e.g. Q10851|YK05_MYCTU|Rv2005c|MT2061|MTCY39.12 (295 aa), FASTA scores: opt: 1076, E(): 1.4e-60, (55.25% identity in 295 aa overlap); O53472|Rv2026c|MTV018.13c (294 aa), FASTA scores: opt: 988, E(): 4.8e-55, (51.5% identity in 295 aa overlap); Q10862|YJ96_MYCTU|Rv1996|MT2052|MTCY39.23c (317 aa), FASTA scores: opt: 688, E(): 4.1e-36, (45.1% identity in 315 aa overlap); etc. Also similar to several Streptomyces proteins e.g. Q9RIZ8|SCJ1.16c conserved hypothetical protein from Streptomyces coelicolor (294 aa), FASTA scores: opt: 407, E(): 2e-18, (32.65% identity in 303 aa overlap); and other bacterial hypothetical proteins e.g. Q9HPP5|VNG1536 from Halobacterium sp (147 aa), FASTA scores: opt: 180, E(): 0.00022, (31.65% identity in 139 aa overlap). Predicted possible vaccine candidate (See Zvi et al., 2008). Binds ATP.</t>
  </si>
  <si>
    <t>Rv2624c, (MTCY01A10.08), len: 272 aa. Universal stress protein family protein, similar to several Streptomyces proteins e.g. Q9RIY5|SCJ1.29c hypothetical 30.1 KDA protein from Streptomyces coelicolor (283 aa), FASTA scores: opt: 260, E(): 5e-09, (32.05% identity in 290 aa overlap). Also similar to Mycobacterium tuberculosis proteins O53474|Rv2028c|MTV018.15c (279 aa), FASTA scores: opt: 563, E(): 7e-28, (36.85% identity in 266 aa overlap); P95192|Rv3134c|MTCY03A2.240 (268 aa), FASTA scores: opt: 458, E(): 2.3e-21, (36.55% identity in 271 aa overlap); Q10851|YK05_MYCTU|Rv2005c|MT2061|MTCY39.12 (295 aa), FASTA scores: opt: 199, E(): 3.2e-05, (29.35% identity in 286 aa overlap); etc.</t>
  </si>
  <si>
    <t>Probable conserved transmembrane alanine and leucine rich protein</t>
  </si>
  <si>
    <t>Rv2625c, (MTCY01A10.07), len: 393 aa. Probable conserved transmembrane ala-, leu-rich protein, similar to many hypothetical or membrane proteins e.g. Q55518|Y528_SYNY3|SLL0528 potential integral membrane protein from Synechocystis sp. strain PCC 6803 (379 aa), FASTA scores: opt: 552, E(): 5.6e-26, (30.75% identity in 374 aa overlap); Q9RJ56|SCI41.35c hypothetical 39.8 KDA protein from Streptomyces coelicolor (374 aa), FASTA scores: opt: 419, E(): 5.7e-18, (31.6% identity in 383 aa overlap); CAC49448|SMB20925 conserved hypothetical membrane protein from Rhizobium meliloti (Sinorhizobium meliloti) (372 aa), FASTA scores: opt: 401, E(): 6.9e-17, (29.5% identity in 383 aa overlap); etc. Contains PS00142 Neutral zinc metallopeptidases, zinc-binding region signature.</t>
  </si>
  <si>
    <t>hrp1</t>
  </si>
  <si>
    <t>Hypoxic response protein 1 Hrp1</t>
  </si>
  <si>
    <t>Rv2626c, (MTCY01A10.06), len: 143 aa. Hrp1, hypoxic response protein 1, similar to CAC49670|SMB21441 putative inosine-5'-monophosphate dehydrogenase protein from Rhizobium meliloti (Sinorhizobium meliloti) (120 aa), FASTA scores: opt: 287, E(): 6.6e-12, (43.75% identity in 112 aa overlap) (has its N-terminus shorter 27 aa); AAK78655|CAC0678 CBS domains from Clostridium acetobutylicum (142 aa), FASTA scores: opt: 276, E(): 3.9e-11, (35.65% identity in 115 aa overlap); Q9K9P0|BH2605 BH2605 protein from Bacillus halodurans (142 aa), FASTA scores: opt: 276, E(): 3.9e-11, (35.65% identity in 115 aa overlap); etc. Also some similarity to P71737|Rv2406c|MTCY253.14 hypothetical 15.1 KDA protein from Mycobacterium tuberculosis (142 aa), FASTA scores: opt: 145, E(): 0.00012, (22.3% identity in 112 aa overlap). Predicted possible vaccine candidate (See Zvi et al., 2008).</t>
  </si>
  <si>
    <t>Rv2627c, (MTCY01A10.05), len: 413 aa. Conserved protein. Some similarity in C-terminal part of O53697|Rv0293c|MTV035.21c hypothetical 44.0 KDA protein from Mycobacterium tuberculosis (400 aa), FASTA scores: opt: 392, E(): 1.9e-17, (31.1% identity in 299 aa overlap). Alternative nucleotide at position 2954439 (T-&gt;C; R104G) has been observed. Predicted possible vaccine candidate (See Zvi et al., 2008).</t>
  </si>
  <si>
    <t>Rv2628, (MTCY01A10.04c), len: 120 aa. Hypothetical unknown protein. Predicted possible vaccine candidate (See Zvi et al., 2008).</t>
  </si>
  <si>
    <t>Rv2629, (MTCY01A10.03c), len: 374 aa. Conserved protein, similar to Q9ZC00|SC1E6.22c hypothetical 40.7 KDA protein from Streptomyces coelicolor (373 aa), FASTA scores: opt: 425, E(): 2.5e-18, (30.2% identity in 371 aa overlap). Predicted possible vaccine candidate (See Zvi et al., 2008).</t>
  </si>
  <si>
    <t>Rv2630, (MTCY01A10.02c), len: 179 aa. Hypothetical unknown protein.</t>
  </si>
  <si>
    <t>Rv2631, (MTCY441.01, MTCY01A10.01c), len: 432 aa. Conserved hypothetical protein, highly similar to several conserved hypothetical proteins from various species e.g. O29399|AF0862 conserved hypothetical protein from Archaeoglobus fulgidus (482 aa), FASTA scores: opt: 1496, E(): 2.1e-80, (52.3% identity in 432 aa overlap) (has its N-terminus longer 30 aa); O27634|MTH1597 conserved protein from Methanothermobacter thermautotrophicus (488 aa), FASTA scores: opt: 1428, E(): 2.1e-76, (50.9% identity in 432 aa overlap); Q9YB37|APE1758 hypothetical 53.7 KDA protein APE1758 from Aeropyrum pernix (483 aa), FASTA scores: opt: 1422, E(): 4.6e-76, (49.3% identity in 432 aa overlap) (has its N-terminus longer 30 aa); etc. Equivalent to AAK47022 from Mycobacterium tuberculosis strain CDC1551 (432 aa). 3' part extended since first submission (+175 aa).</t>
  </si>
  <si>
    <t>Rv2632c</t>
  </si>
  <si>
    <t>Rv2632c, (MTCY441.02c), len: 93 aa. Conserved protein, highly similar to conserved hypothetical proteins from Mycobacterium tuberculosis: P71996|YH38_MYCTU|Rv1738|MT1780|MTCY04C12.23 (94 aa), FASTA scores: opt: 319, E(): 4.2e-15, (53.95% identity in 89 aa overlap); and Q9KK61 from Mycobacterium bovis BCG (56 aa), FASTA scores: opt: 178, E(): 9.2e-06, (52.95% identity in 51 aa overlap).</t>
  </si>
  <si>
    <t>Rv2633c</t>
  </si>
  <si>
    <t>Rv2633c, (MTCY441.03c), len: 161 aa. Hypothetical unknown protein.</t>
  </si>
  <si>
    <t>PE-PGRS family protein PE_PGRS46</t>
  </si>
  <si>
    <t>Rv2634c, (MTCY441.04c), len: 778 aa. PE_PGRS46, Member of the Mycobacterium tuberculosis PE family, PGRS subfamily of gly-rich proteins (see citation below), highly similar to many e.g. O53553|YZ08_MYCTU|Rv3508|MTV023.15 from Mycobacterium tuberculosis (1901 aa), FASTA scores: opt: 2553, E(): 2.2e-93, (53.8% identity in 866 aa overlap). Equivalent to AAK47026 from Mycobacterium tuberculosis strain CDC1551 (788 aa) but shorter 10 aa.</t>
  </si>
  <si>
    <t>Rv2635</t>
  </si>
  <si>
    <t>Rv2635, (MTCY441.05), len: 80 aa. Hypothetical unknown protein.</t>
  </si>
  <si>
    <t>Rv2636, (MTCY441.06), len: 225 aa. Conserved hypothetical protein, showing some similarity with various proteins: Q98FG2|MLL3789 hypothetical protein from Rhizobium loti (Mesorhizobium loti) (239 aa), FASTA scores: opt: 304, E(): 3.7e-13, (31.55% identity in 187 aa overlap); CAC46568|SMC04451 putative chloramphenicol phosphotransferase protein from Rhizobium meliloti (Sinorhizobium meliloti) (220 aa), FASTA scores: opt: 175, E(): 0.00014, (28.0% identity in 225 aa overlap); Q56148|CPT_STRVL chloramphenicol 3-O phosphotransferase from Streptomyces violaceus (Streptomyces venezuelae) (178 aa), FASTA scores: opt: 131, E(): 0.1, (31.75% identity in 170 aa overlap). Contains PS00017 ATP/GTP-binding site motif A (P-loop). Translational start site uncertain, chosen by similarity.</t>
  </si>
  <si>
    <t>Possible transmembrane protein DedA</t>
  </si>
  <si>
    <t>Rv2637, (MTCY441.07), len: 218 aa. Possible dedA, transmembrane protein, equivalent to Q49642|YQ37_MYCLE|ML0467|MLCL581.27|B1177_C2_172/B1177_C1_140 hypothetical 23.1 KDA protein (potential integral membrane protein, belongs to the DedA family) from Mycobacterium leprae (214 aa), FASTA scores: opt: 1160, E(): 4.4e-64, (82.75% identity in 209 aa overlap); and O69601|Y364_MYCLE|ML0287|MLCB4.30 hypothetical protein (potential integral membrane protein) (222 aa), FASTA scores: opt: 292, E(): 6.6e-11, (32.25% identity in 189 aa overlap). Also highly similar to other membrane proteins e.g. CAC42863|SCBAC36F5.27c putative integral membrane from Streptomyces coelicolor (211 aa), FASTA scores: opt: 837, E(): 2.6e-44, (59.2% identity in 201 aa overlap); Q55705|Y232_SYNY3|SLR0232 potential integral membrane protein from Synechocystis sp. strain PCC 6803 (218 aa), FASTA scores: opt: 415, E(): 1.9e-18, (37.85% identity in 206 aa overlap); Q9RV63|DR1167 DEDA protein from Deinococcus radiodurans (200 aa); P09548|DEDA_ECOLI|B2317|Z3579|ECS3201 DEDA protein (DSG-1 protein) from Escherichia coli strains K12 and O157:H7 (219 aa), blast scores: 178, E(): 1.8e-13, Identities = 53/175 (30%); etc. Also similar to O06314|Y364_MYCTU|Rv0364|MT0380|MTCY13E10.26 hypothetical 24.5 KDA protein (potential integral membrane protein) from Mycobacterium tuberculosis (227 aa), FASTA scores: opt: 293, E(): 5.8e-11, (35.85% identity in 184 aa overlap). Belongs to the DedA family.</t>
  </si>
  <si>
    <t>Rv2638</t>
  </si>
  <si>
    <t>Rv2638, (MTCY441.08), len: 148 aa. Conserved hypothetical protein, similar in part to Q9WVX8|RSBV_STRCO|bldg|SCH5.12c anti-sigma B factor antagonist from Streptomyces coelicolor (113 aa), FASTA scores: opt: 162, E(): 0.00066, (31.8% identity in 110 aa overlap); and showing weak similarity with various proteins e.g. O69205 hypothetical 13.4 KDA protein from Actinosynnema pretiosum (subsp. auranticum) (128 aa), FASTA scores: opt: 157, E(): 0.0016, (29.8% identity in 114 aa overlap); Q9RJ93|SCF91.32 putative anti-sigma factor antagonist from Streptomyces coelicolor (183 aa), FASTA scores: opt: 148, E(): 0.0082, (30.85% identity in 107 aa overlap); etc. Also highly similar to hypothetical proteins from Mycobacterium tuberculosis: O07728|Rv1904|MTCY180.14c (143 aa), FASTA scores: opt: 456, E(): 3.9e-23, (52.8% identity in 125 aa overlap); and Q11035|YD65_MYCTU|Rv1365c|MT1411|MTCY02B10.29c (128 aa), FASTA scores: opt: 435, E(): 8.6e-22, (53.6% identity in 125 aa overlap).</t>
  </si>
  <si>
    <t>Rv2639c, (MTCY441.09c), len: 110 aa. Probable conserved integral membrane protein, highly similar to many bacterial hypothetical or membrane proteins e.g. Q9X889|YE14_STRCO|SCE15.14 potential integral membrane protein from Streptomyces coelicolor (112 aa), FASTA scores: opt: 597, E(): 3.1e-31, (73.15% identity in 108 aa overlap); Q55939|Y793_SYNY3|SLL0793 potential integral membrane protein from Synechocystis sp. strain PCC 6803 (108 aa), FASTA scores: opt: 341, E(): 4.9e-15, (51.4% identity in 109 aa overlap); O31553|YFJF_BACSU potential integral membrane protein from Bacillus subtilis (109 aa), FASTA scores: opt: 334, E(): 1.4e-14, (47.5% identity in 109 aa overlap); etc.</t>
  </si>
  <si>
    <t>Possible transcriptional regulatory protein (probably ArsR-family)</t>
  </si>
  <si>
    <t>Rv2640c, (MTCY441.10c), len: 119 aa. Possible transcriptional regulator, arsR family, highly similar to many e.g. Q9L1V5|SC4A9.07 putative ArsR-family transcriptional regulator from Streptomyces coelicolor (117 aa), FASTA scores: opt: 261, E(): 5.6e-10, (47.75% identity in 103 aa overlap); Q9X8X8|SCH35.28c putative transcriptional regulator from Streptomyces coelicolor (122 aa), FASTA scores: opt: 252, E(): 2.2e-09, (37.05% identity in 116 aa overlap); Q9L220|SC1A2.21 putative ArsR-family transcriptional from Streptomyces coelicolor (119 aa), FASTA scores: opt: 252, E(): 2.2e-09, (37.05% identity in 116 aa overlap); P77295|YGAV_ECOLI|B2667 hypothetical transcriptional regulator from Escherichia coli strain K12 (99 aa), FASTA scores: opt: 156, E(): 0.0023, (34.1% identity in 88 aa overlap); etc. Also similar to upstream ORF P71941|Rv2642|MTCY441.12 putative transcriptional regulatory protein from Mycobacterium tuberculosis (126 aa), FASTA scores: opt: 237, E(): 2e-08, (38.55% identity in 109 aa overlap). Contains helix-turn-helix motif at aa 59-80 (Score 1166, +3.16 SD). Belongs to the ArsR family of transcriptional regulators.</t>
  </si>
  <si>
    <t>Cadmium inducible protein CadI</t>
  </si>
  <si>
    <t>Rv2641, (MTCY441.11), len: 152 aa. CadI, conserved hypothetical protein. Gene induced by cadmium (see Hotter et al., 2001), highly similar to hypothetical proteins e.g. Q9L222|SC1A2.19c from Streptomyces coelicolor (152 aa), FASTA scores: opt: 509, E(): 2.3e-27, (55.05% identity in 149 aa overlap); P45945|YQCK_BACSU from Bacillus subtilis (146 aa), FASTA scores: opt: 295, E(): 5.4e-13, (33.55% identity in 146 aa overlap); and Q98CF8|MLL5167 from Rhizobium loti (Mesorhizobium loti) (124 aa), FASTA scores: opt: 110, E(): 1.3, (31.4% identity in 121 aa overlap). Some similarity with Q10548|Y887_MYCTU|Rv0887c|MT0910|MTCY31.15c from Mycobacterium tuberculosis (152 aa), FASTA scores: opt: 108, E(): 2.1, (25.7% identity in 148 aa overlap).</t>
  </si>
  <si>
    <t>Rv2642, (MTCY441.12), len: 126 aa. Possible transcriptional regulator, arsR family, highly similar to many e.g. Q9X8X8|SCH35.28c putative transcriptional regulator from Streptomyces coelicolor (122 aa), FASTA scores: opt: 390, E(): 3.7e-19, (56.55% identity in 122 aa overlap); Q9L220|SC1A2.21 putative ArsR-family transcriptional from Streptomyces coelicolor (119 aa), FASTA scores: opt: 378, E(): 2.3e-18, (59.8% identity in 97 aa overlap); Q9L1V5|SC4A9.07 putative ArsR-family transcriptional regulator from Streptomyces coelicolor (117 aa), FASTA scores: opt: 359, E(): 4.1e-17, (56.9% identity in 116 aa overlap); P52144|ARR2_ECOLI|ARSR from Escherichia coli (117 aa), FASTA scores: opt: 202, E(): 1e-06, (39.8% identity in 88 aa overlap); etc. Also similar to downstream ORF P71939|Rv2640c|MTCY441.10c putative transcriptional regulatory protein from Mycobacterium tuberculosis (119 aa), FASTA scores: opt: 237, E(): 5e-09, (38.55% identity in 109 aa overlap); and others from Mycobacterium tuberculosis e.g. O05840|Rv2358|MTCY27.22c. Contains PS00846 Bacterial regulatory proteins, arsR family signature. Contains helix-turn-helix motif at aa 58-79 (Score 1112, +2.97 SD). Belongs to the ArsR family of transcriptional regulators.</t>
  </si>
  <si>
    <t>Involved in transport of arsenic compounds across the membrane (export): arsenic resistance by an export mechanism. Responsible for the translocation of the substrate across the membrane.</t>
  </si>
  <si>
    <t>Probable arsenic-transport integral membrane protein ArsC</t>
  </si>
  <si>
    <t>Rv2643, (MTCY441.13), len: 498 aa. Probable arsC, arsenical resistance transport integral membrane protein, highly similar or similar to others e.g. Q9L1X4|SC3D9.05 possible arsenic resistance membrane transport protein from Streptomyces coelicolor (368 aa), FASTA scores: opt: 1729, E(): 2.2e-96, (74.3% identity in 358 aa overlap); Q9X8Y0|SCH35.26 putative heavy metal resistance membrane protein from Streptomyces coelicolor (369 aa), FASTA scores: opt: 1729, E(): 2.2e-96, (73.8% identity in 359 aa overlap); Q06598|ACR3_YEAST|ACR3|YPR201W|P9677.2 arsenical-resistance protein from Saccharomyces cerevisiae (Baker's yeast) (404 aa), FASTA scores: opt: 591, E(): 4e-28, (36.6% identity in 380 aa overlap); etc. Belongs to the ACR3 family.</t>
  </si>
  <si>
    <t>Rv2644c, (MTCY441.14c), len: 105 aa. Hypothetical unknown protein.</t>
  </si>
  <si>
    <t>Rv2645</t>
  </si>
  <si>
    <t>Rv2645, (MTCY441.15), len: 143 aa. Hypothetical unknown protein.</t>
  </si>
  <si>
    <t>Rv2646</t>
  </si>
  <si>
    <t>Sequence integration. Integrase is necessary for integration of a phage into the host genome by site-specific recombination. In conjunction with excisionase, integrase is also necessary for excision of the prophage from the host genome.</t>
  </si>
  <si>
    <t>Probable integrase</t>
  </si>
  <si>
    <t>Rv2646, (MTCY441.16), len: 332 aa. Probable integrase, similar to others e.g. P06723|VINT_BP186|int integrase from Bacteriophage 186 (336 aa)s FASTA scores: opt: 198, E(): 6.3e-05, (30.45% identity in 138 aa overlap). Could be belong to the 'phage' integrase family.</t>
  </si>
  <si>
    <t>Rv2647</t>
  </si>
  <si>
    <t>Rv2647, (MTCY441.17), len: 122 aa (questionable ORF). Hypothetical protein, probably corresponds to conserved DNA sequence also found in MTCY336.29c and Rv1574|MTCY336.30c|O06616 hypothetical 11.4 KDA protein from Mycobacterium tuberculosis (103 aa), FASTA scores: opt: 170, E(): 0.0002, (69.05% identity in 42 aa overlap). Shows weak similarity with Q9EUM1|RESB resolvase protein homolog from Corynebacterium glutamicum (Brevibacterium flavum) (343 aa), FASTA scores: opt: 112, E(): 2.9, (31.05% identity in 87 aa overlap).</t>
  </si>
  <si>
    <t>Rv2648</t>
  </si>
  <si>
    <t>Rv2648, (MTCY441.17A), len: 108 aa. Putative Transposase for IS6110 (fragment). Identical to many other M. tuberculosis IS6110 transposase subunits. The transposase described here may be made by a frame shifting mechanism during translation that fuses Rv2648 and Rv2649, the sequence UUUUAAAG (directly upstream of Rv2649) maybe responsible for such a frameshifting event (see McAdam et al., 1990).</t>
  </si>
  <si>
    <t>Rv2649</t>
  </si>
  <si>
    <t>Probable transposase for insertion sequence element IS6110</t>
  </si>
  <si>
    <t>Rv2649, (MTCY441.18), len: 328 aa. Probable transposase for IS6110. Identical to many other M. tuberculosis IS6110 transposase subunits. The transposase described here may be made by a frame shifting mechanism during translation that fuses Rv2648 and Rv2649, the sequence UUUUAAAG (directly upstream of Rv2649) maybe responsible for such a frameshifting event (see McAdam et al., 1990).</t>
  </si>
  <si>
    <t>Rv2650c</t>
  </si>
  <si>
    <t>Possible PhiRv2 prophage protein</t>
  </si>
  <si>
    <t>Rv2650c, (MTCY441.19), len: 479 aa. Possible phiRv2 prophage protein (capsid subunit) (see citation below), highly similar to O06614|Rv1576c|MTCY336.28 probable phiRv1 phage protein from Mycobacterium tuberculosis (473 aa), FASTA scores: opt: 2782, E(): 2.8e-159, (89.1% identity in 468 aa overlap).</t>
  </si>
  <si>
    <t>Rv2651c</t>
  </si>
  <si>
    <t>Possible PhiRv2 prophage protease</t>
  </si>
  <si>
    <t>Rv2651c, (MTCY441.20c), len: 177 aa. Possible protease protein, phiRv2 phage protein (prohead protease) (see citation below), showing some similarity with several proteases e.g. Q9A4P4|CC2786 putative protease from Caulobacter crescentus (138 aa), FASTA scores: opt: 206, E(): 2e-06, (36.35% identity in 132 aa overlap); Q9RNH0 putative prohead protease from Rhodobacter capsulatus (Rhodopseudomonas capsulata) (184 aa), FASTA scores: opt: 196, E(): 1.1e-05, (35.05% identity in 137 aa overlap); BAB35014|ECS1591 putative prohead protease from Escherichia coli strain O157:H7 (185 aa), FASTA scores: opt: 187, E(): 4.1e-05, (32.9% identity in 158 aa overlap); etc. And highly similar to O06613|Rv1577c|MTCY336.27 Probable phiRV1 phage protein from Mycobacterium tuberculosis (170 aa), FASTA scores: opt: 987, E(): 2.3e-56, (89.35% identity in 169 aa overlap).</t>
  </si>
  <si>
    <t>Rv2652c</t>
  </si>
  <si>
    <t>Probable PhiRv2 prophage protein</t>
  </si>
  <si>
    <t>Rv2652c, (MTCY441.21c), len: 208 aa. Probable phiRv2 phage protein (terminase) (see citation below), showing some similarity with AAK79859|Q97HW1|CAC1896 phage terminase-like protein (small subunit) from Clostridium acetobutylicum (151 aa), FASTA scores: opt: 155, E(): 0.012, (24.7% identity in 158 aa overlap); and Q9B019 hypothetical 17.8 KDA protein from Bacteriophage GMSE-1 (159 aa), FASTA scores: opt: 141, E(): 0.087, (27.65% identity in 159 aa overlap). Also highly similar to O06612|Rv1578c|MTCY336.26 Probable phiRV1 phage protein from Mycobacterium tuberculosis (156 aa), FASTA scores: opt: 448, E(): 1.2e-20, (48.1% identity in 156 aa overlap). Equivalent to AAK47043 from Mycobacterium tuberculosis strain CDC1551 but longer 45 aa.</t>
  </si>
  <si>
    <t>Rv2653c</t>
  </si>
  <si>
    <t>Rv2653c, (MTCY441.22c), len: 107 aa. Hypothetical unknown protein, possibly phiRv2 phage protein (see citation below).</t>
  </si>
  <si>
    <t>Rv2654c</t>
  </si>
  <si>
    <t>Rv2654c, (MTCY441.23c), len: 81 aa. Hypothetical ala-rich protein, possibly phiRv2 phage protein (see citation below), similar to C-terminus of Q9HNI3|VNG2091H hypothetical protein from Halobacterium sp. strain NRC-1 (212 aa), FASTA scores: opt: 122, E(): 0.46, (43.05% identity in 79 aa overlap).</t>
  </si>
  <si>
    <t>Rv2655c</t>
  </si>
  <si>
    <t>Rv2655c, (MTCY441.24c), len: 475 aa. Hypothetical protein, possibly phiRv2 phage protein (putative primase-like protein) (see citation below). C-terminus similar to P22875|YXIS_SACER hypothetical 28.9 KDA protein (probably does not play a direct role in plasmid integration or excision) from Saccharopolyspora erythraea (Streptomyces erythraeus) plasmid pSE211 (263 aa), FASTA scores: opt: 389, E(): 2.7e-15, (33.45% identity in 269 aa overlap). Weak similarity in N-terminus to O06608|MTCY336.22|Rv1582c Probable phiRV1 phage protein from Mycobacterium tuberculosis (471 aa), FASTA scores: opt: 133, E(): 2.5, (36.0% identity in 75 aa overlap).</t>
  </si>
  <si>
    <t>Rv2656c</t>
  </si>
  <si>
    <t>Rv2656c, (MTCY441.25c), len: 130 aa. Probable phiRv2 phage protein (see Hatfull 2000), highly similar to O06607|YF83_MYCTU|Rv1583c|MT3573.2|MTCY336.21 Probable phiRV1 phage protein from Mycobacterium tuberculosis (132 aa), FASTA scores: opt: 734, E(): 2.5e-39, (81.5% identity in 131 aa overlap); and some similarity with Q982T4|MLL8506 hypothetical protein from Rhizobium loti (Mesorhizobium loti) (204 aa), FASTA scores: opt: 104, E(): 9.7, (31.85% identity in 113 aa overlap).</t>
  </si>
  <si>
    <t>Rv2657c</t>
  </si>
  <si>
    <t>Rv2657c, (MTCY441.26c), len: 86 aa. Probable phiRv2 phage protein (excisionase) (see citation below), similar to O22001|VG36_BPMD2|36|G2 gene 36 protein (GP36) from Mycobacteriophage D29 (56 aa), FASTA scores: opt: 171, E(): 9.6e-06, (48.0% identity in 50 aa overlap); and Q05246|VG36_BPML5|36 gene 36 protein (GP36) from Mycobacteriophage L5 (56 aa), FASTA scores: opt: 169, E(): 1.3e-05, (50% identity in 50 aa overlap). Similarity suggests alternative start at 21737. Contains possible helix-turn-helix motif from aa 33 to 54 (Score 1655, +4.82 SD).</t>
  </si>
  <si>
    <t>Rv2658c</t>
  </si>
  <si>
    <t>Possible prophage protein</t>
  </si>
  <si>
    <t>Rv2658c, (MTCY441.27c), len: 120 aa. Hypothetical unknown protein, probably phage protein.</t>
  </si>
  <si>
    <t>Rv2659c</t>
  </si>
  <si>
    <t>Probable PhiRv2 prophage integrase</t>
  </si>
  <si>
    <t>Rv2659c, (MTCY441.28c), len: 375 aa. Probable integrase, phiRv2 phage protein: putative member of the phage integrase family of tyrosine recombinases (see Hatfull 2000), highly similar to others e.g. P22884|VINT_BPML5|33|int from Mycobacteriophage L5 (371 aa), FASTA scores: opt: 836, E(): 1.2e-44, (39.0% identity in 372 aa overlap); Q38361|VINT_BPMD2|33|int from Mycobacteriophage D29 (333 aa), FASTA scores: opt: 786, E(): 1.4e-41, (40.55% identity in 338 aa overlap); etc. Seems belongs to the 'phage' integrase family.</t>
  </si>
  <si>
    <t>Rv2660c</t>
  </si>
  <si>
    <t>Rv2660c, (MTCY441.29c), len: 75 aa (questionable orf). Hypothetical unknown protein.</t>
  </si>
  <si>
    <t>Rv2661c</t>
  </si>
  <si>
    <t>Rv2661c, (MTCY441.30c), len: 129 aa. Hypothetical unknown protein.</t>
  </si>
  <si>
    <t>Rv2662, (MTCY441.31), len: 90 aa. Hypothetical unknown protein.</t>
  </si>
  <si>
    <t>Rv2663, (MTCY441.32), len: 77 aa. Hypothetical unknown protein.</t>
  </si>
  <si>
    <t>Rv2664, (MTCY441.33), len: 84 aa. Hypothetical protein. Some weak similarity to nearby P71964|Rv2667|clpX'|MT2741|MTCY441.36 possible ATP-dependent protease ATP-binding subunit from Mycobacterium tuberculosis (252 aa), FASTA scores: opt: 134, E(): 0.027, (31.15% identity in 77 aa overlap).</t>
  </si>
  <si>
    <t>Hypothetical arginine rich protein</t>
  </si>
  <si>
    <t>Rv2665, (MTCY441.34), len: 93 aa. Hypothetical arg-rich protein, showing some similarity to N-terminus of P71640|Rv2811|MTCY16B7.32c hypothetical 21.1 KDA protein from Mycobacterium tuberculosis (202 aa), FASTA scores: opt: 157, E(): 0.0011, (37.5% identity in 72 aa overlap); and also to part of O35132|CP2B_RAT|CYP27B1|CYP27B 25-hydroxyvitamin D-1 alpha hydroxylase, mitochondrial precursor from Rattus norvegicus (Rat) (501 aa), FASTA scores: opt: 106, E(): 5.4, (34.5% identity in 87 aa overlap).</t>
  </si>
  <si>
    <t>Rv2666</t>
  </si>
  <si>
    <t>Probable transposase for insertion sequence element IS1081 (fragment)</t>
  </si>
  <si>
    <t>Rv2666, (MTCY441.35), len: 267 aa. Probable transposase (fragment), identical in region of overlap to P35882|TRA1_MYCBO|TRA1_MYCTU transposase for insertion sequence element IS1081 from Mycobacterium tuberculosis or bovis (415 aa). Last 4 codons not part of gene. Contains PS01007 Transposases, Mutator family, signature.</t>
  </si>
  <si>
    <t>clpC2</t>
  </si>
  <si>
    <t>Rv2667</t>
  </si>
  <si>
    <t>Function unknown; possibly hydrolyzes peptides and/or proteins in presence of ATP.</t>
  </si>
  <si>
    <t>Possible ATP-dependent protease ATP-binding subunit ClpC2</t>
  </si>
  <si>
    <t>Rv2667, (MTCY441.36), len: 252 aa. Possible clpC2, ATP-dependent protease atp-binding subunit, highly similar to Q9X8L2|SCE9.40 hypothetical 27.3 KDA protein from Streptomyces coelicolor (258 aa), FASTA scores: opt: 877, E(): 2.2e-46, (57.25% identity in 255 aa overlap). The second half of the protein is highly similar to N-terminal of several CLP-family proteins e.g. P24428|CLPC_MYCLE|ML0235 probable ATP-dependent CLP protease ATP-binding subunit from Mycobacterium leprae (848 aa), FASTA scores: opt: 307, E(): 3.2e-11, (38.6% identity in 158 aa overlap); O06286|CLPC_MYCTU|Rv3596c|MT3703|MTCY07H7B.26 probable ATP-dependent CLP protease ATP-binding subunit from Mycobacterium tuberculosis (848 aa), FASTA scores: opt: 307, E(): 3.2e-11, (38.6% identity in 158 aa overlap); Q9S6T8|SCE94.24c putative CLP-family ATP-binding protease from Streptomyces coelicolor (841 aa), FASTA scores: opt: 303, E(): 5.6e-11, (38.8% identity in 152 aa overlap); etc. Some weak similarity to nearby P71961|MTCY441.33|Rv2664 hypothetical protein from Mycobacterium tuberculosis (83 aa). Contain Pfam match to entry PF02861 Clp amino terminal domain. Belongs to the CLPA/CLPB family. CLPC subfamily. Note that previously known as clpX'</t>
  </si>
  <si>
    <t>Rv2668</t>
  </si>
  <si>
    <t>Possible exported alanine and valine rich protein</t>
  </si>
  <si>
    <t>Rv2668, (MTCY441.37), len: 173 aa. Hypothetical ala-, val-rich protein, possibly exported. Equivalent to AAK47057 from Mycobacterium tuberculosis strain CDC1551 (208 aa) but N-terminal part shorter 35 aa and with few differences. Has potential signal peptide sequence. Predicted to be an outer membrane protein (See Song et al., 2008).</t>
  </si>
  <si>
    <t>Rv2669</t>
  </si>
  <si>
    <t>Rv2669, (MTCY441.38), len: 156 aa. Probable acetyltransferase. Contains GNAT (Gcn5-related N-acetyltransferase) domain. See Vetting et al. 2005. Similarity to several proteins e.g. Q9A6M0|CC2073 acetyltransferase (GNAT family) from Caulobacter crescentus (178 aa), FASTA scores: opt: 242, E(): 1.2e-09, (30.9% identity in 165 aa overlap); Q99RQ8|SA2159 hypothetical protein similar to transcription repressor of sporulation, septation and degradation paiA from Staphylococcus aureus subsp. aureus N315 (171 aa), FASTA scores: opt: 214, E(): 9.8e-08, (27.5% identity in 160 aa overlap); BAB58531|SAV2369 hypothetical 20.1 KDA protein from Staphylococcus aureus subsp. aureus Mu50 (171 aa), FASTA scores: opt: 214, E(): 9.8e-08, (27.5% identity in 160 aa overlap); P21340|PAIA_BACSU|O32112 protease synthase and sporulation from Bacillus subtilis (171 aa), FASTA scores: opt: 209, E(): 2.1e-07, (22.85% identity in 162 aa overlap); etc.</t>
  </si>
  <si>
    <t>Rv2670c, (MTCY441.39c), len: 369 aa. Conserved hypothetical protein, equivalent, but longer 164 aa, to O05683|MLC1351.22c hypothetical 17.3 KDA protein from Mycobacterium leprae (160 aa), FASTA scores: opt: 847, E(): 1.2e-45, (82.4% identity in 159 aa overlap). And highly similar to Q9X824|SC9B1.04c putative ATP/GTP-binding integral membrane protein from Streptomyces coelicolor (350 aa), FASTA scores: opt: 1169, E(): 2e-65, (56.85% identity in 343 aa overlap); and Q9RWB0|DR0759 conserved hypothetical protein from Deinococcus radiodurans (351 aa), FASTA scores: opt: 859, E(): 4e-46, (45.9% identity in 331 aa overlap). Also some similarity with other proteins e.g. P46442|YHCM_ECOLI|AAG58360|BAB37528 hypothetical protein from Escherichia coli strains K12 and O157:H7 (375 aa), FASTA scores: opt: 237, E(): 2.1e-07, (28.0% identity in 325 aa overlap); Q9JRK2|NMA1520|NMB1306 putative nucleotide-binding protein from Neisseria meningitidis (serogroup a and B) (383 aa), FASTA scores: opt: 221, E(): 2.1e-06, (27.8% identity in 356 aa overlap); Q9HVX7|PA4438 hypothetical protein from Pseudomonas aeruginosa (364 aa), FASTA scores: opt: 211, E(): 8.5e-06, (28.9% identity in 353 aa overlap); etc. Contains PS00017 ATP/GTP-binding site motif A (P-loop).</t>
  </si>
  <si>
    <t>Possible bifunctional enzyme riboflavin biosynthesis protein RibD: diaminohydroxyphosphoribosylaminopyrimidine deaminase (riboflavin-specific deaminase) + 5-amino-6-(5-phosphoribosylamino)uracil reductase (HTP reductase)</t>
  </si>
  <si>
    <t>Rv2671, (MTCY441.40), len: 258 aa. Possible ribD (alternate gene name: ribG), bifunctional riboflavin biosynthesis protein incuding diaminohydroxyphosphoribosylaminopyrimidine deaminase and 5-amino-6-(5-phosphoribosylamino) uracil reductase, highly similar to O05684|MLC1351.23|ML1340 possible reductase from Mycobacterium leprae (268 aa), FASTA scores: opt: 1211, E(): 3e-68, (72.9% identity in 251 aa overlap). Also weakly similar to others e.g. Q9HWX2|RIBD|PA4056 riboflavin-specific deaminase/reductase from Pseudomonas aeruginosa (373 aa), FASTA scores: opt: 211, E(): 6.3e-06, (30.1% identity in 216 aa overlap); Q9HQA1|RIBG|VNG1256G riboflavin-specific deaminase from Halobacterium sp. strain NRC-1 (220 aa), FASTA scores: opt: 202, E(): 1.5e-05, (27.0% identity in 174 aa overlap); O28272|RIB7_ARCFU|AF2007 putative 5-amino-6-(5-phosphoribosylamino)uracil reductase (HTP reductase) from Archaeoglobus fulgidus (219 aa), FASTA scores: opt: 209, E(): 5.4e-06, (24.15% identity in 211 aa overlap); P25539|RIBD_ECOLI|RIBG|B0414 from Escherichia coli strain K12 (367 aa), FASTA scores: opt: 185, E(): 0.00026, (26.7% identity in 221 aa overlap); etc. But also similar to several hydrolases e.g. Q9X825|SC9B1.05 putative hydrolase from Streptomyces coelicolor (265 aa), FASTA scores: opt: 536, E(): 2.9e-26, (44.25% identity in 235 aa overlap); Q9RKM1|SCD17.10 putative bifunctional enzyme deaminase/reductase from Streptomyces coelicolor (376 aa), FASTA scores: opt: 228, E(): 5.6e-07, (33.5% identity in 188 aa overlap); etc. Equivalent to AAK47060 from Mycobacterium tuberculosis strain CDC1551 (239 aa) but longer 19 aa. Supposed belong to the cytidine and deoxycytidylate deaminases family in the N-terminal section; and to the HTP reductase family in the C-terminal section.</t>
  </si>
  <si>
    <t>Possible secreted protease</t>
  </si>
  <si>
    <t>Rv2672, (MTCY441.41), len: 528 aa. Possible secreted protease, equivalent to O05685|MLC1351.24|ML1339 putative secreted protease from Mycobacterium leprae (525 aa), FASTA scores: opt: 2722, E(): 9.4e-140, (74.45% identity in 528 aa overlap). Also similar to several exported proteinases from Streptomyces and Mycobacteria e.g. Q54399|SLPE proteinase from Streptomyces lividans (513 aa), FASTA scores: opt: 429, E(): 6.8e-16, (26.2% identity in 538 aa overlap); Q9FCK9|2SC3B6.03c peptidase from Streptomyces coelicolor (513 aa), FASTA scores: opt: 421, E(): 1.8e-15, (26.45% identity in 541 aa overlap); Q10508|YM23_MYCTU from Mycobacterium tuberculosis (520 aa), FASTA scores: opt: 349, E(): 1.4e-11, (26.6% identity in 523 aa overlap); etc. Equivalent to AAK47061 from Mycobacterium tuberculosis strain CDC1551 (518 aa) but longer 10 aa. Conserved in M. tuberculosis, M. leprae, M. bovis and M. avium paratuberculosis; predicted to be essential for in vivo survival and pathogenicity (See Ribeiro-Guimaraes and Pessolani, 2007). Predicted to be an outer membrane protein (See Song et al., 2008).</t>
  </si>
  <si>
    <t>aftC</t>
  </si>
  <si>
    <t>Possible arabinofuranosyltransferase AftC</t>
  </si>
  <si>
    <t>Rv2673, (MTCY441.42), len: 433 aa. Possible aftC, arabinofuranosyltransferase (See Birch et al., 2008). Predicted to be in the GT-C superfamily of glycosyltransferases (See Liu and Mushegian, 2003). Possible conserved integral membrane protein, equivalent to MLC1351.25|ML1338 possible conserved integral membrane protein from Mycobacterium leprae (440 aa), FASTA scores: opt: 2410, E(): 5.3e-143, (82.05% identity in 434 aa overlap); and showing some similarity with Q9CBX0|ML1504 probable conserved membrane protein from Mycobacterium leprae (430 aa), FASTA scores: opt: 159, E(): 0.014, (24.4% identity in 340 aa overlap). Also similar to Q53873|SC6G4.11 putative integral membrane protein from Streptomyces coelicolor (411 aa), FASTA scores: opt: 383, E(): 1.4e-16, (29.6% identity in 422 aa overlap); and with weak similarity with P71061|YVFB hypothetical protein from Bacillus subtilis (396 aa), FASTA scores: opt: 136, E(): 0.36, (24.35% identity in 279 aa overlap); and BAB60134|TVG1014811 hypothetical protein from Thermoplasma volcanium (695 aa), FASTA scores: opt: 133, E(): 0.85, (26.45% identity in 280 aa overlap). Shows also some similarity with O06557|Rv1159|MTCI65.26 hypothetical 47.1 KDA protein from Mycobacterium tuberculosis (431 aa), FASTA scores: opt: 149, E(): 0.059, (22.45% identity in 410 aa overlap); and O53515|Rv2181|MTV021.14 putative membrane protein from Mycobacterium tuberculosis (427 aa), FASTA scores: opt: 129, E(): 1, (24.8% identity in 367 aa overlap).</t>
  </si>
  <si>
    <t>msrB</t>
  </si>
  <si>
    <t>Has an important function as a repair enzyme for proteins that have been inactivated by oxidation. Catalyzes the reversible oxidation-reduction of methionine sulfoxide in proteins to methionine [catalytic activity: protein L-methionine + oxidized thioredoxin + H2O = protein-L-methionine-(R)-S-oxide + reduced thioredoxin]</t>
  </si>
  <si>
    <t>Probable peptide methionine sulfoxide reductase MsrB (protein-methionine-R-oxide reductase) (peptide met(O) reductase)</t>
  </si>
  <si>
    <t>Rv2674, (MTCY441.43), len: 136 aa. Probable msrB, peptide methionine sulfoxide reductase (See Lee et al., 2008), highly similar to various proteins e.g. Q9X828|SC9B1.08 putative oxidoreductase from Streptomyces coelicolor (135 aa), FASTA scores: opt: 653, E(): 1.8e-37, (71.1% identity in 128 aa overlap); O26807|MTH711 transcriptional regulator from Methanothermobacter thermautotrophicus (151 aa), FASTA scores: opt: 533, E(): 2.7e-29, (58.15% identity in 129 aa overlap); Q9C5C8|AT4G21860 hypothetical 22.0 KDA protein from Arabidopsis thaliana (Mouse-ear cress) (202 aa), FASTA scores: opt: 490, E(): 2.8e-26, (54.05% identity in 124 aa overlap); P39903|YEAA_ECOLI|B1778|Z2817|ECS2487 hypothetical protein from Escherichia coli strains K12 and O157:H7 (137 aa), FASTA scores: opt: 426, E(): 4.4e-22, (46.8% identity in 126 aa overlap).</t>
  </si>
  <si>
    <t>Rv2675c, (MTCY441.44c), len: 250 aa. Conserved hypothetical protein. C-terminus highly similar to Q50010|U1764Z from Mycobacterium leprae (69 aa), FASTA scores: opt: 284, E(): 4.6e-11, (68.25% identity in 63 aa overlap). Shows some similarity with Q9P3V6|SPAC1348.04 (alias Q9P3E7|Q9P7U5) hypothetical 16.6 KDA protein from Schizosaccharomyces pombe (Fission yeast) (145 aa), FASTA scores: opt: 203, E(): 9.5e-06, (33.05% identity in 118 aa overlap); Q9ZSZ7|BMCT methyl chloride transferase from Batis maritima (230 aa), FASTA scores: opt: 197, E(): 3.3e-05, (28.85% identity in 156 aa overlap); P72459|STSG methyltransferase from Streptomyces griseus (253 aa), FASTA scores: opt: 194, E(): 5.5e-05, (24.45% identity in 229 aa overlap); etc. Also similar to various proteins from Mycobacterium tuberculosis e.g. P71805|Rv1377c|MTCY02B12.11c hypothetical 22.8 KDA protein (212 aa), FASTA scores: opt: 431, E(): 8.3e-20, (39.1% identity in 197 aa overlap); O06426|Rv0560c|MTCY25D10.39c hypothetical 25.9 KDA protein (241 aa), FASTA scores: opt: 379, E(): 1.6e-16, (35.95% identity in 178 aa overlap); O69667|Rv3699|MTV025.047 putative methyltransferase (233 aa), FASTA scores: opt: 297, E(): 2e-11, (30.55% identity in 193 aa overlap); etc.</t>
  </si>
  <si>
    <t>Rv2676c, (MTCY441.45c), len: 231 aa. Conserved protein, equivalent to Q9CCB2|ML1045 (alias Q50009|U1764Y but longer 66 aa) hypothetical protein from Mycobacterium leprae (231 aa), FASTA scores: opt: 1401, E(): 8.7e-88, (87.45% identity in 231 aa overlap). Also highly similar to O69830|SC1B5.02 hypothetical 28.1 KDA protein from Streptomyces coelicolor (243 aa), FASTA scores: opt: 915, E(): 7.7e-55, (61.25% identity in 222 aa overlap); and similar to others e.g. Q9RUB0|DR1481 conserved hypothetical protein from Deinococcus radiodurans (289 aa), FASTA scores: opt: 327, E(): 6.1e-15, (31.8% identity in 176 aa overlap); Q97WP2|SSO2169 hypothetical protein from Sulfolobus solfataricus (223 aa), FASTA scores: opt: 285, E(): 3.4e-12, (31.3% identity in 163 aa overlap); BAB59947|TVG0805714 hypothetical protein from Thermoplasma volcanium (223 aa), FASTA scores: opt: 206, E(): 7.7e-07, (25.0% identity in 176 aa overlap); etc.</t>
  </si>
  <si>
    <t>Involved in heme and porphyrin biosynthesis (at the penultimate step). Catalyzes the 6-electron oxidation of protoporphyrinogen IX to form protoporphyrin IX [catalytic activity: protoporphyrinogen-IX + O(2) = protoporphyrin-IX + H(2)O(2)].</t>
  </si>
  <si>
    <t>Probable protoporphyrinogen oxidase HemY (protoporphyrinogen-IX oxidase) (protoporphyrinogenase) (PPO)</t>
  </si>
  <si>
    <t>Rv2677c, (MT2751, MTV010.01c), len: 452 aa. Probable hemY, protoporphyrinogen oxidase, equivalent to Q50008|PPOX_MYCLE|HEMY|ML1044 protoporphyrinogen oxidase from Mycobacterium leprae (451 aa), FASTA scores: opt: 2211, E(): 8.8e-118, (75.4% identity in 455 aa overlap). Also similar to others e.g. Q9RV99|DR1130 from Deinococcus radiodurans (462 aa), FASTA scores: opt: 523, E(): 2.7e-22, (29.8% identity in 453 aa overlap); O32434|PPOX_PROFR|HEMY from Propionibacterium freudenreichii shermanii (527 aa), FASTA scores: opt: 344, E(): 4e-12, (32.1% identity in 495 aa overlap); P32397|PPOX_BACSU|HEMY|HEMG from Bacillus subtilis (470 aa), FASTA scores: opt: 305, E(): 5.9e-10, (26.8% identity in 463 aa overlap); etc. Belongs to the protoporphyrinogen oxidase family. Cofactor: contains one FAD per homodimer.</t>
  </si>
  <si>
    <t>Involved in porphyrin biosynthesis [catalytic activity: uroporphyrinogen III = coproporphyrinogen + 4 CO(2)].</t>
  </si>
  <si>
    <t>Probable uroporphyrinogen decarboxylase HemE (uroporphyrinogen III decarboxylase) (URO-D) (UPD)</t>
  </si>
  <si>
    <t>Rv2678c, (MTV010.02c), len: 357 aa. Probable hemE, uroporphyrinogen decarboxylase, equivalent to P46809|DCUP_MYCLE|heme|ML1043 uroporphyrinogen decarboxylase from Mycobacterium leprae (357 aa), FASTA scores: opt: 2017, E(): 8.2e-111, (83.75% identity in 357 aa overlap). Also highly similar to many e.g. O69861|DCUP_STRCO|heme|SC1C3.19 from Streptomyces coelicolor (355 aa), FASTA scores: opt: 1165, E(): 5.6e-61, (58.15% identity in 349 aa overlap); P32395|DCUP_BACSU|heme from Bacillus subtilis (353 aa), FASTA scores: opt: 859, E(): 4.5e-43, (44.1% identity in 356 aa overlap); Q9RV96|DCUP_DEIRA|heme|DR1133 from Deinococcus radiodurans (344 aa), FASTA scores: opt: 850, E(): 1.5e-42, (43.0% identity in 349 aa overlap); etc. Equivalent to AAK47067 from Mycobacterium tuberculosis strain CDC1551 (372 aa) but shorter 15 aa. Contains PS00907 Uroporphyrinogen decarboxylase signature 2. Belongs to the uroporphyrinogen decarboxylase family.</t>
  </si>
  <si>
    <t>echA15</t>
  </si>
  <si>
    <t>Probable enoyl-CoA hydratase EchA15 (enoyl hydrase) (unsaturated acyl-CoA hydratase) (crotonase)</t>
  </si>
  <si>
    <t>Rv2679, (MTV010.03), len: 276 aa. Probable echA15, enoyl-CoA hydratase, similar to P53526|ECHC_MYCLE|ECHA12|ML1241|MLCB1610.01|B1170_C2_224 probable enoyl-CoA hydratase from Mycobacterium leprae (294 aa), FASTA scores: opt: 368, E(): 2.5e-16, (32.15% identity in 277 aa overlap). Also highly similar to Q9RXX1|DR0184 from Deinococcus radiodurans (273 aa), FASTA scores: opt: 993, E(): 2.2e-56, (58.15% identity in 263 aa overlap); and similar to many e.g. Q9ETY7|PACA|PAAG from Azoarcus evansii (273 aa), FASTA scores: opt: 396, E(): 3.8e-18, (34.9% identity in 258 aa overlap); O29299|AF0963|FAD-3 from Archaeoglobus fulgidus (259 aa), FASTA scores: opt: 363, E(): 4.7e-16, (30.4% identity in 250 aa overlap); P77467|PAAG_ECOLI|B1394 from Escherichia coli strain W (262 aa), FASTA scores: opt: 357, E(): 1.1e-15, (31.75% identity in 252 aa overlap); etc. Also similar to O53163|ECHC_MYCTU|ECHA12|FADB2|Rv1472|MT1518|MTV007.19 enoyl-CoA hydratase from Mycobacterium tuberculosis (285 aa), FASTA scores: opt: 355, E(): 1.6e-15, (31.3% identity in 265 aa overlap); and O06542|ECHA10|Rv1142c|MTCI65.09c|Z95584 enoyl-CoA hydratase from Mycobacterium tuberculosis (268 aa). Contains PS00166 Enoyl-CoA hydratase/isomerase signature. Belongs to the enoyl-CoA hydratase/isomerase family.</t>
  </si>
  <si>
    <t>Rv2680, (MTV010.04), len: 210 aa. Conserved protein, equivalent to Q50005|ML1041|U1764V hypothetical protein from Mycobacterium leprae (196 aa), FASTA scores: opt: 1136, E(): 9.7e-66, (83.95% identity in 193 aa overlap). Also similar to O69860|SC1C3.18c hypothetical 24.7 KDA protein from Streptomyces coelicolor (238 aa), FASTA scores: opt: 516, E(): 5.7e-26, (45.5% identity in 189 aa overlap); and similar in part to Q9I6V4|PA0178 probable two-component sensor from Pseudomonas aeruginosa (639 aa), FASTA scores: opt: 120, E(): 3.1, (33.05% identity in 115 aa overlap); and a few other proteins. Equivalent to AAK47069 from Mycobacterium tuberculosis strain CDC1551 (178 aa) but longer 32 aa; and N-terminus highly similar to N-terminus of AAK48352|MT3984 hypothetical 4.2 KDA protein from Mycobacterium tuberculosis strain CDC1551 (38 aa), FASTA scores: opt: 102, E(): 3.6, (62.05% identity in 29 aa overlap). Nucleotide position 2996194 in the genome sequence has been corrected, T:A resulting in V30V.</t>
  </si>
  <si>
    <t>Conserved hypothetical alanine rich protein</t>
  </si>
  <si>
    <t>Rv2681, (MTCY05A6.02), len: 438 aa. Conserved hypothetical ala-rich protein, equivalent to Q50004|ML1040|U1764U hypothetical protein from Mycobacterium leprae (429 aa), FASTA scores: opt: 2146, E(): 1.1e-119, (77.4% identity in 416 aa overlap). Also highly similar to O69858|SC1C3.16c hypothetical 42.5 KDA protein from Streptomyces coelicolor (394 aa), FASTA scores: opt: 1336, E(): 9e-72, (51.6% identity in 405 aa overlap); and with some similarity to ribonucleases D e.g. Q983F2|MLL8354 from Rhizobium loti (Mesorhizobium loti) (383 aa), FASTA scores: opt: 379, E(): 3.9e-15, (31.6% identity in 323 aa overlap); Q9A7L8|CC1704 from Caulobacter crescentus (389 aa), FASTA scores: opt: 370, E(): 1.3e-14, (31.45% identity in 318 aa overlap); CAC45770 from Rhizobium meliloti (Sinorhizobium meliloti) (383 aa), FASTA scores: opt: 331, E(): 2.7e-12, (27.75% identity in 357 aa overlap); etc.</t>
  </si>
  <si>
    <t>Involved in the deoxyxylulose-5-phosphate pathway (DXP) of isoprenoidbiosynthesis (at the first step), and in the biosynthetic pathway to thiamine and pyridoxol (at the first step). Catalyzes the acyloin condensation reaction between atoms 2 and 3 of pyruvate and glyceraldehyde 3-phosphate to yield 1-deoxy-D-xylulose-5-phosphate (DXP).</t>
  </si>
  <si>
    <t>Probable 1-deoxy-D-xylulose 5-phosphate synthase Dxs1 (1-deoxyxylulose-5-phosphate synthase) (DXP synthase) (DXPS)</t>
  </si>
  <si>
    <t>Rv2682c, (MTCY05A6.03c), len: 638 aa. Probable dxs1, 1-deoxy-D-xylulose 5-phosphate synthase, equivalent to Q50000|DXS_MYCLE|TKTB|ML1038 1-deoxy-D-xylulose 5-phosphate synthase from Mycobacterium leprae (643 aa), FASTA scores: opt: 3635, E(): 5.6e-209, (86.4% identity in 632 aa overlap). Also highly similar to other Q9X7W3|DXS_STRCO|DXS|SC6A5.17 from Streptomyces coelicolor (656 aa), FASTA scores: opt: 2501, E(): 2e-141, (61.3% identity in 623 aa overlap); Q9K971|DXS_BACHD|DXS|BH2779 from Bacillus halodurans (629 aa), FASTA scores: opt: 1612, E(): 1.8e-88, (41.35% identity in 619 aa overlap); P77488|DXS_ECOLI|DXS|B0420 from Escherichia coli strain K12 (619 aa), FASTA scores: opt: 1511, E(): 1.8e-82, (39.5% identity in 625 aa overlap); etc. Also similar to O50408|Rv3379c|MTV004.37c from Mycobacterium tuberculosis (536 aa). Belongs to the transketolase family. DXS subfamily. Cofactor: thiamine pyrophosphate. Note that previously known as dxs.</t>
  </si>
  <si>
    <t>Rv2683, (MTCY05A6.04), len: 165 aa. Conserved protein, equivalent, but shorter 19 aa, to Q49999|ML1037|U1764Q hypothetical protein from Mycobacterium leprae (184 aa), FASTA scores: opt: 750, E(): 1.2e-41, (73.8% identity in 164 aa overlap). Shows some similarity with other hypothetical proteins e.g. Q988S9|MLL6611 from Rhizobium loti (Mesorhizobium loti) (232 aa), FASTA scores: opt: 128, E(): 0.25, (25.5% identity in 149 aa overlap); Q9YFL5|APE0233 from Aeropyrum pernix (340 aa), FASTA scores: opt: 123, E(): 0.73, (29.1% identity in 141 aa overlap); BAB60477|TVG1377730 from Thermoplasma volcanium (174 aa), FASTA scores: opt: 118, E(): 0.86, (28.8% identity in 59 aa overlap); etc.</t>
  </si>
  <si>
    <t>Thought to be involved in active transport of arsenical compounds across the membrane (export): arsenic resistance by an export mechanism. Responsible for the translocation of the substrate across the membrane.</t>
  </si>
  <si>
    <t>Probable arsenic-transport integral membrane protein ArsA</t>
  </si>
  <si>
    <t>Rv2684, (MTCY05A6.05), len: 429 aa. Probable arsA, arsenic-transport integral membrane protein, equivalent to P46838|AG45_MYCLE|ML1036 46 KDA probable integral membrane protein (antigen 45, a transmembrane protein related to arsenical pumps) from Mycobacterium leprae (429 aa), FASTA scores: opt: 2067, E(): 9.9e-118, (74.05% identity in 428 aa overlap); and upstream orf O07187|YQ85_MYCTU|ARSB|Rv2685|MT2759|MTCY05A6.06 probable integral membrane 45.2 KDA protein ARSB from Mycobacterium tuberculosis (428 aa), FASTA scores: opt: 2148, E(): 1.3e-122, (76.58% identity in 427 aa overlap). Also highly similar to other proteins e.g. Q9UY19|PAB1107 transport protein from Pyrococcus abyssi (425 aa), FASTA scores: opt: 1109, E(): 8.3e-60, (41.45% identity in 427 aa overlap); O59575|PH1912 hypothetical 46.0 KDA protein from Pyrococcus horikoshii (424 aa), FASTA scores: opt: 1101, E(): 2.5e-59, (41.95% identity in 429 aa overlap); Q9KDI2|BH1231 hypothetical 46.0 KDA protein from Bacillus halodurans (428 aa), FASTA scores: opt: 1018, E(): 2.7e-54, (38.9% identity in 427 aa overlap); etc. Belongs to the NADC/P/PHO87 family of transporters, P subfamily (ARS family).</t>
  </si>
  <si>
    <t>Thought to be involved in transport of arsenical compounds across the membrane (export): arsenic resistance by an export mechanism. Responsible for the translocation of the substrate across the membrane.</t>
  </si>
  <si>
    <t>Probable arsenic-transport integral membrane protein ArsB1</t>
  </si>
  <si>
    <t>Rv2685, (MTCY05A6.06), len: 428 aa. Probable arsB1, arsenic-transport integral membrane protein, equivalent to P46838|AG45_MYCLE|ML1036 46 KDA probable integral membrane protein (antigen 45, a transmembrane protein related to arsenical pumps) from Mycobacterium leprae (429 aa), FASTA scores: opt: 2048, E(): 7.3e-120, (74.25% identity in 427 aa overlap); and downstream ORF O07186|YQ84_MYCTU|ARSA|Rv2684|MT2758|MTCY05A6.05 probable integral membrane protein ARSA from Mycobacterium tuberculosis (429 aa), FASTA scores: opt: 2154, E(): 1.9e-126, (76.8% identity in 427 aa overlap). Also highly similar to other proteins e.g. O59575|PH1912 hypothetical 46.0 KDA protein from Pyrococcus horikoshii (424 aa), FASTA scores: opt: 1075, E(): 1.9e-59, (43.55% identity in 427 aa overlap); Q9UY19|PAB1107 transport protein from Pyrococcus abyssi (425 aa), FASTA scores: opt: 1062, E(): 1.3e-58, (41.8% identity in 428 aa overlap); Q9KDI2|BH1231 hypothetical 46.0 KDA protein from Bacillus halodurans (428 aa), FASTA scores: opt: 993, E(): 2.4e-54, (39.55% identity in 430 aa overlap); etc. Belongs to the NADC/P/PHO87 family of transporters, P subfamily. Note that previously known as arsB.</t>
  </si>
  <si>
    <t>Thought to be involved in active transport of unidentified antibiotic across the membrane (export): antibiotic resistance by an export mechanism. Responsible for the translocation of the substrate across the membrane.</t>
  </si>
  <si>
    <t>Antibiotic-transport integral membrane leucine and alanine and valine rich protein ABC transporter</t>
  </si>
  <si>
    <t>Rv2686c, (MTCY05A6.07c), len: 252 aa. Antibiotic-transport integral membrane leu-, ala-, val-rich protein ABC transporter (see citation below). The region from aa ~115 to 160 is highly similar to N-terminus of Q49998|U1764P hypothetical protein from Mycobacterium leprae (53 aa), FASTA scores: opt: 151, E(): 0.011, (58.15% identity in 43 aa overlap). Shows some similarity with membrane proteins e.g. AAK75541|SP1447 membrane protein from Streptococcus pneumoniae (298 aa), FASTA scores: opt: 139, E(): 0.21, (29.65% identity in 135 aa overlap); Q9K4C9|2SC6G5.26c putative ABC transporter integral membrane subunit from Streptomyces coelicolor (249 aa), FASTA scores: opt: 138, E(): 0.21, (26.9% identity in 253 aa overlap); Q53627|MTRB membrane protein involved in mithramycin resistance from Streptomyces argillaceus (233 aa), FASTA scores: opt: 136, E(): 0.27, (26.7% identity in 191 aa overlap); etc.</t>
  </si>
  <si>
    <t>Rv2687c</t>
  </si>
  <si>
    <t>Antibiotic-transport integral membrane leucine and valine rich protein ABC transporter</t>
  </si>
  <si>
    <t>Rv2687c, (MTCY05A6.08c), len: 237 aa. Antibiotic-transport integral membrane leu-, val-rich protein ABC transporter (see citation below), showing some similarity with two other hypothetical proteins, BAB59668|TVG0517148 from Thermoplasma volcanium (241 aa), FASTA scores: opt: 136, E(): 0.32, (23.1% identity in 208 aa overlap); and Q97U55|SSO3168 from Sulfolobus solfataricus (249 aa), FASTA scores: opt: 136, E(): 0.33, (25.15% identity in 195 aa overlap). Has some hydrophobic stretches and contains bacterial regulatory proteins, araC family signature (PS00041).</t>
  </si>
  <si>
    <t>Thought to be involved in active transport of unidentified antibiotic across the membrane (export): antibiotic resistance by an export mechanism. Responsible for energy coupling to the transport system.</t>
  </si>
  <si>
    <t>Antibiotic-transport ATP-binding protein ABC transporter</t>
  </si>
  <si>
    <t>Rv2688c, (MTCY05A6.09c), len: 301 aa. Antibiotic-transport ATP-binding protein ABC transporter (see citation below), highly similar to AAK47077|MT2762 ABC transporter ATP-binding protein from Mycobacterium tuberculosis strain CDC1551 (317 aa), FASTA scores: opt: 1714, E(): 5.1e-93, (95.6% identity in 274 aa overlap). Also highly similar to other ATP-binding proteins ABC transporter e.g. Q9K639|BH3893 from Bacillus halodurans (282 aa), FASTA scores: opt: 644, E(): 1.4e-30, (38.% identity in 285 aa overlap); O58550|PH0820 from Pyrococcus horikoshii (312 aa), FASTA scores: opt: 574, E(): 1.8e-26, (39.1% identity in 307 aa overlap); Q9WYM0|TM0389 from Thermotoga maritima (301 aa), FASTA scores: opt: 536, E(): 2.9e-24, (36.1% identity in 291 aa overlap); etc. Has ATP/GTP-binding site motif A (P-loop) at N-terminus (PS00017). Belongs to the ATP-binding transport protein family (ABC transporters).</t>
  </si>
  <si>
    <t>Conserved alanine and valine and glycine rich protein</t>
  </si>
  <si>
    <t>Rv2689c, (MTCY05A6.10c), len: 405 aa (other less probable starts possible). Conserved ala-, val-, gly-rich protein, similar to O54099|SC10A5.06 hypothetical 49.5 KDA protein from Streptomyces coelicolor (458 aa), FASTA scores: opt: 455, E(): 2.7e-20, (38.35% identity in 417 aa overlap); and shows weak similarity in part with several methyltransferases e.g. Q9X0H9|TM1094 putative RNA methyltransferase from Thermotoga maritima (439 aa), FASTA scores: opt: 306, E(): 3e-11, (25.9% identity in 436 aa overlap); AK79403|CAC1435 S-adenosylmethionine-dependent methyltransferases from Clostridium acetobutylicum (456 aa), FASTA scores: opt: 294, E(): 1.6e-10, (23.4% identity in 449 aa overlap); Q9A8M7|CC1326 RNA methyltransferase from Caulobacter crescentus (415 aa), FASTA scores: opt: 247, E(): 1.1e-07, (28.4% identity in 433 aa overlap); etc. Equivalent to AAK47078 from Mycobacterium tuberculosis strain CDC1551 (434 aa) but shorter 29 aa.</t>
  </si>
  <si>
    <t>Probable conserved integral membrane alanine and valine and leucine rich protein</t>
  </si>
  <si>
    <t>Rv2690c, (MTCY05A6.11c), len: 657 aa. Probable conserved integral membrane ala-, val-, leu-rich protein, highly similar to others e.g. O54098|SC10A5.05 putative membrane protein from Streptomyces coelicolor (691 aa), FASTA scores: opt: 2007, E(): 1.6e-116, (62.35% identity in 669 aa overlap); O69917|SC3C8.04c putative integral membrane protein from Streptomyces coelicolor (644 aa), FASTA scores: opt: 923, E(): 1.7e-49, (35.3% identity in 669 aa overlap); AAK78253|CAC0272 amino acid transporter from Clostridium acetobutylicum (620 aa), FASTA scores: opt: 674, E(): 4.1e-34, (36.55% identity in 640 aa overlap); etc.</t>
  </si>
  <si>
    <t>Part of a potassium transport system.</t>
  </si>
  <si>
    <t>TRK system potassium uptake protein CeoB</t>
  </si>
  <si>
    <t>Rv2691, (MTCY05A6.12), len: 227 aa. CeoB (alternate gene name: trkA), TRK system potassium uptake protein (see citation below), highly similar to others e.g. Q53949|TRKA_STRCO|SC2E9.17c from Streptomyces coelicolor (223 aa), FASTA scores: opt: 781, E(): 5.8e-42, (53.2% identity in 220 aa overlap); O27333|TRKA_METTH|MTH1265 from Methanobacterium thermoautotrophicum (216 aa), FASTA scores: opt: 287, E(): 5.3e-11, (27.0% identity in 211 aa overlap); O54141|SC2E9.16c from Streptomyces coelicolor (226 aa), FASTA scores: opt: 269, E(): 7.3e-10, (29.9% identity in 214 aa overlap); etc. Also similar to upstream orf O07194|CEOC|TRKA_MYCTU|TRKA|TRKB|Rv2692|MT2766|MTCY05A6.13 TRK system potassium uptake protein from Mycobacterium tuberculosis (220 aa), FASTA scores: opt: 259, E(): 3e-09, (26.55% identity in 226 aa overlap). Contains a motif common to NAD+ binding pockets (see citation below). Belongs to the TrkA family.</t>
  </si>
  <si>
    <t>TRK system potassium uptake protein CeoC</t>
  </si>
  <si>
    <t>Rv2692, (MTCY05A6.13), len: 220 aa. CeoC (alternate gene names: trkA and trkB), TRK system potassium uptake protein (see citation below), highly similar to others e.g. O54141|SC2E9.16c from Streptomyces coelicolor (226 aa), FASTA scores: opt: 870, E(): 9.4e-48, (58.8% identity in 216 aa overlap); Q58505|TRKA_METJA|MJ1105 from Methanococcus jannaschii (218 aa), FASTA scores: opt: 361, E(): 9.7e-16, (29.8% identity in 218 aa overlap); O27333|TRKA_METTH|MTH1265 from Methanobacterium thermoautotrophicum (216 aa), FASTA scores: opt: 326, E(): 1.5e-13, (30.1% identity in 216 aa overlap); etc. Also similar to downstream orf O07193|CEOB|TRKA|Rv2691|MTCY05A6.12 TRK system potassium uptake protein from Mycobacterium tuberculosis (227 aa), FASTA scores: opt: 259, E(): 2.6e-09, (26.55% identity in 226 aa overlap). Contains a motif common to NAD+ binding pockets (see citation below). Belongs to the TrkA family.</t>
  </si>
  <si>
    <t>Probable conserved integral membrane alanine and leucine rich protein</t>
  </si>
  <si>
    <t>Rv2693c, (MTCY05A6.14c), len: 223 aa. Probable conserved integral membrane ala-, leu-rich protein, showing some similarity to O54140|SC2E9.15 hypothetical 29.6 KDA protein from Streptomyces coelicolor (272 aa), FASTA scores: opt: 212, E(): 4.3e-06, (23.5% identity in 247 aa overlap).</t>
  </si>
  <si>
    <t>Rv2694c, (MTCY05A6.15c), len: 122 aa. Conserved protein, highly similar in part to SC2E9.14 hypothetical 16.9 KDA protein from Streptomyces coelicolor (154 aa), FASTA scores: opt: 299, E(): 1.9e-13, (41.05% identity in 117 aa overlap. Equivalent to AAK47083 from Mycobacterium tuberculosis strain CDC1551 (157 aa) but shorter 35 aa.</t>
  </si>
  <si>
    <t>Rv2695</t>
  </si>
  <si>
    <t>Rv2695, (MTCY05A6.16), len: 235 aa. Conserved hypothetical ala-rich protein, equivalent to Q49994|ML1030|U1764L hypothetical protein from Mycobacterium leprae (232 aa), FASTA scores: opt: 1166, E(): 6.3e-63, (76.95% identity in 230 aa overlap). Also shows some similarity with other hypothetical proteins e.g. Q986S2|MLR7232 hypothetical protein from Rhizobium loti (Mesorhizobium loti) (277 aa), FASTA scores: opt: 150, E(): 0.059, (33.55% identity in 173 aa overlap); CAC47772|SMC03810 hypothetical protein from Rhizobium meliloti (Sinorhizobium meliloti) (269 aa), FASTA scores: opt: 143, E(): 0.15, (28.05% identity in 228 aa overlap); Q9A5N6|CC2411 3-oxoadipate enol-lactone hydrolase/4-carboxymuconolactone decarboxylase from Caulobacter crescentus (393 aa), FASTA scores: opt: 138, E(): 0.41, (26.45% identity in 238 aa overlap); etc. A core mycobacterial gene; conserved in mycobacterial strains (See Marmiesse et al., 2004). Nucleotide position 3012293 in the genome sequence has been corrected, A:G resulting in T126T.</t>
  </si>
  <si>
    <t>Conserved alanine and glycine and valine rich protein</t>
  </si>
  <si>
    <t>Rv2696c, (MTCY05A6.17c), len: 259 aa. Conserved ala-, gly-, val-rich protein, equivalent (but shorter 18 aa) to Q49993|ML1029|U1764K hypothetical protein from Mycobacterium leprae (273 aa), FASTA scores: opt: 1174, E(): 2.1e-63, (70.6% identity in 262 aa overlap). Also similar to O54135|SC2E9.10 from Streptomyces coelicolor (250 aa), FASTA scores: opt: 213, E(): 9.8e-06, (28.25% identity in 255 aa overlap); and showing weak similarity with other proteins.</t>
  </si>
  <si>
    <t>Involved in biosynthesis of thymidylate. This enzyme is involved in nucleotide metabolism: it produces dUMP, the immediate precursor of thymidine nucleotides and it decreases the intracellular concentration of dUTP so that uracil cannot be incorporated into DNA [catalytic activity: dUTP + H(2)O = dUMP + pyrophosphate].</t>
  </si>
  <si>
    <t>Probable deoxyuridine 5'-triphosphate nucleotidohydrolase Dut (dUTPase) (dUTP pyrophosphatase) (deoxyuridine 5'-triphosphatase) (dUTP diphosphatase) (deoxyuridine-triphosphatase)</t>
  </si>
  <si>
    <t>Rv2697c, (MT2771, MTCY05A6.18c), len: 154 aa. Probable dut, deoxyuridine 5'-triphosphate nucleotidohydrolase (see citation below), equivalent to Q49992|DUT_MYCLE|ML1028 deoxyuridine 5'-triphosphate nucleotidohydrolase from Mycobacterium leprae (154 aa), FASTA scores: opt: 928, E(): 2.1e-51, (90.25% identity in 154 aa overlap). Also highly similar to others e.g. O54134|DUT_STRCO|SC2E9.09 from Streptomyces coelicolor (183 aa), FASTA scores: opt: 534, E(): 1.2e-26, (56.1% identity in 148 aa overlap); O66592|DUT_AQUAE|AQ_220 from Aquifex aeolicus (150 aa), FASTA scores: opt: 398, E(): 3.3e-18, (48.05% identity in 152 aa overlap); Q9X3X5|DUT_ZYMMO from Zymomonas mobilis (146 aa), FASTA scores: opt: 396, E(): 4.4e-18, (49.0% identity in 147 aa overlap); etc. Belongs to the dUTPase family.</t>
  </si>
  <si>
    <t>Probable conserved alanine rich transmembrane protein</t>
  </si>
  <si>
    <t>Rv2698, (MTCY05A6.19), len: 161 aa. Probable conserved ala-rich transmembrane protein, equivalent to Q49991|ML1027|U1764I possible membrane protein from Mycobacterium leprae (157 aa), FASTA scores: opt: 886, E(): 1.1e-49, (78.9% identity in 161 aa overlap). Also similar to O54132|SC2E9.07c hypothetical 16.5 KDA protein from Streptomyces coelicolor (154 aa), FASTA scores: opt: 230, E(): 7.1e-08, (35.7% identity in 154 aa overlap).</t>
  </si>
  <si>
    <t>Rv2699c, (MTCY05A6.20c), len: 100 aa. Conserved hypothetical protein, very equivalent to Q49990|ML1026|U1764J hypothetical protein from Mycobacterium leprae (100 aa), FASTA scores: opt: 632, E(): 7.7e-36, (96.0% identity in 100 aa overlap). Also highly similar to O54130|SC2E9.05 hypothetical 11.0 KDA protein from Streptomyces coelicolor (98 aa), FASTA scores: opt: 465, E(): 1.1e-24, (71.45% identity in 98 aa overlap).</t>
  </si>
  <si>
    <t>Possible conserved secreted alanine rich protein</t>
  </si>
  <si>
    <t>Rv2700, (MTCY05A6.21), len: 216 aa. Possible secreted ala-rich protein, equivalent to Q4998|ML1025|U1764H possible secreted protein from Mycobacterium leprae (216 aa), FASTA scores: opt: 1198, E(): 1.2e-65, (82.4% identity in 216 aa overlap). Also showing some similarity with Q9AK75|2SCD60.08c conserved hypothetical protein from Streptomyces coelicolor (204 aa), FASTA scores: opt: 193, E(): 8.9e-05, (31.25% identity in 192 aa overlap). A core mycobacterial gene; conserved in mycobacterial strains (See Marmiesse et al., 2004).</t>
  </si>
  <si>
    <t>Involved in inositol phosphate metabolism. It is responsible for the provision of inositol required for synthesis of phosphatidylinositol and polyphosphoinositides. Key enzyme of the phosphatidyl inositol signaling pathway. [catalytic activity: myo-inositol 1-phosphate + H(2)O = myo-inositol + phosphate]</t>
  </si>
  <si>
    <t>Inositol-1-monophosphatase SuhB</t>
  </si>
  <si>
    <t>Rv2701c, (MTCY05A6.22c), len: 290 aa. SuhB, inositol-1-monophosphatase. Equivalent to AAK47090 from Mycobacterium tuberculosis strain CDC1551 (277 aa) but longer 13 aa. Contains PS00630 Inositol monophosphatase family signatures 1 and 2 (PS00629 and PS00630). Belongs to the inositol monophosphatase family. Cofactor: Mg2+. Activity is inhibited by Li+ but not when Leu81 is mutated (See Nigou et al., 2002). Mg2+ promotes dimerization; Li+ amplifies this effect but does not promote dimerization on its own (See Brown et al., 2007).</t>
  </si>
  <si>
    <t>Catalyzes the phosphorylation of glucose using polyphosphate or ATP as the phosphoryl donor. GTP, UTP and CTP can replace ATP as phosphoryl donor [catalytic activity: (phosphate)(N) + D-glucose = (phosphate)(N-1) + D-glucose 6-phosphate].</t>
  </si>
  <si>
    <t>Polyphosphate glucokinase PpgK (polyphosphate-glucose phosphotransferase)</t>
  </si>
  <si>
    <t>Rv2702, (MTCY05A6.23), len: 265 aa. PpgK, polyphosphate glucokinase (see citations below), equivalent, but shorter 60 aa, to Q49988|PPGK_MYCLE|ML1023|U1764FG polyphosphate glucokinase from Mycobacterium leprae (324 aa), FASTA scores: opt: 1411, E(): 5.6e-80, (82.8% identity in 262 aa overlap). Also highly similar (or just similar) to others e.g. Q9ADE8|PPGK from Streptomyces coelicolor (246 aa), FASTA scores: opt: 912, E(): 3e-49, (57.3% identity in 239 aa overlap); Q9AGV8|PPGK from Corynebacterium ammoniagenes (Brevibacterium ammoniagenes) (277 aa), FASTA scores: opt: 890, E(): 7.5e-48, (57.75% identity in 239 aa overlap); P40184|GLK_STRCO|SC6E10.20c from Streptomyces coelicolor (317 aa), FASTA scores: opt: 233, E(): 3.2e-07, (31.3% identity in 163 aa overlap); etc.</t>
  </si>
  <si>
    <t>The sigma factor is an initiation factor that promotes attachment of the RNA polymerase to specific initiation sites and then is released. This is the primary sigma-factor of this bacteria. Supposedly involved in the housekeeping regulons.</t>
  </si>
  <si>
    <t>RNA polymerase sigma factor SigA (sigma-A)</t>
  </si>
  <si>
    <t>Rv2703, (MTCY05A6.24), len: 528 aa. SigA (formerly named mysA, and also known as rpoV or rpoD), RNA polymerase sigma factor (see citations below), equivalent (but shorter 55 aa) to Q9S5K3|RPOT (alias Q59532) RNA polymerase sigma factor from Mycobacterium leprae (576 aa), FASTA scores: opt: 2638, E(): 8.6e-115, (80.35% identity in 535 aa overlap). Also similar to others e.g. Q59552|MYSA from Mycobacterium smegmatis (466 aa), FASTA scores: opt: 2259, E(): 2.3e-97, (76.5% identity in 528 aa overlap); Q45302|SIGA from Corynebacterium glutamicum (Brevibacterium flavum) (497 aa), FASTA scores: opt: 1972, E(): 4.3e-84, (67.35% identity in 505 aa overlap); Q59813|HRDB from Streptomyces aureofaciens (525 aa), FASTA scores: opt: 1654, E(): 2.1e-69, (67.5% identity in 468 aa overlap); etc. Contains sigma-70 family signatures 1 and 2 (PS00715 and PS00716). Belongs to the sigma-70 factor family.</t>
  </si>
  <si>
    <t>Rv2704, (MTCY05A6.25), len: 142 aa. Conserved protein, highly similar (but shorter 25 aa) to Q9RYB7|DR0033 conserved hypothetical protein from Deinococcus radiodurans (157 aa), FASTA scores: opt: 381, E(): 1.5e-17, (54.85% identity in 124 aa overlap); and highly similar to various proteins e.g. CAC47758|SMC03796 conserved hypothetical protein from Rhizobium meliloti (Sinorhizobium meliloti) (126 aa), FASTA scores: opt: 302, E(): 1.4e-12, (46.6% identity in 126 aa overlap); Q98E55|MLL4402 from Rhizobium loti (Mesorhizobium loti) (130 aa), FASTA scores: opt: 252, E(): 2.1e-09, (40.15% identity in 127 aa overlap); Q9K3V5|SCD10.21 putative acetyltransferase from Streptomyces coelicolor (291 aa), FASTA scores: opt: 247, E(): 8.7e-09, (41.3% identity in 138 aa overlap) (homology only in N-terminal region); etc. Belongs to the YJGF/YER057C/UK114 protein family.</t>
  </si>
  <si>
    <t>Rv2705c, (MTCY05A6.26c), len: 129 aa (unlikely ORF). Conserved hypothetical protein, similar to others e.g. Q9RXR5|DR0242 conserved hypothetical protein from Deinococcus radiodurans (112 aa), FASTA scores: opt: 259, E(): 9.4e-10, (40.5% identity in 116 aa overlap); CAC45122|SMC02246 conserved hypothetical protein from Rhizobium meliloti (Sinorhizobium meliloti) (115 aa), FASTA scores: opt: 208, E(): 1.6e-06, (38.3% identity in 107 aa overlap); Q98B88|MLL5682 hypothetical protein from Rhizobium loti (Mesorhizobium loti) (116 aa), FASTA scores: opt: 173, E(): 0.00026, (34.95% identity in 103 aa overlap); etc.</t>
  </si>
  <si>
    <t>Rv2706c, (MTCY05A6.27c), len: 85 aa (unlikely ORF). Hypothetical unknown protein.</t>
  </si>
  <si>
    <t>Rv2707, (MTCY05A6.28), len: 324 aa. Probable conserved transmembrane ala-, leu-rich protein, equivalent to Q49985|ML1017|U1764D possible conserved integral membrane protein from Mycobacterium leprae (330 aa), FASTA scores: opt: 1617, E(): 2.5e-91, (75.4% identity in 325 aa overlap). Also similar to other membrane proteins e.g. Q9ADF6|SCBAC1A6.31 putative integral membrane protein from Streptomyces coelicolor (344 aa), FASTA scores: opt: 593, E(): 5.9e-29, (36.2% identity in 268 aa overlap); Q99SZ8|SA1699 hypothetical protein (similar to transporter) from Staphylococcus aureus subsp. aureus N315 (405 aa), FASTA scores: opt: 318, E(): 3.7e-12, (27.9% identity in 265 aa overlap); O34437|YFKH hypothetical protein (similar to transporter) from Bacillus subtilis (275 aa), FASTA scores: opt: 309, E(): 9.7e-12, (29.3% identity in 263 aa overlap); etc.</t>
  </si>
  <si>
    <t>Rv2708c, (MTCY05A6.29), len: 82 aa. Conserved hypothetical protein, equivalent (but shorter 25 aa) to Q49984|ML1016|U1764C hypothetical protein from Mycobacterium leprae (107 aa), FASTA scores: opt: 492, E(): 7.3e-27, (87.8% identity in 82 aa overlap). Also highly similar to Q9L1U7|SCE59.06c hypothetical 10.4 KDA protein from Streptomyces coelicolor (97 aa), FASTA scores: opt: 200, E(): 4.4e-07, (51.6% identity in 62 aa overlap).</t>
  </si>
  <si>
    <t>Rv2709, (MTCY05A6.30), len: 148 aa. Probable conserved transmembrane protein, equivalent to Q9CCB4|ML1015 (alias Q49983|U1764B but extended in N-terminus) possible conserved membrane protein from Mycobacterium leprae (139 aa), FASTA scores: opt: 578, E(): 5.5e-31, (70.75% identity in 123 aa overlap). Shows also similarity with Q9RJ48|SCI8.05 putative integral membrane protein from Streptomyces coelicolor (159 aa), FASTA scores: opt: 119, E(): 0.57, (31.95% identity in 119 aa overlap). A core mycobacterial gene; conserved in mycobacterial strains (See Marmiesse et al., 2004).</t>
  </si>
  <si>
    <t>The sigma factor is an initiation factor that promotes attachment of the RNA polymerase to specific initiation sites and then is released. May control the regulons of stationary phase and general stress resistance. Seems to be regulated by sigh (Rv3223c product) and SIGE (Rv1221 product). Seems to regulate KATG|Rv1908c and the heat-shock response.</t>
  </si>
  <si>
    <t>Rv2710, (MTCY05A6.31), len: 323 aa. SigB (formerly known as mysB), RNA polymerase sigma factor (see citations below), equivalent to Q59531|ML1014 RNA polymerase sigma factor from Mycobacterium leprae (319 aa), FASTA scores: opt: 1935, E(): 1.9e-109, (96.2% identity in 316 aa overlap). Also highly similar to others e.g. Q59553|MYSB from Mycobacterium smegmatis (319 aa), FASTA scores: opt: 1874, E(): 9.1e-106, (92.4% identity in 316 aa overlap); Q9ANT6|SIGB from Brevibacterium flavum (331 aa), FASTA scores: opt: 1525, E(): 9.9e-85, (78.9% identity in 303 aa overlap); Q60158|RPOV from Mycobacterium bovis (528 aa), FASTA scores: opt: 1246, E(): 9.3e-68, (62.85% identity in 315 aa overlap); etc. Contains sigma-70 factors family signatures 1 and 2 (PS00715 and PS00716). And contains possible helix-turn-helix motif at aa 282-303 (Score 1887, +5.61 SD). Belongs to the sigma-70 factor family.</t>
  </si>
  <si>
    <t>Transcriptional regulatory protein (repressor and activator), iron-binding repressor of siderophore biosynthesis and iron uptake. Seems to regulate a variety of genes encoding a variety of proteins e.g. transporters, proteins involved in siderophore synthesis and iron storage, members of the PE/PPE family, enzymes involved in lipid metabolism, transcriptional regulatory proteins, etc. Also activator of BFRA|Rv1876 gene.</t>
  </si>
  <si>
    <t>Iron-dependent repressor and activator IdeR</t>
  </si>
  <si>
    <t>Rv2711, (MTCY05A6.32), len: 230 aa. IdeR (formerly known as dtxR), iron dependent repressor and activator (see citations below), equivalent to Q9CCB5|ML1013 iron dependent repressor from Mycobacterium leprae (230 aa), FASTA scores: opt: 1365, E(): 3.8e-77, (90.0% identity in 230 aa overlap). Also highly similar to others e.g. Q50379|DTXR from Mycobacterium smegmatis (233 aa), FASTA scores: opt: 1291, E(): 1.4e-72, (86.1% identity in 230 aa overlap); Q9F7T3|IDER from Corynebacterium equii (Rhodococcus equi) (230 aa), FASTA scores: opt: 1130, E(): 1.2e-62, (74.8% identity in 230 aa overlap); P33120|DTXR_CORDI from Corynebacterium diphtheriae (226 aa), FASTA scores: opt: 803, E(): 1.6e-42, (57.85% identity in 230 aa overlap); etc. Belongs to the fur family.</t>
  </si>
  <si>
    <t>Rv2712c, (MTCY05A6.33c), len: 352 aa. Hypothetical unknown ala-, leu-rich protein.</t>
  </si>
  <si>
    <t>Conversion of NADPH, generated by peripheral catabolic pathways, to NADH, which can enter the respiratory chain for energy generation [catalytic activity: NADPH + NAD(+) = NADP(+) + NADH].</t>
  </si>
  <si>
    <t>Probable soluble pyridine nucleotide transhydrogenase SthA (STH) (NAD(P)(+) transhydrogenase [B-specific]) (nicotinamide nucleotide transhydrogenase)</t>
  </si>
  <si>
    <t>Rv2713, (MT2786, MTCY05A6.34), len: 468 aa. Probable sthA, soluble pyridine nucleotide transhydrogenase, highly similar to others e.g. Q983E2|MLR8366 from Rhizobium loti (Mesorhizobium loti) (481 aa), FASTA scores: opt: 1447, E(): 4.1e-78, (49.55% identity in 460 aa overlap); P27306|STHA_ECOLI|STH|UDHA|B3962 from Escherichia coli strain K12 (465 aa), FASTA scores: opt: 1267, E(): 1.7e-67, (43.05% identity in 462 aa overlap); O05139|STHA_PSEFL|STH from Pseudomonas fluorescens (463 aa), FASTA scores: opt: 1257, E(): 6.6e-67, (43.8% identity in 461 aa overlap); etc. Also highly similar to CAC46308|SMC00300 putative oxidoreductase protein from Rhizobium meliloti (Sinorhizobium meliloti) (467 aa), FASTA scores: opt: 1466, E(): 3e-79, (49.55% identity in 462 aa overlap). Shows some similarity to MTCY359.04, E(): 3.1e-08; MTCY210.05, E(): 3.4e-08. Contains ATP/GTP-binding site motif A (P-loop; PS00017). Belongs to the pyridine nucleotide-disulfide oxidoreductases class-I. Cofactor: FAD (by similarity).</t>
  </si>
  <si>
    <t>Conserved alanine and leucine rich protein</t>
  </si>
  <si>
    <t>Rv2714, (MTCY05A6.35), len: 324 aa. Conserved ala-, leu-rich protein, equivalent to Q49847|ML1009|B2235_F1_6 hypothetical protein from Mycobacterium leprae (326 aa), FASTA scores: opt: 1881, E(): 5.8e-107, (89.7% identity in 320 aa overlap); and similar to Q49797|MLCB2533.03c|B2126_F1_36 hypothetical protein from Mycobacterium leprae (317 aa), FASTA scores: opt: 376, E(): 1.2e-15, (30.1% identity in 279 aa overlap); and Q9CC38|ML1306 hypothetical protein from Mycobacterium leprae (274 aa), FASTA scores: opt: 367, E(): 3.6e-15, (29.8% identity in 275 aa overlap). Also highly similar to Q9S2K6|SC7H2.11c hypothetical 34.2 KDA protein from Streptomyces coelicolor (312 aa), FASTA scores: opt: 770, E(): 1.4e-39, (40.9% identity in 286 aa overlap); and similar to Q9ADA5|SCI52.04 conserved hypothetical protein from Streptomyces coelicolor (333 aa), FASTA scores: opt: 386, E(): 3e-16, (29.05% identity in 296 aa overlap). Also similar to O33260|Rv2125|MTCY261.21 hypothetical protein from Mycobacterium tuberculosis (292 aa), FASTA scores: opt: 387, E(): 2.3e-16, (29.45% identity in 292 aa overlap).</t>
  </si>
  <si>
    <t>Rv2715, (MTCY05A6.36), len: 341 aa. Possible hydrolase, showing some similarity with other hydrolases e.g. Q9I5B0|PA0829 probable hydrolase from Pseudomonas aeruginosa (313 aa), FASTA scores: opt: 336, E(): 9.9e-14, (28.05% identity in 289 aa overlap); BAB55888 hydrolase (fragment) from Terrabacter sp. DBF63 (319 aa), FASTA scores: opt: 326, E(): 4.2e-13, (27.95% identity in 290 aa overlap); O52866|CEH|eh soluble epoxide hydrolase from Corynebacterium SP (285 aa), FASTA scores: opt: 325, E(): 4.4e-13, (29.95% identity in 284 aa overlap); etc. Also shows some similarity to P96811|EPHF|Rv0134|MTCI5.08 hypothetical 33.8 KDA protein from Mycobacterium tuberculosis (300 aa), FASTA scores: E(): 1.8e-10, (27.7% identity in 271 aa overlap). Contains lipases, serine active site motif (PS00120).</t>
  </si>
  <si>
    <t>Rv2716, (MTCY05A6.37), len: 228 aa. Conserved protein, similar to other proteins e.g. Q9RKR0|SCC75A.14 hypothetical 23.3 KDA protein from Streptomyces coelicolor (214 aa), FASTA scores: opt: 447, E(): 4e-22, (44.1% identity in 220 aa overlap); Q9HHG6|PHZF|VNG6408G phenazine biosynthetic protein from Halobacterium sp. strain NRC-1 (299 aa), FASTA scores: opt: 201, E(): 6.1e-06, (30.4% identity in 148 aa overlap) (similarity only at N-terminus); P73125|SLR1019 hypothetical 34.1 KDA protein from Synechocystis sp. strain PCC 6803 (314 aa), FASTA scores: opt: 196, E(): 1.4e-05, (28.5% identity in 298 aa overlap); etc.</t>
  </si>
  <si>
    <t>Rv2717c, (MTCY05A6.38c), len: 164 aa. Conserved protein, equivalent to Q9CCB8|ML1006 (alias Q49838 but shortened N-terminus) hypothetical protein from Mycobacterium leprae (161 aa), FASTA scores: opt: 797, E(): 2.3e-46, (73.8% identity in 164 aa overlap). Also highly similar to other eukaryotic proteins e.g. O64527|YUP8H12R.14 hypothetical protein from Arabidopsis thaliana (Mouse-ear cress) (166 aa), FASTA scores: opt: 393, E(): 2.3e-19, (42.4% identity in 158 aa overlap); Q9Y325 CGI-36 protein from Homo sapiens (Human) (165 aa), FASTA scores: opt: 294, E(): 9.5e-13, (33.95% identity in 159 aa overlap); etc.</t>
  </si>
  <si>
    <t>Probable transcriptional regulatory protein NrdR</t>
  </si>
  <si>
    <t>Rv2718c, (MTCY05A6.39c), len: 154 aa. Probable nrdR, transcriptional regulatory protein, equivalent to Q49844|ML1005|U2235A|B2235_C2_209 hypothetical 17.3 KDA protein from Mycobacterium leprae (154 aa), FASTA scores: opt: 937, E(): 1.5e-52, (92.7% identity in 151 aa overlap). Highly similar to O86848|NRDR_STRCL putative regulatory protein from Streptomyces clavuligerus (172 aa), FASTA scores: opt: 750, E(): 1.1e-40, (73.65% identity in 148 aa overlap); O69980|SC4H2.25 hypothetical protein from Streptomyces coelicolor (182 aa), FASTA scores: opt: 725, E(): 4.6e-39, (73.1% identity in 145 aa overlap); Q9KPU0|VC2272 hypothetical protein from Vibrio cholerae (156 aa), FASTA scores: opt: 462, E(): 1.8e-22, (47.3% identity in 148 aa overlap); etc.</t>
  </si>
  <si>
    <t>Rv2719c</t>
  </si>
  <si>
    <t>Rv2719c, (MTCY05A6.40c), len: 165 aa. Possible conserved membrane protein, equivalent to Q49846|ML1004|B2235_C3_243 possible conserved membrane protein from Mycobacterium leprae (164 aa), FASTA scores: opt: 486, E(): 4e-21, (55.2% identity in 163 aa overlap). A core mycobacterial gene; conserved in mycobacterial strains (See Marmiesse et al., 2004).</t>
  </si>
  <si>
    <t>Involved in regulation of nucleotide excision repair and sos response. Represses a number of genes involved in the response to DNA damage (sos response), including RECA and LEXA. Has been shown to bind to the 14 bp palindromic sequence 5'-cgaacnnnngttcg-3'. In the presence of single-stranded DNA, RECA interacts with LEXA causing an autocatalytic cleavage which disrupts the DNA-binding part of LEXA, leading to derepression of the sos regulon and eventually DNA repair [catalytic activity: hydrolysis of ala-|-GLY bond in repressor LEXA].</t>
  </si>
  <si>
    <t>Repressor LexA</t>
  </si>
  <si>
    <t>Rv2720, (MTCY05A6.41), len: 236 aa. LexA repressor (see citations below), equivalent to Q49848|LEXA_MYCLE|ML1003|B2235_F2_55 LEXA repressor from Mycobacterium leprae (217 aa), FASTA scores: opt: 1255, E(): 7.1e-70, (89.8% identity in 216 aa overlap). Also highly similar to others e.g. O69979|LEXA_STRCO|SC4H2.24c from Streptomyces coelicolor (234 aa), FASTA scores: opt: 1034, E(): 2.6e-56, (70.5% identity in 217 aa overlap); O86847|LEXA_STRCL from Streptomyces clavuligerus (239 aa), FASTA scores: opt: 1021, E(): 1.6e-55, (69.1% identity in 217 aa overlap); Q9KAD3|LEXA_BACHD from Bacillus halodurans (207 aa), FASTA scores: opt: 645, E(): 1.5e-32, (47.9% identity in 213 aa overlap); etc. Belongs to peptidase family S24; also known as the UMUD/LEXA family. Start changed since first submission (+19 aa).</t>
  </si>
  <si>
    <t>Possible conserved transmembrane alanine and glycine rich protein</t>
  </si>
  <si>
    <t>Rv2721c, (MTCY05A6.42c, MTCY154.01c), len: 699 aa. Possible conserved transmembrane ala-, gly-rich protein, equivalent to Q49837|ML1002|U2235I possible conserved membrane protein from Mycobacterium leprae (687 aa), FASTA scores: opt: 2703, E(): 6.6e-135, (60.3% identity in 713 aa overlap). Shows some similaity to Q01377|CSP1 PS1 protein precursor (secreted protein) from Corynebacterium glutamicum (Brevibacterium flavum) (657 aa), FASTA scores: opt: 276, E(): 3.8e-07, (29.4% identity in 272 aa overlap); and Q9KIJ0 Rv2721c-like protein from Mycobacterium paratuberculosis (246 aa), FASTA scores: opt: 178, E(): 0.025, (37.5% identity in 120 aa overlap).</t>
  </si>
  <si>
    <t>Rv2722</t>
  </si>
  <si>
    <t>Rv2722, (MTCY154.02), len: 82 aa. Conserved hypothetical protein, similar to Q9CCB9|ML1001 hypothetical protein from Mycobacterium leprae (91 aa), FASTA scores: opt: 154, E(): 0.00053, (37.5% identity in 88 aa overlap). Equivalent to AAK47111 from Mycobacterium tuberculosis strain CDC1551 (94 aa) but shorter 12 aa. A core mycobacterial gene; conserved in mycobacterial strains (See Marmiesse et al., 2004).</t>
  </si>
  <si>
    <t>Rv2723, (MTCY154.03), len: 397 aa. Probable conserved integral membrane protein, highly similar to others e.g. Q9Z503|SCC54.23c putative integral membrane export protein from Streptomyces coelicolor (333 aa), FASTA scores: opt: 883, E(): 2.4e-48, (46.4% identity in 332 aa overlap); Q9RD18|SCM1.25c putative integral membrane protein from Streptomyces coelicolor (316 aa), FASTA scores: opt: 865, E(): 3.1e-47, (47.55% identity in 324 aa overlap); P96554|Y319_MYXXA integral membrane protein (probable) from Myxococcus xanthus (319 aa), FASTA scores: opt: 626, E(): 3.4e-32, (34.65% identity in 323 aa overlap); P42601|YGJT_ECOLI|B3088 from Escherichia coli strain K12 integral membrane protein (probable) (321 aa), FASTA scores: opt: 541, E(): 7.7e-27, (35.1% identity in 279 aa overlap); etc.</t>
  </si>
  <si>
    <t>Probable acyl-CoA dehydrogenase FadE20</t>
  </si>
  <si>
    <t>Rv2724c, (MTCY154.04c), len: 386 aa. Probable fadE20, acyl-CoA dehydrogenase, highly similar to many e.g. Q9X7Y2|SC6A5.36 from Streptomyces coelicolor (382 aa), FASTA scores: opt: 1583, E(): 6.9e-94, (62.7% identity in 378 aa overlap); Q9HVY0|PA4435 from Pseudomonas aeruginosa (381 aa), FASTA scores: opt: 1468, E(): 1.6e-86, (57.65% identity in 380 aa overlap); Q9ABZ1|CC0079 from Caulobacter crescentus (391 aa), FASTA scores: opt: 1298, E(): 1.2e-75, (51.9% identity in 391 aa overlap); etc. Also similar to many other Mycobacterium tuberculosis proteins e.g. O06164|FADE19|Rv2500c|MTCY07A7.06c acyl-CoA dehydrogenase (394 aa) (34.3% identity in 382 aa overlap). Contains acyl-CoA dehydrogenases signature 2 (PS00073). Belongs to the acyl-CoA dehydrogenases family.</t>
  </si>
  <si>
    <t>Possibly a putative GTPase, modulating activity of HFLK and HFLC proteins.</t>
  </si>
  <si>
    <t>Probable GTP-binding protein HflX</t>
  </si>
  <si>
    <t>Rv2725c, (MTCY154.05c), len: 495 aa. Probable hflX (hfl for high frequency of lysogenization), GTP-binding protein ,equivalent to Q9CCC0|ML0997 (alias Q49843|HFLX but longer) possible ATP/GTP-binding protein from Mycobacterium leprae (488 aa), FASTA scores: opt: 2562, E(): 1.1e-133, (84.55% identity in 485 aa overlap). Also highly similar to many e.g. Q9XCC1 from Streptomyces fradiae (425 aa), FASTA scores: opt: 1280, E(): 3.2e-63, (57.7% identity in 423 aa overlap); P73965|HFLX|SLR1521 from Synechocystis sp. strain PCC 6803 (534 aa), FASTA scores: opt: 1028, E(): 2.8e-49, (44.7% identity in 414 aa overlap); P25519|HFLX_ECOLI|B4173 from Escherichia coli strain K12 (426 aa), FASTA scores: opt: 916, E(): 3.4e-43, (40.1% identity in 414 aa overlap); etc. Contains PS00017 ATP/GTP-binding site motif A (P-loop). Conserved in M. tuberculosis, M. leprae, M. bovis and M. avium paratuberculosis; predicted to be essential for in vivo survival and pathogenicity (See Ribeiro-Guimaraes and Pessolani, 2007).</t>
  </si>
  <si>
    <t>Involved in biosynthesis of lysine from aspartate semialdehyde (at the sixth step) [catalytic activity: ll-2,6-diaminoheptanedioate = MESO-diaminoheptanedioate].</t>
  </si>
  <si>
    <t>Probable diaminopimelate epimerase DapF (DAP epimerase)</t>
  </si>
  <si>
    <t>Rv2726c, (MTCY154.06c), len: 289 aa. Probable dapF, diaminopimelate epimerase, equivalent to P46814|DAPF_MYCLE|ML0996|B2235_C3_233 diaminopimelate epimerase from Mycobacterium leprae (296 aa), FASTA scores: opt: 1488, E(): 2.1e-83, (76.05% identity in 292 aa overlap). Also highly similar to O69969|DAPF_STRCO|SC4H2.14 from Streptomyces coelicolor (289 aa), FASTA scores: opt: 439, E(): 1.4e-19, (45.6% identity in 296 aa overlap); and similar to many e.g. O29511|DAPF_ARCFU|AF0747 from Archaeoglobus fulgidus (280 aa), FASTA scores: opt: 310, E(): 9.7e-12, (33.8% identity in 296 aa overlap); Q51564|DAPF_PSEAE|PA5278 from Pseudomonas aeruginosa (276 aa), FASTA scores: opt: 272, E(): 2e-09, (30.15% identity in 292 aa overlap); P08885|DAPF_ECOLI|B3809 from Escherichia coli strain K12 (274 aa), FASTA scores: opt: 266, E(): 4.5e-09, (30.4% identity in 296 aa overlap); etc. Belongs to the diaminopimelate epimerase family.</t>
  </si>
  <si>
    <t>Catalyzes the first step in the biosynthesis of 2-methylthio-N6-(delta(2)-isopentenyl)-adenosine (ms[2]I[6]a]) adjacent to the anticodon of several tRNA species [catalytic activity: isopentenyl diphosphate + tRNA = pyrophosphate + tRNA containing 6-isopentenyladenosine].</t>
  </si>
  <si>
    <t>Probable tRNA delta(2)-isopentenylpyrophosphate transferase MiaA (IPP transferase) (isopentenyl-diphosphate:tRNA isopentenyltransferase) (iptase) (IPPT)</t>
  </si>
  <si>
    <t>Rv2727c, (MTCY154.07c), len: 314 aa. Probable miaA, tRNA delta(2)-isopentenylpyrophosphate transferase, equivalent to P46811|MIAA_MYCLE|ML0995|B2235_C3_232 tRNA delta(2)-isopentenylpyrophosphate transferase from Mycobacterium leprae (311 aa), FASTA scores: opt: 1679, E(): 3.2e-89, (81.85% identity in 314 aa overlap). Also highly similar to many e.g. O69967|MIAA_STRCO|SC4H2.12 from Streptomyces coelicolor (312 aa), FASTA scores: opt: 1006, E(): 1.2e-50, (55.5% identity in 301 aa overlap); O31795|MIAA_BACSU from Bacillus subtilis (314 aa), FASTA scores: opt: 671, E(): 1.9e-31, (38.55% identity in 293 aa overlap);P16384|MIAA_ECOLI|TRPX|B4171 from Escherichia coli strain K12 and Shigella flexneri (316 aa), FASTA scores: opt: 565, E(): 2.3e-25, (35.2% identity in 307 aa overlap);etc. Contains PS00017 ATP/GTP-binding site motif A (P -loop). Belongs to the IPP transferase family.</t>
  </si>
  <si>
    <t>Rv2728c</t>
  </si>
  <si>
    <t>Conserved alanine rich protein</t>
  </si>
  <si>
    <t>Rv2728c, (MTCY154.08c), len: 231 aa. Conserved ala-rich protein, equivalent to Q49835|ML0994|B2235_C1_162 hypothetical protein from Mycobacterium leprae (232 aa), FASTA scores: opt: 1037, E(): 1.2e-54, (68.55% identity in 232 aa overlap). Also similar to O69964|SC4H2.09 from Streptomyces coelicolor (237 aa), FASTA scores: opt: 300, E(): 7.7e-11, (32.8% identity in 241 aa overlap); and some similarity with other proteins e.g. Q14234|ELN elastin from Homo sapiens (Human) (757 aa), FASTA scores: opt: 161, E(): 0.03, (30.6% identity in 242 aa overlap); P55488|Y4IE hypothetical 15.4 KDA protein from Rhizobium sp. strain NGR234 (135 aa), FASTA scores: opt: 147, E(): 0.061, (34.95% identity in 123 aa overlap). Shows also some similarity with P71657|Rv1387|MTCY21B4.04 hypothetical protein from Mycobacterium tuberculosis (539 aa), FASTA scores: opt: 159, E(): 0.035, (34.8% identity in 135 aa overlap).</t>
  </si>
  <si>
    <t>Probable conserved integral membrane alanine valine and leucine rich protein</t>
  </si>
  <si>
    <t>Rv2729c, (MTCY154.09c), len: 301 aa. Probable conserved integral membrane ala-, val-, leu-rich protein, similar to P42459|YLEU_CORGL hypothetical 29.6 KDA protein from Corynebacterium glutamicum (Brevibacterium flavum)(270 aa), FASTA scores: opt: 365, E(): 4.7e-15, (30.75% identity in 221 aa overlap); and to other integral membrane proteins (principally from Streptomyces sp.) e.g. Q9EWZ8|2SCG38.21 from Streptomyces coelicolor (302 aa), FASTA scores: opt: 365, E(): 5.2e-15, (32.0% identity in 278 aa overlap); Q9S267|SCI30A.06 from Streptomyces coelicolor (297 aa), FASTA scores: opt: 356, E(): 1.8e-14, (31.5% identity in 289 aa overlap); AAK81278|CAC3346 from Clostridium acetobutylicum (472 aa), FASTA scores: opt: 154, E(): 0.038, (24.1% identity in 224 aa overlap); etc.</t>
  </si>
  <si>
    <t>Rv2730</t>
  </si>
  <si>
    <t>Rv2730, (MTCY174.10), len: 158 aa. Hypothetical unknown protein. This region is a possible MT-complex-specific genomic island (See Becq et al., 2007).</t>
  </si>
  <si>
    <t>Conserved alanine and arginine rich protein</t>
  </si>
  <si>
    <t>Rv2731, (MTCY174.11), len: 450 aa. Conserved ala-, arg-rich protein, highly similar in part to Q49849|B2235_F2_77 hypothetical protein from Mycobacterium leprae (266 aa), FASTA scores: opt: 368, E(): 1e-10, (73.5% identity in 83 aa overlap); and Q9KXN9|SC9C5.35 hypothetical 6.5 KDA protein (fragment) from Streptomyces coelicolor (58 aa), FASTA scores: opt: 214, E(): 0.00065, (51.7% identity in 58 aa overlap). Also similar to Q9L296|SCL2.01 hypothetical 37.4 KDA protein (fragment) from Streptomyces coelicolor (328 aa), FASTA scores: opt: 843, E(): 3.7e-33, (45.95% identity in 296 aa overlap) (but N-terminus shorter); and shows some similarity with other proteins e.g. Q26938 kinetoplast-associated protein (KAP) from Trypanosoma cruzi (1052 aa), FASTA scores: opt: 223, E(): 0.0022, (30.3% identity in 297 aa overlap). Start site chosen by RBS and to avoid overlap, although there are several other possible start sites further upstream.</t>
  </si>
  <si>
    <t>Rv2732c, (MTCY174.12c), len: 204 aa. Probable conserved transmembrane protein, similar to Q49834 hypothetical protein B2235_C1_155 from Mycobacterium leprae (209 aa), FASTA scores: opt: 932, E(): 0, (70.6% identity in 201 aa overlap). Contains PS00343 Gram-positive cocci surface proteins 'anchoring' hexapeptide. A core mycobacterial gene; conserved in mycobacterial strains (See Marmiesse et al., 2004).</t>
  </si>
  <si>
    <t>Conserved hypothetical alanine, arginine-rich protein</t>
  </si>
  <si>
    <t>Rv2733c, (MTCY154.13c), len: 512 aa. Conserved hypothetical ala-, arg-rich protein. Similar to other hypothetical proteins from a range of organisms e.g. Y195_MYCLE|Q49842 hypothetical 56.0 kDa protein b2235_c2_195 from Mycobacterium leprae (516 aa), FASTA scores: opt: 2689, E(): 0, (80.4% identity in 509 aa overlap).</t>
  </si>
  <si>
    <t>Rv2734, (MTCY154.14), len: 284 aa. Conserved hypothetical protein, highly similar to various proteins e.g. Q984J2|MLR7981 ABC transporter ATP-binding protein from Rhizobium loti (Mesorhizobium loti) (286 aa), FASTA scores: opt: 877, E(): 9e-50, (52.45% identity in 246 aa overlap) (N-terminus longer); Q98DH1|MLL4707 hypothetical protein from Rhizobium loti (Mesorhizobium loti) (249 aa), FASTA scores: opt: 829, E(): 1.1e-46, (50.4% identity in 244 aa overlap); AAK65865|SMA2239 conserved hypothetical protein from Rhizobium meliloti (Sinorhizobium meliloti) (259 aa), FASTA scores: opt: 796, E(): 1.5e-44, (50.0% identity in 252 aa overlap); etc. This region is a possible MT-complex-specific genomic island (See Becq et al., 2007).</t>
  </si>
  <si>
    <t>Rv2735c, (MTCY154.15c), len: 330 aa. Conserved hypothetical protein, showing some similarity with Q98DH2|MLR4706 hypothetical protein from Rhizobium loti (Mesorhizobium loti) (302 aa), FASTA scores: opt: 140, E(): 0.062, (27.0% identity in 200 aa overlap); and Q9PHA1|XF0043 hypothetical protein from Xylella fastidiosa (293 aa), FASTA scores: opt: 120, E(): 1.2, (30.75% identity in 117 aa overlap). This region is a possible MT-complex-specific genomic island (See Becq et al., 2007).</t>
  </si>
  <si>
    <t>May play a regulatory role possibly by interacting with RECA, the product of the upstream ORF.</t>
  </si>
  <si>
    <t>Regulatory protein RecX</t>
  </si>
  <si>
    <t>Rv2736c, (MTV002.01c), len: 174 aa. Probable recX, regulatory protein (see citation below), equivalent to P37859|RECX_MYCLE|ML0988|U2235B regulatory protein RECX from Mycobacterium leprae (171 aa), FASTA scores: opt: 848, E(): 2e-46, (77.0% identity in 174 aa overlap); and CAA67596|RECX|P94965|RECX_MYCSM regulatory protein RECX from Mycobacterium smegmatis (188 aa), FASTA scores: opt: 679, E(): 8.8e-36, (66.45% identity in 164 aa overlap). Also similar (or highly similar to) others e.g. O50488|RECX_STRCO|SC4H8.09 from Streptomyces coelicolor (188 aa), FASTA scores: opt: 371, E(): 1.9e-16, (42.7% identity in 164 aa overlap); Q9LCZ3|RECX from Xanthomonas campestris pv. citri (162 aa), FASTA scores: opt: 189, E(): 4.4e-05, (32.45% identity in 151 aa overlap); P37860|RECX_PSEAE|PA3616 from Pseudomonas aeruginosa (153 aa), FASTA scores: opt: 159, E(): 0.0032, (30.65% identity in 137 aa overlap); etc. Belongs to the RecX family.</t>
  </si>
  <si>
    <t>Rv2737A</t>
  </si>
  <si>
    <t>Conserved hypothetical cysteine rich protein (fragment)</t>
  </si>
  <si>
    <t>Rv2737A, len: 57 aa. Conserved hypothetical cys-rich protein (possibly gene fragment), similar to central part of AJ243803_1|glgA from Streptomyces coelicolor glgA (181 aa), FASTA scores: opt: 210, E(): 6.1e-09, (59.25% identity in 54 aa overlap).</t>
  </si>
  <si>
    <t>Involved in regulation of nucleotide excision repair, in genetic recombination, and in induction of the sos response. Endonuclease which can catalyze the hydrolysis of ATP in the presence of single-stranded DNA, the ATP-dependent uptake of single-stranded DNA by duplex DNA, and the ATP-dependent hybridization of homologous single-stranded DNAS. It interacts with LEXA|Rv2720 causing its activation and leading to its autocatalytic cleavage.</t>
  </si>
  <si>
    <t>RecA protein (recombinase A) [contains: endonuclease PI-MTUI (MTU RecA intein)].</t>
  </si>
  <si>
    <t>Rv2737c, (MTV002.02c), len: 790 aa. RecA, recombinase a (see citations below), equivalent to Q59560|RECA_MYCSM RECA protein from Mycobacterium smegmatis (349 aa), FASTA scores: opt: 1495, E(): 1.9e-79, (93.15% identity in 249 aa overlap); and P35901|RECA_MYCLE|ML0987 RECA protein from Mycobacterium leprae (711 aa), FASTA scores: opt: 1217, E(): 4.5e-63, (46.7% identity in 814 aa overlap). Also highly similar to many e.g. Q9REV6|RECA_AMYMD from Amycolatopsis mediterranei (Nocardia mediterranei) (348 aa), FASTA scores: opt: 1450, E(): 7.6e-77, (89.25% identity in 251 aa overlap); P42442|RECA_CORGL from Corynebacterium glutamicum (Brevibacterium flavum) (376 aa), FASTA scores: opt: 1355, E(): 2.6e-71, (76.55% identity in 273 aa overlap); P41054|RECA_STRAM from Streptomyces ambofaciens (372 aa), FASTA scores: opt: 1347, E(): 7.6e-71, (82.1% identity in 246 aa overlap); etc. Contains PS00017 ATP/GTP-binding site motif A (P-loop), PS00321 recA signature, and PS00881 Protein splicing signature. Belongs to the RecA family. This protein undergoes a protein self splicing that involves a post-translational excision of the intervening region (intein) followed by peptide ligation. Belongs to the homing endonuclease family in the intein section.</t>
  </si>
  <si>
    <t>Rv2738c</t>
  </si>
  <si>
    <t>Rv2738c, (MTV002.03c), len: 68 aa. Conserved hypothetical protein, equivalent to Q9CCC1|ML0986 hypothetical protein from Mycobacterium leprae (67 aa), FASTA scores: opt: 397, E(): 3.7e-22, (83.6% identity in 67 aa overlap). Also highly similar to O50484|SC4H8.05 hypothetical 7.5 KDA protein from Streptomyces coelicolor (64 aa), FASTA scores: opt: 185, E(): 5.9e-07, (39.7% identity in 63 aa overlap). Second part of the protein is highly similar to C-terminus of upstream ORF O33285|Rv2742c|MTV002.07c conserved hypothetical protein from Mycobacterium tuberculosis (277 aa), FASTA scores: opt: 200, E(): 1.7e-07, (78.4% identity in 37 aa overlap).</t>
  </si>
  <si>
    <t>Possible alanine rich transferase</t>
  </si>
  <si>
    <t>Rv2739c, (MTV002.04c), len: 388 aa. Possible ala-rich transferase, equivalent to Q49841|ML0985|MLCB33.02c|U2235C possible glycosyltransferase from Mycobacterium leprae (392 aa), FASTA scores: opt: 2112, E(): 5.1e-114, (80.95% identity in 388 aa overlap). Shows some similarity with other transferases e.g. Q9S1V2|SCJ4.21 putative glycosyl transferase from Streptomyces coelicolor (407 aa), FASTA scores: opt: 290, E(): 2e-09, (27.75% identity in 382 aa overlap); Q9RYI3|DRA0329 putative glycosyltransferase from Deinococcus radiodurans (418 aa), FASTA scores: opt: 267, E(): 4.3e-08, (29.05% identity in 396 aa overlap); P96560|GTFC glycosyltransferase from Amycolatopsis orientalis (409 aa), FASTA scores: opt: 253, E(): 2.7e-07, (27.75% identity in 418 aa overlap); etc. Equivalent to AAK47130 from Mycobacterium tuberculosis strain CDC1551 (420 aa) but shorter 32 aa.</t>
  </si>
  <si>
    <t>Biotransformation enzyme that catalyzes the hydrolysis of epoxides (alkene oxides, oxiranes) and arene oxides to less reactive and more water soluble dihydrodiols by the trans addition of water. Involved in detoxification reactions following oxidative damage to lipids [catalytic activity: an epoxide + H(2)O = a glycol].</t>
  </si>
  <si>
    <t>Epoxide hydrolase</t>
  </si>
  <si>
    <t>Rv2740, (MTV002.05), len: 149 aa. EphG, Epoxide hydrolase, proven biochemically (see Unge et al. 2005), similar to limonene-1,2-epoxide hydrolase capable of hydrolyzing long or bulky lipophilic epoxides. Equivalent, but shorter 17 aa, to Q9CCC2|ML0984 (alias Q49850 but longer) hypothetical protein from Mycobacterium leprae (164 aa), FASTA scores: opt: 481, E(): 9.7e-26, (52.0% identity in 150 aa overlap). A core mycobacterial gene; conserved in mycobacterial strains (See Marmiesse et al., 2004).</t>
  </si>
  <si>
    <t>PE-PGRS family protein PE_PGRS47</t>
  </si>
  <si>
    <t>Rv2741, (MTV002.06), len: 525 aa. PE_PGRS47, Member of the M. tuberculosis PE family, PGRS subfamily of gly-rich proteins (see citation below), highly similar to others e.g. Q10637|YD25_MYCTU|Rv1325c|MT1367|MTCY130.10c hypothetical PE-PGRS family protein (603 aa), FASTA scores: opt: 1936, E(): 1.1e-71, (56.95% identity in 611 aa overlap). Predicted to be an outer membrane protein (See Song et al., 2008). This region is a possible MT-complex-specific genomic island (See Becq et al., 2007).</t>
  </si>
  <si>
    <t>Conserved hypothetical arginine rich protein</t>
  </si>
  <si>
    <t>Rv2742c, (MTV002.07c), len: 277 aa (questionable ORF). Conserved hypothetical arg-rich protein. Extreme N-terminus is highly similar to the N-teminus of Q9CCC1ML0986 hypothetical protein from Mycobacterium leprae (67 aa), FASTA scores: opt: 183, E(): 0.00052, (71.05% identity in 38 aa overlap); and to the downstream ORF O33281|Rv2738c|MTV002.03c conserved hypothetical protein from Mycobacterium tuberculosis (68 aa), FASTA scores: opt: 200, E(): 5.5e-05, (78.4% identity in 37 aa overlap). This region is a possible MT-complex-specific genomic island (See Becq et al., 2007).</t>
  </si>
  <si>
    <t>Possible conserved transmembrane alanine rich protein</t>
  </si>
  <si>
    <t>Rv2743c, (MTV002.08c), len: 270 aa. Possible conserved transmembrane ala-rich protein, equivalent to Q49833|MLCB33.04c|B2235_C1_148 unknown protein from Mycobacterium leprae (123 aa), FASTA scores: opt: 639, E(): 3.3e-31, (74.8% identity in 123 aa overlap).</t>
  </si>
  <si>
    <t>Conserved 35 kDa alanine rich protein</t>
  </si>
  <si>
    <t>Rv2744c, (MTV002.09c), len: 270 aa. 35kd_ag, conserved ala-rich protein 35-kd antigen (see O'Connor et al., 1990). N-terminal part is equivalent to Q49840|MLCB33.06c|B2235_C2_187 hypothetical protein from Mycobacterium leprae (167 aa), FASTA scores: opt: 789, E(): 3.4e-35, (85.05% identity in 147 aa overlap); and C-terminal part equivalent to Q49845|MLCB33.05c|B2235_C3_214 hypothetical protein from Mycobacterium leprae (114 aa), FASTA scores: opt: 465, E(): 3.6e-18, (65.8% identity in 114 aa overlap); note that these two proteins from Mycobacterium leprae are adjacent. Shows some similarity with Q55707||Y617_SYNY3|SLL0617 hypothetical 28.9 KDA protein from Synechocystis sp. strain PCC 6803 (267 aa), FASTA scores: opt: 155, E(): 0.19, (23.4% identity in 252 aa overlap); and C-terminus of Q9L4N1|EMM M protein from Streptococcus equisimilis (592 aa), FASTA scores: opt: 165, E(): 0.11, (23.45% identity in 260 aa overlap). C-terminus also similar to AAK45945|MT1676 conserved hypothetical protein from Mycobacterium tuberculosis strain CDC1551 (85 aa), FASTA scores: opt: 159, E(): 0.047, (50.9% identity in 55 aa overlap). Predicted possible vaccine candidate (See Zvi et al., 2008).</t>
  </si>
  <si>
    <t>clgR</t>
  </si>
  <si>
    <t>Transcriptional regulator</t>
  </si>
  <si>
    <t>Transcriptional regulatory protein ClgR</t>
  </si>
  <si>
    <t>Rv2745c, (MTV002.10c), len: 112 aa. ClgR, transcriptional regulatory protein, controls protease systems and chaperones.</t>
  </si>
  <si>
    <t>Involved in acidic phospholipid biosynthesis. This protein probably catalyzes the committed step to the synthesis of the acidic phospholipids [catalytic activity: CDP-diacylglycerol + glycerol-3-phosphate = CMP + 3-(3-phosphatidyl)-glycerol 1-phosphate].</t>
  </si>
  <si>
    <t>Probable PGP synthase PgsA3 (CDP-diacylglycerol--glycerol-3-phosphate 3- phosphatidyltransferase) (phosphatidylglycerophosphate synthase)</t>
  </si>
  <si>
    <t>Rv2746c, (MTV002.11c), len: 209 aa. Probable pgsA3, PGP synthase (see citation below), transmembrane protein, equivalent, but longer 19 aa, to Q49839|O08087|PGSA|ML0979 PGSA from Mycobacterium leprae (193 aa), FASTA scores: opt: 925, E(): 3.7e-53, (77.15% identity in 188 aa overlap). Also highly similar to O86813|PGSA phosphatidylglycerophosphate synthase from Streptomyces coelicolor (263 aa), FASTA scores: opt: 692, E(): 6.6e-38, (57.85% identity in 185 aa overlap) (has its N-terminus longer); and similar to others (generally with N-terminus shorter) e.g. Q99XI0|PGSA|SPY2196 phosphatidylglycerophosphate synthase from Streptococcus pyogenes (180 aa), FASTA scores: opt: 368, E(): 5.4e-17, (39.9% identity in 168 aa overlap); Q9ZE96|PGSA_RICPR|PGSA|RP049 CDP-diacylglycerol--glycerol-3-phosphate 3- phosphatidyltransferase from Rickettsia prowazekii (181 aa), FASTA scores: opt: 343, E(): 2.3e-15, (40.1% identity in 172 aa overlap); P06978|PGSA_ECOLI|PGSA|B1912|Z3000|ECS2650 CDP-diacylglycerol--glycerol-3-phosphate 3- phosphatidyltransferase from Escherichia coli strains K12 and O157:H7 (181 aa), FASTA scores: opt: 322, E(): 5.3e-14, (34.45% identity in 180 aa overlap); etc. Also some similarity to PGSA2|Rv1822|MTCY1A11.21c probable CDP-diacylglycerol--glycerol-3-phosphate 3-phosphatidyltransferase from Mycobacterium tuberculosis (209 aa), FASTA score: (27.1% identity in 166 aa overlap). Contains PS00379 CDP-alcohol phosphatidyltransferases signature. Belongs to the CDP-alcohol phosphatidyltransferase class-I family.</t>
  </si>
  <si>
    <t>argA</t>
  </si>
  <si>
    <t>Involved in arginine biosynthesis [catalytic activity: L-glutamate + acetyl-CoA &lt;=&gt; N-acetyl-L-glutamate + coenzyme A]</t>
  </si>
  <si>
    <t>Probable L-glutamate alpha-N-acetyltranferase ArgA (alpha-N-acetylglutamate synthase)</t>
  </si>
  <si>
    <t>Rv2747, (MTV002.12), len: 174 aa. Probable argA, alpha-N-acetylglutamate synthase (See Errey et al., 2005). Contains GNAT (Gcn5-related N-acetyltransferase) domain. See Vetting et al. 2005. Equivalent to O05559|ML0978|MLCB33.08 putative acetyltransferase from Mycobacterium leprae (180 aa), FASTA scores: opt: 997, E(): 1.2e-57, (86.8% identity in 174 aa overlap). Also similar to various transferases e.g. Q9X8N2|SCE94.27c putative acetyltransferase from Streptomyces coelicolor (169 aa), FASTA scores: opt: 656, E(): 1.3e-35, (60.35% identity in 164 aa overlap); C-terminus of Q9K3D6|ARGH(A) argininosuccinase and N-acetylglutamate synthase from Moritella sp. 2693 (629 aa), FASTA scores: opt: 243, E(): 2e-08, (31.95% identity in 144 aa overlap); C-terminus of Q9JW21|ARGA or NMA0580 putative acetylglutamate synthase from Neisseria meningitidis serogroup a (436 aa), FASTA scores: opt: 201, E(): 7.8e-06, (32.75% identity in 119 aa overlap); etc. Also similar to hypothetical proteins e.g. O67372|AQ_1359 hypothetical 21.1 KDA protein from Aquifex aeolicus (181 aa), FASTA scores: opt: 348, E(): 1.2e-15, (42.35% identity in 137 aa overlap).</t>
  </si>
  <si>
    <t>Possibly involved in cell division processes</t>
  </si>
  <si>
    <t>Possible cell division transmembrane protein FtsK</t>
  </si>
  <si>
    <t>Rv2748c, (MTV002.13c), len: 883 aa. Possible ftsK, cell division transmembrane protein, equivalent to O05560|ML0977|FTSK|MLCB33.09c cell division protein from Mycobacterium leprae (886 aa), FASTA scores: opt: 3147, E(): 7.9e-175, (78.1% identity in 885 aa overlap). Also similar to other members of the spoIIIE/ftsK family e.g. O86810|SC7C7.05 FTSK homolog from Streptomyces coelicolor (929 aa), FASTA scores: opt: 2256, E(): 3.8e-123, (49.05% identity in 924 aa overlap); Q9CF25|FTSK cell division protein FTSK from Lactococcus lactis (subsp. lactis) (Streptococcus lactis) (763 aa), FASTA scores: opt: 1438, E(): 9.1e-76, (37.7% identity in 751 aa overlap); AAK75005|Q97RE4|SP0878 SPOE family protein from Streptococcus pneumoniae (767 aa), FASTA scores: opt: 1405, E(): 7.5e-74, (48.0% identity in 477 aa overlap); P46889|FTSK_ECOLI|B0890 from Escherichia coli strain K12 (1329 aa), FASTA scores: opt: 759, E(): 0, (44.5% identity in 537 aa overlap) (similarity in C-terminal half); etc. Equivalent to AAK47139 from Mycobacterium tuberculosis strain CDC1551 (968 aa) but shorter 85 aa. Contains PS00017 ATP/GTP-binding site motif A (P-loop). Belongs to the FTSK/SPOIIIE family.</t>
  </si>
  <si>
    <t>Rv2749, (MTV002.14), len: 104 aa. Conserved protein, showing some similarity with Q9I1R9|PA2198 hypothetical protein from Pseudomonas aeruginosa (114 aa), FASTA scores: opt: 157, E(): 0.00081, (35.0% identity in 100 aa overlap); and O86332|Rv0793|MTV042.03 hypothetical 11.2 KDA protein from Mycobacterium tuberculosis (101 aa), FASTA scores: opt: 143, E(): 0.0062, (26.9% identity in 93 aa overlap).</t>
  </si>
  <si>
    <t>Rv2750, (MTV002.15), len: 272 aa. Probable dehydrogenase, highly similar to other dehydrogenases/reductases e.g. Q9L5X5|cox cholesterol oxidase from Nocardioides simplex (Arthrobacter simplex) (270 aa), FASTA scores: opt: 836, E(): 1.8e-43, (55.7% identity in 264 aa overlap); Q9RA05|LIMC carveol dehydrogenase from Rhodococcus erythropolis (277 aa), FASTA scores: opt: 792, E(): 8.6e-41, (48.55% identity in 274 aa overlap); Q9F5J1|SIM-NJ1|SIMD2 putative 3-keto-acyl-reductase from Streptomyces antibioticus (273 aa), FASTA scores: opt: 435, E(): 3.7e-19, (35.75% identity in 263 aa overlap); etc. Also highly similar to AAK44941MT0715 oxidoreductase (short-chain dehydrogenase/reductase family) from Mycobacterium tuberculosis strain CDC1551 (275 aa), FASTA scores: opt: 702, E(): 2.4e-35, (44.45% identity in 270 aa overlap); and similar to many other Mycobacterium tuberculosis dehydrogenases.</t>
  </si>
  <si>
    <t>Rv2751, (MTV002.16), len: 296 aa. Conserved protein, similar in part to others e.g. Q98LR1|MLR0915 hypothetical protein from Rhizobium loti (Mesorhizobium loti) (299 aa), FASTA scores: opt: 279, E(): 1.6e-11, (32.85% identity in 210 aa overlap); Q9FBX1|SC8E7.10 conserved hypothetical protein from Streptomyces coelicolor (283 aa), FASTA scores: opt: 232, E(): 2.4e-08, (27.9% identity in 269 aa overlap); Q9FMY9 hypothetical protein (genomic DNA, chromosome 5, P1 clone:MJB21) from Arabidopsis thaliana (Mouse-ear cress) (370 aa), FASTA scores: opt: 205, E(): 2.1e-06, (28.9% identity in 211 aa overlap); etc. Also similar in part to several proteins from Mycobacterium tuberculosis: P72053|Rv3787c|MTCY13D12.21 hypothetical 33.4 KDA protein (308 aa), FASTA scores: opt: 266, E(): 1.3e-10, (29.6% identity in 267 aa overlap); O53795|MBE50c|Rv0731c|MTV041.05c hypothetical 34.9 KDA protein (318 aa), FASTA scores: opt: 266, E(): 1.3e-10, (32.05% identity in 281 aa overlap); O53841|Rv0830|MTV043.22 hypothetical 33.4 KDA protein (301 aa), FASTA scores: opt: 263, E(): 2e-10, (31.3% identity in 262 aa overlap); etc. Belongs to the MTCY13D12.21 / MTCY210.45C / MTCY78.29C family.</t>
  </si>
  <si>
    <t>Rv2752c, (MTV002.17c), len: 558 aa. Conserved hypothetical protein, equivalent to Q9CBW5|ML1512 hypothetical protein from Mycobacterium leprae (558 aa), FASTA scores: opt: 3301, E(): 1.2e-195, (89.05% identity in 558 aa overlap). Also highly similar to other hypothetical proteins from a wide range of prokaryotes e.g. CAC19480|P54122|YOR4_CORGL from Corynebacterium glutamicum (Brevibacterium flavum) (718 aa), FASTA scores: opt: 2142, E(): 3.5e-124, (57.2% identity in 554 aa overlap) (N-terminus longer); O86842|SC9A10.09 from Streptomyces coelicolor (561 aa), FASTA scores: opt: 2077, E(): 2.9e-120, (55.95% identity in 556 aa overlap); Q9ZI80 from Streptomyces toyocaensis (528 aa), FASTA scores: opt: 1843, E(): 7.3e-106, (52.45% identity in 528 aa overlap) (N-terminus shorter 30 aa); etc.</t>
  </si>
  <si>
    <t>Involved in biosynthesis of diaminopimelate and lysine from aspartate semialdehyde (at the first step) [catalytic activity: L-aspartate 4-semialdehyde + pyruvate = dihydrodipicolinate + 2 H(2)O].</t>
  </si>
  <si>
    <t>Probable dihydrodipicolinate synthase DapA (DHDPS) (dihydrodipicolinate synthetase)</t>
  </si>
  <si>
    <t>Rv2753c, (MT2823, MTV002.18c), len: 300 aa. Probable dapA, dihydrodipicolinate synthase, equivalent to Q9CBW4|DAPA_MYCLE|ML1513 dihydrodipicolinate synthase from Mycobacterium leprae (300 aa), FASTA scores: opt: 1699, E(): 2.2e-98, (86.65% identity in 300 aa overlap). Also highly similar to many e.g. P19808|DAPA_CORGL from Corynebacterium glutamicum (Brevibacterium flavum) (301 aa), FASTA scores: opt: 1089, E(): 2e-60, (58.7% identity in 288 aa overlap); O86841|DAPA_STRCO|SC9A10.08 from Streptomyces coelicolor (299 aa), FASTA scores: opt: 1044, E(): 1.3e-57, (55.75% identity in 287 aa overlap); P05640|DAPA_ECOLI (292 aa), FASTA scores: opt: 515, E(): 0, (33.8% identity in 287 aa overlap); etc. Contains PS00665 and PS00666 Dihydrodipicolinate synthetase signatures 1 and 2. Belongs to the DHDPS family.</t>
  </si>
  <si>
    <t>Catalyzes the formation of dTMP and tetrahydrofolate from dUMP and methylenetetrahydrofolate</t>
  </si>
  <si>
    <t>Probable thymidylate synthase ThyX (ts) (TSase)</t>
  </si>
  <si>
    <t>Rv2754c, (MTV002.19c), len: 250 aa. Probable thyX, thymidylate synthase, highly similar to Q9CBW3|YF14_MYCLE|ML1514 thymidylate synthase from Mycobacterium leprae (254 aa), FASTA scores: opt: 1351, E(): 1e-84, (81.5% identity in 254 aa overlap). Also highly similar to several others e.g P40111|THYX_CORGL from Corynebacterium glutamicum (Brevibacterium flavum) (250 aa), FASTA scores: opt: 1080, E(): 9.8e-67, (62.85% identity in 245 aa overlap); Q05259|THYX_BPML5 Probable thymidylate synthase from Mycobacteriophage L5 (243 aa), FASTA scores: opt: 610, E(): 3.2e-34, (49.55% identity in 220 aa overlap); etc. Contains Pfam match to entry PF02511 Thymidylate synthase complementing protein. Belongs to the THY1 family.</t>
  </si>
  <si>
    <t>hsdS.1</t>
  </si>
  <si>
    <t>Rv2755c</t>
  </si>
  <si>
    <t>Implicated in restriction/modification of DNA. Component of type I restriction/modification system. It's possible that the M and S subunits together form a methyltransferase (MTASE) that methylates two adenine residues in complementary strands of bipartite DNA recognition sequence.</t>
  </si>
  <si>
    <t>Possible type I restriction/modification system specificity determinant (fragment) HsdS.1 (S protein)</t>
  </si>
  <si>
    <t>Rv2755c, (MTV002.20c), len: 91 aa. Possible hsdS.1, fragment of type I restriction/modification system specificity determinant (S protein), similar to the N-terminus of other hsdS proteins e.g. O34140|HSDS from Klebsiella pneumoniae (439 aa), FASTA scores: opt: 303, E(): 2.1e-13, (46.65% identity in 90 aa overlap); P72419|sty|SBLI from Salmonella typhimurium (434 aa), FASTA scores: opt: 278, E(): 1.1e-11, (47.65% identity in 86 aa overlap); and Q9P9X9|XF2741 from Xylella fastidiosa (412 aa), FASTA scores: opt: 144, E(): 0.015, (31.7% identity in 82 aa overlap). Also some similarity with O33303|Rv2761c|MTV002.26c|HSDS possible type I restriction/modification system specificity determinant from Mycobacterium tuberculosis (364 aa), FASTA scores: opt: 145, E(): 0.012, (29.9% identity in 87 aa overlap). Note that previously known as hsdS'.</t>
  </si>
  <si>
    <t>Implicated in methylation of DNA. Component of type I restriction/modification system. It is possible that the M and S subunits together form a methyltransferase (MTASE) that methylates two adenine residues in complementary strands of bipartite DNA recognition sequence.</t>
  </si>
  <si>
    <t>Possible type I restriction/modification system DNA methylase HsdM (M protein) (DNA methyltransferase)</t>
  </si>
  <si>
    <t>Rv2756c, (MTV002.21c), len: 540 aa. Possible hsdM, type I restriction/modification system DNA methylase (M protein), highly similar to others e.g. Q9P9X8|XF2742 from Xylella fastidiosa (519 aa), FASTA scores: opt: 1613, E(): 1.9e-96, (52.3% identity in 543 aa overlap); O34139|HSDM from Klebsiella pneumoniae (539 aa), FASTA scores: opt: 1267, E(): 4.4e-74, (45.9% identity in 549 aa overlap); P72418|sty|SBLI|HSDM from Salmonella typhimurium (539 aa), FASTA scores: opt: 1263, E(): 8e-74, (45.7% identity in 549 aa overlap); etc. Possible alternative start site (GTG) overlapping with termination codon of previous ORF 90 bp upstream. Note that the corresponding endonuclease (M protein) does not appear to be present in Mycobacterium tuberculosis.</t>
  </si>
  <si>
    <t>vapC21</t>
  </si>
  <si>
    <t>Rv2757c</t>
  </si>
  <si>
    <t>Possible toxin VapC21</t>
  </si>
  <si>
    <t>Rv2757c, (MTV002.22c), len: 138 aa. Possible vapC21, toxin, part of toxin-antitoxin (TA) operon with Rv2758c, contains PIN domain (See Arcus et al., 2005; Pandey and Gerdes, 2005). Similar to several others in M. tuberculosis e.g. P96411|Rv0229c| MTCY08D5.24c (226 aa), FASTA scores: opt: 354, E(): 4.6e-18, (45.25% identity in 137 aa overlap) (N-terminus longer 89 aa); P95007|RV2546|MTCY159.10c (137 aa), FASTA scores: opt: 265, E(): 7.5e-12, (38.5% identity in 135 aa overlap); O07228|Rv0301|MTCY63.06 (141 aa), FASTA scores: opt: 259, E(): 2.1e-11, (42.4% identity in 132 aa overlap); etc.</t>
  </si>
  <si>
    <t>vapB21</t>
  </si>
  <si>
    <t>Rv2758c</t>
  </si>
  <si>
    <t>Possible antitoxin VapB21</t>
  </si>
  <si>
    <t>Rv2758c, (MTV002.23c), len: 88 aa. Possible vapB21, antitoxin, part of toxin-antitoxin (TA) operon with Rv2757c (See Arcus et al., 2005; Pandey and Gerdes, 2005). Similar to several others in M. tuberculosis e.g. P95008|Rv2545 (92 aa), FASTA scores: opt: 151, E(): 0.00028, (66.65% identity in 45 aa overlap); Q10771|YF60_MYCTU|RV1560|MT1611|MTCY48.05c (72 aa), FASTA scores: opt: 106, E(): 0.52, (39.15% identity in 46 aa overlap); O06565|Rv1113|MTCY22G8.02 (65 aa), FASTA scores: opt: 97, E(): 2.2, (33.35% identity in 69 aa overlap); etc. Contains PS00402 Binding-protein-dependent transport systems inner membrane comp signature.</t>
  </si>
  <si>
    <t>vapC42</t>
  </si>
  <si>
    <t>Possible toxin VapC42. Contains PIN domain.</t>
  </si>
  <si>
    <t>Rv2759c, (MTV002.24c), len: 131 aa. Possible vapC42, toxin, part of toxin-antitoxin (TA) operon with Rv2760c, contains PIN domain, see Arcus et al. 2005. Similar to others in M. tuberculosis e.g. O07769|Y609_MYCTU|Rv0609|MT0638|MTCY19H5.13c (133 aa), FASTA scores: opt: 364, E(): 5.1e-18, (49.6% identity in 131 aa overlap); P96914|Y624_MYCTU|Rv0624|MT0652|MTCY20H10.05 (131 aa), FASTA scores: opt: 324, E(): 2.9e-15, (42.85% identity in 126 aa overlap); and Q10874|YJ82_MYCTU|Rv1982c|MT2034|MTCY39.37 (139 aa), FASTA scores: opt: 271, E(): 1.4e-11, (38.6% identity in 127 aa overlap). Also similar to other hypothetical proteins from other bacteria e.g. CAC45376|SMC00900 conserved hypothetical protein from Rhizobium meliloti (Sinorhizobium meliloti) (128 aa), FASTA scores: opt: 286, E(): 1.2e-12, (39.55% identity in 129 aa overlap); Q981I7|MLL9357 hypothetical protein from Rhizobium loti (Mesorhizobium loti) (131 aa), FASTA scores: opt: 257, E(): 1.2e-10, (36.35% identity in 132 aa overlap); Q9AAG1|CC0639 hypothetical protein from Caulobacter crescentus (131 aa), FASTA scores: opt: 217, E(): 6.9e-08, (33.35% identity in 132 aa overlap); etc.</t>
  </si>
  <si>
    <t>vapB42</t>
  </si>
  <si>
    <t>Rv2760c</t>
  </si>
  <si>
    <t>Possible antitoxin VapB42</t>
  </si>
  <si>
    <t>Rv2760c, (MTV002.25c), len: 89 aa. Possible vapB42, antitoxin, part of toxin-antitoxin (TA) operon with Rv2759c, see Arcus et al. 2005. Similar to others in Mycobacterium tuberculosis e.g. O07770|Rv0608|MTCY19H5.14c (81 aa), FASTA scores: opt: 128, E(): 0.057, (37.5% identity in 88 aa overlap); and P96913|Rv0623|MTCY20H10.04 (84 aa), FASTA scores: opt: 99, E(): 5.5, (37.1% identity in 89 aa overlap). Also showing some similarity with CAC45377|SMC00899 conserved hypothetical protein from Rhizobium meliloti (Sinorhizobium meliloti) (84 aa), FASTA scores: opt: 116, E(): 0.38, (36.25% identity in 91 aa overlap).</t>
  </si>
  <si>
    <t>Implicated in restriction/modification of DNA. Component of type I restriction/modification system. It is thought that the M and S subunits together form a methyltransferase (MTASE) that methylates two adenine residues in complementary strands of bipartite DNA recognition sequence.</t>
  </si>
  <si>
    <t>Possible type I restriction/modification system specificity determinant HsdS (S protein)</t>
  </si>
  <si>
    <t>Rv2761c, (MTV002.26c), len: 364 aa. Possible hsdS, type I restriction/modification system specificity determinant (S protein), similar in part to other hsdS protein (S proteins) e.g. Q9P9X9|XF2741 from Xylella fastidiosa (412 aa), FASTA scores: opt: 252, E(): 7.4e-09, (24.95% identity in 401 aa overlap); N-terminus of Q9RC12 type I S-subunit from Lactobacillus delbrueckii (subsp. lactis) (389 aa), FASTA scores: opt: 232, E(): 1.4e-07, (28.1% identity in 185 aa overlap); N-terminus of P72419|sty|SBLI from Salmonella typhimurium (434 aa), FASTA scores: opt: 221, E(): 8e-07, (28.45% identity in 130 aa overlap); C-terminus of P17222|PRRB_ECOLI from Escherichia coli strain CTR5X (401 aa), FASTA scores: opt: 197, E(): 2.8e-05, (27.05% identity in 148 aa overlap); etc. Seems to belong to type-I restriction system S methylase family.</t>
  </si>
  <si>
    <t>Rv2762c</t>
  </si>
  <si>
    <t>Rv2762c, (MTV002.27c), len: 139 aa. Conserved hypothetical protein, similar to C-terminus of hypothetical proteins: Q9A380|CC3324 from Caulobacter crescentus (409 aa), FASTA scores: opt: 181, E(): 9.8e-05, (43.55% identity in 101 aa overlap); Q98KQ4|MLR1373 from Rhizobium loti (Mesorhizobium loti) (399 aa), FASTA scores: opt: 174, E(): 0.00028, (46.35% identity in 82 aa overlap); and Q9HZZ9|PA2844 from Pseudomonas aeruginosa (402 aa), FASTA scores: opt: 158, E(): 0.0033, (40.0% identity in 80 aa overlap).</t>
  </si>
  <si>
    <t>Essential step for de novo glycine and purine synthesis, DNA precursor synthesis, and for the conversion of dUMP to dTMP [catalytic activity: 5,6,7,8-tetrahydrofolate + NADP(+) = 7,8-dihydrofolate + NADPH].</t>
  </si>
  <si>
    <t>Dihydrofolate reductase DfrA (DHFR) (tetrahydrofolate dehydrogenase)</t>
  </si>
  <si>
    <t>Rv2763c, (MTV002.28c), len: 159 aa. Probable dfrA (alternate gene names: folA, dhfr), dihydrofolate reductase, equivalent to O30463|FOLA dihydrofolate reductase from Mycobacterium avium (see citation below) (181 aa), FASTA scores: opt: 802, E(): 4.5e-48, (70.2% identity in 161 aa overlap); and Q9CBW1|FOLA|ML1518 dihydrofolate reductase from Mycobacterium leprae (165 aa), FASTA scores: opt: 782, E(): 1e-46, (70.55% identity in 163 aa overlap). Also highly similar to many e.g. Q9K168|DYR_NEIMB|FOLA|NMB0308 from Neisseria meningitidis (serogroup B) (162 aa), FASTA scores: opt: 469, E(): 3.8e-25, (46.65% identity in 163 aa overlap); P12833|DYR3_SALTY|DHFRIII from Salmonella typhimurium (162 aa), FASTA scores: opt: 367, E(): 4e-18, (45.4% identity in 141 aa overlap); Q59408|DYRC_ECOLI|DHFRXIII from Escherichia coli strain RA33.2 (165 aa), FASTA scores: opt: 313, E(): 2.2e-14, (41.9% identity in 136 aa overlap); etc. Contains PS00075 Dihydrofolate reductase signature. Belongs to the dihydrofolate reductase family.</t>
  </si>
  <si>
    <t>Involved in deoxyribonucleotide biosynthesis. Provides the sole de novo source of dTMP for DANA biosynthesis [catalytic activity: 5,10-methylenetetrahydrofolate + dUMP = dihydrofolate + dTMP].</t>
  </si>
  <si>
    <t>Probable thymidylate synthase ThyA (ts) (TSASE)</t>
  </si>
  <si>
    <t>Rv2764c, (MTV002.29c), len: 263 aa. Probable thyA, thymidylate synthase, equivalent to Q9CBW0|TYSY_MYCLE|THYA|ML1519 thymidylate synthase from Mycobacterium leprae (266 aa), FASTA scores: opt: 1602, E(): 5.9e-102, (85.5% identity in 262 aa overlap). Also highly similar to many e.g. P00470|TYSY_ECOLI|B2827|Z4144|ECS3684|BAB37107|AAG57938 from Escherichia coli strains K12 and O157:H7 (264 aa), FASTA scores: opt: 1309, E(): 5.9e-82, (66.65% identity in 261 aa overlap); P48464|TYSY_SHIFL|THYA from Shigella flexneri (264 aa), FASTA scores: opt: 1303, E(): 1.5e-81, (65.9% identity in 261 aa overlap); P54081|TYSB_BACAM|THYB|THYBA from Bacillus amyloliquefaciens (264 aa), FASTA scores: opt: 1235, E(): 6.7e-77, (66.65% identity in 261 aa overlap); etc. Contains PS00091 Thymidylate synthase active site. Belongs to the thymidylate synthase family.</t>
  </si>
  <si>
    <t>Probable alanine rich hydrolase</t>
  </si>
  <si>
    <t>Rv2765, (MTV002.30), len: 245 aa. Probable ala-rich hydrolase, similar to various hydrolases or hypothetical proteins e.g. Q9KYM6|SC9H11.13c putative hydrolase from Streptomyces coelicolor (251 aa), FASTA scores: opt: 630, E(): 1.4e-33, (43.1% identity in 246 aa overlap); Q9A5T9|CC2358 dienelactone hydrolase family protein from Caulobacter crescentus (286 aa), FASTA scores: opt: 592, E(): 4.5e-31, (38.45% identity in 242 aa overlap); Q9FCF1|2SCD46.33 putative hydrolase (dienelactone hydrolase family) from Streptomyces coelicolor (254 aa), FASTA scores: opt: 500, E(): 3.9e-25, (37.7% identity in 252 aa overlap); P73163|DLHH_SYNY3|SLL1298 putative carboxymethylenebutenolidase (dienelactone hydrolase) from Synechocystis sp. (strain PCC 6803) (246 aa), FASTA scores: opt: 276, E(): 1.3e-10, (26.95% identity in 230 aa overlap); etc.</t>
  </si>
  <si>
    <t>Function unknown, possibly involved in cellular metabolism.</t>
  </si>
  <si>
    <t>Rv2766c, (MTV002.31c), len: 260 aa. Probable short-chain dehydrogenase/reductase , similar to others (from bacteria and eukaryota) e.g. Q9K3Y8|2SCG61.27c putative short chain oxidoreductase from Streptomyces coelicolor (253 aa), FASTA scores: opt: 722, E(): 7.4e-39, (44.75% identity in 248 aa overlap); Q93790|F54F3.4 hypothetical SDR protein from Caenorhabditis elegans (260 aa), FASTA scores: opt: 613, E(): 6.9e-32, (41.7% identity in 247 aa overlap); O95162|O95162|scad-SRL peroxisomal short-chain alcohol dehydrogenase from Homo sapiens (Human) (260 aa), FASTA scores: opt: 594, E(): 1.1e-30, (39.6% identity in 250 aa overlap); P51831|FABG_BACSU 3-oxoacyl-[acyl-carrier protein] from Bacillus subtilis (246 aa), FASTA scores: opt: 504, E(): 4e-28, (37.2% identity in 247 aa overlap); etc. Also similar to many other Mycobacterium tuberculosis acyl-carrier proteins e.g. MTCY03C7.07 (38.5% identity in 244 aa overlap). Contains PS00061 Short-chain alcohol dehydrogenase family signature. Belongs to the short-chain dehydrogenases/reductases (SDR) family. Note that previously known as fabG5, a 3-oxoacyl-[acyl-carrier-protein].</t>
  </si>
  <si>
    <t>Rv2767c</t>
  </si>
  <si>
    <t>Rv2767c, (MTV002.32c), len: 117 aa (questionable ORF). Possible membrane protein, showing very weak similarity with Q9L2H7|SCC121.09 putative metal transport ABC transporter from Streptomyces coelicolor (256 aa), FASTA scores: opt: 110, E(): 1, (33.05% identity in 112 aa overlap).</t>
  </si>
  <si>
    <t>PPE43</t>
  </si>
  <si>
    <t>Rv2768c</t>
  </si>
  <si>
    <t>PPE family protein PPE43</t>
  </si>
  <si>
    <t>Rv2768c, (MTV002.33c), len: 394 aa. PPE43, Member of the Mycobacterium tuberculosis PPE family, highly similar to many e.g. upstream ORF O33312|Rv2770c|MTV002.35c (402 aa), FASTA scores: opt: 1135, E(): 6.1e-51, (62.15% identity in 391 aa overlap); and P96362|Rv1039c|MTCY10G2.10 from M. tuberculosis (391 aa), FASTA scores: opt: 1721, E(): 6.8e-81, (70.35% identity in 398 aa overlap). Equivalent to AAK47157 from Mycobacterium tuberculosis strain CDC1551 (462 aa) but shorter 68 aa.</t>
  </si>
  <si>
    <t>PE27</t>
  </si>
  <si>
    <t>Rv2769c</t>
  </si>
  <si>
    <t>PE family protein PE27</t>
  </si>
  <si>
    <t>Rv2769c, (MTV002.34c), len: 275 aa. PE27, Member of the Mycobacterium tuberculosis PE family (see citation below), highly similar to many (notably in N-terminal part) e.g. P96361|Rv1040c|MTCY10G2.09 from Mycobacterium tuberculosis (275 aa), FASTA scores: opt: 1111, E(): 5.9e-52, (68.55% identity in 283 aa overlap).</t>
  </si>
  <si>
    <t>PPE family protein PPE44</t>
  </si>
  <si>
    <t>Rv2770c, (MTV002.35c), len: 382 aa. PPE44, Member of the Mycobacterium tuberculosis PPE family, highly similar to many e.g. downstream ORF O33310|Rv2768c|MTV002.33c from M. tuberculosis (394 aa), FASTA scores: opt: 1135, E(): 2.2e-53, (62.15% identity in 391 aa overlap); and P96362|Rv1039c|MTCY10G2.10 from Mycobacterium tuberculosis (391 aa), FASTA scores: opt: 1010, E(): 1e-46, (55.95% identity in 395 aa overlap). Equivalent to AAK47159 from Mycobacterium tuberculosis strain CDC1551 (402 aa) but shorter 20 aa. Start changed since first submission (-20 aa).</t>
  </si>
  <si>
    <t>Rv2771c, (MTV002.36c), len: 150 aa. Conserved hypothetical protein, equivalent to Q9CBV8|ML1525 hypothetical protein from Mycobacterium leprae (151 aa), FASTA scores: opt: 489, E(): 1.7e-27, (52.7% identity in 148 aa overlap). Also highly similar to Q9RD46|SCF56.21 hypothetical 15.7 KDA protein from Streptomyces coelicolor (151 aa), FASTA scores: opt: 671, E(): 2.2e-40, (67.8% identity in 146 aa overlap).</t>
  </si>
  <si>
    <t>Rv2772c, (MTV002.37c), len: 157 aa. Probable conserved transmembrane protein, equivalent to Q9CBV7|ML1526 conserved membrane protein from Mycobacterium leprae (160 aa), FASTA scores: opt: 767, E(): 1.5e-43, (76.6% identity in 154 aa overlap); and similar to P46830|YDAB_MYCBO from Mycobacterium bovis (177 aa), FASTA scores: opt: 337, E(): 3.9e-15, (40.75% identity in 135 aa overlap). Also similar to O86837|SC9A10.04 putative membrane protein from Streptomyces coelicolor (151 aa), FASTA scores: opt: 338, E(): 3e-15, (43.75% identity in 144 aa overlap). A core mycobacterial gene; conserved in mycobacterial strains (See Marmiesse et al., 2004).</t>
  </si>
  <si>
    <t>Involved in biosynthesis of diaminopimelate and lysine from aspartate semialdehyde (at the second step) [catalytic activity: 2,3,4,5-tetrahydrodipicolinate + NAD(P)(+) = 2,3-dihydrodipicolinate + NAD(P)H].</t>
  </si>
  <si>
    <t>Dihydrodipicolinate reductase DapB (DHPR)</t>
  </si>
  <si>
    <t>Rv2773c, (MTV002.38c), len: 245 aa. DapB, dihydrodipicolinate reductase (see Pavelka et al., 1997), highly similar to many e.g. P40110|DAPB_CORGL from Corynebacterium glutamicum (Brevibacterium flavum) (248 aa), FASTA scores: opt: 1030, E(): 1.8e-58, (65.45% identity in 246 aa overlap); O86836|DAPB_STRCO|SC9A10.03 from Streptomyces coelicolor (250 aa), FASTA scores: opt: 997, E(): 2.3e-56, (61.15% identity in 247 aa overlap); P42976|DAPB_BACSU from Bacillus subtilis (267 aa), FASTA scores: opt: 608, E(): 1.7e-31, (45.95% identity in 209 aa overlap); P46829|DAPB_MYCBO from Mycobacterium bovis (see Cirillo et al., 1994) (271 aa), FASTA scores: opt: 505, E(): 6.3e-25, (36.2% identity in 246 aa overlap); etc. Belongs to the dihydrodipicolinate reductase family.</t>
  </si>
  <si>
    <t>Rv2774c, (MTV002.39c), len: 134 aa. Hypothetical unknown protein.</t>
  </si>
  <si>
    <t>Rv2775</t>
  </si>
  <si>
    <t>Rv2775, (MTV002.40), len: 153 aa. Probable acetyltransferase. Contains GNAT (Gcn5-related N-acetyltransferase) domain. See Vetting et al. 2005. Showing weak similarity to other hypothetical proteins e.g. Q9ZBJ7|SC9C7.13c from Streptomyces coelicolor (179 aa), FASTA scores: opt: 167, E(): 0.00024, (29.05% identity in 148 aa overlap). Equivalent to AAK47164 from Mycobacterium tuberculosis strain CDC1551 (185 aa) but shorter 32 aa.</t>
  </si>
  <si>
    <t>Rv2776c, (MTV002.41c), len: 309 aa. Probable oxidoreductase, similar to other oxidoreductases e.g. Q9KZ15|SC10B7.17 putative iron-sulfur oxidoreductase from Streptomyces coelicolor (364 aa), FASTA scores: opt: 846, E(): 1.2e-45, (46.75% identity in 308 aa overlap); O88034|SC5A7.28c iron-sulfur oxidoreductase beta subunit from Streptomyces coelicolor (313 aa), FASTA scores: opt: 745, E(): 2.3e-39, (41.45% identity in 316 aa overlap); P33164|PDR_BURCE|OPHA1 phthalate dioxygenase reductase from Burkholderia cepacia (Pseudomonas cepacia) (321 aa), FASTA scores: opt: 616, E(): 2.9e-31, (33.65% identity in 309 aa overlap); etc. Equivalent to AAK47165 from Mycobacterium tuberculosis strain CDC1551 (363 aa) but shorter 54 aa. Contains PS00197 2Fe-2S ferredoxins, iron-sulfur binding region signature and PS00063 Aldo/keto reductase family putative active site signature. Seems to belong to the 2FE2S plant-type ferredoxin family in the C-terminal section.</t>
  </si>
  <si>
    <t>Rv2777c, (MTV002.42c), len: 356 aa. Conserved hypothetical protein, highly similar (but longer in N-terminus) to hypothetical proteins Q9KZ16|SC10B7.16 from Streptomyces coelicolor (296 aa), FASTA scores: opt: 980, E(): 6.8e-57, (51.25% identity in 281 aa overlap); and Q9HYS0|PA3325 from Pseudomonas aeruginosa (295 aa), FASTA scores: opt: 816, E(): 4e-46, (43.75% identity in 288 aa overlap); and similar (but longer in N-terminus) to other hypothetical proteins e.g. Q9I3H1|PA1542 from Pseudomonas aeruginosa (278 aa), FASTA scores: opt: 234, E(): 6.3e-08, (31.8% identity in 258 aa overlap). Equivalent to AAK47166 from Mycobacterium tuberculosis strain CDC1551 (393 aa) but shorter 37 aa.</t>
  </si>
  <si>
    <t>Rv2778c, (MTV002.43c), len: 156 aa. Conserved protein, similar to Q9CBF7|ML2031 hypothetical protein from Mycobacterium leprae (151 aa), FASTA scores: opt: 227, E(): 8.5e-09, (35.95% identity in 153 aa overlap). Also similar to AAK46204|MT1931.1 hypothetical 17.8 KDA protein from Mycobacterium tuberculosis strain CDC1551 (158 aa), FASTA scores: opt: 238, E(): 1.5e-09, (35.75% identity in 151 aa overlap); or O07748|Rv1883c|MTCY180.35 hypothetical 17.3 KDA protein from Mycobacterium tuberculosis strain H37Rv (158 aa), FASTA scores: opt: 212, E(): 9.7e-08, (34.45% identity in 151 aa overlap); note that AAK46204|MT1931.1 and O07748|Rv1883c|MTCY180.35 are essentially the same protein except for a small (5 aa) gap.</t>
  </si>
  <si>
    <t>Possible transcriptional regulatory protein (probably Lrp/AsnC-family)</t>
  </si>
  <si>
    <t>Rv2779c, (MTV002.44c), len: 179 aa. Possible transcriptional regulator, from the Lrp/AsnC family, similar (but longer ~30 aa in N-terminus) to others e.g. CAC42842|SCBAC36F5.06 putative AsnC-family transcriptional regulatory protein from Streptomyces coelicolor (163 aa), FASTA scores: opt: 333, E(): 4.4e-16, (39.7% identity in 141 aa overlap); O07920|AZLB_BACSU transcriptional regulator (AsnC family) from Bacillus subtilis; Q9I233|PA2082 probable transcriptional regulator (AsnC family) from Pseudomonas aeruginosa (158 aa), FASTA scores: opt: 322, E(): 2.5e-15, (33.1% identity in 148 aa overlap); etc. Also similar to P96896|Rv3291c|MTCY71.31c from Mycobacterium tuberculosis (33.3% identity in 120 aa overlap). Equivalent to AAK47168 from Mycobacterium tuberculosis strain CDC1551 (181 aa). Seems to belong to the AsnC family of transcriptional regulators. Start changed since first submission (+8 aa).</t>
  </si>
  <si>
    <t>May play a role in cell wall synthesis as L-alanine is an important constituent of the peptidoglycan layer [catalytic activity: L-alanine + H(2)O + NAD(+) = pyruvate + NH(3) + NADH].</t>
  </si>
  <si>
    <t>Secreted L-alanine dehydrogenase Ald (40 kDa antigen) (TB43)</t>
  </si>
  <si>
    <t>Rv2780, (MT2850, MTV002.45), len: 371 aa. Ald, secreted L-alanine dehydrogenase (40 kd antigen); equivalent to Q9CBV6|ALD|ML1532 L-alanine dehydrogenase from Mycobacterium leprae (371 aa), FASTA scores: opt: 2081, E(): 4e-115, (85.45% identity in 371 aa overlap). Also highly similar to others e.g. Q9S227|SCI51.13c from Streptomyces coelicolor (371 aa), FASTA scores: opt: 1575, E(): 2.3e-85, (66.05% identity in 371 aa overlap); Q9K827|BH3180 from Bacillus halodurans (371 aa), FASTA scores: opt: 1341, E(): 1.4e-71, (56.45% identity in 372 aa overlap); Q9RT70|DR1895 from Deinococcus radiodurans (390 aa), FASTA scores: opt: 1319, E(): 2.8e-70, (54.2% identity in 371 aa overlap); etc. Contains PS00836 and PS00837 Alanine dehydrogenase &amp; pyridine nucleotide transhydrogenase signature 1 and 2. Predicted possible vaccine candidate (See Zvi et al., 2008).</t>
  </si>
  <si>
    <t>Possible alanine rich oxidoreductase</t>
  </si>
  <si>
    <t>Rv2781c, (MTV002.46c), len: 344 aa. Possible ala-rich oxidoreductase, similar to various oxidoreductases or hypothetical proteins e.g. Q9RDD8|SCC77.20c putative oxidoreductase from Streptomyces coelicolor (364 aa), FASTA scores: opt: 912, E(): 5.3e-47, (45.55% identity in 336 aa overlap); Q9FDD4|2-NPDL putative 2-nitropropane dioxygenase from Streptomyces ansochromogenes (363 aa), FASTA scores: opt: 869, E(): 1.9e-44, (44.2% identity in 337 aa overlap); O05413|YRPB 2-nitropropane dioxygenase from Bacillus subtilis (347 aa), FASTA scores: opt: 560, E(): 4.9e-26, (33.75% identity in 317 aa overlap); etc.</t>
  </si>
  <si>
    <t>Function unknown; possibly hydrolyzes peptides and/or proteins</t>
  </si>
  <si>
    <t>Probable zinc protease PepR</t>
  </si>
  <si>
    <t>Rv2782c, (MTV002.47c), len: 438 aa. Probable pepR, protease/peptidase, equivalent to O32965|YR82_MYCLE|ML0855|MLCB22.26c hypothetical zinc protease from Mycobacterium leprae (445 aa), FASTA scores: opt: 2346, E(): 4.3e-146, (84.3% identity in 421 aa overlap). Also highly similar to others e.g. O86835|YA12_STRCO|SC9A10.02 from Streptomyces coelicolor (459 aa), FASTA scores: opt: 1394, E(): 1.1e-83, (51.9% identity in 416 aa overlap); Q04805|YMXG_BACSU|YMXG from Bacillus subtilis (409 aa), FASTA scores: opt: 1014, E(): 7.9e-59, (37.55% identity in 410 aa overlap); Q9KA85|BH2405 from Bacillus halodurans (413 aa), FASTA scores: opt: 967, E(): 9.6e-56, (38.6% identity in 417 aa overlap); etc. Contains PS00143 Insulinase family, zinc-binding region signature. Belongs to peptidase family M16, also known as the insulinase family. Cofactor: requires divalent cations for activity. Binds zinc. Conserved in M. tuberculosis, M. leprae, M. bovis and M. avium paratuberculosis; predicted to be essential for in vivo survival and pathogenicity (See Ribeiro-Guimaraes and Pessolani, 2007).</t>
  </si>
  <si>
    <t>Involved in mRNA degradation. Hydrolyses single-stranded polyribonucleotides processively in the 3' to 5' direction. Involved in the RNA degradosome, a multi-enzyme complex important in RNA processing and messenger RNA degradation [catalytic activity: RNA(N+1) + phosphate = RNA(N) + a nucleoside diphosphate].</t>
  </si>
  <si>
    <t>Bifunctional protein polyribonucleotide nucleotidyltransferase GpsI: guanosine pentaphosphate synthetase + polyribonucleotide nucleotidyltransferase (polynucleotide phosphorylase) (pnpase)</t>
  </si>
  <si>
    <t>Rv2783c, (MTV002.48c), len: 752 aa. Probable gpsI, polyribonucleotide nucleotidyltransferase, equivalent to Q9CCF8|GPSI|ML0854 (alias O32966) putative polyribonucleotide phosphorylase / guanosine pentaphosphate synthetase from Mycobacterium leprae (773 aa), FASTA scores: opt: 4304, E(): 0, (89.95% identity in 757 aa overlap). Also highly similar to others e.g. O86656|GPSI guanosine pentaphosphate synthetase/ polyribonucleotide nucleotidyltransferase (fragment) from Streptomyces coelicolor (716 aa), FASTA scores: opt: 3393, E(): 5.8e-192, (72.77% identity in 718 aa overlap); Q53597|GPSI guanosine pentaphosphate synthetase from Streptomyces antibioticus (740 aa), FASTA scores: opt: 3314, E(): 2.6e-187, (70.55% identity in 733 aa overlap); P72659|PNP|SLL1043 polyribonucleotide nucleotidyltransferase from Synechocystis sp. strain PCC 6803 (718 aa), FASTA scores: opt: 1244, E(): 1.7e-65, (45.05% identity in 750 aa overlap); etc. Note that S. antibioticus guanosine pentaphosphate synthetase is a multifunctional enzyme that also acts as a polyribonucleotide nucleotidyltransferase. Start site chosen by homology from several alternatives.</t>
  </si>
  <si>
    <t>Probable lipoprotein LppU</t>
  </si>
  <si>
    <t>Rv2784c, (MTV002.49c), len: 171 aa. Probable lppU, lipoprotein, sharing no homology with other proteins. Contains signal sequence and appropriately positioned PS00013 Prokaryotic membrane lipoprotein lipid attachment site.</t>
  </si>
  <si>
    <t>Involved in translation mechanism. This protein is one of the 16S ribosomal RNA binding proteins.</t>
  </si>
  <si>
    <t>30S ribosomal protein S15 RpsO</t>
  </si>
  <si>
    <t>Rv2785c, (MTV002.50c), len: 89 aa. rpsO, 30s ribosomal protein S15, equivalent to O32967|RS15_MYCLE|RPSO|ML0853|MLCB22.28c 30S ribosomal protein S15 from Mycobacterium leprae (89 aa), FASTA scores: opt: 522, E(): 7.4e-34, (92.15% identity in 89 aa overlap). Also highly similar to many e.g. O86655|RS15_STRCO|RPSO|SC3C3.22 from Streptomyces coelicolor (95 aa), FASTA scores: opt: 408, E(): 6.7e-25, (62.9% identity in 89 aa overlap); P05766|RS15_BACST|RPSO from Bacillus stearothermophilus (88 aa), FASTA scores: opt: 385, E(): 4e-23, (62.5% identity in 88 aa overlap); P21473|RS15_BACSU|RPSO from Bacillus subtilis (88 aa), FASTA scores: opt: 351, E(): 1.9e-20, (57.95% identity in 88 aa overlap); P02371|RS15_ECOLI|RPSO|sec|B3165 from Escherichia coli strain K12 (88 aa), FASTA scores: opt: 295, E(): 4.5e-22, (52.3% identity in 88 aa overlap); etc. Contains PS00362 Ribosomal protein S15 signature. Belongs to the S15P family of ribosomal proteins.</t>
  </si>
  <si>
    <t>Involved in FAD biosynthesis [catalytic activity 1: ATP + riboflavin = ADP + FMN] [catalytic activity 2: ATP + FMN = diphosphate + FAD].</t>
  </si>
  <si>
    <t>Probable bifunctional FAD synthetase/riboflavin biosynthesis protein RibF: riboflavin kinase (flavokinase) + FMN adenylyltransferase (FAD pyrophosphorylase) (FAD synthetase)(FAD diphosphorylase) (flavin adenine dinucleotide synthetase)</t>
  </si>
  <si>
    <t>Rv2786c, (MTV002.51c), len: 331 aa. Probable ribF, FAD synthetase/riboflavin biosynthesis protein, bifunctional enzyme, equivalent to O32968|RIBF|ML0852 riboflavin kinase from Mycobacterium leprae (331 aa), FASTA scores: opt: 1923, E(): 2.3e-115, (87.45% identity in 327 aa overlap). Also highly similar to many e.g. Q59263|RIBF_CORAM from Corynebacterium ammoniagenes (Brevibacterium ammoniagenes) (338 aa), FASTA scores: opt: 899, E(): 5.7e-50, (45.8% identity in 321 aa overlap); Q9Z530|SC9F2.05c from Streptomyces coelicolor (318 aa), FASTA scores: opt: 862, E(): 1.3e-47, (52.45% identity in 324 aa overlap); P08391|RIBF_ECOLI|B0025|Z0029ECS0028 from Escherichia coli strains K12 and O157:H7 (313 aa), FASTA scores: opt: 517, E(): 1.3e-25, (36.05% identity in 305 aa overlap); etc.</t>
  </si>
  <si>
    <t>Rv2787, (MTV002.52), len: 587 aa. Conserved hypothetical ala-rich protein, equivalent to Q9CCI1|ML0798 hypothetical protein from Mycobacterium leprae (592 aa), FASTA scores: opt: 2994, E(): 6.9e-179, (76.5% identity in 587 aa overlap); and similar in part to other proteins from Mycobacterium leprae e.g. O33082|MLCB628.11 hypothetical 52.0 KDA protein (478 aa), FASTA scores: opt: 481, E(): 2.3e-22, (30.95% identity in 294 aa overlap). Also similar in part to O86637|SC3C3.03c hypothetical 112.1 KDA protein from Streptomyces coelicolor (1083 aa), FASTA scores: opt: 488, E(): 1.5e-22, (28.95% identity in 297 aa overlap). And similar to other hypothetical proteins from Mycobacterium tuberculosis e.g. O06396|Rv0530|MTCY25D10.09 (405 aa), FASTA scores: opt: 625, E(): 2.2e-31, (34.05% identity in 320 aa overlap); O69740|Rv3876|MTV027.11 (666 aa), FASTA scores: opt: 453, E(): 1.6e-20, (29.2% identity in 370 aa overlap); P96217|Rv3860|MTCY01A6.08c (390 aa), FASTA scores: opt: 443, E(): 4.7e-20, (29.95% identity in 354 aa overlap); etc. Contains PS00017 ATP/GTP-binding site motif A (P-loop).</t>
  </si>
  <si>
    <t>Probable transcriptional repressor SirR</t>
  </si>
  <si>
    <t>Rv2788, (MTV002.53), len: 228 aa. Probable sirR, transcriptional repressor, highly similar to others e.g. Q9RRF3|DR2539 putative iron dependent repressor from Deinococcus radiodurans (232 aa), FASTA scores: opt: 518, E(): 4.5e-26, (41.2% identity in 221 aa overlap); Q9HRU8|SIRR|VNG0536G from Halobacterium sp. strain NRC-1 (233 aa), FASTA scores: opt: 516, E(): 6.1e-26, (40.45% identity in 220 aa overlap); Q9KIJ2|SLOR regulator SLOR from Streptococcus mutans (217 aa), FASTA scores: opt: 418, E(): 1.2e-19, (36.15% identity in 213 aa overlap); etc. Also some similarity to Q50495|IDER_MYCTU|MTCY05A6.32|IDER|DTXR|Rv2711|MT2784|MTCY05A6.32 iron-dependent repressor from Mycobacterium tuberculosis (230 aa), FASTA scores: opt: 266, E(): 7.1e-10, (27.6% identity in 221 aa overlap). Contains helix-turn-helix motif at aa 32-53 (Score 1327, +3.71 SD). Could belong to the Crp/Fnr family of transcriptional regulators.</t>
  </si>
  <si>
    <t>Probable acyl-CoA dehydrogenase FadE21</t>
  </si>
  <si>
    <t>Rv2789c, (MTV002.54c), len: 410 aa. Probable fadE21, acyl-CoA dehydrogenase, similar to many e.g. P45857|ACDB_BACSU|MMGC from Bacillus subtilis (379 aa), FASTA scores: opt: 689, E(): 9.3e-37, (35.75% identity in 400 aa overlap); Q9K6D1|ACDA|BH3798 from Bacillus halodurans (380 aa), FASTA scores: opt: 679, E(): 4.1e-36, (37.3% identity in 405 aa overlap); Q06319|ACDS_MEGEL from Megasphaera elsdenii (383 aa), FASTA scores: opt: 650, E(): 3e-34, (37.7% identity in 334 aa overlap); etc. Contains acyl-CoA dehydrogenases signature 1 (PS00072). Belongs to the acyl-CoA dehydrogenases family.</t>
  </si>
  <si>
    <t>Possibly catalyzes the transfer of a great variety of lipids between membranes.</t>
  </si>
  <si>
    <t>Probable lipid-transfer protein Ltp1</t>
  </si>
  <si>
    <t>Rv2790c, (MTV002.55c), len: 401 aa. Probable ltp1, lipid-transfer protein, highly similar to many eukaryotic sterol-carrier proteins/lipid-transfer protein precursors (see Ossendorp &amp; Wirtz 1993) e.g. O62742|SCP2 sterol carrier protein X from Oryctolagus cuniculus (Rabbit) (547 aa), FASTA scores: opt: 1710, E(): 6e-102, (63.7% identity in 394 aa overlap); Q9QW19 3-oxoacyl-CoA thiolase homolog (fragment) from Rattus sp. (405 aa), FASTA scores: opt: 1696, E(): 3.8e-101, (63.2% identity in 394 aa overlap); P11915|NLTP_RAT|SCP2|SCP-2 nonspecific lipid-transfer protein precursor from Rattus norvegicus (Rat) (547 aa), FASTA scores: opt: 1696, E(): 4.8e-101, (63.2% identity in 394 aa overlap); P32020|NLTP_MOUSE|SCP2|SCP-2 nonspecific lipid-transfer protein precursor from Mus musculus (Mouse) (547 aa), FASTA scores: opt: 1681, E(): 4.3e-100, (62.7% identity in 394 aa overlap); etc. Contains PS00098 Thiolases acyl-enzyme intermediate signature and PS00737 Thiolases signature 2. Also similar to other M. tuberculosis proteins e.g. O06144|Rv1627c|MTCY01B2.19c (402 aa) (35.8% identity in 413 aa overlap).</t>
  </si>
  <si>
    <t>Required for the transposition of the insertion element IS1602.</t>
  </si>
  <si>
    <t>Rv2791c, (MTV002.56c), len: 459 aa. Probable IS1602 transposase for IS1602 element, similar to many e.g. P95117|Rv2978c|MTCY349.09 from Mycobacterium tuberculosis (459 aa), FASTA scores: opt: 2718, E(): 6.3e-165, (86.05% identity in 459 aa overlap).</t>
  </si>
  <si>
    <t>Rv2792c, (MTV002.57c), len: 193 aa. Possible IS1602 resolvase, highly similar to many from Mycobacterium tuberculosis e.g. O07773|Rv0605|MTCY19H5.17c possible resolvase (202 aa), FASTA scores: opt: 1040, E(): 1.9e-62, (85.05% identity in 194 aa overlap). Contains PS00397 Site-specific recombinases active site and possible helix-turn-helix motif at aa 1-2 (Score 1687, +4.93 SD).</t>
  </si>
  <si>
    <t>Formation of pseudouridine at position 55 in the psi GC loop of transfer RNAS [catalytic activity: uracil + D-ribose 5-phosphate = pseudouridine 5'-phosphate + H(2)O].</t>
  </si>
  <si>
    <t>Probable tRNA pseudouridine synthase B TruB (tRNA pseudouridine 55 synthase) (PSI55 synthase) (pseudouridylate synthase) (uracil hydrolyase)</t>
  </si>
  <si>
    <t>Rv2793c, (MTV002.58c), len: 298 aa. Probable truB, tRNA pseudouridine synthase, equivalent to Q9Z5I4|TRUB_MYCLE|ML1546 or MLCB596.24 tRNA pseudouridine synthase B from Mycobacterium leprae (320 aa), FASTA scores: opt: 1403, E(): 2.9e-83, (74.05% identity in 293 aa overlap). Also highly similar to many e.g. Q9Z528|TRUB_STRCO|SC9F2.07c from Streptomyces coelicolor (301 aa), FASTA scores: opt: 870, E(): 7.6e-49, (50.7% identity in 296 aa overlap); P09171|TRUB_ECOLI|P35|B3166|Z4527|ECS4047 from Escherichia coli strains K12 and O157:H7 (314 aa), FASTA scores: opt: 574, E(): 1e-29, (42.5% identity in 214 aa overlap); Q9PGR1|TRUB_XYLFA|XF0237 from Xylella fastidiosa (302 aa), FASTA scores: opt: 569, E(): 2.1e-29, (41.05% identity in 285 aa overlap); etc. Belongs to the TruB family of pseudouridine synthases.</t>
  </si>
  <si>
    <t>pptT</t>
  </si>
  <si>
    <t>Phosphopantetheinyl transferase PptT (CoA:APO-[ACP]pantetheinephosphotransferase) (CoA:APO-[acyl-carrier protein]pantetheinephosphotransferase)</t>
  </si>
  <si>
    <t>Rv2794c, (MTV002.59c), len: 227 aa. PptT, phosphopantetheinyl transferase, equivalent to Q9Z5I5|ML1547|MLCB596.23 putative iron-chelating complex subunit from Mycobacterium leprae (227 aa), FASTA scores: opt: 1248, E(): 9.1e-77, (79.75% identity in 227 aa overlap). Also highly similar to various proteins e.g. Q9F0Q6|PPTA phosphopantetheinyl transferase from Streptomyces verticillus (246 aa), FASTA scores: opt: 692, E(): 2.8e-39, (46.65% identity in 225 aa overlap); O88029|SC5A7.23 hypothetical 24.5 KDA protein from Streptomyces coelicolor (226 aa), FASTA scores: opt: 679, E(): 2e-38, (46.9% identity in 226 aa overlap); O24813 DNA for L-proline 3-hydroxylase from Streptomyces sp. (208 aa), FASTA scores: opt: 631, E(): 3.2e-35, (48.1% identity in 208 aa overlap); etc.</t>
  </si>
  <si>
    <t>Rv2795c, (MTV002.60c), len: 324 aa. Conserved hypothetical protein, equivalent to Q9Z5I6|ML1548|MLCB596.22 hypothetical 37.5 KDA protein from Mycobacterium leprae (321 aa), FASTA scores: opt: 2018, E(): 6.3e-128, (87.4% identity in 318 aa overlap). Also highly similar to O88028|SC5A7.22 hypothetical 33.5 KDA protein from Streptomyces coelicolor (295 aa), FASTA scores: opt: 1202, E(): 3.4e-73, (57.2% identity in 285 aa overlap); and Q9AMH7|SIMX4 SIMX4 protein from Streptomyces antibioticus (293 aa), FASTA scores: opt: 1045, E(): 1.2e-62, (51.4% identity in 286 aa overlap). C-terminus highly similar to Q9F0Q7 hypothetical 9.6 KDA protein (fragment) from Streptomyces verticillus (81 aa), FASTA scores: opt: 395, E(): 1.8e-19, (68.35% identity in 79 aa overlap). Also similar to other proteins e.g. Q9FWV7 hypothetical 45.3 KDA protein from Oryza sativa (Rice) (402 aa), FASTA scores: opt: 294, E(): 3.6e-12, (26.45% identity in 340 aa overlap).</t>
  </si>
  <si>
    <t>Probable conserved lipoprotein LppV</t>
  </si>
  <si>
    <t>Rv2796c, (MTV002.61c, MTCY16B7.47), len: 187 aa. Probable lppV, conserved lipoprotein, similar to others from Mycobacterium tuberculosis e.g. P95009|LPPB|Rv2544|MTCY159.12c probable conserved lipoprotein (220 aa), FASTA scores: opt: 168, E(): 0.00066, (22.45% identity in 196 aa overlap); and P95010|LPPA|RV2543|MTCY159.13c probable conserved lipoprotein (219 aa), FASTA scores: opt: 165, E(): 0.001, (23.1% identity in 199 aa overlap).</t>
  </si>
  <si>
    <t>Rv2797c, (MTCY16B7.46), len: 562 aa. Conserved hypothetical ala-rich protein. C-terminus highly similar to several mycobacterial proteins e.g. AAK46927|MT2616 hypothetical 28.0 KDA protein from Mycobacterium tuberculosis strain CDC1551 (265 aa), FASTA scores: opt: 535, E(): 4.6e-22, (42.95% identity in 263 aa overlap); P95011|Rv2542|MTCY159.14c hypothetical 42.4 KDA protein from Mycobacterium tuberculosis (403 aa), FASTA scores: opt: 537, E(): 5e-22, (40.75% identity in 292 aa overlap) (similarity in the second half of protein); P71547|Y963_MYCTU|Rv0963c|MT0992|MTCY10D7.11 hypothetical 28.1 KDA protein (266 aa), FASTA scores: opt: 314, E(): 5.7e-10, (39.0% identity in 254 aa overlap); etc. Contains PS00120 Lipases, serine active site.</t>
  </si>
  <si>
    <t>Rv2798c, (MTCY16B7.45), len: 108 aa. Conserved hypothetical ala-rich protein, similar to P71545|Y965_MYCTU|Rv0965c|MT0993|MTCY10D7.09 hypothetical 14.5 KDA protein from Mycobacterium tuberculosis (139 aa), FASTA scores: opt: 198, E(): 8e-07, (38.9% identity in 90 aa overlap).</t>
  </si>
  <si>
    <t>Rv2799, (MTCY16B7.44c), len: 209 aa. Probable membrane protein. Predicted to be an outer membrane protein (See Song et al., 2008).</t>
  </si>
  <si>
    <t>Rv2800, (MTCY16B7.43c), len: 549 aa. Possible hydrolase, an esterase or an acylase. Similar, but longer in N-terminus, to esterases or acylases e.g. Q9L9D7|COCE cocaine esterase from Rhodococcus sp. MB1 'Bresler 1999' (574 aa), FASTA scores: opt: 510, E(): 3.1e-23, (33.6% identity in 571 aa overlap); Q9L3U2|STTE putative acylase from Streptomyces rochei (Streptomyces parvullus) (554 aa), FASTA scores: opt: 492, E(): 3.7e-22, (34.45% identity in 569 aa overlap); CAC49652|SMB21424 putative esterase or acylase protein from Rhizobium meliloti (Sinorhizobium meliloti) plasmid pSymB (578 aa), FASTA scores: opt: 405, E(): 7.1e-17, (34.45% identity in 569 aa overlap); etc.</t>
  </si>
  <si>
    <t>mazE9</t>
  </si>
  <si>
    <t>Rv2801A</t>
  </si>
  <si>
    <t>Possible antitoxin MazE9</t>
  </si>
  <si>
    <t>Rv2801A, len: 76 aa. Possible mazE9, antitoxin, part of toxin-antitoxin (TA) operon with Rv2801c (See Pandey and Gerdes, 2005; Zhu et al., 2006). This region is a possible MT-complex-specific genomic island (See Becq et al., 2007).</t>
  </si>
  <si>
    <t>mazF9</t>
  </si>
  <si>
    <t>Rv2801c</t>
  </si>
  <si>
    <t>Toxin MazF9</t>
  </si>
  <si>
    <t>Rv2801c, (MTCY16B7.42), len: 118 aa. MazF9, toxin, part of toxin-antitoxin (TA) operon with Rv2801A (See Pandey and Gerdes, 2005; Zhu et al., 2006), highly similar to Q9RWK4|DR0662 conserved hypothetical protein from Deinococcus radiodurans (115 aa), FASTA scores: opt: 306, E(): 2e-15, (43.95% identity in 116 aa overlap); and similar to AAK78474|CAC0494 PEMK family of DNA-binding proteins from Clostridium acetobutylicum (122 aa), FASTA scores: opt: 217, E(): 7.3e-09, (33.35% identity in 117 aa overlap); P96622|YDCE YDCE protein from Bacillus subtilis (116 aa), FASTA scores: opt: 194, E(): 3.5e-07, (33.35% identity in 117 aa overlap); Q9PHH8|XFA0027 plasmid maintenance protein from Xylella fastidiosa (108 aa), FASTA scores: opt: 188, E(): 9.1e-07, (40.85% identity in 115 aa overlap); etc. Also similar to Q10867|YJ91_MYCTU|Rv1991c|MT2046|MTCY39.28 hypothetical 12.3 KDA protein from Mycobacterium tuberculosis (114 aa), FASTA scores: opt: 190, E(): 6.8e-07, (36.75% identity in 117 aa overlap). This region is a possible MT-complex-specific genomic island (See Becq et al., 2007).</t>
  </si>
  <si>
    <t>Hypothetical arginine and alanine rich protein</t>
  </si>
  <si>
    <t>Rv2802c, (MTCY16B7.41), len: 347 aa. Hypothetical unknown arg-, ala-rich protein. C-terminus shows some similarity with N-terminal part of hypothetical proteins Q98K84|MLR1592 from Rhizobium loti (Mesorhizobium loti) (104 aa), FASTA scores: opt: 138, E(): 0.12, (37.35% identity in 91 aa overlap); and CAC47718|SMC03294 from Rhizobium meliloti (Sinorhizobium meliloti) (114 aa), FASTA scores: opt: 128, E(): 0.53, (31.4% identity in 86 aa overlap). Equivalent to AAK47191 from Mycobacterium tuberculosis strain CDC1551 (357 aa) but shorter 10 aa. This region is a possible MT-complex-specific genomic island (See Becq et al., 2007).</t>
  </si>
  <si>
    <t>Rv2803</t>
  </si>
  <si>
    <t>Rv2803, len: 155 aa. Conserved hypothetical protein, similar to hypothetical proteins from other organisms, and with some similarity to C-terminal part of Rv0918|Z95210_12 hypothetical protein from Mycobacterium tuberculosis (158 aa), FASTA scores: opt: 204, E(): 9e-07, (42.35% identity in 85 aa overlap). Replaces original 2803c on other strand. This region is a possible MT-complex-specific genomic island (See Becq et al., 2007).</t>
  </si>
  <si>
    <t>Rv2804c, (MTCY16B7.39), len: 209 aa. Hypothetical unknown protein, overlaps neighbouring orf Rv2805|MTCY16B7.38c. This region is a possible MT-complex-specific genomic island (See Becq et al., 2007).</t>
  </si>
  <si>
    <t>Rv2805, (MTCY16B7.38c), len: 134 aa. Conserved hypothetical protein, highly similar to N-terminal region of downstream ORF P71644|Rv2807|MTCY16B7.36c conserved hypothetical protein from Mycobacterium tuberculosis (384 aa), FASTA scores: opt: 525, E(): 6.4e-29, (78.2% identity in 101 aa overlap). Also highly similar to N-terminus of other proteins: Q9KK74 hypothetical 47.4 KDA protein from Brevibacterium linens (418 aa), FASTA scores: opt: 480, E(): 8.8e-26, (64.15% identity in 106 aa overlap); AAK40065 Rv3128c-like protein from Mycobacterium celatum (423 aa), FASTA scores: opt: 218, E(): 1.2e-07, (46.05% identity in 89 aa overlap); Q981U5|MLR9230 from Rhizobium loti (Mesorhizobium loti) (504 aa), FASTA scores: opt: 131, E(): 0.15, (29.4% identity in 126 aa overlap). Overlaps neighbouring ORF Rv2804c|MTCY16B7.39. This region is a possible MT-complex-specific genomic island (See Becq et al., 2007).</t>
  </si>
  <si>
    <t>Rv2806</t>
  </si>
  <si>
    <t>Rv2806, (MTCY16B7.37c), len: 63 aa. Possible membrane protein, sharing no homology. This region is a possible MT-complex-specific genomic island (See Becq et al., 2007).</t>
  </si>
  <si>
    <t>Rv2807</t>
  </si>
  <si>
    <t>Rv2807, (MTCY16B7.36c), len: 384 aa. Conserved hypothetical protein, highly similar, but shorter 35 aa, to Q9KK74 hypothetical 47.4 KDA protein from Brevibacterium linens (418 aa), FASTA scores: opt: 1865, E(): 9.4e-116, (69.75% identity in 380 aa overlap); and with similarity with other hypothetical proteins or transposases e.g. Q981U5|MLR9230 protein from Rhizobium loti (Mesorhizobium loti) (504 aa), FASTA scores: opt: 636,, (36.05% identity in 377 aa overlap); CAC47689 putative transposase for insertion sequence ISRM18 from Rhizobium meliloti (Sinorhizobium meliloti) (507 aa), FASTA scores: opt: 553, E(): 6.6e-29, (33.5% identity in 370 aa overlap); etc. Also similar to Rv3128c|MTCY164.38c (336 aa) (47.2% identity in 339 aa overlap); and high similarity at N-terminal region with Rv2805|MTCY16B7.38c (79.2% identity in 101 aa overlap). This region is a possible MT-complex-specific genomic island (See Becq et al., 2007).</t>
  </si>
  <si>
    <t>Rv2808</t>
  </si>
  <si>
    <t>Rv2808, (MTCY16B7.35c), len: 85 aa. Hypothetical unknown protein. This region is a possible MT-complex-specific genomic island (See Becq et al., 2007).</t>
  </si>
  <si>
    <t>Rv2809, (MTCY16B7.34c), len: 103 aa (questionable ORF). Hypothetical unknown protein. This region is a possible MT-complex-specific genomic island (See Becq et al., 2007).</t>
  </si>
  <si>
    <t>Rv2810c</t>
  </si>
  <si>
    <t>Required for the transposition of the insertion element IS1555.</t>
  </si>
  <si>
    <t>Rv2810c, (MTCY16B7.33), len: 133 aa. Probable transposase for IS1555, similar to C-terminal domain of transposases for defective IS1555 e.g. Q9LCS0|TNPA transposase from Arthrobacter sp. TM1 (435 aa), FASTA scores: opt: 294, E(): 1.8e-13, (55.1% identity in 98 aa overlap); Q50440|TNPA insertion element TNPR and TNPA gene from Mycobacterium smegmatis (413 aa), FASTA scores: opt: 274, E(): 4.7e-12, (56.25% identity in 96 aa overlap); etc. This region is a possible MT-complex-specific genomic island (See Becq et al., 2007).</t>
  </si>
  <si>
    <t>Rv2811</t>
  </si>
  <si>
    <t>Rv2811, (MTCY16B7.32c), len: 202 aa. Conserved hypothetical protein. C-terminus equivalent to C-terminus of AAK47198|MT2878 hypothetical 17.7 KDA protein Mycobacterium tuberculosis strain CDC1551 (178 aa), FASTA scores: opt: 609, E(): 1.5e-32, (61.0% identity in 182 aa overlap); and C-terminus highly similar to P72038|Rv3771c|MTCY13D12.05c hypothetical 11.3 KDA protein from Mycobacterium tuberculosis (108 aa), FASTA scores: opt: 465, E(): 2.8e-23, (73.6% identity in 106 aa overlap). Also some similarity with P71962|Rv2665|MTCY441.34 hypothetical 10.5 KDA protein from Mycobacterium tuberculosis (93 aa), FASTA scores: opt: 153, E(): 0.0057, (39.05% identity in 64 aa overlap); and Q9A6W6|CC1966 hypothetical protein CC1966 from Caulobacter crescentus (189 aa), FASTA scores: opt: 115, E(): 2.6, (39.4% identity in 104 aa overlap). This region is a possible MT-complex-specific genomic island (See Becq et al., 2007).</t>
  </si>
  <si>
    <t>Rv2812</t>
  </si>
  <si>
    <t>Required for the transposition of the insertion element IS1604.</t>
  </si>
  <si>
    <t>Rv2812, (MTCY16B7.31c), len: 469 aa. Probable transposase for IS1604, similar to putative transposases and hypothetical proteins e.g. Q9EZM2|putative transposase from Mycobacterium paratuberculosis (395 aa), FASTA scores: opt: 329, E(): 3e-13, (27.05% identity in 362 aa overlap); CAC46499 putative transposase protein from Rhizobium meliloti (Sinorhizobium meliloti) (390 aa), FASTA scores: opt: 327, E(): 3.9e-13, (30.5% identity in 367 aa overlap); etc. Contains possible helix-turn-helix motif at aa 50-71 (Score 1140, +3.07 SD). This region is a possible MT-complex-specific genomic island (See Becq et al., 2007).</t>
  </si>
  <si>
    <t>Rv2813</t>
  </si>
  <si>
    <t>Rv2813, (MTCY16B7.30c), len: 270 aa. Conserved hypothetical protein, similar to various proteins (notably secreted proteins) e.g. Q9ZFL2 hypothetical 30.4 KDA protein from Bacillus stearothermophilus (266 aa), FASTA scores: opt: 518, E(): 1.4e-26, (33.85% identity in 266 aa overlap); P45754|GSPA_AERHY|EXEA general secretion pathway protein from Aeromonas hydrophila (547 aa), FASTA scores: opt: 386, E(): 1.1e-17, (32.05% identity in 265 aa overlap); Q9KPC7|VC2445 general secretion pathway protein A from Vibrio cholerae (529 aa), FASTA scores: opt: 366, E(): 2.2e-16, (31.1% identity in 270 aa overlap); Q56674|VC0403 mannose-sensitive hemagglutinin D from Vibrio cholerae (281 aa), FASTA scores: opt: 317, E(): 2.1e-13, (27.85% identity in 262 aa overlap); etc. Also highly similar to AAK40072 Rv2813-like protein from Mycobacterium celatum (270 aa), FASTA scores: opt: 1628, E(): 2.8e-99, (90.75% identity in 270 aa overlap). Contains PS00017 ATP/GTP-binding site motif A (P-loop). This region is a possible MT-complex-specific genomic island (See Becq et al., 2007).</t>
  </si>
  <si>
    <t>Rv2814c</t>
  </si>
  <si>
    <t>Rv2814c, (MTCY16B7.29), len: 328 aa. Probable transposase subunit for IS6110. Identical to many other M. tuberculosis IS6110 transposase subunits. The transposase described here may be made by a frame shifting mechanism during translation that fuses Rv2814c and Rv2815c, the sequence UUUUAAAG (directly upstream of Rv2814c) maybe responsible for such a frameshifting event (see McAdam et al., 1990). Start changed since first submission (+ 16 aa). This region is a possible MT-complex-specific genomic island (See Becq et al., 2007).</t>
  </si>
  <si>
    <t>Rv2815c</t>
  </si>
  <si>
    <t>Rv2815c, (MTCY16B7.28), len: 108 aa. Putative Transposase for IS6110 (fragment). Identical to many other M. tuberculosis IS6110 transposase subunits. The transposase described here may be made by a frame shifting mechanism during translation that fuses Rv2814c and Rv2815c, the sequence UUUUAAAG (directly upstream of Rv2814c) maybe responsible for such a frameshifting event (see McAdam et al., 1990). This region is a possible MT-complex-specific genomic island (See Becq et al., 2007).</t>
  </si>
  <si>
    <t>Rv2816c, (MTCY16B7.27), len: 113 aa. Conserved hypothetical protein, highly similar in part to N-terminus of several proteins e.g. O28403|AF1876 conserved hypothetical protein from Archaeoglobus fulgidus (94 aa), FASTA scores: opt: 137, E(): 0.0022, (47.55% identity in 61 aa overlap); Q97Y85|SSO8090 hypothetical protein from Sulfolobus solfataricus (88 aa), FASTA scores: opt: 124, E(): 0.02, (37.3% identity in 59 aa overlap); etc. This region is a possible MT-complex-specific genomic island (See Becq et al., 2007).</t>
  </si>
  <si>
    <t>Rv2817c, (MTCY16B7.26), len: 338 aa. Conserved hypothetical protein, showing similarity with O30236|AF2435 conserved hypothetical protein from Archaeoglobus fulgidus (322 aa), FASTA scores: opt: 397, E(): 2.4e-19, (28.2% identity in 298 aa overlap); Q9KFX9|BH0341 hypothetical protein from Bacillus halodurans (343 aa), FASTA scores: opt: 337, E(): 2.8e-15, (27.35% identity in 300 aa overlap); Q9X2B7|TM1797 conserved hypothetical protein from Thermotoga maritima (319 aa), FASTA scores: opt: 321, E(): 3.3e-14, (26.5% identity in 268 aa overlap); etc. This region is a possible MT-complex-specific genomic island (See Becq et al., 2007).</t>
  </si>
  <si>
    <t>Rv2818c, (MTCY16B7.25), len: 382 aa. Hypothetical unknown protein, equivalent to AAK47210 from Mycobacterium tuberculosis strain CDC1551 (430 aa) but shorter 48 aa. This region is a possible MT-complex-specific genomic island (See Becq et al., 2007).</t>
  </si>
  <si>
    <t>Rv2819c, (MTCY16B7.23), len: 375 aa. Hypothetical unknown protein (see citations below). This region is a possible MT-complex-specific genomic island (See Becq et al., 2007).</t>
  </si>
  <si>
    <t>Rv2820c, (MTCY16B7.22), len: 302 aa. Hypothetical unknown protein. This region is a possible MT-complex-specific genomic island (See Becq et al., 2007).</t>
  </si>
  <si>
    <t>Rv2821c, (MTCY16B7.21), len: 236 aa. Conserved hypothetical protein, similar to several hypothetical proteins e.g. Q9X2C9|TM1809 conserved hypothetical protein from Thermotoga maritima (247 aa), FASTA scores: opt: 318, E(): 8.2e-15, (39.45% identity in 213 aa overlap); O27152|MTH1080 conserved hypothetical protein from Methanothermobacter thermautotrophicus (245 aa), FASTA scores: opt: 294, E(): 3.9e-13, (34.8% identity in 224 aa overlap); BAB59251|TVG0114661 hypothetical protein from Thermoplasma volcanium (229 aa), FASTA scores: opt: 252, E(): 3.3e-10, (33.8% identity in 225 aa overlap); etc. This region is a possible MT-complex-specific genomic island (See Becq et al., 2007).</t>
  </si>
  <si>
    <t>Rv2822c</t>
  </si>
  <si>
    <t>Rv2822c, (MTCY16B7.20), len: 124 aa. Hypothetical unknown protein. This region is a possible MT-complex-specific genomic island (See Becq et al., 2007).</t>
  </si>
  <si>
    <t>Rv2823c, (MTCY16B7.19), len: 809 aa. Conserved protein, similar in part to others e.g. Q9X2D1|TM1811Thermotoga maritima (717 aa), FASTA scores: opt: 401, E(): 3.6e-18, (27.15% identity in 773 aa overlap); O27154|MTH1082 conserved hypothetical protein from Methanothermobacter thermautotrophicus (822 aa), FASTA scores: opt: 306, E(): 6e-12, (25.55% identity in 872 aa overlap); Q59066|MJ1672 hypothetical protein from Methanococcus jannaschii (800 aa), FASTA scores: opt: 302, E(): 1.1e-11, (24.9% identity in 812 aa overlap); etc. This region is a possible MT-complex-specific genomic island (See Becq et al., 2007).</t>
  </si>
  <si>
    <t>Rv2824c, (MTCY16B7.18), len: 314 aa. Hypothetical unknown protein. This region is a possible MT-complex-specific genomic island (See Becq et al., 2007).</t>
  </si>
  <si>
    <t>Rv2825c, (MTCY16B7.17), len: 215 aa. Conserved hypothetical protein, similar to Q9RY53|DR0097 conserved hypothetical protein from Deinococcus radiodurans (189 aa), FASTA scores: opt: 261, E(): 8e-11, (33.5% identity in 176 aa overlap); and shows some similarity with N-terminus of O27278|MTH1210 MRR restriction system related protein from Methanothermobacter thermautotrophicus (340 aa), FASTA scores: opt: 133, E(): 0.091, (28.55% identity in 112 aa overlap). Equivalent to AAK47217 from Mycobacterium tuberculosis strain CDC1551 (246 aa) but shorter 31 aa; and equivalent to upstream ORF P71624|Rv2828c|MTCY16B7.14 from Mycobacterium tuberculosis strain H37Rv (alias AAK47221 from strain CDC1551) (181 aa), FASTA scores: opt: 1169, E(): 8.5e-74, (98.35% identity in 181 aa overlap).</t>
  </si>
  <si>
    <t>Rv2826c, (MTCY16B7.16), len: 294 aa. Hypothetical unknown protein.</t>
  </si>
  <si>
    <t>Rv2827c, (MTCY16B7.15), len: 295 aa. Hypothetical unknown protein, equivalent to AAK47219 from Mycobacterium tuberculosis strain CDC1551 (315 aa) but shorter 20 aa.</t>
  </si>
  <si>
    <t>Rv2828A</t>
  </si>
  <si>
    <t>Rv2828A, len: 89 aa. Conserved hypothetical protein, present in many mycobacteria. Equivalent to BCG2848c and Mb2852A (100% identity to both in 89 aa overlap)</t>
  </si>
  <si>
    <t>Rv2828c</t>
  </si>
  <si>
    <t>Rv2828c, (MTCY16B7.14), len: 181 aa. Conserved hypothetical protein, similar to Q9RY53|DR0097 conserved hypothetical protein from Deinococcus radiodurans (189 aa), FASTA scores: opt: 267, E(): 1.9e-11, (34.1% identity in 176 aa overlap); and shows some similarity with N-terminus of O27278|MTH1210 MRR restriction system related protein from Methanothermobacter thermautotrophicus (340 aa), FASTA scores: opt: 133, E(): 0.07, (28.55% identity in 112 aa overlap). Also equivalent to downstream ORF P71627|Rv2825c|MTCY16B7.17 from Mycobacterium tuberculosis strain H37Rv (alias AAK47217 from strain CDC1551, 246 aa) (215 aa), FASTA scores: opt: 1173, E(): 8.3e-75, (98.9% identity in 181 aa overlap).</t>
  </si>
  <si>
    <t>vapC22</t>
  </si>
  <si>
    <t>Rv2829c</t>
  </si>
  <si>
    <t>Possible toxin VapC22</t>
  </si>
  <si>
    <t>Rv2829c, (MTCY16B7.13), len: 130 aa. Possible vapC22, toxin, part of toxin-antitoxin (TA) operon with Rv2830c, contains PIN domain (See Arcus et al., 2005; Pandey and Gerdes, 2005). Conserved hypothetical protein similar to AAK65872|SMA2253 conserved hypothetical protein from Rhizobium meliloti (Sinorhizobium meliloti) (125 aa), FASTA scores: opt: 171, E(): 7.7e-05, (34.9% identity in 129 aa overlap); and shows some similarity with other proteins e.g. Q9AH69 hypothetical 14.7 KDA protein from Neisseria meningitidis (128 aa), FASTA scores: opt: 148, E(): 0.0031, (28.1% identity in 121 aa overlap).</t>
  </si>
  <si>
    <t>vapB22</t>
  </si>
  <si>
    <t>Possible antitoxin VapB22</t>
  </si>
  <si>
    <t>Rv2830c, (MTCY16B7.12), len: 71 aa. Possible vapB22, antitoxin, part of toxin-antitoxin (TA) operon with Rv2829c, (See Arcus et al., 2005; Pandey and Gerdes, 2005). Similar to others in Mycobacterium tuberculosis e.g. Z97182|MTCY19H5.26|Rv0596c Hypothetical protein (85 aa), FASTA scores: opt: 88, E(): 1.3, (41.7% identity in 36 aa overlap); and to PHD_BPP1|Q06253 bacteriophage P1 phd gene (73 aa), FASTA scores: opt: 79, E(): 3.8, (35.9% identity in 39 aa overlap).</t>
  </si>
  <si>
    <t>echA16</t>
  </si>
  <si>
    <t>Rv2831</t>
  </si>
  <si>
    <t>Probable enoyl-CoA hydratase EchA16 (enoyl hydrase) (unsaturated acyl-CoA hydratase) (crotonase)</t>
  </si>
  <si>
    <t>Rv2831, (MTCY16B7.11c), len: 249 aa. Probable echA16, enoyl-CoA hydratase, similar to others e.g. O23468|AT4G16210 from Arabidopsis thaliana (Mouse-ear cress) (244 aa), FASTA scores: opt: 491, E(): 7.3e-25, (42.1% identity in 190 aa overlap); Q98LI4|MLL1009 from Rhizobium loti (Mesorhizobium loti) (258 aa), FASTA scores: opt: 491, E(): 7.6e-25, (40.75% identity in 248 aa overlap); O07137|ECH8_MYCLE|ML2402|MLCB1306.05c from Mycobacterium leprae (257 aa), FASTA scores: opt: 478, E(): 5.3e-24, (38.05% identity in 226 aa overlap); P76082|PAAF_ECOLI|B1393 from scherichia coli strain K12 (255 aa), FASTA scores: opt: 439, E(): 1.9e-21, (37.55% identity in 221 aa overlap); etc. Also similar to O53418|ECH8_MYCTU|ECHA8|Rv1070c|MT1100|MTV017.23c from Mycobacterium tuberculosis (257 aa), FASTA scores: opt: 471, E(): 1.5e-23, (38.05% identity in 226 aa overlap).</t>
  </si>
  <si>
    <t>Thought to be involved in active transport of Sn-glycerol-3-phosphate across the membrane (import). Responsible for energy coupling to the transport system.</t>
  </si>
  <si>
    <t>Probable Sn-glycerol-3-phosphate transport ATP-binding protein ABC transporter UgpC</t>
  </si>
  <si>
    <t>Rv2832c, (MTCY16B7.10), len: 360 aa. Probable ugpC, Sn-glycerol-3-phosphate transport ATP-binding protein ABC transporter (see Braibant et al., 2000), similar to others: CAC48805 probable glycerol-3-phosphate ABC transporter ATP-binding protein from Rhizobium meliloti (Sinorhizobium meliloti) plasmid pSymB (349 aa), FASTA scores: opt: 1018, E(): 4.1e-53, (48.6% identity in 356 aa overlap); Q98G42|MLL3499|UGPC SN-glycerol-3-phosphate transport ATP-binding protein from Rhizobium loti (Mesorhizobium loti) (366 aa), FASTA scores: opt: 1016, E(): 5.6e-53, (48.5% identity in 367 aa overlap). But also highly similar to many msiK proteins, ABC transporter ATP-binding proteins possibly involved in transport of cellolbiose and maltose (see Schlosser et al., 1997) e.g. P96483|MSIK MSIK protein from Streptomyces reticuli (377 aa), FASTA scores: opt: 1277, E(): 1.9e-68, (58.05% identity in 379 aa overlap); Q9L0Q1|MSIK ABC transporter ATP-binding protein from Streptomyces coelicolor (378 aa), FASTA scores: opt: 1276, E(): 2.1e-68, (57.65% identity in 380 aa overlap); Q54333|MSIK from Streptomyces lividans (314 aa), FASTA scores: opt: 1217, E(): 5.9e-65, (63.7% identity in 292 aa overlap); and other ABC-type sugar transport proteins. Also highly similar to O53482|Rv2038c|MTV018.25c ABC-type sugar transport protein from Mycobacterium tuberculosis (357 aa), FASTA scores: opt: 1248, E(): 9.4e-67, (56.8% identity in 354 aa overlap). Contains PS00017 ATP/GTP-binding site motif A (P-loop), and PS00211 ABC transporters family signature. Belongs to the ATP-binding transport protein family (ABC transporters).</t>
  </si>
  <si>
    <t>ugpB</t>
  </si>
  <si>
    <t>Rv2833c</t>
  </si>
  <si>
    <t>Involved in active transport of Sn-glycerol-3-phosphate and glycerophosphoryl diesters across the membrane (import). Sn-glycerol-3-phosphate and glycerophosphoryl diesters - binding protein interacts with the binding protein-dependent transport system ugpace.</t>
  </si>
  <si>
    <t>Probable Sn-glycerol-3-phosphate-binding lipoprotein UgpB</t>
  </si>
  <si>
    <t>Rv2833c, (MTCY16B7.09), len: 436 aa. Probable ugpB, Sn-glycerol-3-phosphate binding lipoprotein component of Sn-glycerol-3-phosphate transport system (see citation below), similar to various transporters substrate-binding periplasmic proteins e.g. Q9KDY2|BH1079 glycerol-3-phosphate ABC transporter (glycerol-3-phosphate binding protein) from Bacillus halodurans (459 aa), FASTA scores: opt: 357, E(): 3.1e-14, (23.4% identity in 406 aa overlap); P72397|male putative maltose-binding protein from Streptomyces coelicolor (423 aa), FASTA scores: opt: 318, E(): 7e-12, (23.7% identity in 430 aa overlap); AAK78409|CAC0429 glycerol-3-phosphate ABC-transporter periplasmic component from Clostridium acetobutylicum (447 aa), FASTA scores: opt: 305, E(): 4.5e-11, (27.15% identity in 438 aa overlap); P10904|UGPB_ECOLI|B3453 glycerol-3-phosphate-binding periplasmic protein precursor from Escherichia coli strain K12 (438 aa); etc. Contains signal sequence and appropriately positioned prokaryotic lipoprotein attachment site (PS00013).</t>
  </si>
  <si>
    <t>ugpE</t>
  </si>
  <si>
    <t>Rv2834c</t>
  </si>
  <si>
    <t>Involved in active transport of Sn-glycerol-3-phosphate across the membrane (import). Responsible for the translocation of the substrate across the membrane.</t>
  </si>
  <si>
    <t>Probable Sn-glycerol-3-phosphate transport integral membrane protein ABC transporter UgpE</t>
  </si>
  <si>
    <t>Rv2834c, (MTCY16B7.08), len: 275 aa. Probable ugpE, Sn-glycerol-3-phosphate transport integral membrane protein ABC transporter (see citation below), similar to various permeases e.g. Q9KDY3|BH1078 glycerol-3-phosphate ABC transporter from Bacillus halodurans (270 aa), FASTA scores: opt: 620, E(): 4.3e-32, (34.7% identity in 268 aa overlap); Q9X0K6|TM1122 glycerol-3-phosphate ABC transporter permease protein from Thermotoga maritima (276 aa), FASTA scores: opt: 605, E(): 3.9e-31, (32.5% identity in 274 aa overlap); AAG58557|UGPE SN-glycerol 3-phosphate transport system (integral membrane protein) from Escherichia coli strain O157:H7 and EDL933 (281 aa), FASTA scores: opt: 574, E(): 3.7e-29, (32.95% identity in 264 aa overlap); P10906|UGPE_ECOLI|B3451 SN-glycerol-3-phosphate transport system permease protein from Escherichia coli strain K12 (281 aa), FASTA scores: opt: 569, E(): 7.6e-29, (32.6% identity in 264 aa overlap); etc. Contains PS00402 Binding-protein-dependent transport systems inner membrane comp signature.</t>
  </si>
  <si>
    <t>ugpA</t>
  </si>
  <si>
    <t>Rv2835c</t>
  </si>
  <si>
    <t>Probable Sn-glycerol-3-phosphate transport integral membrane protein ABC transporter UgpA</t>
  </si>
  <si>
    <t>Rv2835c, (MTCY1B7.07), len: 303 aa. Probable ugpA, Sn-glycerol-3-phosphate transport integral membrane protein ABC transporter (see citation below), similar to various permeases e.g. Q9RK71|SCF11.19 probable sugar transporter inner membrane protein from Streptomyces coelicolor (316 aa), FASTA scores: opt: 643, E(): 3.1e-35, (38.85% identity in 291 aa overlap); Q9KDY4|BH1077 glycerol-3-phosphate ABC transporter (permease) from Bacillus halodurans (315 aa), FASTA scores: opt: 548, E(): 6.2e-29, (31.5% identity in 295 aa overlap); AAK78407|CAC0427 glycerol-3-phosphate ABC-transporter, permease component from Clostridium acetobutylicum (304 aa), FASTA scores: opt: 538, E(): 2.8e-28, (29.1% identity in 292 aa overlap); etc. Contains PS00062 Aldo/keto reductase family signature 2, and PS00402 Binding-protein-dependent transport systems inner membrane comp signature.</t>
  </si>
  <si>
    <t>Function unknown; induction by DNA damage.</t>
  </si>
  <si>
    <t>Possible DNA-damage-inducible protein F DinF</t>
  </si>
  <si>
    <t>Rv2836c, (MTCY16B7.06), len: 439 aa. Possible dinF, DNA-damage-inducible protein F, integral membrane protein, similar to others e.g. BAB38450|ECS5027|AAG59243 from Escherichia coli strain O157:H7 (459 aa), FASTA scores: opt: 501, E(): 2.7e-21, (29.55% identity in 443 aa overlap); P28303|DINF_ECOLI|B4044 from Escherichia coli strain K12 (459 aa), FASTA scores: opt: 491, E(): 1e-20, (29.35% identity in 443 aa overlap); Q98B90|MLR5680 from Rhizobium loti (Mesorhizobium loti) (471 aa), FASTA scores: opt: 466, E(): 2.7e-19, (30.7% identity in 433 aa overlap); etc. But also similar or highly similar to other hypothetical proteins e.g. Q9X8U6|SCH24.32c hypothetical 46.3 KDA protein from Streptomyces coelicolor (448 aa), FASTA scores: opt: 981, E(): 1.1e-48, (42.35% identity in 437 aa overlap). Contains PS00213 Lipocalin signature.</t>
  </si>
  <si>
    <t>Rv2837c, (MTCY16B7.05), len: 336 aa. Conserved protein, showing some similarity with other proteins e.g. O67552|AQ_1630 hypothetical 36.2 KDA protein from Aquifex aeolicus (325 aa), FASTA scores: opt: 498, E(): 3.6e-25, (32.8% identity in 314 aa overlap); Q9X1T1|TM1595 conserved hypothetical protein from Thermotoga maritima (333 aa), FASTA scores: opt: 482, E(): 4.1e-24, (34.85% identity in 304 aa overlap); Q9RW43|DR0826 conserved hypothetical protein from Deinococcus radiodurans (338 aa), FASTA scores: opt: 444, E(): 1.3e-21, (33.85% identity in 331 aa overlap); etc. Equivalent to AAK47229 from Mycobacterium tuberculosis strain CDC1551 (316 aa) but longer 20 aa.</t>
  </si>
  <si>
    <t>Associates with free 30S ribosomal subunits (but not with 30S subunits that are part of 70S ribosomes or polysomes). Essential for efficient processing of 16S rRNA. May interact with the 5'terminal helix region of 16S SRNA.</t>
  </si>
  <si>
    <t>Probable ribosome-binding factor a RbfA (P15B protein)</t>
  </si>
  <si>
    <t>Rv2838c, (MTCY16B7.04), len: 183 aa. Probable rbfA, ribosome-binding factor A, equivalent to Q9Z5I8|RBFA_MYCLE|ML1555|MLCB596.15 probable ribosome-binding factor a from Mycobacterium leprae (164 aa), FASTA scores: opt: 739, E(): 1.8e-40, (75.6% identity in 160 aa overlap). Also highly similar or similar to others e.g. Q9Z527|RBFA_STRCO|SC9F2.08c from Streptomyces coelicolor (160 aa), FASTA scores: opt: 425, E(): 2.8e-20, (50.35% identity in 141 aa overlap); P32731|RBFA_BACSU from Bacillus subtilis (117 aa), FASTA scores: opt: 199, E(): 7.8e-06, (32.4% identity in 108 aa overlap); P09170|RBFA_ECOLI|P15B|B3167 from Escherichia coli strain K12 (132 aa), FASTA scores: opt: 166, E(): 0.0011, (29.65% identity in 118 aa overlap); etc. Belongs to the RBFA family. Note that appears to be longer in C-terminus than other RbfA proteins.</t>
  </si>
  <si>
    <t>If-2, one of the essential components for the initiation of protein synthesis in vitro, protects formylmethionyl-tRNA from spontaneous hydrolysis and promotes its binding to the 30S ribosomal subunits. It is also involved in the hydrolysis of GTP during the formation of the 70S ribosomal complex.</t>
  </si>
  <si>
    <t>Probable translation initiation factor if-2 InfB</t>
  </si>
  <si>
    <t>Rv2839c, (MTCY16B7.03), len: 900 aa. Probable infB, translation initiation factor if-2, highly similar, but in part, to Q9Z5I9|IF2_MYCLE|ML1556|MLCB596.14 translation initiation factor if-2 from Mycobacterium leprae (924 aa), FASTA scores: opt: 4548, E(): 2.4e-132, (83.6% identity in 933 aa overlap). Also similar in part to others e.g. Q9K3E2|SC5H4.30 from Streptomyces coelicolor (835 aa), FASTA scores: opt: 2559, E(): 1.3e-71, (59.9% identity in 833 aa overlap); P17889|IF2_BACSU|INFB from Bacillus subtilis (716 aa), FASTA scores: opt: 1782, E(): 6.6e-48, (46.65% identity in 686 aa overlap); P02995|IF2_ECOLI|INFB|SSYG|B3168|Z4529|ECS4049 from Escherichia coli strains O157:H7 and K12 (890 aa), FASTA scores: opt: 1708, E(): 1.3e-45, (46.2% identity in 662 aa overlap); etc. Contains PS00017 ATP/GTP-binding site motif A (P-loop). Belongs to the if-2 family.</t>
  </si>
  <si>
    <t>Rv2840c, (MTCY16B7.02), len: 99 aa. Conserved hypothetical protein, equivalent to Q9Z5J0|ML1557|MLCB596.13 hypothetical 11.6 KDA protein from Mycobacterium leprae (106 aa), FASTA scores: opt: 501, E(): 2.3e-29, (501% identity in 96 aa overlap). Also highly similar to other hypothetical proteins e.g. Q9KYR0|SC5H4.29 from Streptomyces coelicolor (101 aa), FASTA scores: opt: 256, E(): 1.4e-11, (50.6% identity in 81 aa overlap); Q9APM9 from Myxococcus xanthus (111 aa), FASTA scores: opt: 174, E(): 1.3e-05, (42.25% identity in 97 aa overlap); and similar to to others e.g. N-terminus of CAC41675|SMC02913 from Rhizobium meliloti (Sinorhizobium meliloti) (230 aa), FASTA scores: opt: 172, E(): 3e-05, (42.4% identity in 66 aa overlap). Predicted to be an outer membrane protein (See Song et al., 2008).</t>
  </si>
  <si>
    <t>Could participates in both the termination and antitermination of transcription.</t>
  </si>
  <si>
    <t>Probable N utilization substance protein A NusA</t>
  </si>
  <si>
    <t>Rv2841c, (MTCY24A1.16, MTCY16B7.01), len: 347 aa. Probable nusA, N-utilization substance protein A, equivalent to Q9Z5J1|NUSA|ML1558 probable transcription termination/antitermination factor from Mycobacterium leprae (347 aa), FASTA scores: opt: 2054, E(): 5.4e-120, (91.95% identity in 347 aa overlap). Also highly similar to others e.g. Q9KYR1|SC5H4.28 putative transcriptional termination/antitermination factor from Streptomyces coelicolor (340 aa), FASTA scores: opt: 1346, E(): 4.3e-76, (63.35% identity in 341 aa overlap); P32727|NUSA_BACSU N utilization substance protein A (371 aa), FASTA scores: opt: 847, E(): 4.1e-45, (43.95% identity in 346 aa overlap); Q9KA74|NUSA|BH2416 transcriptional terminator from Bacillus halodurans (382 aa), FASTA scores: opt: 846, E(): 4.8e-45, (43.15% identity in 373 aa overlap); etc. Belongs to the NUSA family.</t>
  </si>
  <si>
    <t>Rv2842c, (MTCY24A1.15), len: 183 aa. Conserved protein, similar to Q9Z5J2|MLCB596.11 hypothetical 13.7 KDA protein from Mycobacterium leprae (122 aa), FASTA scores: opt: 192, E(): 2.1e-12, (50.0% identity in 128 aa overlap) (N-terminus shorter). Also similar in part to several hypothetical proteins e.g. Q9KYR2|SC5H4.27 hypothetical 19.8 KDA protein from Streptomyces coelicolor (177 aa), FASTA scores: opt: 288, E(): 2.1e-12, (37.15% identity in 148 aa overlap); O66619|Y260_AQUAE|AQ_260 hypothetical protein from Aquifex aeolicus (158 aa), FASTA scores: opt: 230, E(): 1.7e-08, (31.35% identity in 153 aa overlap); Q9KU82|VC0641 hypothetical protein from Vibrio cholerae (151 aa), FASTA scores: opt: 198, E(): 2.5e-06, (30.9% identity in 152 aa overlap); etc.</t>
  </si>
  <si>
    <t>Probable conserved transmembrane alanine rich protein</t>
  </si>
  <si>
    <t>Rv2843, (MTCY24A1.14c), len: 181 aa. Probable conserved transmembrane ala-rich protein, equivalent to Q9Z5J3|ML1560|MLCB596.10c hypothetical 17.5 KDA protein from Mycobacterium leprae (178 aa), FASTA scores: opt: 707, E(): 1.4e-32, (70.25% identity in 168 aa overlap). A core mycobacterial gene; conserved in mycobacterial strains (See Marmiesse et al., 2004).</t>
  </si>
  <si>
    <t>Rv2844, (MTCY24A1.13c), len: 162 aa. Conserved ala-rich protein, equivalent to Q9Z5J4|ML1561|MLCB596.09c hypothetical 17.5 KDA protein from Mycobacterium leprae (165 aa), FASTA scores: opt: 771, E(): 4.9e-46, (71.5% identity in 165 aa overlap). Also similar to Q9KYR4|SC5H4.25c hypothetical 16.8 KDA protein from Streptomyces coelicolor (167 aa), FASTA scores: opt: 242, E(): 1.6e-09, (38.9% identity in 144 aa overlap).</t>
  </si>
  <si>
    <t>Involved in translation mechanism [catalytic activity: ATP + L-proline + tRNA(pro) = AMP + pyrophosphate + L-prolyl-tRNA(pro)].</t>
  </si>
  <si>
    <t>Probable prolyl-tRNA synthetase ProS (proline--tRNA ligase) (PRORS) (global RNA synthesis factor) (proline translase)</t>
  </si>
  <si>
    <t>Rv2845c, (MTCY24A1.12), len: 582 aa. Probable proS, prolyl-tRNA synthetase, highly similar to others e.g. Q9KYR6|SYP_STRCO|pros|SC5H4.23 from Streptomyces coelicolor (567 aa), FASTA scores: opt: 1161, E(): 9e-64, (57.15% identity in 574 aa overlap); P56124|SYP_HELPY|pros|HP0238 from Helicobacter pylori (Campylobacter pylori) (577 aa), FASTA scores: opt: 1082, E(): 6.6e-59, (37.8% identity in 553 aa overlap); P16659|SYP_ECOLI|pros|DRPA|B0194 from Escherichia coli strain K12 (572 aa), FASTA scores: opt: 926, E(): 2.6e-49, (39.85% identity in 587 aa overlap); etc. Contains PS00179 Aminoacyl-transfer RNA synthetases class-II signature 1. Belongs to class-II aminoacyl-tRNA synthetase family.</t>
  </si>
  <si>
    <t>Thought to be involved in transport of undetermined substrate (possibly drug) across the membrane (export): so responsible for the translocation of the substrate across the membrane.</t>
  </si>
  <si>
    <t>Possible integral membrane efflux protein EfpA</t>
  </si>
  <si>
    <t>Rv2846c, (MTCY24A1.11), len: 530 aa. Possible efpA, integral membrane efflux protein, member of major facilitator superfamily (MFS) possibly involved in transport of drug (see citations below), equivalent to Q9Z5J5|ML1562|MLCB596.08 putative transmembrane efflux protein from Mycobacterium leprae (534 aa), FASTA scores: opt: 2881, E(): 4.1e-160, (86.55% identity in 535 aa overlap). Also highly similar to several membrane proteins e.g. O69986|SC4H2.31c transmembrane efflux protein (515 aa), FASTA scores: opt: 1063, E(): 2.2e-54, (39.65% identity in 406 aa overlap); Q9FBQ5|SCD86A.02c putative transport integral membrane protein from Streptomyces coelicolor (503 aa), FASTA scores: opt: 918, E(): 5.8e-46, (33.7% identity in 469 aa overlap); Q9KYU0|SCE22.23c putative transmembrane efflux protein from Streptomyces coelicolor (514 aa), FASTA scores: opt: 888, E(): 3.3e-44, (32.85% identity in 469 aa overlap); etc.</t>
  </si>
  <si>
    <t>Involved in the biosynthesis of siroheme and cobalamin [catalytic activity: 2 S-adenosyl-L-methionine + uroporphyrin III = 2 S-adenosyl-L-homocysteine + sirohydrochlorin]. SAM-dependent methyl transferase that methylates uroporphyrinogen III at position C-2 and C-7 to form precorrin-2 and then position C-12 or C-18 to form trimethylpyrrocorphin 2. It catalyzes also the conversion of precorrin-2 into siroheme (consisting of an oxidation and FE(2+) chelation).</t>
  </si>
  <si>
    <t>Possible multifunctional enzyme siroheme synthase CysG: uroporphyrin-III C-methyltransferase (urogen III methylase) (SUMT) (uroporphyrinogen III methylase) (UROM) + precorrin-2 oxidase + ferrochelatase</t>
  </si>
  <si>
    <t>Rv2847c, (MTCY24A1.10), len: 405 aa. Possible cysG, multifunctional enzyme, siroheme synthase containing uroporphyrin-III c-methyltransferase, precorrin-2 oxidase and ferrochelatase. C-terminus highly similar to many uroporphyrin-III c-methyltransferases e.g. Q51720|COBA uroporphyrinogen III methyltransferase from Propionibacterium freudenreichii (257 aa), FASTA scores: opt: 776, E(): 1.5e-39, (48.95% identity in 243 aa overlap); Q9HMY4|UROM|VNG2331G S-adenosyl-L-methionine:uroporphyrinogen III methyltransferase from Halobacterium sp. strain NRC-1 (246 aa), FASTA scores: opt: 704, E(): 3.1e-35, (49.4% identity in 245 aa overlap); P42437|NASF_BACSU|NASBE uroporphyrin-III C-methyltransferase from Bacillus subtilis (483 aa), FASTA scores: opt: 610, E(): 2.4e-29, (42.1% identity in 240 aa overlap); etc. And highly similar over entire length to other proteins e.g. Q9L1C9|SCL11.09c uroporphyrinogen III methyltransferase from Streptomyces coelicolor (410 aa), FASTA scores: opt: 1481, E(): 5.6e-82, (58.45% identity in 409 aa overlap); Q9I0M7|CYSG|PA2611 siroheme synthase from Pseudomonas aeruginosa (465 aa), FASTA scores: opt: 609, E(): 2.7e-29, (34.7% identity in 444 aa overlap); P11098|CYSG_ECOLI|B3368|Z4729|ECS4219 siroheme synthase from Escherichia coli stains O157:H7 and K12 (457 aa), FASTA scores: opt: 543, E(): 9.1e-27, (31.3% identity in 450 aa overlap); etc. Belongs to a family that groups SUMT, CYSG, CBIF/COBM and CBIL/COBI. Note that previously known as cysG2.</t>
  </si>
  <si>
    <t>Involved in the cobalamin biosynthesis. Responsible for the amidation of carboxylic groups at position a and C of either cobyrinic acid or hydrogenobrynic acid. NH(2) groups are provided by glutamine, and one molecule of ATP is hydrogenolyzed for each amidation.</t>
  </si>
  <si>
    <t>Probable cobyrinic acid A,C-diamide synthase CobB</t>
  </si>
  <si>
    <t>Rv2848c, (MTCY24A1.09), len: 457 aa. Probable cobB, cobyrinic acid A,C-diamide synthase, highly similar to others e.g. O27509|COBB_METTH|MTH1460 from Methanobacterium thermoautotrophicum (447 aa), FASTA scores: opt: 980, E(): 1.3e-49, (39.65% identity in 454 aa overlap); Q9KBM8|BH1898 from Bacillus halodurans (465 aa), FASTA scores: opt: 928, E(): 1.4e-46, (37.0% identity in 457 aa overlap); O68108|COBB_RHOCA from Rhodobacter capsulatus (Rhodopseudomonas capsulata) (435 aa), FASTA scores: opt: 921, E(): 3.3e-46, (39.35% identity in 437 aa overlap); etc. Belongs to the COBB/COBQ family, COBB subfamily.</t>
  </si>
  <si>
    <t>Involved in cobalamin biosynthesis; transforms cobyrinic acid into cobinamide [catalytic activity: ATP + cob(I)alamin + H(2)O = orthophosphate + pyrophosphate + adenosylcobalamin].</t>
  </si>
  <si>
    <t>Probable cob(I)alamin adenosyltransferase CobO (corrinoid adenosyltransferase) (corrinoid adotransferase activity)</t>
  </si>
  <si>
    <t>Rv2849c, (MTCY24A1.08), len: 207 aa. Probable cobO, cob(I)alamin adenosyltransferase, highly similar to Q9RJ17|COBO from Streptomyces coelicolor (199 aa), FASTA scores: opt: 918, E(): 1.1e-55, (64.75% identity in 207 aa overlap); and similar to others e.g. O30785|COBO from Rhodobacter capsulatus (Rhodopseudomonas capsulata) (212 aa), FASTA scores: opt: 329, E(): 2.8e-15, (44.3% identity in 185 aa overlap); P29930|COBO_PSEDE from Pseudomonas denitrificans (213 aa), FASTA scores: opt: 280, E(): 6.5e-12, (38.9% identity in 185 aa overlap); P31570|BTUR_SALTY|COBA from Salmonella typhimurium (196 aa), FASTA scores: opt: 278, E(): 8.4e-12, (39.8% identity in 196 aa overlap); etc. Cofactor: manganese. Note that previously known as cobA.</t>
  </si>
  <si>
    <t>Function unknown; possibly introduces a magnesium ion into specific substrate/compound.</t>
  </si>
  <si>
    <t>Rv2850c, (MTCY24A1.07), len: 629 aa. Possible magnesium-chelatase, highly similar (but with gaps) to magnesium-chelatases from notably photosynthetic organisms involved in chlorophyll biosynthesis e.g. Q9RJ18|SCI8.35c putative chelatase from Streptomyces coelicolor (672 aa), FASTA scores: opt: 1941, E(): 2.1e-85, (54.65% identity in 675 aa overlap); Q9HZQ5|PA2942 probable magnesium chelatase from Pseudomonas aeruginosa (338 aa), FASTA scores: opt: 991, E(): 2.7e-40, (49.45% identity in 368 aa overlap); O33549|BCHI mg protoporphyrin IX chelatase subunit from Rhodobacter sphaeroides (Rhodopseudomonas sphaeroides) (334 aa), FASTA scores: opt: 833, E(): 9.4e-33, (50.65% identity in 318 aa overlap); O30819|BCHI_RHOSH magnesium-chelatase 38 KDA subunit from Rhodobacter sphaeroides (Rhodopseudomonas sphaeroides) (334 aa), FASTA scores: opt: 828, E(): 1.6e-32, (50.3% identity in 318 aa overlap); etc. Equivalent to AAK47242 from Mycobacterium tuberculosis strain CDC1551 (610 aa) but longer 19 aa. COULB belong to the mg-chelatase subunits D/I family.</t>
  </si>
  <si>
    <t>Rv2851c, (MTCY24A1.06), len: 156 aa. Probable acetyltransferase. Contains GNAT (Gcn5-related N-acetyltransferase) domain. See Vetting et al. 2005. Similar to others e.g. Q9KP14|VC2565 ELAA protein from Vibrio cholerae (149 aa), FASTA scores: opt: 360, E(): 1e-18, (46.05% identity in 139 aa overlap); Q9I717|PA0115 hypothetical protein from Pseudomonas aeruginosa (150 aa), FASTA scores: opt: 341, E(): 2.4e-17, (43.65% identity in 142 aa overlap); Q9K8M4|BH2982 hypothetical protein from Bacillus halodurans (155 aa), FASTA scores: opt: 320, E(): 8e-16, (40.85% identity in 142 aa overlap); P52077|ELAA_ECOLI|B2267 protein ELAA from Escherichia coli strain K12 (153 aa), FASTA scores: opt: 269, E(): 3.8e-12, (35.7% identity in 140 aa overlap); etc.</t>
  </si>
  <si>
    <t>Involved in tricarboxylic acid cycle [catalytic activity: (S)-malate + acceptor = oxaloacetate + reduced acceptor].</t>
  </si>
  <si>
    <t>Probable malate:quinone oxidoreductase Mqo (malate dehydrogenase [acceptor])</t>
  </si>
  <si>
    <t>Rv2852c, (MT2918, MTCY24A1.05), len: 493 aa. Probable mqo, malate:quinone oxidoreductase, highly similar to others e.g. O69282|MQO_CORGL from Corynebacterium glutamicum (Brevibacterium flavum) (499 aa), FASTA scores: opt: 1701, E(): 1.2e-101, (50.7% identity in 495 aa overlap); Q9Z9Q7|BH3960 from Bacillus halodurans (500 aa), FASTA scores: opt: 1632, E(): 3.3e-97, (48.55% identity in 486 aa overlap); Q9HYF4|MQOA|PA3452 from Pseudomonas aeruginosa (523 aa), FASTA scores: opt: 1604, E(): 2.1e-95, (49.1% identity in 487 aa overlap) (N-terminus longer); P33940|MQO_ECOLI|B2210 from Escherichia coli strain K12 (548 aa), FASTA scores: opt: 1525, E(): 2.7e-90, (48.15% identity in 492 aa overlap); etc. Belongs to the MQO family. Cofactors: FAD.</t>
  </si>
  <si>
    <t>PE-PGRS family protein PE_PGRS48</t>
  </si>
  <si>
    <t>Rv2853, (MTCY24A1.04c), len: 615 aa. PE_PGRS48, Member of the Mycobacterium tuberculosis PE family, PGRS subfamily of gly-rich proteins (see citation below), highly similar to many e.g. O53884|Rv0872c|MTV043.65c from Mycobacterium tuberculosis (606 aa), FASTA scores: opt: 1405, E(): 1.4e-97, (64.6% identity in 619 aa overlap). Equivalent to AAK47245 from Mycobacterium tuberculosis strain CDC1551 (663 aa) but shorter 48 aa.</t>
  </si>
  <si>
    <t>Rv2854, (MTCY24A1.03c), len: 346 aa. Unknown protein, showing similarity with Q9CD03|ML2603 hypothetical protein from Mycobacterium leprae (279 aa), FASTA scores: opt: 154, E(): 0.0083, (33.35% identity in 87 aa overlap).</t>
  </si>
  <si>
    <t>Involved in reduction of mycothiol.</t>
  </si>
  <si>
    <t>NADPH-dependent mycothiol reductase Mtr</t>
  </si>
  <si>
    <t>Rv2855, (MTCY24A1.02c), len: 459 aa. Mtr, NADPH-dependent mycothiol reductase, proven enzymatically but previously described as glutathione reductase homolog (gene name: gorA) (see citation below). Similar to others e.g. Q9L7K8|MERA mercuric reductase from Streptomyces sp. CHR28 (474 aa), FASTA scores: opt: 719, E(): 9e-38, (35.2% identity in 460 aa overlap); P30341|MERA_STRLI mercuric reductase from Streptomyces lividans (474 aa), FASTA scores: opt: 712, E(): 2.5e-37, (34.95% identity in 455 aa overlap); Q98ED5|MLL4296 ferric leghemoglobin reductase-2 precursor, dihydrolipoamide dehydrogenase from Rhizobium loti (Mesorhizobium loti) (468 aa), FASTA scores: opt: 670, E(): 1.1e-34, (30.8% identity in 471 aa overlap); etc. Belongs to the pyridine nucleotide-disulphide oxidoreductases class-I. Cofactor: FAD.</t>
  </si>
  <si>
    <t>Seems involved in nickel incorporation. Thought to be involved in transport of nickel across the membrane. Responsible for the translocation of the substrate across the membrane.</t>
  </si>
  <si>
    <t>Possible nickel-transport integral membrane protein NicT</t>
  </si>
  <si>
    <t>Rv2856, (MTCY24A1.01c), len: 372 aa. Possible nicT, nickel-transport integral membrane protein, similar to transport proteins and hydrogenase cluster proteins e.g. BAB58860|SAV2698 hypothetical 37.9 KDA protein from Staphylococcus aureus subsp. aureus Mu50 (338 aa), FASTA scores: opt: 1082, E(): 7.1e-60, (48.05% identity in 335 aa overlap); Q97ZB2|HOXN high-affinity nickel-transport protein from Sulfolobus solfataricus (373 aa), FASTA scores: opt: 922, E(): 6.6e-50, (42.2% identity in 372 aa overlap); P23516|HOXN_ALCEU high-affinity nickel transport protein (integral membrane protein) from Alcaligenes eutrophus (Ralstonia eutropha) (351 aa), FASTA scores: opt: 904, E(): 8.3e-49, (41.9% identity in 339 aa overlap); Q45247|HUPN_BRAJA hydrogenase nickel incorporation protein from Bradyrhizobium japonicum (381 aa), FASTA scores: opt: 853, E(): 1.3e-45, (41.65% identity in 329 aa overlap); etc. Seems to belong to the HOXN/HUPN/NIXA family of nickel transporters (NiCoT family).</t>
  </si>
  <si>
    <t>Rv2857c, (MTV003.03c), len: 258 aa. Probable short-chain dehydrogenase/reductase, highly similar to various dehydrogenases e.g. O88068|SCI35.33c probable dehydrogenase (SDR family) from Streptomyces coelicolor (260 aa), FASTA scores: opt: 1208, E(): 2e-68, (72.35% identity in 253 aa overlap); Q9I376|PA1649 from Pseudomonas aeruginosa probable short-chain dehydrogenase (253 aa), FASTA scores: opt: 569, E(): 2.1e-28, (39.2% identity in 255 aa overlap); Q9EX74|MLHA SDR-like enzyme from Rhodococcus erythropolis (246 aa), FASTA scores: opt: 567, E(): 2.8e-28, (41.15% identity in 248 aa overlap); etc. Also similar to many Mycobacterium tuberculosis dehydrogenases e.g. FABG3|Rv2002|MT2058|MTCY39.16c putative oxidoreductase (260 aa), FASTA score: (38.3% identity in 248 aa overlap). Belongs to the short-chain dehydrogenases/reductases (SDR) family.</t>
  </si>
  <si>
    <t>Oxidizes a wide variety of aldehydes [catalytic activity: aldehyde + NAD(+) + H(2)O = acid + NADH].</t>
  </si>
  <si>
    <t>Probable aldehyde dehydrogenase AldC</t>
  </si>
  <si>
    <t>Rv2858c, (MTV003.04c), len: 455 aa. Probable aldC, aldehyde dehydrogenase, similar to many e.g. O88069|SCI35.34c putative aldehyde dehydrogenase from Streptomyces coelicolor (483 aa), FASTA scores: opt: 1872, E(): 6.4e-109, (64.5% identity in 448 aa overlap); Q9FAB1|ALDH|BT-ALDH aldehyde dehydrogenase from Bacillus thermoleovorans (497 aa), FASTA scores: opt: 1157, E(): 2.1e-64, (44.3% identity in 458 aa overlap); O33455|CYMC P-CUMIC aldehyde dehydrogenase from Pseudomonas putida (494 aa), FASTA scores: opt: 1149, E(): 6.5e-64, (43.15% identity in 452 aa overlap); P40047|DHA5_YEAST|ALD5|ALDH5|ALD3|YER073W aldehyde dehydrogenase from Saccharomyces cerevisiae (Baker's yeast) (519 aa), FASTA scores: opt: 1091, E(): 2.7e-60, (38.55% identity in 459 aa overlap); P80668|FEAB_ECOLI|PADA|MAOB|B1385 phenylacetaldehyde dehydrogenase from Escherichia coli strain K12 (499 aa), FASTA scores: opt: 1074, E(): 3e-59, (42.2% identity in 462 aa overlap); etc. Also similar to many M. tuberculosis dehydrogenases e.g. P71823|Rv0768|MTCY369.13 (489 aa), FASTA score: (38.1% identity in 467 aa overlap). Contains PS00687 Aldehyde dehydrogenases glutamic acid active site and PS00070 Aldehyde dehydrogenases cysteine active site. Belongs to the aldehyde dehydrogenases family.</t>
  </si>
  <si>
    <t>Possible amidotransferase</t>
  </si>
  <si>
    <t>Rv2859c, (MTV003.05c), len: 308 aa. Possible amidotransferase, equivalent (but longer 58 aa) to Q9CBU9|ML1573 possible amidotransferase from Mycobacterium leprae (249 aa), FASTA scores: opt: 1226, E(): 3e-64, (71.55% identity in 239 aa overlap). Also similar to other amidotransferases and hypothetical proteins, but shorter in N-terminus e.g. O88072|SCI35.37 hypothetical 25.3 KDA protein from Streptomyces coelicolor (242 aa), FASTA scores: opt: 683, E(): 1.2e-32, (47.65% identity in 235 aa overlap); AAK79730|Q97I88|CAC1764 predicted glutamine amidotransferase from Clostridium acetobutylicum (241 aa), FASTA scores: opt: 458, E(): 1.6e-19, (32.95% identity in 246 aa overlap); AAK75201|Q97QV9|SP1089 glutamine amidotransferase class I from Streptococcus pneumoniae (229 aa), FASTA scores: opt: 431, E(): 5.6e-18, (34.75% identity in 236 aa overlap); etc. Contains three 17 aa repeats at the N-terminus very similar to those in other Mycobacterium tuberculosis proteins e.g. Q10699|YY30_MYCTU|Rv2090|MT2151|MTCY49.30 putative 5'-3' exonuclease RV2090.</t>
  </si>
  <si>
    <t>Probable glutamine synthetase GlnA4 (glutamine synthase) (GS-II)</t>
  </si>
  <si>
    <t>Rv2860c, (MTV003.06c), len: 457 aa. Probable glnA4, glutamine synthetase class II, similar to many glutamine synthases e.g. O88070|SCI35.35c from Streptomyces coelicolor (462 aa), FASTA scores: opt: 1947, E(): 8.2e-120, (64.15% identity in 452 aa overlap); Q98H15|MLL3074 from Rhizobium loti (Mesorhizobium loti) (465 aa), FASTA scores: opt: 1321, E(): 7.8e-79, (46.7% identity in 452 aa overlap); Q98EM0|MLL4187 from Rhizobium loti (Mesorhizobium loti) (456 aa), FASTA scores: opt: 698, E(): 4.6e-38, (33.5% identity in 454 aa overlap); Q9CDL9|GLNA from Lactococcus lactis (subsp. lactis) (Streptococcus lactis) (446 aa), FASTA scores: opt: 633, E(): 8.2e-34, (32.45% identity in 456 aa overlap); etc. Also similar to three other potential glutamine synthases in Mycobacterium tuberculosis: Q10378|GLN2_MYCTU|GLNA2|Rv2222c|MT2280|MTCY190.33c|MTCY427.03c probable glutamine synthetase (446 aa), FASTA score: (31.1% identity in 453 aa overlap); Rv1878|glnA3 and Rv2220|glnA1. Belongs to the glutamine synthetase family.</t>
  </si>
  <si>
    <t>Removes the amino-terminal methionine from nascent proteins [catalytic activity: L-methionylpeptide + H(2)O = L-methionine + peptide].</t>
  </si>
  <si>
    <t>Methionine aminopeptidase MapB (map) (peptidase M)</t>
  </si>
  <si>
    <t>Rv2861c, (MT2929, MTV003.07c), len: 285 aa. mapB (alternate gene name: map), methionine aminopeptidase, equivalent to Q9CBU7|MAPB|ML1576 methionine aminopeptidase from Mycobacterium leprae (285 aa), FASTA scores: opt: 1729, E(): 1e-99, (89.75% identity in 283 aa overlap). Also highly similar to many e.g. Q9RKR2|MAP3 from Streptomyces coelicolor (285 aa), FASTA scores: opt: 1385, E(): 2e-78, (70.65% identity in 283 aa overlap); Q9SW64|C7A10.320|AT4G37040 from Arabidopsis thaliana (Mouse-ear cress) (305 aa), FASTA scores: opt: 914, E(): 3e-49, (50.35% identity in 286 aa overlap); P07906|AMPM_ECOLI|map|B0168|Z0178|ECS0170 from Escherichia coli strains K12 and O157:H7 (264 aa), FASTA scores: opt: 793, E(): 8.5e-42, (51.0% identity in 245 aa overlap); etc. Belongs to peptidase family M24A; also known as the map family 1. Cofactor: cobalt; binds 2 ions per subunit. Note that this gene has an N-terminal extension present in the human map, but not in the prokaryotic map's. An alternative start, with RBS, will give a protein equivalent to the shorter prokaryotic map's. Conserved in M. tuberculosis, M. leprae, M. bovis and M. avium paratuberculosis; predicted to be essential for in vivo survival and pathogenicity (See Ribeiro-Guimaraes and Pessolani, 2007).</t>
  </si>
  <si>
    <t>vapB23</t>
  </si>
  <si>
    <t>Rv2862A</t>
  </si>
  <si>
    <t>Possible antitoxin VapB23</t>
  </si>
  <si>
    <t>Rv2862A, len: 82 aa. Possible vapB23, antitoxin, part of toxin-antitoxin (TA) operon with Rv2863 (See Pandey and Gerdes, 2005).</t>
  </si>
  <si>
    <t>Rv2862c, (MTV003.08), len: 194 aa. Conserved hypothetical protein, showing some similarity with others e.g. Q9X8X5|SCH35.31c hypothetical 19.6 KDA protein from Streptomyces coelicolor (180 aa), FASTA scores: opt: 266, E(): 2.2e-11, (34.65% identity in 179 aa overlap); Q9Z5H1|ML0169|MLCB373.19 hypothetical 22.1 KDA protein from Mycobacterium leprae (200 aa), FASTA scores: opt: 195, E(): 2.3e-06, (30.15% identity in 189 aa overlap); etc. Also some similarity to P71544|Y966_MYCTU|Rv0966c|MT0994|MTCY10D7.08 conserved hypothetical protein from Mycobacterium tuberculosis (230 aa), FASTA scores: opt: 209, E(): 2.6e-07, (31.5% identity in 184 aa overlap).</t>
  </si>
  <si>
    <t>vapC23</t>
  </si>
  <si>
    <t>Rv2863</t>
  </si>
  <si>
    <t>Possible toxin VapC23</t>
  </si>
  <si>
    <t>Rv2863, (MTV003.09), len: 126 aa. Possible vapC23, toxin, part of toxin-antitoxin (TA) operon with Rv2862A, contains PIN domain (See Arcus et al., 2005; Pandey and Gerdes, 2005). Similar to others in Mycobacterium tuberculosis e.g. Q50595|YI38_MYCTU|Rv1838c|MT1886|MTCY1A11.05|MTCY359.35 conserved hypothetical protein (131 aa), FASTA scores: opt: 299, E(): 6.5e-15, (39.0% identity in 123 aa overlap).</t>
  </si>
  <si>
    <t>Possible penicillin-binding lipoprotein</t>
  </si>
  <si>
    <t>Rv2864c, (MTV003.10c), len: 603 aa. Possible penicillin-binding lipoprotein, probably located in periplasm, equivalent to Q9CBU6|ML1577 probable penicillin binding protein from Mycobacterium leprae (608 aa), FASTA scores: opt: 3352, E(): 2.1e-193, (81.5% identity in 606 aa overlap). Also shows some similarity to others e.g. P72405|PCBR from Streptomyces clavuligerus (551 aa), FASTA scores: opt: 543, E(): 6.1e-25, (28.4% identity in 567 aa overlap); Q9F2L0|SCH63.18c from Streptomyces coelicolor (546 aa), FASTA scores: opt: 519, E(): 1.7e-23, (29.3% identity in 577 aa overlap); Q9RKD1|SCE87.07 from Streptomyces coelicolor (541 aa), FASTA scores: opt: 472, E(): 1.1e-20, (34.3% identity in 318 aa overlap); etc. Equivalent to AAK47258 from Mycobacterium tuberculosis strain CDC1551 (618 aa) but shorter 15 aa. Contains signal sequence and appropriately positioned PS00013 Prokaryotic membrane lipoprotein lipid attachment site, and PS00017 ATP/GTP-binding site motif A (P-loop).</t>
  </si>
  <si>
    <t>relF</t>
  </si>
  <si>
    <t>Rv2865</t>
  </si>
  <si>
    <t>Antitoxin RelF</t>
  </si>
  <si>
    <t>Rv2865, (MTV003.11), len: 93 aa. RelF, antitoxin, part of toxin-antitoxin (TA) operon with Rv2866 (See Pandey and Gerdes, 2005), showing weak similarity with P58235|YR54_SYNY3|SSR2754 hypothetical 9.7 KDA protein from Synechocystis sp. strain PCC 6803 (87 aa), FASTA scores: opt: 134, E(): 0.007, (30.65% identity in 75 aa overlap); BAB58570|SAV2408 conserved hypothetical protein from Staphylococcus aureus subsp. aureus Mu50 (83 aa), FASTA scores: opt: 124, E(): 0.037, (27.5% identity in 80 aa overlap). Also similar to Rv1247|MTV006.19c hypothetical 9.8 KDA protein from Mycobacterium tuberculosis (89 aa), FASTA scores: opt: 249, E(): 2.6e-11, (44.2% identity in 86 aa overlap).</t>
  </si>
  <si>
    <t>relG</t>
  </si>
  <si>
    <t>Rv2866</t>
  </si>
  <si>
    <t>Toxin RelG</t>
  </si>
  <si>
    <t>Rv2866, (MTV003.12), len: 87 aa. RelG, toxin, part of toxin-antitoxin (TA) operon with Rv2865 (See Pandey and Gerdes, 2005), similar to O50461|Rv1246c|MTV006.18c conserved hypothetical protein from Mycobacterium tuberculosis (97 aa), FASTA scores: opt: 290, E(): 3.6e-16, (54.1% identity in 85 aa overlap).</t>
  </si>
  <si>
    <t>Rv2867c, (MTV003.13c), len: 284 aa. Probable acetyltransferase. Contains GNAT (Gcn5-related N-acetyltransferase) domain in C-terminal part. See Vetting et al. 2005. Similar to others e.g. Q9KYR8|SC5H4.21 hypothetical 31.3 KDA protein from Streptomyces coelicolor (287 aa), FASTA scores: opt: 798, E(): 2.4e-45, (47.95% identity in 269 aa overlap).</t>
  </si>
  <si>
    <t>gcpE</t>
  </si>
  <si>
    <t>Unknown. GCPE is an essential gene.</t>
  </si>
  <si>
    <t>Probable GcpE protein</t>
  </si>
  <si>
    <t>Rv2868c, (MTV003.14c), len: 387 aa. Probable gcpE protein (protein e), equivalent to Q9CBU5|GCPE|ML1581 hypothetical protein GCPE from Mycobacterium leprae (392 aa), FASTA scores: opt: 2247, E(): 6.8e-134, (87.65% identity in 388 aa overlap). Highly similar to essential gene of unknown function from Escherichia coli and other prokaryotes e.g. Q9X7W2|GCPE_STRCO|SC6A5.16 GCPE protein homolog from Streptomyces coelicolor (384 aa), FASTA scores: opt: 1965, E(): 3.8e-116, (78.2% identity in 385 aa overlap); P54482|GCPE_BACSU GCPE protein homolog from Bacillus subtilis (377 aa), FASTA scores: opt: 1157, E(): 2.6e-65, (49.55% identity in 351 aa overlap); P27433|GCPE_ECOLI|B2515|Z3778|ECS3377 GCPE protein (protein E) from Escherichia coli strains K12 and O157:H7 (372 aa), FASTA scores: opt: 984, E(): 2e-54, (44.15% identity in 360 aa overlap); etc. Belongs to the GCPE family.</t>
  </si>
  <si>
    <t>rip</t>
  </si>
  <si>
    <t>Controls membrane composition</t>
  </si>
  <si>
    <t>Membrane bound metalloprotease</t>
  </si>
  <si>
    <t>Rv2869c, (MTV003.15c), len: 404 aa. Rip, metalloprotease, regulates intramembrane proteolysis and controls membrane composition (rip, see Makinoshima and Glickman, 2005). Similar to site two protease (S2P) in higher eukaryotes. Conserved transmembrane protein, equivalent to Q9CBU4|ML1582 probable integral membrane protein from Mycobacterium leprae (404 aa), FASTA scores: opt: 2250, E(): 1.1e-128, (82.2% identity in 404 aa overlap). Also weakly similar to other membrane proteins or hypothetical proteins e.g. Q9A710|CC1916 putative membrane-associated zinc metalloprotease from Caulobacter crescentus (398 aa), FASTA scores: opt: 368, E(): 7.8e-15, (28.1% identity in 427 aa overlap). Conserved in M. tuberculosis, M. leprae, M. bovis and M. avium paratuberculosis; predicted to be essential for in vivo survival and pathogenicity (See Ribeiro-Guimaraes and Pessolani, 2007). Cleaves PbpB|Rv2163c in a Zn2+ -dependent manner (See Mukherjee et al., 2009). Cleaves proteins RskA|Rv0444c, RslA|Rv0736, and Rv3912, in M. tuberculosis Erdman (See Sklar et al., 2010).</t>
  </si>
  <si>
    <t>Involved in the deoxyxylulose-5-phosphate pathway (DXP) of isoprenoid biosynthesis (at the second step). Catalyzes the NADP-dependent rearrangement and reduction of 1-deoxy-D-xylulose-5-phosphate (DXP) to 2-C-methyl-D- erythritol 4-phosphate (MEP).</t>
  </si>
  <si>
    <t>Probable 1-deoxy-D-xylulose 5-phosphate reductoisomerase Dxr (DXP reductoisomerase) (1-deoxyxylulose-5-phosphate reductoisomerase)</t>
  </si>
  <si>
    <t>Rv2870c, (MTCY274.01c, MTV003.16c), len: 413 aa. Probable dxr, 1-deoxy-D-xylulose 5-phosphate reductoisomerase, equivalent to Q9CBU3|DXR|ML1583 1-deoxy-D-xylulose 5-phosphate reductoisomerase from Mycobacterium leprae (406 aa), FASTA scores: opt: 2145, E(): 1e-124, (84.05% identity in 395 aa overlap). Also highly similar to others e.g. Q9AJD7|DXR from Kitasatospora griseola (Streptomyces griseolosporeus) (386 aa), FASTA scores: opt: 1176, E(): 5.2e-65, (56.45% identity in 388 aa overlap); Q9KYS1|DXR_STRCO|SC5H4.18 from Streptomyces coelicolor (401 aa), FASTA scores: opt: 1079, E(): 5.1e-59, (52.25% identity in 396 aa overlap); P45568|DXR|B0173 from Escherichia coli strain K12 (398 aa), FASTA scores: opt: 120, E(): 0.032, (52.9% identity in 34 aa overlap); etc. Contains PS00133 Zinc carboxypeptidases, zinc-binding region 2 signature. Belongs to the DXR family. N-terminus shortened since first submission.</t>
  </si>
  <si>
    <t>vapB43</t>
  </si>
  <si>
    <t>Possible antitoxin VapB43</t>
  </si>
  <si>
    <t>Rv2871, (MTCY274.02), len: 85 aa. Possible vapB43, antitoxin, part of toxin-antitoxin (TA) operon with Rv2872, see Arcus et al. 2005. Similar to others in Mycobacterium tuberculosis strains H37Rv and CDC1551 e.g. O50456|Rv1241|MTV006.13 (86 aa), FASTA scores: opt: 172, E(): 2.9e-05, (37.2% identity in 86 aa overlap); O53811|Rv0748|MTV041.22 (85 aa), FASTA scores: opt: 170, E(): 4e-05, (35.3% identity in 85 aa overlap); etc. This region is a possible MT-complex-specific genomic island (See Becq et al., 2007).</t>
  </si>
  <si>
    <t>vapC43</t>
  </si>
  <si>
    <t>Possible toxin VapC43. Contains PIN domain.</t>
  </si>
  <si>
    <t>Rv2872, (MTCY274.03), len: 147 aa. Possible vapC43, toxin, part of toxin-antitoxin (TA) operon with Rv2871, contains PIN domain, see Arcus et al. 2005. Similar to others in Mycobacterium tuberculosis strains H37Rv and CDC1551 e.g. O53683|Rv0277c|MTV035.05c (142 aa), FASTA scores: opt: 357, E(): 1.4e-17, (41.45% identity in 140 aa overlap); O53812|Rv0749|MTV041.23 (142 aa), FASTA scores: opt: 350, E(): 4.3e-17, (41.55% identity in 142 aa overlap); etc. This region is a possible MT-complex-specific genomic island (See Becq et al., 2007).</t>
  </si>
  <si>
    <t>mpt83</t>
  </si>
  <si>
    <t>Not really known.</t>
  </si>
  <si>
    <t>Cell surface lipoprotein Mpt83 (lipoprotein P23)</t>
  </si>
  <si>
    <t>Rv2873, (MTCY274.04), len: 220 aa. Mpt83 (alternate gene name: mpb83), cell surface lipoprotein (see citations below). Also similar to upstream ORF Q50769|MP70_MYCTU|MPT70|MPB70|Rv2875|MT2943|MTCY274.06 which is also known as major secreted immunogenic protein MPT70 precursor from Mycobacterium tuberculosis (193 aa), FASTA scores: opt: 806, E(): 2.7e-38, (70.25% identity in 185 aa overlap). Belongs to the MPT70 / MPT83 family. Attached to the membrane by a lipid anchor.</t>
  </si>
  <si>
    <t>Could be involved in cytochrome-C biogenesis.</t>
  </si>
  <si>
    <t>Possible integral membrane C-type cytochrome biogenesis protein DipZ</t>
  </si>
  <si>
    <t>Rv2874, (MT2942, MTCY274.05), len: 695 aa. Possible dipZ, cytochrome c-type biogenesis protein (see citation below), probable integral membrane protein, similar in part to others or hypothetical proteins e.g. CAC48606|SMB20213 conserved hypothetical protein from Rhizobium meliloti (Sinorhizobium meliloti) (627 aa), FASTA scores: opt: 844, E(): 7.3e-43, (32.65% identity in 643 aa overlap); Q9ZMH0|CCDA or JHP0250 putative cytochrome C-type biogenesis protein from Helicobacter pylori J99 (Campylobacter pylori J99) (239 aa), FASTA scores: opt: 250, E(): 1.4e-07, (27.3% identity in 227 aa overlap); Q9LA04|CCDA C-type cytochrome biogenesis protein from Rhodobacter capsulatus (Rhodopseudomonas capsulata) (252 aa), FASTA scores: opt: 245, E(): 2.9e-07, (27.85% identity in 244 aa overlap); etc. Also similar to O06393|CCSA|Rv0527|MTCY25D10.06 cytochrome C-type biogenesis protein from Mycobacterium tuberculosis (259 aa), FASTA scores: opt: 280, E(): 2.4e-09, (29.3% identity in 239 aa overlap).</t>
  </si>
  <si>
    <t>mpt70</t>
  </si>
  <si>
    <t>Major secreted immunogenic protein Mpt70</t>
  </si>
  <si>
    <t>Rv2875, (MTCY274.06), len: 193 aa. Mpt70 (alternate gene name: mpb70), major secreted immunogenic protein MPT70 precursor (see citations below). Also similar to downstream ORF Q10790|MP83_MYCTU|MPT83|MPB83|Rv2873|MT2940|MTCY274.04 cell surface lipoprotein MPT83 precursor (lipoprotein P23) (220 aa), FASTA scores: opt: 806, E(): 1.2e-40, (70.25% identity in 185 aa overlap). Belongs to the MPT70 / MPT83 family. Generally found as a monomer; homodimer in culture fluids.</t>
  </si>
  <si>
    <t>Rv2876, (MTCY274.07), len: 104 aa. Possible conserved transmembrane protein, equivalent (but longer 16 aa) to Q9CBU2|ML1584 possible conserved membrane protein from Mycobacterium leprae (84 aa), FASTA scores: opt: 444, E(): 8.3e-26, (73.85% identity in 88 aa overlap). A core mycobacterial gene; conserved in mycobacterial strains (See Marmiesse et al., 2004).</t>
  </si>
  <si>
    <t>Unknown; possibly involved in transport of mercury across the membrane.</t>
  </si>
  <si>
    <t>Rv2877c, (MTCY274.08c), len: 287 aa. Probable conserved integral membrane protein, Mer family possibly involved in transport of mercury, similar to others, and to the fourth protein of the mercury resistance operon of Streptomyces sp (or other organisms), and to putative cytochrome-c biogenesis proteins e.g. Q9XBD1|CZA382.20C putative integral membrane transporter from Amycolatopsis orientalis (298 aa), FASTA scores: opt: 913, E(): 7.6e-46, (51.55% identity in 293 aa overlap); P30344|MER4_STRLI mercury resistance probable HG transport protein from Streptomyces lividans (319 aa), FASTA scores: opt: 427, E(): 1.2e-17, (32.85% identity in 289 aa overlap); Q9M5P3 putative cytochrome C biogenesis protein precursor from Arabidopsis thaliana (Mouse-ear cress) (354 aa), FASTA scores: opt: 229, E(): 4e-06, (29.85% identity in 221 aa overlap); etc. Contains PS00044 Bacterial regulatory proteins, lysR family signature. Note that previously known as merT.</t>
  </si>
  <si>
    <t>mpt53</t>
  </si>
  <si>
    <t>Not really known. Despite a weak homology to thioredoxin this cannot serve as a substrate for thioredoxin reductase. Furthermore it has no disulfide reducing activity.</t>
  </si>
  <si>
    <t>Soluble secreted antigen Mpt53 precursor</t>
  </si>
  <si>
    <t>Rv2878c, (MT2946, MTCY274.09c), len: 173 aa. Mpt53, secreted protein (contains N-terminal signal sequence) (see citations below). Shows some similarity with several disulfide bond interchange proteins e.g. P43787|THIX_HAEIN thioredoxin-like protein HI1115 from Haemophilus influenzae (167 aa), FASTA scores: opt: 200, E(): 1.4e-06, (28.9% identity in 135 aa overlap); P52237|TIPB_PSEFL thiol:disulfide interchange protein TIPB precursor (cytochrome C biogenesis protein TIPB) (178 aa), FASTA scores: opt: 184, E(): 1.8e-05, (26.3% identity in 171 aa overlap); etc. Also highly similar to O53924|DSBF|Rv1677|MTV047.12 putative lipoprotein from Mycobacterium tuberculosis (182 aa), FASTA scores: opt: 482, E(): 5.7e-26, (52.8% identity in 142 aa overlap). Could be belong to the thioredoxin family. Note that also previously known as dsbE.</t>
  </si>
  <si>
    <t>Rv2879c</t>
  </si>
  <si>
    <t>Rv2879c, (MTCY274.10c), len: 189 aa. Conserved hypothetical protein, similar to others e.g. C-terminus of Q9RVT6|DR0936 conserved hypothetical protein from Deinococcus radiodurans (346 aa), FASTA scores: opt: 505, E(): 1e-26, (46.5% identity in 185 aa overlap); O34617|YLON_BACSU hypothetical 41.6 KDA protein from Bacillus subtilis (363 aa), FASTA scores: opt: 459, E(): 1.2e-24, (40.5% identity in 185 aa overlap); YFGB_ECOLI|P36979 hypothetical 43.1 kDa protein from Escherichia coli (384 aa), FASTA scores, opt: 410, E(): 2.8e-21, (41.7% identity in 187 aa overlap); etc. Appears to be a frame shift with respect to following ORF but we can detect no error in the cosmid sequence to account for this.</t>
  </si>
  <si>
    <t>Rv2880c, (MTCY274.11c), len: 275 aa. Conserved hypothetical protein, highly similar in N-terminus to others e.g. O86754|SC6A9.22c hypothetical 40.4 KDA protein from Streptomyces coelicolor (368 aa), FASTA scores: opt: 663, E(): 2.6e-33, (52.6% identity in 213 aa overlap); Q55880|Y098_SYNY3|SLL0098 hypothetical 38.9 KDA protein from Synechocystis sp. strain PCC 6803 (350 aa), FASTA scores: opt: 362, E(): 7.3e-15, (38.9% identity in 162 aa overlap); O66732|AQ_416 hypothetical 40.2 KDA protein from Aquifex aeolicus (348 aa), FASTA scores: opt: 321, E(): 2.4e-12, (39.75% identity in 146 aa overlap); etc. Appears to be a frame shift with respect to preceding ORF but we can detect no error in the cosmid sequence to account for this.</t>
  </si>
  <si>
    <t>Involved in the phospholipid biosynthesis [catalytic activity: CTP + phosphatidate = pyrophosphate + CDP-diacylglycerol].</t>
  </si>
  <si>
    <t>Probable integral membrane phosphatidate cytidylyltransferase CdsA (CDP-diglyceride synthetase) (CDP-diglyceride pyrophosphorylase) (CDP-diacylglycerol synthase) (CDS) (CTP:phosphatidate cytidylyltransferase) (CDP-DAG synthase) (CDP-DG synthetase)</t>
  </si>
  <si>
    <t>Rv2881c, (MTCY274.12c), len: 306 aa. Probable cdsA, phosphatidate cytidylyltransferase, integral membrane protein, equivalent to Q9CBU1|CDSA_MYCLE|ML1589 phosphatidate cytidylyltransferase from Mycobacterium leprae (312 aa), FASTA scores: opt: 1470, E(): 1.1e-84, (70.3% identity in 313 aa overlap). Also similar to others e.g. Q9KPV7|VC2255 from Vibrio cholerae (280 aa), FASTA scores: opt: 383, E(): 1.1e-16, (29.3% identity in 280 aa overlap); Q9CDT2|CDSA from Lactococcus lactis (subsp. lactis) (Streptococcus lactis) (267 aa), FASTA scores: opt: 361, E(): 2.6e-15, (29.05% identity in 265 aa overlap); P06466|CDSA_ECOLI|CDS|B0175|Z0186|ECS0177 from Escherichia coli strains K12 and O157:H7 (249 aa), FASTA scores: opt: 352, E(): 9.2e-15, (40.4% identity in 156 aa overlap); etc. Contains PS00017 ATP/GTP-binding site motif A (P-loop). Belongs to the CDS family.</t>
  </si>
  <si>
    <t>Responsible for the release of ribosomes from messenger RNA at the termination of protein biosynthesis. May increase the efficiency of translation by recycling ribosomes from one round of translation to another.</t>
  </si>
  <si>
    <t>Ribosome recycling factor Frr (ribosome releasing factor) (RRF)</t>
  </si>
  <si>
    <t>Rv2882c, (MTCY274.13c), len: 185 aa. Probable frr, ribosome recycling factor, equivalent to O33046|RRF_MYCLE|FRR|ML1590|MLCB250.76 ribosome recycling factor from Mycobacterium leprae (185 aa), FASTA scores: opt: 1063, E(): 2.6e-60, (90.8% identity in 185 aa overlap). Also highly similar to others e.g. O86770|RRF_STRCO|FRR|SC6A9.40c from Streptomyces coelicolor (185 aa), FASTA scores: opt: 783, E(): 1.5e-42, (63.25% identity in 185 aa overlap); P81101|RRF_BACSU|FRR from Bacillus subtilis (184 aa), FASTA scores: opt: 640, E(): 1.7e-33, (51.65% identity in 182 aa overlap); P16174|RRF_ECOLI|FRR|B0172|Z0183|ECS0174 from Escherichia coli strains K12 and O157:H7 (185 aa), FASTA scores: opt: 473, E(): 1.4e-23, (40.2% identity in 184 aa overlap); etc. Belongs to the RRF family.</t>
  </si>
  <si>
    <t>Uridine monophosphate kinase [catalytic activity: ATP + UMP = ADP + UDP].</t>
  </si>
  <si>
    <t>Probable uridylate kinase PyrH (UK) (uridine monophosphate kinase) (UMP kinase)</t>
  </si>
  <si>
    <t>Rv2883c, (MT2951, MTCY274.14c), len: 261 aa. Probable pyrH, uridylate kinase, equivalent to O33045|PYRH_MYCLE|ML1591|MLCB250.75 uridylate kinase from Mycobacterium leprae (279 aa), FASTA scores: opt: 1437, E(): 3.8e-81, (85.05% identity in 274 aa overlap). Also highly similar to others e.g. O69913|PYRH from Streptomyces coelicolor (253 aa), FASTA scores: opt: 1086, E(): 1.4e-59, (68.9% identity in 251 aa overlap); P74457|PYRH_SYNY3|SLL0144 from Synechocystis sp. strain PCC 6803 (260 aa), FASTA scores: opt: 851, E(): 4.1e-45, (55.85% identity in 231 aa overlap); P29464|PYRH_ECOLI|SMBA|B0171|Z0182|ECS0173 from strains K12 and O157:H7 (240 aa), FASTA scores: opt: 666, E(): 1.1e-35, (45.7% identity in 232 aa overlap); etc.</t>
  </si>
  <si>
    <t>Rv2884, (MTCY274.15), len: 252 aa. Probable transcriptional regulatory protein, highly similar to others e.g. Q05943|GLNR_STRCO|SCD84.26c transcriptional regulatory protein from Streptomyces coelicolor (267 aa), FASTA scores: opt: 609, E(): 2.7e-34, (46.4% identity in 224 aa overlap); Q55733|SLL0396 regulatory components of sensory transduction system from Synechocystis sp. strain PCC 6803 (224 aa), FASTA scores: opt: 330, E(): 3e-15, (31.8% identity in 217 aa overlap); Q9A4S3|CC2757 DNA-binding response regulator from Caulobacter crescentus (223 aa), FASTA scores: opt: 311, E(): 6e-14, (30.3% identity in 221 aa overlap); etc. Also highly similar to O53830|Rv0818|MTV043.10 putative regulatory protein from Mycobacterium tuberculosis (255 aa), FASTA scores: opt: 665, E(): 3.8e-38, (47.6% identity in 227 aa overlap). The N-terminal region is similar to that of other regulatory components of sensory transduction systems.</t>
  </si>
  <si>
    <t>Required for the transposition of the insertion element IS1539.</t>
  </si>
  <si>
    <t>Rv2885c, (MTCY274.16c), len: 460 aa. Probable transposase for IS1539. Contains PS00017 ATP/GTP-binding site motif A (P-loop).</t>
  </si>
  <si>
    <t>Rv2886c</t>
  </si>
  <si>
    <t>Probable resolvase</t>
  </si>
  <si>
    <t>Rv2886c, (MTCY274.17c), len: 295 aa. Probable resolvase for IS1539. Contains PS00213 Lipocalin signature.</t>
  </si>
  <si>
    <t>Rv2887, (MTCY274.18), len: 139 aa. Probable transcriptional regulatory protein, highly similar to Q9EX59|SC1A4.04 putative MarR-family transcriptional regulator from Streptomyces coelicolor (151 aa), FASTA scores: opt: 354, E(): 6.6e-16, (42.95% identity in 135 aa overlap); and similar to others e.g. AAF97817|SLYA transcriptional regulator SLYA from Escherichia coli strain EPEC 2348/69 (146 aa), FASTA scores: opt: 181, E(): 0.0001, (27.25% identity in 132 aa overlap); P55740|SLYA_ECOLI|AAG56631|B1642|Z2657|ECS2351 transcriptional regulator SLYA from Escherichia coli strains K12 and O157:H7 (146 aa), FASTA scores: opt: 177, E(): 0.00018, (27.25% identity in 132 aa overlap) ; etc. Contains probable helix-turn-helix motif at aa 50-71 (Score 1182, +3.21 SD).</t>
  </si>
  <si>
    <t>Hydrolyzes a monocarboxylic acid amide and generates a monocarboxylate [catalytic activity: a monocarboxylic acid amide + H(2)O = a monocarboxylate + NH(3)].</t>
  </si>
  <si>
    <t>Probable amidase AmiC (aminohydrolase)</t>
  </si>
  <si>
    <t>Rv2888c, (MTCY274.19c), len: 473 aa. Probable amiC, amidase, equivalent to O33040|AMI3_MYCLE|AMIC|ML1596|MLCB250.65 putative amidase AMIC from Mycobacterium leprae (468 aa), FASTA scores: opt: 2361, E(): 4.2e-139, (76.7% identity in 468 aa overlap). Also similar to others e.g. Q9A8N0|CC1323 putative 6-aminohexanoate-cyclic-dimer hydrolase from Caulobacter crescentus (521 aa), FASTA scores: opt: 925, E(): 7.4e-50, (36.55% identity in 465 aa overlap); O28325|YJ54_ARCFU|AF1954 putative amidase from Archaeoglobus fulgidus (453 aa), FASTA scores: opt: 659, E(): 2.2e-33, (31.1% identity in 460 aa overlap); Q55424|AMID_SYNY3|SLL0828 putative amidase from Synechocystis sp. strain PCC 6803 (506 aa), FASTA scores: opt: 643, E(): 2.4e-32, (30.7% identity in 466 aa overlap); etc. Also similar to O05835|AMI1_MYCTU|AMIA2|Rv2363|MT2432|MTCY27.17c putative amidase AMIA2 (484 aa), FASTA scores: opt: 656, E(): 3.6e-33, (35.9% identity in 465 aa overlap); and Q11056|AMI2_MYCTU|AMIB2|Rv1263|MT1301|MTCY50.19c putative amidase from Mycobacterium tuberculosis (462 aa), FASTA scores: opt: 650, E(): 8.2e-33, (33.45% identity in 472 aa overlap). Contains PS00017 ATP/GTP-binding site motif A (P-poop). Belongs to the amidase family.</t>
  </si>
  <si>
    <t>Associates with the EF-TU.GDP complex and induces the exchange of GDP to GTP, it remains bound to the aminoacyl-tRNA. EF-TU.GTP complex up to the GTP hydrolysis stage on the ribosome.</t>
  </si>
  <si>
    <t>Probable elongation factor Tsf (EF-ts)</t>
  </si>
  <si>
    <t>Rv2889c, (MTCY274.20c), len: 271 aa. Probable tsf, elongation factor, equivalent to O33039|EFTS_MYCLE|TSF|ML1597|MLCB250.64 elongation factor from Mycobacterium leprae (276 aa), FASTA scores: opt: 1430, E(): 1.9e-80, (83.7% identity in 276 aa overlap). Also highly similar to others e.g. Q9X5Z9|EFTS_STRRA|TSF from Streptomyces ramocissimus (278 aa), FASTA scores: opt: 928, E(): 1.1e-49, (57.05% identity in 277 aa overlap); O31213|EFTS_STRCO|TSF|SC2E1.42 from Streptomyces coelicolor (278 aa), FASTA scores: opt: 927, E(): 1.3e-49, (56.3% identity in 277 aa overlap); P80700|EFTS_BACSU|TSF from Bacillus subtilis (292 aa), FASTA scores: opt: 650, E(): 1.3e-32, (43.85% identity in 276 aa overlap); etc. Contains PS01127 Elongation factor Ts signature 2. Belongs to the EF-ts family.</t>
  </si>
  <si>
    <t>30S ribosomal protein S2 RpsB</t>
  </si>
  <si>
    <t>Rv2890c, (MTCY274.21c), len: 287 aa. rpsB, 30s ribosomal protein s2, equivalent to O33038|RS2_MYCLE|RPSB|ML1598|MLCB250.63 30S ribosomal protein S2 from Mycobacterium leprae (277 aa), FASTA scores: opt: 1593, E(): 2.3e-93, (91.5% identity in 270 aa overlap). Also highly similar to others e.g. O31212|RS2_STRCO|RPSB|SC2E1.41 from Streptomyces coelicolor (310 aa), FASTA scores: opt: 1302, E(): 6.1e-75, (70.6% identity in 289 aa overlap); Q9KA63|RPSB|BH2427 from Bacillus halodurans (244 aa), FASTA scores: opt: 991, E(): 2.3e-55, (59.6% identity in 255 aa overlap); P21464|RS2_BACSU|RPSB from Bacillus subtilis (245 aa), FASTA scores: opt: 959, E(): 2.4e-53, (58.55% identity in 246 aa overlap); etc. Contains PS00962 Ribosomal protein S2 signature 1. Belongs to the S2P family of ribosomal proteins.</t>
  </si>
  <si>
    <t>Rv2891</t>
  </si>
  <si>
    <t>Rv2891, (MTCY274.22), len: 249 aa (C-terminus overlaps neigbouring ORF). Conserved hypothetical protein, similar in N-terminus to O69910|SC2E1.40c hypothetical 22.8 KDA protein from Streptomyces coelicolor (226 aa), FASTA scores: opt: 315, E(): 3.4e-11, (40.7% identity in 145 aa overlap). Predicted to be an outer membrane protein (See Song et al., 2008).</t>
  </si>
  <si>
    <t>PPE family protein PPE45</t>
  </si>
  <si>
    <t>Rv2892c, (MTCY274.23c), len: 408 aa. PPE45, Member of the Mycobacterium tuberculosis PPE family, highly similar to many e.g. O06386|Rv3621c|MTCY15C10.31|MTCY07H7B.01 from M. tuberculosis (413 aa), FASTA scores: opt: 957, E(): 6.2e-46, (44.7% identity in 423 aa overlap).</t>
  </si>
  <si>
    <t>Rv2893</t>
  </si>
  <si>
    <t>Rv2893, (MTCY274.24), len: 325 aa. Possible oxidoreductase, showing similarity with various proteins and/or oxidoreductases e.g. Q9AE05|RIF11 eleventh protein in the rif biosynthetic gene cluster from Amycolatopsis mediterranei (Nocardia mediterranei) (294 aa), FASTA scores: opt: 270, E(): 4.8e-10, (34.5% identity in 313 aa overlap); O52567 reductase from Amycolatopsis mediterranei (Nocardia mediterranei) (153 aa), FASTA scores: opt: 251, E(): 5e-09, (42.4% identity in 125 aa overlap); Q58929|mer|MJ1534 F420-dependent methylenetetrahydromethanopterin reductase from Methanococcus jannaschii (331 aa), FASTA scores: opt: 249, E(): 1.2e-08, (29.7% identity in 283 aa overlap); etc. Also some similarity with others proteins from Mycobacterium tuberculosis strains H37Rv and CDC1551 e.g. P71844|Rv0791c|MTCY369.35c putative oxidoreductase (347 aa), FASTA scores: opt: 264, E(): 1.3e-09, (29.05% identity in 272 aa overlap); and P96809|Rv0132|MTCI5.06c putative oxidoreductase (360 aa), FASTA scores: opt: 260, E(): 2.4e-09, (33.05% identity in 239 aa overlap).</t>
  </si>
  <si>
    <t>Participates in the site-specific recombination. Acts by catalyzing the cutting and rejoining of the recombinating DNA molecules. Acts jointly with XERD.</t>
  </si>
  <si>
    <t>Probable integrase/recombinase XerC</t>
  </si>
  <si>
    <t>Rv2894c, (MTCY274.25c), len: 298 aa. Probable xerC, integrase/recombinase, equivalent to Q9CBU0|XERC|ML1600|MLCB250.62 integrase/recombinase from Mycobacterium leprae (297 aa), FASTA scores: opt: 1624, E(): 2e-97, (85.15% identity in 296 aa overlap). Also highly similar to others integrases/recombinases (generally xerC and xerD) e.g. Q9HTS4|SSS|PA5280 site-specific recombinase from Pseudomonas aeruginosa (303 aa), FASTA scores: opt: 660, E(): 3.2e-35, (41.8% identity in 299 aa overlap); Q9HXQ6|XERD|PA3738 integrase/recombinase from Pseudomonas aeruginosa (298 aa), FASTA scores: opt: 656, E(): 5.7e-35, (40.05% identity in 297 aa overlap); Q9KCP0|BH1529 integrase/recombinase from Bacillus halodurans (299 aa), FASTA scores: opt: 645, E(): 2.9e-34, (37.35% identity in 300 aa overlap); etc. Also similar to O33200|Rv1701|MTCI125.23 integrase/recombinase from Mycobacterium tuberculosis (311 aa), FASTA scores: opt: 646, E(): 2.6e-34, (43.1% identity in 304 aa overlap). Belongs to the 'phage' integrase family.</t>
  </si>
  <si>
    <t>Thought to be involved in intracellular removal of iron from iron-mycobactin complex. Mycobactin is an iron-chelating compound involved in the transport of iron from the bacterial environment into the cell cytoplasm.</t>
  </si>
  <si>
    <t>Possible mycobactin utilization protein ViuB</t>
  </si>
  <si>
    <t>Rv2895c, (MT2963, MTCY274.26c), len: 283 aa. Possible viuB, mycobactin utilization protein, highly similar to Q9RJ78|SCI41.06 hypothetical 31.5 KDA protein from Streptomyces coelicolor (280 aa), FASTA scores: opt: 639, E(): 5.1e-32, (46.3% identity in 285 aa overlap); and similar to other proteins e.g. Q9F641|MXCB protein of the biosynthetic gene cluster of the myxochelin-type iron chelator from Stigmatella aurantiaca (270 aa), FASTA scores: opt: 417, E(): 2.2e-18, (34.2% identity in 263 aa overlap); Q56646|VIUB_VIBCH|VC2210 vibriobactin utilization protein from Vibrio cholerae (271 aa), FASTA scores: opt: 395, E(): 5.1e-17, (31.0% identity in 274 aa overlap); Q56743|VIUB_VIBVU vulnibactin utilization protein V from Vibrio vulnificus (271 aa), FASTA scores: opt: 390, E(): 1e-16, (33.95% identity in 274 aa overlap); etc. Equivalent to AAK47289 from Mycobacterium tuberculosis strain CDC1551 (321 aa) but shorter 38 aa.</t>
  </si>
  <si>
    <t>Rv2896c, (MTCY274.27c), len: 389 aa. Conserved hypothetical protein, similar to others proteins e.g. Q9ZJ08|FIR2 from Rhodococcus fascians (293 aa), FASTA scores: opt: 663, E(): 3.3e-32, (43.7% identity in 286 aa overlap); O69892|SC2E1.21 hypothetical 37.9 KDA protein from Streptomyces coelicolor (382 aa), FASTA scores: opt: 600, E(): 2.2e-28, (46.45% identity in 267 aa overlap); Q9JWZ4|DPRA|NMA0158 DPRA homolog from Neisseria meningitidis (serogroup A) (395 aa), FASTA scores: opt: 495, E(): 4.1e-22, (34.6% identity in 347 aa overlap); etc. Nucleotide position 3205978 in the genome sequence has been corrected, A:C resulting in S153A.</t>
  </si>
  <si>
    <t>Rv2897c</t>
  </si>
  <si>
    <t>Rv2897c, (MTCY274.28c), len: 503 aa. Conserved hypothetical protein, possibly Mg-chelatase, highly similar to hypothetical proteins and chelatases e.g. Q9RTV0|DR1656 mg(2+) chelatase family protein from Deinococcus radiodurans (519 aa), FASTA scores: opt: 1333, E(): 3.6e-68, (46.55% identity in 505 aa overlap);Q55372|SLR0904 hypothetical 55.1 KDA protein from Synechocystis sp. strain PCC 6803 (509 aa), FASTA scores: opt: 1271, E(): 1.2e-64, (42.65% identity in 504 aa overlap); Q9HTR4|PA5290 hypothetical protein from Pseudomonas aeruginosa (497 aa), FASTA scores: opt: 1248, E(): 2.3e-63, (45.9% identity in 503 aa overlap); Q9K0Z6|comm|NMB0405 competence protein (mg-chelatase) from Neisseria meningitidis (serogroup B), FASTA scores: opt: 1229, E(): 2.8e-62, (43.2% identity in 509 aa overlap); etc. Contains PS00017 ATP/GTP-binding site motif A (P-loop).</t>
  </si>
  <si>
    <t>Rv2898c</t>
  </si>
  <si>
    <t>Rv2898c, (MTCY274.29c), len: 128 aa. Conserved hypothetical protein, highly similar to O33024|YS98_MYCLE|ML1607|MLCB250.49 hypothetical 11.0 KDA protein from Mycobacterium leprae (96 aa), FASTA scores: opt: 318, E(): 2.3e-16, (58.35% identity in 96 aa overlap). Also similar to other hypothetical proteins e.g. O69890|YE19_STRCO|SC2E1.19 from Streptomyces coelicolor (130 aa), FASTA scores: opt: 253, E(): 1.7e-11, (39.65% identity in 121 aa overlap); Q9HVZ1|PA4424 from Pseudomonas aeruginosa (125 aa), FASTA scores: opt: 234, E(): 4.2e-10, (40.85% identity in 115 aa overlap); O86871 from Streptomyces lividans (85 aa), FASTA scores: opt: 224, E(): 1.8e-09, (46.45% identity in 84 aa overlap); etc. Equivalent to AAK47292 from Mycobacterium tuberculosis strain CDC1551 (141 aa) but shorter 13 aa. A core mycobacterial gene; conserved in mycobacterial strains (See Marmiesse et al., 2004).</t>
  </si>
  <si>
    <t>Necessary for formate dehydrogenase activity</t>
  </si>
  <si>
    <t>Possible FdhD protein homolog</t>
  </si>
  <si>
    <t>Rv2899c, (MTCY274.30c), len: 276 aa. Possible fdhD protein homolog, highly similar to other bacterial fdhd protein homologs or formate dehydrogenase accessory proteins e.g. Q9ZBW0|FDHD_STRCO|SC4B5.08c from Streptomyces coelicolor (282 aa), FASTA scores: opt: 1032, E(): 3.6e-59, (59.0% identity in 278 aa overlap); BAB59387|TVG0258796 from Thermoplasma volcanium (279 aa), FASTA scores: opt: 536, E(): 3.4e-27, (38.65% identity in 282 aa overlap); Q9HL17|FDHD_THEAC|TA0423 from Thermoplasma acidophilum (282 aa), FASTA scores: opt: 529, E(): 9.6e-27, (38.8% identity in 281 aa overlap); P32177|FDHD_ECOLI FDHD protein from Escherichia coli strain K12 (277 aa), FASTA scores: opt: 297, E(): 8.6e-12, (33.35% identity in 261 aa overlap); etc. Contain a Pfam match to entry PF02634 FdhD/NarQ family. Belongs to the FdhD family.</t>
  </si>
  <si>
    <t>Decomposes formic acid to hydrogen and carbon dioxide under anaerobic conditions in the absence of exogenous electron acceptors [catalytic activity: formate + NAD(+) = CO(2) + NADH].</t>
  </si>
  <si>
    <t>Possible formate dehydrogenase H FdhF (formate-hydrogen-lyase-linked, selenocysteine-containing polypeptide) (formate dehydrogenase-H alpha subunit) (FDH-H)</t>
  </si>
  <si>
    <t>Rv2900c, (MTCY274.31c), len: 779 aa. Possible fdhF, formate dehydrogenase, highly similar to others formate dehydrogenases and prokaryotic molybdopterin-containing oxidoreductases e.g. Q9S2J9|SC7H2.18 putative formate dehydrogenase from Streptomyces coelicolor (759 aa), FASTA scores: opt: 3038, E(): 2.7e-180, (59.7% identity in 767 aa overlap); Q9HU08|PA5181 probable oxidoreductase from Pseudomonas aeruginosa (773 aa), FASTA scores: opt: 2560, E(): 1.1e-150, (53.2% identity in 761 aa overlap); P78160 formate dehydrogenase a chain (fragment) from Escherichia coli strain K12 (740 aa), FASTA scores: opt: 2002, E(): 3.7e-116, (43.1% identity in 733 aa overlap); P07658|FDHF_ECOLI|P78137|B4079 formate dehydrogenase from Escherichia coli strain K12 (715 aa), FASTA scores: opt: 305, E(): 5.6e-13, (25.5% identity in 748 aa overlap); etc. Belongs to the prokaryotic molybdopterin-containing oxidoreductase family.</t>
  </si>
  <si>
    <t>Rv2901c, (MTCY274.32c), len: 101 aa. Conserved protein, very equivalent to O33023|ML1610|MLCB250.41 hypothetical 12.3 KDA protein from Mycobacterium leprae (101 aa), FASTA scores: opt: 658, E(): 2.6e-43, (99.0% identity in 101 aa overlap). Also highly similar to O69889|SC2E1.18 hypothetical protein from Streptomyces coelicolor and Streptomyces lividans (102 aa), FASTA scores: opt: 515, E(): 2.2e-32, (75.0% identity in 100 aa overlap). A core mycobacterial gene; conserved in mycobacterial strains (See Marmiesse et al., 2004).</t>
  </si>
  <si>
    <t>Degrades the ribonucleotide moiety on RNA-DNA hybrid molecules [catalytic activity: endonucleolytic cleavage to 5'- phosphomonoester].</t>
  </si>
  <si>
    <t>Probable ribonuclease HII protein RnhB (RNase HII)</t>
  </si>
  <si>
    <t>Rv2902c, (MT2970, MTCY274.33c), len: 264 aa. Probable rnhB, ribonuclease HII, equivalent to O33022|RNH2_MYCLE|RNHB|ML1611|MLCB250.40 ribonuclease HII from Mycobacterium leprae (240 aa), FASTA scores: opt: 1242, E(): 6.9e-72, (76.75% identity in 245 aa overlap). Also similar (but longer ~20 aa) to others e.g. Q9HXY9|RNHB|PA3642 ribonuclease HII from Pseudomonas aeruginosa (201 aa), FASTA scores: opt: 572, E(): 3.1e-29, (52.7% identity in 184 aa overlap); Q9PEI7|RNH2_XYLFA|RNHB|XF1041 ribonuclease HII from Xylella fastidiosa (234 aa), FASTA scores: opt: 556, E(): 3.6e-28, (50.25% identity in 185 aa overlap); P10442|RNH2_ECOLI|RNHB|B0183 ribonuclease HII from Escherichia coli strain K-12 (213 aa), FASTA scores: opt: 519, E(): 7.4e-26, (48.65% identity in 183 aa overlap); etc. Belongs to the RNASE HII family. Cofactor: manganese (by similarity).</t>
  </si>
  <si>
    <t>Cleavage of N-terminal leader sequences from secreted protein precursors.</t>
  </si>
  <si>
    <t>Probable signal peptidase I LepB (SPASE I) (leader peptidase I).</t>
  </si>
  <si>
    <t>Rv2903c, (MTCY274.34c), len: 294 aa. Probable lepB, signal peptidase I (type II membrane protein) (see Braunstein &amp; Belisle 2000), equivalent to O33021|LEP_MYCLE|ML1612|MLCB250.39 probable signal peptidase I from Mycobacterium leprae (289 aa), FASTA scores: opt: 1335, E(): 1.8e-77, (69.75% identity in 301 aa overlap). Also similar to many e.g. O86869|SIPX signal peptidase I from Streptomyces lividans (320 aa), FASTA scores: opt: 474, E(): 1e-22, (43.55% identity in 248 aa overlap); O69884|SIP1|SIPW putative signal peptidase I from Streptomyces coelicolor and Streptomyces lividans (259 aa), FASTA scores: opt: 226, E(): 5e-07, (36.0% identity in 214 aa overlap); P42668|LEP_BACLI|sip signal peptidase I from Bacillus licheniformis (186 aa), FASTA scores: opt: 218, E(): 1.3e-06, (34.5% identity in 194 aa overlap); etc. Contains PS00501 Signal peptidases I serine active site,and PS00761 Signal peptidases I signature 3. Belongs to peptidase family S26; also known as type I leader peptidase family. Conserved in M. tuberculosis, M. leprae, M. bovis and M. avium paratuberculosis; predicted to be essential for in vivo survival and pathogenicity (See Ribeiro-Guimaraes and Pessolani, 2007).</t>
  </si>
  <si>
    <t>This protein is located at the 30S-50S ribosomal subunit interface and may play a role in the structure and function of the aminoacyl-tRNA binding site.</t>
  </si>
  <si>
    <t>50S ribosomal protein L19 RplS</t>
  </si>
  <si>
    <t>Rv2904c, (MTCY274.35c), len: 113 aa. rplS, 50S ribosomal protein L19, equivalent to O33020|RL19_MYCLE 50S ribosomal protein L19 from Mycobacterium leprae (113 aa), FASTA scores: opt: 702, E(): 1.4e-45, (93.8% identity in 113 aa overlap). Also highly similar to others e.g. O69883|RL19_STRCO from Streptomyces coelicolor (116 aa), FASTA scores: opt: 571, E(): 9.5e-36, (77.25% identity in 110 aa overlap); O31742|RL19_BACSU from Bacillus subtilis (115 aa), FASTA scores: opt: 523, E(): 3.8e-32, (72.9% identity in 107 aa overlap); RL19_BACST|P30529 from Bacillus stearothermophilus (116 aa), FASTA scores: opt: 518, E(): 9.1e-32, (71.7% identity in 106 aa overlap); etc. Belongs to the L19P family of ribosomal proteins.</t>
  </si>
  <si>
    <t>Probable conserved alanine rich lipoprotein LppW</t>
  </si>
  <si>
    <t>Rv2905, (MTCY274.36), len: 314 aa. Probable lppW, conserved ala-rich lipoprotein, with slight similarity to beta-lactamases and hypothetical proteins e.g. Q9S1P7|SCJ9A.23 hypothetical 36.3 KDA protein from Streptomyces coelicolor (336 aa), FASTA scores: opt: 222, E(): 2.8e-06, (25.5% identity in 298 aa overlap); O69914|SC3C8.01 putative secreted protein from Streptomyces coelicolor (302 aa), FASTA scores: opt: 201, E(): 5.1e-05, (24.9% identity in 257 aa overlap); P14559|BLAC_STRAL beta-lactamase precursor from Streptomyces albus G (314 aa), FASTA scores: opt: 113, E(): 3.3, (25.2% identity in 278 aa overlap); etc. Has signal peptide and appropriately positioned prokaryotic lipoprotein lipid attachment site: attached to the membrane by a lipid anchor (potential).</t>
  </si>
  <si>
    <t>Specifically methylates guanosime-37 in various TRNAS [catalytic activity S-adenosyl-L-methionine + tRNA = S-adenosyl-L-homocysteine + tRNA containing N1-methylguanine].</t>
  </si>
  <si>
    <t>Probable tRNA (guanine-N1)-methyltransferase TrmD (M1G-methyltransferase) (tRNA [GM37] methyltransferase)</t>
  </si>
  <si>
    <t>Rv2906c, (MTCY274.37c), len: 230 aa. Probable trmD, tRNA m1G methyltransferase, equivalent to O33017|TRMD_MYCLE from Mycobacterium leprae (238 aa), FASTA scores: opt: 1363, E(): 8.1e-86, (87.2% identity in 227 aa overlap). Also highly similar to others e.g. O69882|TRMD_STRCO from Streptomyces coelicolor and S. lividans (277 aa), FASTA scores: opt: 841, E(): 4.5e-50, (55.55% identity in 234 aa overlap); Q9A0B6 from Streptococcus pyogenes (243 aa), FASTA scores: opt: 698, E(): 2.5e-40, (47.6% identity in 227 aa overlap); P07020|TRMD_ECOLI|TRMD|B2607|Z3901|ECS3470 from Escherichia coli strain O157:H7 (255 aa), FASTA scores: opt: 573, E(): 3.8e-33, (42.1% identity in 228 aa overlap); etc. Belongs to the RNA methyltransferase TRMD family.</t>
  </si>
  <si>
    <t>Essential for efficient processing of 16S rRNA. Probably part of the 30S subunit prior to or during the final step in the processing of 16S free 30S ribosomal subunits. It could be some accessory protein needed for efficient assembly of the 30S subunit. RIMM is needed in a step prior to RBFA during the maturation of 16S rRNA. Has affinity for free ribosomal 30S subunits but not for 70S ribosomes.</t>
  </si>
  <si>
    <t>Probable 16S rRNA processing protein RimM</t>
  </si>
  <si>
    <t>Rv2907c, (MTCY274.38c), len: 176 aa. Probable rimM, 16S rRNA processing protein, equivalent to O33016|RIMM_MYCLE probable 16S rRNA processing protein from Mycobacterium leprae (179 aa), FASTA scores: opt: 797, E(): 2.4e-46, (73.15% identity in 175 aa overlap). Also highly similar to others e.g. O69881|RIMM_STRCO from Streptomyces coelicolor (188 aa), FASTA scores: opt: 485, E(): 2.3e-25, (48.85% identity in 176 aa overlap); Q9KA14|RIMM_BACHD from Bacillus halodurans (173 aa), FASTA scores: opt: 289, E(): 3.2e-12, (30.65% identity in 173 aa overlap); P21504|RIMM_ECOLI|RIMM|B2608 from Escherichia coli strain K12 (182 aa), FASTA scores: opt: 237, E(): 1e-08, (29.4% identity in 177 aa overlap). Belongs to the RimM family.</t>
  </si>
  <si>
    <t>Rv2908c</t>
  </si>
  <si>
    <t>Rv2908c, (MTCY274.40c), len: 80 aa. Conserved hypothetical protein, equivalent to O33015|YT08_MYCLE from Mycobacterium leprae (80 aa), FASTA scores: opt: 492, E(): 3.1e-29, (93.75% identity in 80 aa overlap). Also highly similar to others e.g. O69880|YE09_STRCO from Streptomyces coelicolor (79 aa), FASTA scores: opt: 356, E(): 3e-19, (71.6% identity in 74 aa overlap); Q9KA12|BH2482 protein from Bacillus halodurans (76 aa), FASTA scores: opt: 220, E(): 2.9e-09, (48.6% identity in 72 aa overlap); O31738|YLQC_BACSU hypothetical 9.1 KDA protein from Bacillus subtilis (81 aa), FASTA scores: opt: 172, E(): 1e-05, (39.2% identity in 74 aa overlap); etc. Belongs to the UPF0109 family.</t>
  </si>
  <si>
    <t>30S ribosomal protein S16 RpsP</t>
  </si>
  <si>
    <t>Rv2909c, (MTCY274.41c), len: 162 aa. rpsP, 30S ribosomal protein S16, equivalent to O33014|RS16_MYCLE 30S ribosomal protein S16 from Mycobacterium leprae (160 aa), FASTA scores: opt: 828, E(): 1.6e-39, (82.5% identity in 160 aa overlap). Also highly similar to others e.g. O69879|RS16_STRCO 30S ribosomal protein S16 from Streptomyces coelicolor (139 aa), FASTA scores: opt: 486, E(): 1.9e-20, (56.95% identity in 144 aa overlap); P80379|RS16_THETH 30S ribosomal protein S16 from Thermus Thermophilus (88 aa), FASTA scores: opt: 280, E(): 4.8e-09, (53.25% identity in 77 aa overlap) (C-terminus shorter); P21474|RS16_BACSU|RPSP 30S ribosomal protein S16 (BS17) from Bacillus subtilis (89 aa,), FASTA scores: opt: 258, E(): 8.2e-08, (42.85% identity in 91 aa overlap) (C-terminus shorter); etc. Belongs to the S16P family of ribosomal proteins.</t>
  </si>
  <si>
    <t>Rv2910c, (MTCY274.42c), len: 147 aa. Conserved hypothetical protein, showing some similarity with hypothetical proteins from other organisms e.g. Q9JN76|MMYY hypothetical 17.4 KDA protein from Streptomyces coelicolor (153 aa), FASTA scores: opt: 164, E(): 0.00026, (35.05% identity in 129 aa overlap); etc. Also some similarity with protein from Mycobacterium tuberculosis e.g. O07237|Rv0310c|MTCY63.15c (163 aa), FASTA scores: opt: 165, E(): 0.00023, (26.3% identity in 137 aa overlap); P96815|Rv0138|MTCI5.12 (167 aa), FASTA scores: opt: 132, E(): 0.048, (30.25% identity in 109 aa overlap); etc.</t>
  </si>
  <si>
    <t>Involved in peptidoglycan synthesis (at final stages). Hydrolyzes the bound D-alanyl-D-alanine [catalytic activity: D-alanyl-D-alanine + H(2)O = 2 D-alanine].</t>
  </si>
  <si>
    <t>Probable penicillin-binding protein DacB2 (D-alanyl-D-alanine carboxypeptidase) (DD-peptidase) (DD-carboxypeptidase) (PBP) (DD-transpeptidase) (serine-type D-ala-D-ala carboxypeptidase) (D-amino acid hydrolase)</t>
  </si>
  <si>
    <t>Rv2911, (MTCY274.43), len: 291 aa. Probable dacB2, D-alanyl-D-alanine carboxypeptidase (penicillin-binding protein), an ala-rich protein. Highly similar (except in N-terminus) to Q9CCM2|ML0691 putative D-alanyl-D-alanine carboxypeptidase from Mycobacterium leprae (411 aa), FASTA scores: opt: 749, E(): 9.3e-39, (46.75% identity in 276 aa overlap). Also similar to penicillin binding proteins / D-alanyl-D-alanine carboxypeptidases e.g. Q9KCJ8|SC4G1.16c D-alanyl-D-alanine carboxypeptidase from Streptomyces coelicolor (382 aa), FASTA scores: opt: 386, E(): 2.1e-16, (31.25% identity in 285 aa overlap); P35150|DACB_BACSU penicillin-binding protein 5* precursor from Bacillus subtilis (382 aa), FASTA scores: opt: 384, E(): 3.6e-17, (30.7% identity in 244 aa overlap); Q9K8X5|DACB|BH2877 D-alanyl-D-alanine carboxypeptidase (penicillin-binding protein 5) from Bacillus halodurans (395 aa), FASTA scores: opt: 359, E(): 9.7e-15, (30.3% identity in 241 aa overlap); P33364|PBP7_ECOLI|PBPG|B2134 penicillin-binding protein 7 precursor from Escherichia coli strain K12 (313 aa), FASTA scores: opt: 273, E(): 7.5e-10, (27.8% identity in 263 aa overlap); etc. Also similar to O53380|Rv3330|MTV016.30 penicillin-binding protein from Mycobacterium tuberculosis (405 aa), FASTA scores: opt: 746, E(): 1.4e-38, (47.0% identity in 266 aa overlap). Seems to contain PF00768 Peptidase_S11 domain PFAM. Belongs to peptidase family S11; also known as the D-alanyl-D-alanine carboxypeptidase 1 family. Thought to be a membrane-bound protein. Note that previously known as dacB.</t>
  </si>
  <si>
    <t>Rv2912c, (MTCY274.44c), len: 195 aa. Probable transcription regulatory protein, TetR family, showing similarity with others e.g. Q9K3V9|SCD10.17 putative TetR-family transcriptional from Streptomyces coelicolor (202 aa), FASTA scores: opt: 185, E(): 4.4e-05, (31.15% identity in 167 aa overlap); Q9KFQ0 TetR-family from Bacillus halodurans (185 aa), FASTA scores: opt: 164, E(): 0.001, (35.6% identity in 73 aa overlap); P17446|BETI_ECOLI|BETI|B0313 regulatory protein from Escherichia coli strain K12 (195 aa), FASTA scores: opt: 126, E(): 0.024, (24.5% identity in 196 aa overlap); etc. Contains possible helix-turn-helix motif at aa 33-54 (+2.71 SD). Possibly belongs to the TetR/AcrR family.</t>
  </si>
  <si>
    <t>Hydrolyzes specific D-amino acid.</t>
  </si>
  <si>
    <t>Possible D-amino acid aminohydrolase (D-amino acid hydrolase)</t>
  </si>
  <si>
    <t>Rv2913c, (MTCY338.01c, MTCY274.45c), len: 611 aa. Possible D-amino acid aminohydrolase, similar (principally in N-terminus) to D-amino acid aminohydrolases e.g. Q9V2D3|NDAD|PAB0090 D-aminoacylase (aspartate, glutamate etc) from Pyrococcus abyssi (526 aa), FASTA scores: opt: 336, E(): 2.2e-13, (27.55% identity in 581 aa overlap); P94212|NDDD_ALCXX N-acyl-D-aspartate deacylase (N-acyl-D-aspartate amidohydrolase) from Alcaligenes xylosoxydans xylosoxydans (Achromobacter xylosoxidans) (498 aa), FASTA scores: opt: 221, E(): 3.4e-06, (25.95% identity in 532 aa overlap); Q9AGH8 D-aminoacylase from Alcaligenes faecalis (484 aa), FASTA scores: opt: 218, E(): 5.1e-06, (28.35% identity in 434 aa overlap); etc.</t>
  </si>
  <si>
    <t>Involved in signal transduction (via phosphorylation). Thought to be involved in cell division/differentiation [catalytic activity: ATP + a protein = ADP + a phosphoprotein].</t>
  </si>
  <si>
    <t>Probable transmembrane serine/threonine-protein kinase I PknI (protein kinase I) (STPK I) (phosphorylase B kinase kinase) (hydroxyalkyl-protein kinase)</t>
  </si>
  <si>
    <t>Rv2914c, (MTCY338.02c), len: 585 aa. Probable pknI, transmembrane serine/threonine-protein kinase (see citation below), ala-rich protein, highly similar to many in Mycobacterium tuberculosis and other bacteria e.g. Q9RLQ7|MBK putative serine/threonine protein kinase from Mycobacterium bovis BCG (291 aa), FASTA scores: opt: 376, E(): 1.1e-10, (36.95% identity in 287 aa overlap); P33973|PKN1_MYXXA serine/threonine-protein kinase from Myxococcus xanthus (693 aa), FASTA scores: opt: 286, E(): 5.4e-10, (29.9% identity in 374 aa overlap); P72003|PKNF_MYCTU|Rv1746|MT1788|MTCY28.09 probable serine/threonine-protein kinase from Mycobacterium tuberculosis (476 aa), FASTA scores: opt: 675, E(): 1.7e-24, (39.75% identity in 468 aa overlap); Q10697|PKNJ_MYCTU|Rv2088|MT2149|MTCY49.28 probable serine/threonine-protein kinase from Mycobacterium tuberculosis (589 aa), FASTA scores: opt: 574, E(): 1e-19, (34.85% identity in 479 aa overlap); etc. Equivalent to AAK47308 from Mycobacterium tuberculosis strain CDC1551 (603 aa) but shorter 18 aa. Contains Hank's kinase subdomain. Belongs to the Ser/Thr family of protein kinases.</t>
  </si>
  <si>
    <t>Rv2915c, (MTCY338.03c), len: 370 aa. Conserved protein, posssibly XAA-pro dipeptidase (prolidase), highly similar to CAC38796|SCI39.08c conserved hypothetical protein from Streptomyces coelicolor (363 aa), FASTA scores: opt: 1341, E(): 5.5e-76, (56.65% identity in 362 aa overlap); and similar to prolidases (XAA-pro dipeptidase) e.g. Q9ABC9|CC0300 putative XAA-pro dipeptidase from Caulobacter crescentus (428 aa), FASTA scores: opt: 327, E(): 7.4e-13, (30.2% identity in 374 aa overlap); Q97XD4 prolidase from Sulfolobus solfataricus (396 aa), FASTA scores: opt: 271, E(): 2.1e-09, (30.5% identity in 354 aa overlap); Q9WX55 prolidase from Microbacterium esteraromaticum (393 aa), FASTA scores: opt: 256, E(): 1.8e-08, (27.95% identity in 365 aa overlap); etc. Also similar to O53619|Rv0074|MTV030.18 conserved hypothetical protein from Mycobacterium tuberculosis (411 aa), FASTA scores: opt: 243, E(): 1.2e-07, (27.5% identity in 389 aa overlap).</t>
  </si>
  <si>
    <t>Necessary for efficient export of extra-cytoplasmic proteins. Binds to the signal sequence when it emerges from the ribosomes.</t>
  </si>
  <si>
    <t>Probable signal recognition particle protein Ffh (fifty-four homolog) (SRP protein)</t>
  </si>
  <si>
    <t>Rv2916c, (MTCY338.04c), len: 525 aa. Probable ffh, signal recognition particle (SRP) protein (ala-, gly-, leu-rich protein) (see citation below), equivalent to O33013|SR54_MYCLE signal recognition particle from Mycobacterium leprae (521 aa), FASTA scores: opt: 2968, E(): 1.6e-145, (87.85% identity in 526 aa overlap). Also highly similar to others e.g. O69874|FFH from Streptomyces coelicolor (550 aa), FASTA scores: opt: 2025, E(): 6e-97, (63.8% identity in 519 aa overlap) (N-terminus longer 34 aa); P37105|SR54_BACSU from Bacillus subtilis (446 aa), FASTA scores: opt: 1451, E(): 1.9e-67, (51.5% identity in 435 aa overlap); BAB57399|FFH from Staphylococcus aureus subsp. aureus Mu50 (455 aa), FASTA scores: opt: 1418, E(): 9.4e-66, (48.65% identity in 448 aa overlap); etc. Contains PS00017 ATP/GTP-binding site motif A (P-loop). Belongs to the SRP family of GTP-binding proteins. Note that signal recognition particle consists of a small cytoplasmic RNA (SC-RNA) molecule and protein FFH. The protein has a two domain structure: the G-domain binds GTP; the M-domain binds the RNA and also binds the signal sequence.</t>
  </si>
  <si>
    <t>Conserved hypothetical alanine and arginine rich protein</t>
  </si>
  <si>
    <t>Rv2917, (MTCY338.05), len: 626 aa. Conserved hypothetical ala-, arg-rich protein, highly similar (but longer 34 aa) to O33011|ML1624|MLCB250.18C hypothetical 65.2 KDA protein from Mycobacterium leprae (596 aa), FASTA scores: opt: 3117, E(): 9e-183, (79.8% identity in 584 aa overlap). Also highly similar to Q9S2E8|SCE19A.36C hypothetical 66.2 KDA protein from Streptomyces coelicolor (598 aa), FASTA scores: opt: 1921, E(): 1.1e-109, (56.08% identity in 567 aa overlap); and Q9S3Y6|SDRA SDRA protein from Streptomyces coelicolor (597 aa), FASTA scores: opt: 1896, E(): 3.6e-108, (55.75% identity in 567 aa overlap). And shows some similarity with others proteins from other organisms. Equivalent to AAK47311 putative RNA helicase from Mycobacterium tuberculosis strain CDC1551 (602 aa) but longer 24 aa. Contains PS00017 ATP/GTP-binding site motif A (P-loop).</t>
  </si>
  <si>
    <t>Modifies, by uridylylation or deuridylylation the PII (GLNB|Rv2919c) regulatory protein [catalytic activity: UTP + [protein-PII] = diphosphate + uridylyl-[protein-PII]].</t>
  </si>
  <si>
    <t>Probable [protein-PII] uridylyltransferase GlnD (PII uridylyl- transferase) (uridylyl removing enzyme) (UTASE)</t>
  </si>
  <si>
    <t>Rv2918c, (MTCY338.07c), len: 808 aa. Probable glnD, uridylyltransferase (ala-rich protein), similar to other uridylyltransferases e.g. O69873||SC2E1.02 from Streptomyces coelicolor (835 aa), FASTA scores: opt: 1473, E(): 2.8e-81, (41.03% identity in 858 aa overlap); P43919|GLND_HAEIN from Haemophilus influenzae (863 aa), FASTA scores: opt: 333, E(): 2.5e-12, (25.4% identity in 819 aa overlap); P27249|GLND_ECOLI|GLND|B0167 from Escherichia coli strain K12 (890 aa), FASTA scores: opt: 306, E(): 1.1e-10, (27.75% identity in 858 aa overlap); etc. Belongs to the GlnD family.</t>
  </si>
  <si>
    <t>In nitrogen-limiting conditions, when the ratio of GLN to 2-ketoglutarate decreases, P-II is uridylylated to P-II-UMP by GLND|Rv2918c. P-II-UMP allows the deadenylylation of glutamine synthetase (gs), thus activating the enzyme. Converserly, in nitrogen excess P-II is deuridylated and promotes the adenylation of gs. P-II indirectly controls the transcription of the gs gene (GLNA: four copies in the genome). P-II prevents NR-II catalyzed conversion of NR-I to NR-I-phosphate, the transcriptional activator of GLNA. When P-II is uridylylated to P-II-UMP, these events are reversed.</t>
  </si>
  <si>
    <t>Probable nitrogen regulatory protein P-II GlnB</t>
  </si>
  <si>
    <t>Rv2919c, (MTCY338.08c), len: 112 aa. Probable glnB, nitrogen regulatory protein, highly similar to others e.g. Q9X705|GLNB PII protein from Corynebacterium glutamicum (Brevibacterium flavum) (112 aa), FASTA scores: opt: 531, E(): 4.5e-30, (68.75% identity in 112 aa overlap); P21193|GLNB_AZOBR nitrogen regulatory protein P-II from Azospirillum brasilense (112 aa), FASTA scores: opt: 496, E(): 1.2e-27, (60.7% identity in 112 aa overlap); P05826|GLNB_ECOLI|B2553|Z3829|ECS3419|STY2808 nitrogen regulatory protein P-II from Escherichia coli strains K12 and O157:H7 (112 aa), FASTA scores: opt: 487, E(): 5.3e-27, (61.6% identity in 112 aa overlap); etc. Contains PS00496 P-II protein urydylation site. Belongs to the P(II) protein family.</t>
  </si>
  <si>
    <t>Thought to be involved in transport of ammonium across the membrane (export). Responsible for the translocation of the substrate across the membrane.</t>
  </si>
  <si>
    <t>Probable ammonium-transport integral membrane protein Amt</t>
  </si>
  <si>
    <t>Rv2920c, (MTCY338.09c), len: 477 aa. Probable amt, ammonium-transport integral membrane protein (ala-, gly-, leu-, val-rich protein), highly similar to others e.g. Q9ZBP6|SC7A1.27 ammonium transporter from Streptomyces coelicolor (448 aa), FASTA scores: opt: 1246, E(): 7.3e-67, (54.1% identity in 462 aa overlap); P54146|AMT_CORGL ammonium transport system from Corynebacterium glutamicum (452 aa), FASTA scores: opt: 953, E(): 2.1e-49, (41.45% identity in 475 aa overlap); Q07429|NRGA_BACSU probable ammonium transporter (membrane protein NRGA) from Bacillus subtilis (404 aa), FASTA scores: opt: 721, E(): 0, (44.4% identity in 430 aa overlap); etc. Belongs to the AMT1/MEP/NRGA family of ammonium transporters (TC 2.49).</t>
  </si>
  <si>
    <t>Probably involved in the reception and insertion of a subset of proteins at the membrane: possibly membrane receptor for FFH|Rv2916c.</t>
  </si>
  <si>
    <t>Probable cell division protein FtsY (SRP receptor) (signal recognition particle receptor)</t>
  </si>
  <si>
    <t>Rv2921c, (MTCY338.10c, MT2989), len: 422 aa. Probable ftsY, signal recognition particle (SRP) receptor, a membrane-associated cell division protein (see citation below), equivalent to O33010|FTSY_MYCLE cell division protein FTSY homolog from Mycobacterium leprae (430 aa), FASTA scores: opt: 1760, E(): 1.1e-108, (81.35% identity in 429 aa overlap). Also similar to others e.g. Q9I6C1|FTSY|PA0373 signal recognition particle receptor FTSY from Pseudomonas aeruginosa (455 aa), FASTA scores: opt: 882, E(): 5.1e-40, (42.08% identity in 385 aa overlap); Q9KVJ6|FTSY cell division protein from Vibrio cholerae (391 aa), FASTA scores: opt: 837, E(): 1.2e-37, (36.3% identity in 394 aa overlap); P10121|FTSY_ECOLI|FTSY|B3464 cell division protein from Escherichia coli strain K12 (497 aa), FASTA scores: opt: 800, E(): 1.3e-35, (39.75% identity in 327 aa overlap); etc. Also similar to Q9ZBP9|SC7A1.24 putative prokaryotic docking protein from Streptomyces coelicolor (412 aa), FASTA scores: opt: 1461, E(): 4.3e-71, (60.3% identity in 423 aa overlap). Contains PS00017 ATP/GTP-binding site motif A (P-loop), and PS00300 SRP54-type proteins GTP-binding domain signature. Belongs to the SRP family of GTP-binding proteins.</t>
  </si>
  <si>
    <t>acyP</t>
  </si>
  <si>
    <t>Rv2922A</t>
  </si>
  <si>
    <t>Involved in cellular metabolism [catalytic activity: an acylphosphate + H(2)O = a fatty acid anion + orthophosphate].</t>
  </si>
  <si>
    <t>Probable acylphosphatase AcyP (acylphosphate phosphohydrolase)</t>
  </si>
  <si>
    <t>Rv2922A, len: 93 aa. Probable acyP, acylphosphatase (acylphosphate phosphohydrolase), highly similar to others e.g. Q9ZBQ3|SC7A1.20 putative acylphosphatase from Streptomyces coelicolor (93 aa), FASTA scores: opt: 345, E(): 9.5e-19, (58.9% identity in 90 aa overlap); P75877|ACYP_ECOLI|YCCX|B0968|Z1320|ECS1052 putative acylphosphatase from Escherichia coli strains K12 and O157:H7 (92 aa), FASTA scores: opt: 220, E(): 2e-09, (44.95% identity in 89 aa overlap); Q9RVU3|DR0929 putative acylphosphatase from Deinococcus radiodurans (87 aa), FASTA scores: opt: 193, E(): 2.1e-07, (44.3% identity in 79 aa overlap); etc. Belongs to the acylphosphatase family.</t>
  </si>
  <si>
    <t>Plays an important role in chromosome structure and partitioning. Essential for chromosome partition.</t>
  </si>
  <si>
    <t>Probable chromosome partition protein Smc</t>
  </si>
  <si>
    <t>Rv2922c, (MT2990, MTCY338.11c), len: 1205 aa. Probable smc, chromosome partition protein (ala-, arg-, leu-, glu-rich protein, possibly coiled-coil protein) (see * below), equivalent (but longer 84 aa) to Q9CBT5|SMC|ML1629|MLCB250.01 possible cell division protein from Mycobacterium leprae (1203 aa), FASTA scores: opt: 5957, E(): 0, (79.15% identity in 1205 aa overlap). Also highly similar to other chromosome segregation proteins e.g. Q9ZBQ2|SC7A1.21 putative chromosome associated protein from Streptomyces coelicolor (1186 aa), FASTA scores: opt: 2633, E(): 4.1e-120, (53.03% identity in 1205 aa overlap); P51834|SMC_BACSU chromosome partition protein from Bacillus subtilis (1186 aa), FASTA scores: opt: 1009, E(): 2.1e-41, (30.75% identity in 1205 aa overlap); Q9CHC9|SMC chromosome segregation protein from Lactococcus lactis (subsp. lactis) (Streptococcus lactis) (924 aa), FASTA scores: opt: 996, E(): 7.5e-41, (29.75% identity in 874 aa overlap); etc. Equivalent to AAK47317 from Mycobacterium tuberculosis strain CDC1551 (1205 aa) but longer 84 aa. Contains PS00017 ATP/GTP-binding site motif A (P-loop). Belongs to the SMC family. N-terminus shortened since first submission. [* Note: Unpublished. Cobbe N., Heck M.M.S.- Phylogenetic analysis of SMC proteins (OCT-2001)].</t>
  </si>
  <si>
    <t>Rv2923c, (MTCY338.12c), len: 137 aa. Conserved protein, showing similarity with other hypothetical proteins e.g. P24246|YHFA_ECOLI|B3356|Z4717|ECS4207 from Escherichia coli strains K12 and O157:H7 (134 aa), FASTA scores: opt: 110, E(): 1.9, (25.9% identity in 135 aa overlap); etc.</t>
  </si>
  <si>
    <t>Involved in base excision repair (repair of oxidized purines). This enzyme may play a significant role in processes leading to recovery from mutagenesis and/or cell death by alkylating agents [catalytic activity hydrolysis of DNA containing ring-opened N7-methylguanine residues, releasing 2,6-diamino-4-hydroxy-5-(N-methyl)formamidopyrimide].</t>
  </si>
  <si>
    <t>Probable formamidopyrimidine-DNA glycosylase Fpg (FAPY-DNA glycosylase)</t>
  </si>
  <si>
    <t>Rv2924c, (MTCY338.13c), len: 289 aa. Probable fpg (alternate gene name: mutM), formamidopyrimidine-DNA glycosylase (see citation below), equivalent to O69470|FPG_MYCLE formamidopyrimidine-DNA glycosylase from Mycobacterium leprae (282 aa), FASTA scores: opt: 1563, E(): 1.3e-96, (80.6% identity in 289 aa overlap). Also highly similar to other formamidopyrimidine-DNA glycosylases e.g. Q9ZBQ6|FPG_STRCO from Streptomyces coelicolor (286 aa), FASTA scores: opt: 1047, E(): 2.9e-62, (57.55% identity in 292 aa overlap); P95744|FPG_SYNEN from Synechococcus elongatus naegeli (284 aa), FASTA scores: opt: 569, E(): 1.9e-30, (37.95% identity in 290 aa overlap); P05523|FPG_ECOLI|MUTM|FPG|B3635 from Escherichia coli strain K12 (269 aa), FASTA scores: opt: 424, E(): 8.2e-21, (33.9% identity in 289 aa overlap); etc. Belongs to the FPG family. Cofactor: binds 1 zinc ion.</t>
  </si>
  <si>
    <t>Digests double-stranded RNA. Involved in the processing of ribosomal RNA precursors and of some mRNAs [catalytic activity: endonucleolytic cleavage to 5'-phosphomonoester].</t>
  </si>
  <si>
    <t>Probable ribonuclease III Rnc (RNase III)</t>
  </si>
  <si>
    <t>Rv2925c, (MTCY338.14c), len: 240 aa. Probable rnc, ribonuclease III (RNase III), equivalent to O69469|RNC_MYCLE ribonuclease III from Mycobacterium leprae (238 aa). Also highly similar to other ribonucleases III e.g. Q9ZBQ7|RNC_STRCO from Streptomyces coelicolor (272 aa), FASTA scores: opt: 889, E(): 5.4e-51, (62.2% identity in 225 aa overlap) (N-terminus longer 21 aa); P51833|RNC_BACSU from Bacillus subtilis (249 aa), FASTA scores: opt: 493, E(): 5e-25, (43.25% identity in 215 aa overlap); P05797|RNC_ECOLI|RNC|B2567|Z3848|ECS3433 from Escherichia coli strain O157:H7 and K12 (226 aa), FASTA scores: opt: 459, E(): 7.9e-23, (41.8% identity in 213 aa overlap); etc. Contains PS00517 Ribonuclease III family signature.</t>
  </si>
  <si>
    <t>Rv2926c, (MTCY338.15c), len: 207 aa. Conserved protein, equivalent to O69468|ML1660|MLCB1243.14 hypothetical 23.5 KDA protein from Mycobacterium leprae (217 aa), FASTA scores: opt: 866, E(): 1.4e-48, (67.2% identity in 192 aa overlap). Also similar in part to other hypothetical proteins e.g. Q9WXZ8 conserved hypothetical protein from Thermotoga maritima (182 aa), FASTA scores: opt: 254, E(): 3.4e-09, (31.45% identity in 143 aa overlap); Q9ZBQ9|SC7A1.14 hypothetical 23.5 KDA protein from Streptomyces coelicolor (217 aa), FASTA scores: opt: 244, E(): 1.7e-08, (45.5% identity in 189 aa overlap); O65982 hypothetical 26.2 KDA protein from Clostridium thermosaccharolyticum (Thermoanaerobacterium thermosaccharolyticum) (228 aa), FASTA scores: opt: 220, E(): 6.1e-07, (32.45% identity in 148 aa overlap); etc. Equivalent to AAK47323 from Mycobacterium tuberculosis strain CDC1551 (195 aa) but longer 12 aa.</t>
  </si>
  <si>
    <t>Rv2927c, (MTCY338.16c), len: 245 aa. Conserved hypothetical protein, equivalent to Q9CBS6|ML1661|MLCB1243.13 (alias O69467) hypothetical protein from Mycobacterium leprae (247 aa), FASTA scores: opt: 1440, E(): 4.9e-76, (90.6% identity in 245 aa overlap). Also similar to many hypothetical proteins from other organisms e.g. Q9ZBR0|SC7A1.13 hypothetical 41.0 KDA protein from Streptomyces coelicolor (379 aa), FASTA scores: opt: 266, E(): 3.4e-08, (29.9% identity in 234 aa overlap); etc. Also some similarity with P46815|AG84_MYCLE|ML0922 antigen 84 from Mycobacterium leprae (266 aa), FASTA scores: opt: 193, E(): 0.00043, (28.7% identity in 136 aa overlap) (see citation below); and P46816|AG84_MYCTU|WAG31|Rv2145c|MT2204|MTCY270.23 antigen 84 from Mycobacterium tuberculosis (260 aa), FASTA scores: opt: 178, E(): 0.0031, (34.35% identity in 131 aa overlap) (see citation below). Contains potential coiled-coil region.</t>
  </si>
  <si>
    <t>Probably involved in biosynthesis of phthiocerol dimycocerosate (PDIM)</t>
  </si>
  <si>
    <t>Probable thioesterase TesA</t>
  </si>
  <si>
    <t>Rv2928, (MTCY338.17), len: 261 aa. Probable tesA, thioesterase, similar to many e.g. Q9L4W2|NYSE thioesterase involved in synthesis of the polyene antifungal antibiotic nystatin from Streptomyces noursei (see Brautaset et al., 2000) (251 aa). TesA|Rv2928 interacts with PpsE|Rv2935, by bacterial two-hybrid and GST-pulldown assays (See Rao and Ranganathan, 2004).</t>
  </si>
  <si>
    <t>Rv2929, (MTCY338.18), len: 103 aa. Hypothetical unknown protein; some weak similarity to C-terminal half of P18319|UREG_KLEAE urease accessory protein from klebsiella aerogenes (205 aa), FASTA scores: opt: 99, E(): 1.1, (38.6% identity in 57 aa overlap). This region is a possible MT-complex-specific genomic island (See Becq et al., 2007).</t>
  </si>
  <si>
    <t>Involved in phthiocerol dimycocerosate (dim) biosynthesis, possibly by activating substrates for the PPS polyketides synthase.</t>
  </si>
  <si>
    <t>Fatty-acid-AMP ligase FadD26 (fatty-acid-AMP synthetase) (fatty-acid-AMP synthase)</t>
  </si>
  <si>
    <t>Rv2930, (MT2999, MTCY338.19), len: 583 aa. FadD26, fatty-acid-AMP synthetase, equivalent to Q9Z5K5|FADD26|ML2358|MLCB12.03c probable acyl-CoA synthase from Mycobacterium leprae (583 aa), FASTA scores: opt: 3026, E(): 9.2e-180, (76.85% identity in 583 aa overlap). Also highly similar to many e.g. Q9CD84|ML0132 putative acyl-CoA synthetase from Mycobacterium leprae (680 aa), FASTA scores: opt: 2324, E(): 3.2e-136, (61.35% identity in 572 aa overlap); P71495 acyl-CoA synthase from Mycobacterium bovis (582 aa), FASTA scores: opt: 2304, E(): 5e-135, (59.85% identity in 583 aa overlap); etc. Also highly similar to others from Mycobacterium tuberculosis e.g. Q50586|FD25_MYCTU|RV1521|MTCY19G5.07 putative fatty-acid--CoA ligase (583 aa), FASTA scores: opt: 2188, E(): 7.6e-128, (57.55% identity in 584 aa overlap); etc. Belongs to the ATP-dependent AMP-binding enzyme family. N-terminus shortened since first submission. Note that Rv2930|fadD26 belongs to the transcriptional unit Rv2930|fadD26-Rv2939|papA5 (proven experimentally).</t>
  </si>
  <si>
    <t>Involved in phenolpthiocerol and phthiocerol dimycocerosate (dim) biosynthesis: extension of C18 with malony CoA (partial reduction).</t>
  </si>
  <si>
    <t>Phenolpthiocerol synthesis type-I polyketide synthase PpsA</t>
  </si>
  <si>
    <t>Rv2931, (MTCY338.20), len: 1876 aa. PpsA, type-I polyketide synthase (see citations below), highly similar to others from Mycobacterium leprae e.g. Q9Z5K6|ML2357|MLCB12.02c putative polyketide synthase from Mycobacterium leprae (1871 aa), FASTA scores: opt: 7566, E(): 0, (76.1% identity in 1888 aa overlap); Q9S384|ML2356|MLCB12.01c putative polyketide synthase from Mycobacterium leprae (1540 aa), FASTA scores: opt: 4026, E(): 9.8e-212, (45.7% identity in 1811 aa overlap); Q49932|PKSC|L518_F1_2 putative polyketide synthase (1446 aa), FASTA scores: opt: 4026, E(): 9.4e-212, (70.6% identity in 885 aa overlap). Also similar to polyketide synthases from other bacteria e.g. C-terminus of Q9L8C7|EPOC polyketide synthase from Polyangium cellulosum (7257 aa), FASTA scores: opt: 2592, E(): 5.2e-133, (32.55% identity in 2245 aa overlap); P22367|MSAS_PENPA 6-methylsalicylic acid synthase from Penicillium patulum (Penicillium griseofulvum) (1774 aa), FASTA scores: opt: 2391, E(): 0, (34.2% identity in 1815 aa overlap); etc. And also highly similar to others from Mycobacterium tuberculosis e.g. Q10978|PPSB_MYCTU|RV2932 phenolpthiocerol synthesis polyketide synthase (1538 aa), FASTA scores: opt: 4227, E(): 0, (46.8% identity in 1810 aa overlap) (gap in middle); etc. Contains PS00606 Beta-ketoacyl synthases active site, and PS00012 Phosphopantetheine attachment site. Note that Rv2931|ppsA belongs to the transcriptional unit Rv2930|fadD26-Rv2939|papA5 (proven experimentally).</t>
  </si>
  <si>
    <t>Involved in phenolpthiocerol and phthiocerol dimycocerosate (dim) biosynthesis: extension with malony CoA (partial reduction).</t>
  </si>
  <si>
    <t>Phenolpthiocerol synthesis type-I polyketide synthase PpsB</t>
  </si>
  <si>
    <t>Rv2932, (MTV011.01, MTCY338.21, MT3002), len: 1538 aa. PpsB, type-I polyketide synthase (see citations below), highly similar to others from Mycobacterium leprae e.g. Q9S384|ML2356|MLCB12.01c putative polyketide synthase (1540 aa), FASTA scores: opt: 7284, E(): 0, (76.3% identity in 1561 aa overlap); Q49932|PKSC|L518_F1_2 putative polyketide synthase (1446 aa), FASTA scores: opt: 6811, E(): 0, (76.2% identity in 1462 aa overlap); etc. Also similar to polyketide synthases from other bacteria e.g. Q9KIZ6|EPOE EPOE protein from Polyangium cellulosum (3798 aa), FASTA scores: opt: 3052, E(): 3.3e-165, (38.35% identity in 1538 aa overlap); etc. And also highly similar to others from Mycobacterium tuberculosis e.g. Q10977|PPSA_MYCTU|RV2931 phenolpthiocerol synthesis polyketide synthase (1876 aa), FASTA scores: opt: 4227, E(): 0, (46.9% identity in 1810 aa overlap); P96203|PPSD|Rv2934|MTCY19H9.02 PKSE protein (1827 aa), FASTA scores: opt: 3756, E(): 1.8e-205, (42.9% identity in 1808 aa overlap); etc. Overlaps and extends CDS from neighbouring cosmid MTCY338.21. Contains PS00606 Beta-ketoacyl synthases active site. Note that Rv2932|ppsB belongs to the transcriptional unit Rv2930|fadD26-Rv2939|papA5 (proven experimentally). Nucleotide position 3254365 in the genome sequence has been corrected, T:C resulting in L1098L.</t>
  </si>
  <si>
    <t>Involved in phenolpthiocerol and phthiocerol dimycocerosate (dim) biosynthesis: extension with malony CoA (complete reduction).</t>
  </si>
  <si>
    <t>Phenolpthiocerol synthesis type-I polyketide synthase PpsC</t>
  </si>
  <si>
    <t>Rv2933, (MTCY19H9.01, MTV011.02), len: 2188 aa. ppsC, type-I polyketide synthase (see citations below), highly similar to others from Mycobacterium leprae e.g. Q49933|PKSD|ML2355|L518_F1_3 putative polyketide synthase (2201 aa), FASTA scores: opt: 6973, E(): 0, (82.32% identity in 2217 aa overlap); Q49624|PKS3|MASA|ML1229|B1170_C2_209 probable mycocerosic acid synthase (2118 aa), FASTA scores: opt: 4015, E(): 2.9e-208, (36.6% identity in 2184 aa overlap); etc. Also similar to polyketide synthases from other bacteria e.g. C-terminus of Q9L8C7 polyketide synthase from Polyangium cellulosum (7257 aa), FASTA scores: opt: 3909, E(): 3.6e-202, (40.15% identity in 2220 aa overlap); Q9KIZ7|EPOD EPOD protein from Polyangium cellulosum (7257 aa), FASTA scores: opt: 3886, E(): 6.2e-201, (40.05% identity in 2220 aa overlap); etc. And also highly similar to others from Mycobacterium tuberculosis e.g. P96291|Rv2940c (2111 aa), FASTA scores: opt: 4204, E(): 0, (39.1% identity in 2176 aa overlap); Q10977|PPSA_MYCTU|RV2931 phenolpthiocerol synthesis polyketide synthase (1876 aa), FASTA scores: opt: 3793, E(): 2.4e-196, (46.65% identity in 1612 aa overlap); etc. Contains PS00606 Beta-ketoacyl synthases active site, and PS00012 Phosphopantetheine attachment site. Note that Rv2933|ppsC belongs to the transcriptional unit Rv2930|fadD26-Rv2939|papA5 (proven experimentally).</t>
  </si>
  <si>
    <t>Involved in phenolpthiocerol and phthiocerol dimycocerosate (dim) biosynthesis: extension with methylmalony CoA (partial reduction).</t>
  </si>
  <si>
    <t>Phenolpthiocerol synthesis type-I polyketide synthase PpsD</t>
  </si>
  <si>
    <t>Rv2934, (MTCY19H9.02), len: 1827 aa. PpsD, type-I polyketide synthase (see citations below), highly similar to others from Mycobacterium leprae e.g. Q9CB70|ML2354 polyketide synthase (1822 aa), FASTA scores: opt: 9779, E(): 0, (80.35% identity in 1836 aa overlap); Q49940|L518_F3_67|PFSE (1815 aa), FASTA scores: opt: 9658, E(): 0, (79.85% identity in 1831 aa overlap); etc. Also similar to polyketide synthases from other bacteria e.g. C-terminus of Q9RNB2|MCYD|Q9FDU1 polyketide synthase (MCYD protein) from Microcystis aeruginosa (3906 aa), FASTA scores: opt: 2961, E(): 6e-159, (32.15% identity in 1827 aa overlap); etc. And also highly similar to others from Mycobacterium tuberculosis e.g. Q10978|PPSB_MYCTU|RV2932 phenolpthiocerol synthesis polyketide synthase (1538 aa), FASTA scores: opt: 3756, E(): 3.8e-204, (42.85% identity in 1808 aa overlap) (gaps in middle); P96202|PPSC|RV2933 polyketide synthase (2188 aa), FASTA scores: opt: 3463, E(): 1.7e-187, (39.2% identity in 2165 aa overlap); etc. Contains PS00606 Beta-ketoacyl synthases active site, PS00017 ATP/GTP-binding site motif A, PS00013 Prokaryotic membrane lipoprotein lipid attachment site, and PS00012 Phosphopantetheine attachment site. Note that Rv2934|ppsD belongs to the transcriptional unit Rv2930|fadD26-Rv2939|papA5 (proven experimentally).</t>
  </si>
  <si>
    <t>Involved in phenolpthiocerol and phthiocerol dimycocerosate (dim) biosynthesis: extension with malony CoA (partial reduction, decarboxylation).</t>
  </si>
  <si>
    <t>Phenolpthiocerol synthesis type-I polyketide synthase PpsE</t>
  </si>
  <si>
    <t>Rv2935, (MTCY19H9.03), len: 1488 aa. PpsE, type-I polyketide synthase (see citations below). Contains PS00606 Beta-ketoacyl synthases active site. Note that Rv2935|ppsE belongs to the transcriptional unit Rv2930|fadD26-Rv2939|papA5 (proven experimentally). TesA|Rv2928 interacts with PpsE|Rv2935, by bacterial two-hybrid and GST-pulldown assays (See Rao and Ranganathan, 2004).</t>
  </si>
  <si>
    <t>Probably involved in active transport of antibiotic and phthiocerol dimycocerosate (dim) across the membrane (export). DRRA, DRRB|Rv2936|MTCY19H9.05 and DRRC|Rv2938|MTCY19H9.06 may act jointly to confer daunorubicin and doxorubicin resistance by an export mechanism. Responsible for energy coupling to the transport system.</t>
  </si>
  <si>
    <t>Daunorubicin-dim-transport ATP-binding protein ABC transporter DrrA</t>
  </si>
  <si>
    <t>Rv2936, (MTCY19H9.04), len: 331 aa. drrA, daunorubicin-dim-transport resistance ATP-binding protein ABC transporter, probably involved in daunorubicin resistance and phthiocerol dimycocerosate transport (see citations below), equivalent to Q49938|DRRA|ML2352|L518_F2_43|DRRA probable daunorubicin resistance ATP-binding protein from Mycobacterium leprae (331 aa), FASTA scores: opt: 1842, E(): 4.2e-103, (85.2% identity in 331 aa overlap). Also highly similar to others e.g. Q9XCF7 DRRA from Mycobacterium avium (315 aa), FASTA scores: opt: 1040, E(): 4.7e-55, (54.35% identity in 309 aa overlap); Q9X5J8 daunorubicin resistance protein A from Mycobacterium avium (315 aa), FASTA scores: opt: 1030, E(): 1.9e-54, (53.7% identity in 309 aa overlap); P32010|DRRA_STRPE daunorubicin resistance ATP-binding protein from Streptomyces peucetius (330 aa), FASTA scores: opt: 852, E(): 9e-44, (47.15% identity in 318 aa overlap); etc. Contains PS00017 ATP/GTP-binding site motif A (P-loop), and PS00211 ABC transporters family signature. Belongs to the ATP-binding transport protein family (ABC transporters). Note that Rv2936|drrA belongs to the transcriptional unit Rv2930|fadD26-Rv2939|papA5 (proven experimentally).</t>
  </si>
  <si>
    <t>Probably involved in active transport of antibiotic and phthiocerol dimycocerosate (dim) across the membrane (export). DRRA|Rv2934|MTCY19H9.04, DRRB and DRRC|Rv2938|MTCY19H9.06 may act jointly to confer daunorubicin and doxorubicin resistance by an export mechanism. Probably responsible for the translocation of the substrate across the membrane and localization of dim into the cell wall.</t>
  </si>
  <si>
    <t>Daunorubicin-dim-transport integral membrane protein ABC transporter DrrB</t>
  </si>
  <si>
    <t>Rv2937, (MTCY19H9.05), len: 289 aa. drrB, daunorubicin-dim-transport integral membrane protein ABC transporter, probably involved in daunorubicin resistance and phthiocerol dimycocerosate transport (see citations below), equivalent to Q49935|DRRB|ML2351|L518_F1_9 daunorubicin resistance transmembrane protein from Mycobacterium leprae (288 aa), FASTA scores: opt: 1252, E(): 5.3e-72, (64.0% identity in 289 aa overlap). Also similar to others e.g. Q9XCF8 DRRB protein from Mycobacterium avium (246 aa), FASTA scores: opt: 423, E(): 1.5e-19, (30.85% identity in 243 aa overlap); Q9S6H4 daunorubicin resistance protein B from Mycobacterium avium (246 aa), FASTA scores: opt: 420, E(): 2.3e-19, (30.85% identity in 243 aa overlap); P32011|DRRB_STRPE daunorubicin resistance transmembrane protein from Streptomyces peucetius (283 aa), FASTA scores: opt: 242, E(): 4.7e-08, (27.85% identity in 219 aa overlap); etc. Note that Rv293|drrB belongs to the transcriptional unit Rv2930|fadD26-Rv2939|papA5 (proven experimentally).</t>
  </si>
  <si>
    <t>Probably involved in active transport of antibiotic and phthiocerol dimycocerosate (dim) across the membrane (export). DRRA|Rv2934|MTCY19H9.04, DRRB|Rv2937|MTCY19H9.05 and DRRC may act jointly to confer daunorubicin and doxorubicin resistance by an export mechanism. Probably responsible for the translocation of the substrate across the membrane and localization of dim into the cell wall.</t>
  </si>
  <si>
    <t>Probable daunorubicin-dim-transport integral membrane protein ABC transporter DrrC</t>
  </si>
  <si>
    <t>Rv2938, (MTCY19H9.06), len: 276 aa. Probable drrC, daunorubicin-dim-transport integral membrane protein ABC transporter, probably involved in daunorubicin resistance and phthiocerol dimycocerosate transport (see citations below), equivalent to Q9CB71|ML2350 probable antibiotic resistance membrane protein from Mycobacterium leprae (276 aa), FASTA scores: opt: 1434, E(): 1.2e-81, (79.0% identity in 276 aa overlap); and Q49941|DRRC|L518_F3_76 putative daunorubicin resistance transmembrane protein from Mycobacterium leprae (244 aa), FASTA scores: opt: 1194, E(): 8.3e-67, (76.85% identity in 242 aa overlap). Also similar to others e.g. Q9XCF9 DRRC protein from Mycobacterium avium (263 aa), FASTA scores: opt: 538, E(): 3.7e-26, (32.65% identity in 251 aa overlap); Q9S6H3 daunorubicin resistance protein C from Mycobacterium avium (263 aa), FASTA scores: opt: 533, E(): 7.6e-26, (32.25% identity in 251 aa overlap); P32011|DRRB_STRPE daunorubicin resistance transmembrane protein from Streptomyces peucetius (283 aa), FASTA scores: opt: 276, E(): 6.6e-10, (21.07% identity in 261 aa overlap); etc. Note that Rv2938|drrC belongs to the transcriptional unit Rv2930|fadD26-Rv2939|papA5 (proven experimentally).</t>
  </si>
  <si>
    <t>Thought to be involved in phthiocerol dimycocerosate (dim) biosynthesis.</t>
  </si>
  <si>
    <t>Possible conserved polyketide synthase associated protein PapA5</t>
  </si>
  <si>
    <t>Rv2939, (MTCY19H9.07), len: 422 aa. Possible papA5, conserved polyketide synthase (PKS) associated protein (see Camacho et al., 2001), equivalent to Q49939 hypothetical 45.6 KDA protein from Mycobacterium leprae (423 aa), FASTA scores: opt: 2398, E(): 4.5e-144, (84.05% identity in 426 aa overlap); and Q02279|YMA3_MYCBO hypothetical 38.1 KDA protein from Mycobacterium bovis (354 aa), FASTA scores: opt: 2193, E(): 3.6e-131, (97.4% identity in 343 aa overlap). And C-terminus highly similar to to Q9S381 hypothetical 5.0 KDA protein (fragment) from Mycobacterium leprae (44 aa), FASTA scores: opt: 275, E(): 1.4e-10, (88.65% identity in 44 aa overlap). Also similar in part to various synthetases e.g. Q9AE01|RIF20 RIF20 protein from Amycolatopsis mediterranei (Nocardia mediterranei) (403 aa), FASTA scores: opt: 282, E(): 2.7e-10, (30.3% identity in 393 aa overlap); middle part of Q00869|ESYN1 enniatin sythetase (fragment) (N-methyl peptide synthetase) from Fusarium equiseti (3131 aa), FASTA scores: opt: 180, E(): 0.0036, (26.85% identity in 242 aa overlap); N-terminus of Q9FB18 peptide synthetase NRPS2-1 from Streptomyces verticillus (2626 aa), FASTA scores: opt: 159, E(): 0.068, (23.65% identity in 351 aa overlap); etc. Note that Rv2939|papA5 belongs to the transcriptional unit Rv2930|fadD26-Rv2939|papA5 (proven experimentally).</t>
  </si>
  <si>
    <t>Catalyzes the elongation of N-fatty acyl-CoA with methylamalonyl-CoA (not malonyl-CoA) as the elongating agent to form mycocerosyl lipids.</t>
  </si>
  <si>
    <t>Probable multifunctional mycocerosic acid synthase membrane-associated Mas</t>
  </si>
  <si>
    <t>Rv2940c, (MTCY24G1.09, MTCY19H9.08c), len: 2111 aa. Probable mas, mycocerosic acid synthase membrane associated, multifunctional enzyme (see citations below), almost identical to Q02251|MCAS_MYCBO|mas mycocerosic acid synthase from Mycobacterium bovis (2110 aa), FASTA scores: opt: 13226, E(): 0, (95.8% identity in 2115 aa overlap) (see Mathur &amp; Kolattukudy 1992); and equivalent to Q9CD78|mas|ML0139 putative mycocerosic synthase from Mycobacterium leprae (2116 aa), FASTA scores: opt: 12142, E(): 0, (87.95% identity in 2119 aa overlap); and Q49624|PKS3|MASA|ML1229|B1170_C2_209 probable mycocerosic acid synthase from Mycobacterium leprae (2118 aa), FASTA scores: opt: 8421, E(): 0, (60.8% identity in 2127 aa overlap). Also similar to other synthases e.g. C-terminus of Q9L8C7|EPOC polyketide synthase from Polyangium cellulosum (7257 aa), FASTA scores: opt: 4332, E(): 0, (40.85% identity in 2149 aa overlap); etc. Also similar to others from Mycobacterium tuberculosis e.g. O53901|PKS5|Rv1527c|MTV045.01c|MTCY19G5.01 polyketide synthase (2108 aa), FASTA scores: opt: 5059, E(): 0, (65.9% identity in 2121 aa overlap); etc. Contains several domains, organized in the following order: beta-ketoacyl synthase (PS00606), acyl transferase, dehydratase-enoyl reductase, beta-ketoreductase, acyl carrier protein. Contains PS00012 Phosphopantetheine attachment site.</t>
  </si>
  <si>
    <t>Involved in phthiocerol dimycocerosate (dim) biosynthesis. Thought to be involved in the release and transfer of mycoserosic acid from mas onto the DIOLS.</t>
  </si>
  <si>
    <t>Fatty-acid-AMP ligase FadD28 (fatty-acid-AMP synthetase) (fatty-acid-AMP synthase)</t>
  </si>
  <si>
    <t>Rv2941, (MTCY24G1.08c), len: 580 aa. FadD28 (alternate gene name: acoas), fatty-acid-AMP synthetase (see citations below), almost identical to P71495 acyl-CoA synthase from Mycobacterium bovis (582 aa), FASTA scores: opt: 3828, E(): 0, (99.15% identity in 580 aa overlap); and equivalent to Q9CD79|FADD28|ML0138 acyl-CoA synthetase from Mycobacterium leprae (579 aa), FASTA scores: opt: 3183, E(): 8.8e-186, (81.9% identity in 580 aa overlap). And also highly similar to others Mycobacteria proteins e.g. O07797|FADD23|Rv3826|MTCY409.04c putative fatty-acid-CoA synthetase from Mycobacterium tuberculosis (584 aa); etc. Contains PS00018 EF-hand calcium-binding domain. Note that Rv2941|fadD28 and Rv2942|mmpL7 are transcriptionally coupled (proven experimentally).</t>
  </si>
  <si>
    <t>Involved in translocation of phthiocerol dimycocerosate (dim) in the cell wall.</t>
  </si>
  <si>
    <t>Conserved transmembrane transport protein MmpL7</t>
  </si>
  <si>
    <t>Rv2942, (MTCY24G1.07c), len: 920 aa. MmpL7, conserved transmembrane transport protein (see citations below), member of RND superfamily, highly similar to Q9XB10 hypothetical 99.5 KDA protein from Mycobacterium bovis BCG (945 aa), FASTA scores: opt: 488, E(): 4.9e-20, (29.5% identity in 918 aa overlap); and to others from Mycobacteria e.g. O53735|MML4_MYCTU from Mycobacterium tuberculosis (945 aa), FASTA scores: opt: 481, E(): 1.2e-19, (25.9% identity in 922 aa overlap); etc. Also similar to other membrane proteins e.g. O54101|MMLB_STRCO|SC10A5.10c putative membrane protein from Streptomyces coelicolor (847 aa), FASTA scores: opt: 256, E(): 7.2e-07, (25.15% identity in 545 aa overlap); etc. Contains PS00639 Eukaryotic thiol (cysteine) proteases histidine active site, PS00079 Multicopper oxidases signature 1, and PS00044 Bacterial regulatory proteins, lysR family signature. Belongs to the MmpL family. Note that Rv2941|fadD28 and Rv2942|mmpL7 are transcriptionally coupled (proven experimentally).</t>
  </si>
  <si>
    <t>Required for the transposition of the insertion element IS1533.</t>
  </si>
  <si>
    <t>Probable transposase for insertion sequence element IS1533</t>
  </si>
  <si>
    <t>Rv2943, (MTCY24G1.06c), len: 413 aa. Probable transposase for insertion sequence IS1533, similar to other transposases e.g. P15025|ISTA_ECOLI ista protein (insertion sequence IS21) from Escherichia coli (390 aa), FASTA scores: opt: 268, E(): 5.1e-11, (24.1% identity in 378 aa overlap). Contains potential helix-turn-helix motif at aa 19-40 (Score 1611, +4.67 SD).</t>
  </si>
  <si>
    <t>Rv2943A</t>
  </si>
  <si>
    <t>Rv2943A, len: 176 aa. Possible transposase, similar to many e.g. AJ238712|MBO238712_2 putative transposase (IS21-l) from Mycobacterium bovis BCG (266 aa), FASTA scores: opt: 762, E(): 0, (100.0% identity in 118 aa overlap). Possible frameshift after codon 118 i.e. near position 3290056, to fuse with Rv2944.</t>
  </si>
  <si>
    <t>Rv2944</t>
  </si>
  <si>
    <t>Required for the transposition of the insertion element IS1533</t>
  </si>
  <si>
    <t>Possible transposase for insertion sequence element IS1533</t>
  </si>
  <si>
    <t>Rv2944, (MTCY24G1.05c), len: 238 aa. Possible transposase for IS1533, similar to is-element proteins e.g. P15026|ISTB_ECOLI istb protein from Escherichia coli (265 aa), FASTA scores: opt: 475, E (): 1.6e-21, (48.0% identity in 148 aa overlap); Z95436|MTY15C10_14 from Mycobacterium tuberculosis (248 aa), FASTA scores: opt: 784, E(): 0, (87.4% identity in 135 aa overlap). Contains PS00017 ATP/GTP-binding site motif A (P-loop).</t>
  </si>
  <si>
    <t>Probable conserved lipoprotein LppX</t>
  </si>
  <si>
    <t>Rv2945c, (MTCY24G1.04), len: 233 aa. Probable lppX, conserved lipoprotein, equivalent to Q9CD80 putative lipoprotein from Mycobacterium leprae (233 aa), FASTA scores: opt: 1165, E(): 2.1e-65, (76.4% identity in 233 aa overlap); and similar to Q9CCP6|ML0557 from Mycobacterium leprae (238 aa), FASTA scores: opt: 338, E(): 7.4e-14, (30.75% identity in 231 aa overlap). Also similar to others from Mycobacterium tuberculosis e.g. P71679|LPRG_MYCTU lipoprotein (236 aa), FASTA scores: opt: 342, E(): 4.1e-14, (32.05% identity in 231 aa overlap); etc. Contains PS00013 Prokaryotic membrane lipoprotein lipid attachment site, and has in its N-terminal a signal peptide. Belongs to the LPPX/lprafg family of lipoproteins. A core mycobacterial gene; conserved in mycobacterial strains (See Marmiesse et al., 2004).</t>
  </si>
  <si>
    <t>Polyketide synthase possibly involved in lipid synthesis</t>
  </si>
  <si>
    <t>Probable polyketide synthase Pks1</t>
  </si>
  <si>
    <t>Rv2946c, (MTCY24G1.03), len: 1616 aa. Probable pks1, polyketide synthase, similar to many e.g. ML035|AL583917|Q9CD81 putative polyketide synthase from Mycobacterium leprae (2103 aa), Fasta scores: opt: 8761, E(): 0, (82.6% identity in 1620 aa overlap); etc. Almost identical in part to G560507|Q50470 PKS002C protein from Mycobacterium tuberculosis (fragment) (950 aa), Fasta scores: opt: 5685, E(): 0, (95.3% identity in 927 aa overlap). Also similar to Mycobacterium tuberculosis polyketide synthases pks7|Rv1661|P94996 (2126 aa) (54.6% identity in 1632 aa); pks12|Rv2048c|O53490 (4151 aa) (58.0% identity in 1606 aa); pks8|rv1662|O65933 (1602 aa) (59.7% identity in 1144 aa). Contains a PS00012 Phosphopantetheine attachment site. Note pks1 has been shown to be involved in the biosynthesis of phthiocerol. pks15/pks1 has been shown to be involved in the biosynthesis of phenolphthiocerol glycolipids.</t>
  </si>
  <si>
    <t>pks15</t>
  </si>
  <si>
    <t>Rv2947c</t>
  </si>
  <si>
    <t>Probable polyketide synthase Pks15</t>
  </si>
  <si>
    <t>Rv2947c, (MTCY24G1.02), len: 496 aa. Probable pks15, polyketide synthase. Almost identical to G560508|Q50469 PKS002B protein from Mycobacterium tuberculosis (495 aa), FASTA scores: opt: 3270, E(): 0, (99.6% identity in 496 a a overlap). Similar to Mycobacterium tuberculosis proteins MTCY338.20|RV2931|PPSA_MYCTU ppsA phenolpthiocerol synthesis (1876 aa) (49.9% identity in 465 aa overlap); MTCY24G1.09|RV2940C|P96291 Putative mas, mycocerosic acid synthase (2111 aa) (50.2% identity in 454 aa overlap); and MTCY22H8.03|RV2382C|P71718 hypothetical protein (444 aa) (47.6% identity in 437 aa overlap). Contains PS00606 Beta-ketoacyl synthases active site. Note pks15 has been shown to be involved in the biosynthesis of phthiocerol. pks15/pks1 has been shown to be involved in the biosynthesis of phenolphthiocerol glycolipids.</t>
  </si>
  <si>
    <t>Involved in biosynthesis of phenolic glycolipids (PGLs)</t>
  </si>
  <si>
    <t>P-hydroxybenzoyl-AMP ligase FadD22</t>
  </si>
  <si>
    <t>Rv2948c, (MTCY24G1.01), len: 705 aa. FadD22, p-hydroxybenzoyl-AMP ligase. Highly similar to many e.g. Q9CD82|ML0134 putative acyl-CoA synthetase from Mycobacterium leprae (707 aa), fasta scores: opt: 3554, E(): 6.4e-209, (75.9% identity in 705 aa overlap). Almost identical to G560509|Q50468 PKS002A protein from Mycobacterium tuberculosis (705 aa), fasta scores: opt: 4647, E(): 0, (99.7% identity in 705 aa overlap).</t>
  </si>
  <si>
    <t>Catalyzes the conversion of chorismate to 4-hydroxybenzoate [catalytic activity: chorismate = 4-hydroxybenzoate + pyruvate]</t>
  </si>
  <si>
    <t>Chorismate pyruvate lyase</t>
  </si>
  <si>
    <t>Rv2949c, (MTCY349.41), len: 199 aa. Chorismate pyruvate lyase, equivalent to Q9CD83|ML0133 hypothetical protein from Mycobacterium leprae (210 aa), FASTA scores: opt: 797, E(): 7.4e-47, (62.55% identity in 195 aa overlap). Equivalent to AAK47348 from Mycobacterium tuberculosis strain CDC1551 (212 aa) but shorter 13 aa. A core mycobacterial gene; conserved in mycobacterial strains (See Marmiesse et al., 2004).</t>
  </si>
  <si>
    <t>Fatty-acid-AMP ligase FadD29 (fatty-acid-AMP synthetase) (fatty-acid-AMP synthase)</t>
  </si>
  <si>
    <t>Rv2950c, (MTCY349.40), len: 619 aa. fadD29, fatty-acid-AMP synthetase, similar to various mycobacterial enzymes believed to be involved in polyketide or fatty acid synthesis. Equivalent (but shorter 61 aa) to Q9CD84 from Mycobacterium leprae (680 aa), FASTA scores: opt: 3280, E(): 2.2e-192, (80.15% identity in 620 aa overlap); and highly similar to others from Mycobacterium leprae e.g. Q9Z5K5 probable acyl-CoA synthase (583 aa), FASTA scores: opt: 2358, E(): 3.4e-136, (62.35% identity in 579 aa overlap). Also similar to others from Mycobacterium tuberculosis e.g. Q10976|FD26_MYCTU putative fatty-acid--CoA ligase (583 aa), FASTA scores: opt: 2416, E(): 1e-139, (63.15% identity in 581 aa overlap) (N-terminus shorter); etc. Equivalent to AAK47349 from Mycobacterium tuberculosis strain CDC1551 (582 aa) but longer 37 aa.</t>
  </si>
  <si>
    <t>Rv2951c, (MTCY349.39), len: 381 aa. Possible oxidoreductase, equivalent to Q9CD85 putative oxidoreductase from Mycobacterium leprae (382 aa), FASTA scores: opt: 2225, E(): 7.6e-134, (84.8% identity in 382 aa overlap); and similar to O30260 conserved hypothetical protein from Mycobacterium leprae (363 aa), FASTA scores: opt: 652, E(): 6.1e-34, (32.55% identity in 344 aa overlap). Also similar to various oxidoreductases e.g. O29071|AF1196 N5,N10-methylenetetrahydromethanopterin reductase from Archaeoglobus fulgidus (348 aa), FASTA scores: opt: 381, E(): 9.7e-17, (27.7% identity in 354 aa overlap); Q58929|mer|MJ1534 F420-dependent methylenetetrahydromethanopterin reductase from Methanococcus jannaschii (331 aa), FASTA scores: opt: 372, E(): 3.5e-16, (30.85% identity in 295 aa overlap); Q9UXP0 putative F420-dependent N5,N10-methylene-tetrahydromethanopterin reductase from Methanolobus tindarius (326 aa), FASTA scores: opt: 343, E(): 2.4e-14, (27.4% identity in 314 aa overlap); etc.</t>
  </si>
  <si>
    <t>Rv2952, (MTCY349.38), len: 270 aa. Probable methyltransferase, equivalent to Q9CD86|ML0130 hypothetical protein from Mycobacterium leprae (270 aa), FASTA scores: opt: 1584, E(): 6.1e-99, (83.7% identity in 270 aa overlap). Also highly similar to Q9RMN9|MTF2 putative methyltransferase from Mycobacterium smegmatis (274 aa), FASTA scores: opt: 902, E(): 3.8e-53, (56.35% identity in 252 aa overlap). Also similar to other methyltransferases e.g. Q9ADL4|SORM O-methyltransferase from Polyangium cellulosum (346 aa), FASTA scores: opt: 390, E(): 1.1e-18, (36.25% identity in 251 aa overlap); Q54303|RAPM methyltransferase from Streptomyces hygroscopicus (317 aa), FASTA scores: opt: 315, E(): 1.1e-13, (40.75% identity in 135 aa overlap); etc. Very similar to C-terminal part of Q50584|Rv1523|MTCY19G5.05c hypothetical 37.9 KDA protein from Mycobacterium tuberculosis (358 aa), FASTA score: opt: 965, E(): 2.7e-57, (60.3% identity in 247 aa overlap).</t>
  </si>
  <si>
    <t>May be involved in phenolpthiocerol and phthiocerol dimycocerosate (dim) biosynthesis</t>
  </si>
  <si>
    <t>Enoyl reductase</t>
  </si>
  <si>
    <t>Rv2953, (MTCY349.37c), len: 418 aa. Enoyl reductase, equivalent to Q9CD87|ML0129 hypothetical protein from Mycobacterium leprae (418 aa), FASTA scores: opt: 2357, E(): 2.7e-143, (86.6% identity in 418 aa overlap). Also highly similar to Q9X7N5|SC5F2A.12c conserved hypothetical protein from Streptomyces coelicolor (396 aa), FASTA scores: opt: 491, E(): 7e-24, (38.35% identity in 417 aa overlap); and similar to other hypothetical proteins e.g. Q9VG81 CG5167 protein from Drosophila melanogaster (Fruit fly) (431 aa), FASTA scores: opt: 393, E(): 1.4e-17, (26.55% identity in 433 aa overlap); Q9GZE9|F22F7.1 hypothetical protein from Caenorhabditis elegans (426 aa), FASTA scores: opt: 338, E(): 4.6e-14, (27.05% identity in 425 aa overlap); P73855|SLL1601 hypothetical 44.8 KDA protein from Synechocystis sp. (strain PCC 6803) (414 aa), FASTA scores: opt: 565, E(): 1.3e-28, (35.7% identity in 409 aa overlap); etc. Also highly similar to other proteins from Mycobacterium tuberculosis e.g. RV2449C|O53176|MTV008.05C hypothetical 44.4 KDA protein (419 aa), FASTA scores: opt: 1835, E(): 7e-110, (67.55% identity in 419 aa overlap); etc.</t>
  </si>
  <si>
    <t>Rv2954c, (MTCY349.36), len: 241 aa. Hypothetical unknown protein. Equivalent to AAK47354 from Mycobacterium tuberculosis strain CDC1551 (199 aa) but longer 42 aa. This region is a possible MT-complex-specific genomic island (See Becq et al., 2007).</t>
  </si>
  <si>
    <t>Rv2955c, (MTCY349.34), len: 321 aa. Conserved protein, similar to others e.g. Q98NV5|MLL9724 hypothetical protein from Rhizobium loti (Mesorhizobium loti) (284 aa), FASTA scores: opt: 231, E(): 6.5e-08, (34.6% identity in 182 aa overlap); Q9AGG2|NLPE1 NLPE1 from Rhizobium etli (249 aa), FASTA scores: opt: 212, E(): 1.1e-06, (27.85% identity in 255 aa overlap); Q9KXY2 hypothetical 31.3 KDA protein from Streptomyces coelicolor(291 aa), FASTA scores: opt: 211, E(): 1.4e-06, (30.9% identity in 249 aa overlap); etc. This region is a possible MT-complex-specific genomic island (See Becq et al., 2007).</t>
  </si>
  <si>
    <t>Rv2956, (MTCY349.33c), len: 243 aa. Conserved protein, highly similar to O86299|GSC GSC protein from Mycobacterium avium subsp. silvaticum Mycobacterium avium (240 aa), FASTA scores: opt: 1070, E(): 3.5e-63, (67.5% identity in 240 aa overlap); and O86294|GSC GSC protein from Mycobacterium paratuberculosis (240 aa), FASTA scores: opt: 1070, E(): 3.5e-63, (67.5% identity in 240 aa overlap). Also some similarity with other proteins from other organisms e.g. Q9L727 nodulation protein NOEI from Rhizobium fredii (Sinorhizobium fredii) (241 aa), FASTA scores: opt: 205, E(): 3.5e-06, (27.25% identity in 198 aa overlap); Q9AGG1|LPEA LPEA protein from Rhizobium etli (286 aa), FASTA scores: opt: 201, E(): 7.2e-06, (28.85% identity in 208 aa overlap); P74191|SLL1173 hypothetical 28.0 KDA protein Synechocystis sp. (strain PCC 6803) (244 aa), FASTA scores: opt: 274, E(): 1e-10, (30.65% identity in 225 aa overlap); etc. Also highly similar to others from Mycobacterium tuberculosis e.g. P71792|RV1513|MTCY277.35 hypothetical 26.7 KDA protein (243 aa), FASTA scores: opt: 1105, E(): 1.7e-65, (70.05% identity in 237 aa overlap); etc. Predicted to be an outer membrane protein (See Song et al., 2008). This region is a possible MT-complex-specific genomic island (See Becq et al., 2007).</t>
  </si>
  <si>
    <t>Possible glycosyl transferase</t>
  </si>
  <si>
    <t>Rv2957, (MTCY349.31c), len: 275 aa. Possible glycosyl transferase ; possibly secreted protein. Highly similar to O88109|GSD|GTFD GSD protein from Mycobacterium avium subsp. silvaticum, Mycobacterium paratuberculosis, and Mycobacterium avium (266 aa), FASTA scores: opt: 1010, E(): 2.5e-62, (68.8% identity in 221 aa overlap). Also some similarity with other proteins and especially glycosyl transferases e.g. Q9AEE4 hypothetical 31.4 KDA protein from Leptospira interrogans (265 aa), FASTA scores: opt: 371, E(): 3.3e-18, (34.43% identity in 212 aa overlap); Q9EXY4 putative glycosyl transferase from Escherichia coli (248 aa), FASTA scores: opt: 339, E(): 5e-16, (32.4% identity in 210 aa overlap); Q9RCC4 glycosyltransferase-like protein from Yersinia pestis (247 aa), FASTA scores: opt: 333, E(): 1.3e-15, (31.8% identity in 217 aa overlap); Q9EXY1 putative glycosyl transferase from Escherichia coli (248 aa), FASTA scores: opt: 328, E(): 2.9e-15, (31.9% identity in 210 aa overlap); etc. Equivalent to AAK47357 from Mycobacterium tuberculosis strain CDC1551 (256 aa) but longer 19 aa. This region is a possible MT-complex-specific genomic island (See Becq et al., 2007).</t>
  </si>
  <si>
    <t>Function unknown; probably involved in cellular metabolism. Possibly involved in resistance to killing by human macrophages.</t>
  </si>
  <si>
    <t>Rv2958c, (MTCY349.30), len: 428 aa. Possible glycosyl transferase (see citation below), highly similar to Q9CD88|ML0128 putative glycosyl transferase from Mycobacterium leprae (435 aa), FASTA scores: opt: 2116, E(): 5.8e-126, (75.05% identity in 417 aa overlap); and Q9CD91|ML0125 putative glycosyl transferase from Mycobacterium leprae (438 aa), FASTA scores: opt: 2104, E(): 3.3e-125, (74.65% identity in 418 aa overlap). Also shows some similarity to variety of glycosyl transferases e.g. Q9RYI3 putative glycosyltransferase from Deinococcus radiodurans (418 aa), FASTA scores: opt: 317, E(): 1.9e-12, (31.0% identity in 297 aa overlap); Q9S1V2 putative glycosyl transferase from Streptomyces coelicolor (407 aa), FASTA scores: opt: 264, E(): 4.1e-09, (27.2% identity in 342 aa overlap); P72650|CRTX|SLR1125 zeaxanthin glucosyl transferase from Synechocystis sp. strain PCC 6803 (419 aa), FASTA scores: opt: 251, E(): 2.8e-08, (26.8% identity in 295 aa overlap); etc. Very similar to P95130|MTCY349.25 from Mycobacterium tuberculosis (449 aa), FASTA score: opt: 2215, E(): 3.3e-132, (77.25% identity in 422 aa overlap). This region is a possible MT-complex-specific genomic island (See Becq et al., 2007).</t>
  </si>
  <si>
    <t>Rv2959c, (MTCY349.29), len: 245 aa. Possible methyltransferase, highly similar to Q9CD89|ML0127 from Mycobacterium leprae (229 aa), FASTA scores: opt: 1183, E(): 3.9e-69, (76.1% identity in 226 aa overlap). Also some similarity with other methyltransferases and other proteins e.g. Q51079 putative methyl transferase from Nocardia lactamdurans (236 aa), FASTA scores: opt: 156, E(): 0.0086, (23.25% identity in 159 aa overlap); Q98ID5 cephalosporin hydroxylase from Rhizobium loti (Mesorhizobium loti) (217 aa), FASTA scores: opt: 275, E(): 1.7e-10, (29.65% identity in 199 aa overlap); etc. And also similar to P72897 hypothetical 27.8 KDA protein from Mycobacterium tuberculosis (249 aa), FASTA scores: opt: 292, E(): 1.5e-11, (31.25% identity in 208 aa overlap). This region is a possible MT-complex-specific genomic island (See Becq et al., 2007).</t>
  </si>
  <si>
    <t>Rv2960c</t>
  </si>
  <si>
    <t>Rv2960c, (MT3036, MTCY349.28), len: 82 aa. Hypothetical unknown protein, equivalent to AAK47362 from Mycobacterium tuberculosis strain CDC1551 (116 aa) but shorter 34 aa. Shortened version of MTCY349.28 avoiding overlap. This region is a possible MT-complex-specific genomic island (See Becq et al., 2007).</t>
  </si>
  <si>
    <t>Rv2961, (MTCY349.26c), len: 129 aa. Probable transposase, highly similar to C-terminus of O50414|Rv3387|MTV004.45 putative transposase from Mycobacterium tuberculosis (225 aa), FASTA scores: opt: 605, E(): 7.2e-34, (66.65% identity in 129 aa overlap); and similar to others e.g. CAC47401 putative partial transposase for ISRM17 protein from Rhizobium meliloti (Sinorhizobium meliloti) (174 aa), FASTA scores: opt: 183, E(): 2.6e-05, (30.25% identity in 129 aa overlap); etc. This region is a possible MT-complex-specific genomic island (See Becq et al., 2007).</t>
  </si>
  <si>
    <t>Rv2962c, (MTCY349.25), len: 449 aa. Possible glycosyl transferase (see citation below), highly similar or identical to Mycobacterium tuberculosis proteins G560522 U0002JA, G560521 U0002H, G560522 U0002JA, G560519 U0002KA. Equivalent (but longer 21 aa) to Q9CD91 putative glycosyl transferase from Mycobacterium leprae (438 aa), FASTA scores: opt: 2229, E(): 1.3e-133, (77.45% identity in 426 aa overlap); and highly similar to Q9CD88 putative glycosyl transferase from Mycobacterium leprae (435 aa), FASTA scores: opt: 2129, E(): 2.7e-127, (74.35% identity in 425 aa overlap); and others from Mycobacterium leprae. Also shows some similarity to variety of glycosyl transferases e.g. Q9RYI3|DRA0329 putative glycosyl transferase from Deinococcus radiodurans (418 aa), FASTA scores: opt: 340, E(): 5.5e-14, (31.2% identity in 330 aa overlap); P72650 zeaxanthin glucosyl transferase from Synechocystis sp. (strain PCC 6803) (419 aa), FASTA scores: opt: 244, E(): 6.6e-08, (26.2% identity in 294 aa overlap); etc. Also highly similar to P95134 hypothetical 46.8 KDA protein from Mycobacterium tuberculosis (428 aa), FASTA scores: opt: 2215, E(): 9.6e-133, (77.25% identity in 422 aa overlap).</t>
  </si>
  <si>
    <t>Rv2963, (MTCY349.24c), len: 406 aa. Probable integral membrane protein.</t>
  </si>
  <si>
    <t>Involved in de novo purine biosynthesis [catalytic activity: 10-formyltetrahydrofolate + H(2)O = formate + tetrahydrofolate].</t>
  </si>
  <si>
    <t>Probable formyltetrahydrofolate deformylase PurU (formyl-FH(4) hydrolase)</t>
  </si>
  <si>
    <t>Rv2964, (MTCY349.23c), len: 310 aa. Probable purU, formyltetrahydrofolate deformylase, highly similar to others e.g. Q9RWT1|DR0584 formyltetrahydrofolate deformylase from Deinococcus radiodurans (298 aa), FASTA scores: opt: 1005, E(): 4.9e-52, (52.25% identity in 297 aa overlap); Q9K7U4 formyltetrahydrofolate deformylase from Bacillus halodurans (289 aa), FASTA scores: opt: 982, E(): 1.1e-50, (51.8% identity in 280 aa overlap); Q55135|PURU_SYNY3|SLL0070 formyltetrahydrofolate deformylase from Synechocystis sp. strain PCC 6803 (284 aa), FASTA scores: opt: 839, E(): 2.9e-42, (48.2% identity in 280 aa overlap); etc.</t>
  </si>
  <si>
    <t>kdtB</t>
  </si>
  <si>
    <t>Involved in the coenzyme A (CoA) biosynthesis (at the fourth step). Reversibly transfers an adenylyl group from ATP to 4'-phosphopantetheine, yielding dephospho-CoA (DPCOA) and pyrophosphate [catalytic activity: ATP + pantetheine 4'-phosphate = diphosphate + dephospho-CoA].</t>
  </si>
  <si>
    <t>Probable phosphopantetheine adenylyltransferase KdtB (pantetheine- phosphate adenylyltransferase) (PPAT) (dephospho-CoA pyrophosphorylase)</t>
  </si>
  <si>
    <t>Rv2965c, (MTCY349.22), len: 161 aa. Probable kdtB (alternate gene name: coaD), phosphopantetheine adenylyltransferase, equivalent to O69466|COAD_MYCLE phosphopantetheine adenylyltransferase from Mycobacterium leprae (160 aa), FASTA scores: opt: 881, E(): 2.5e-54, (84.1% identity in 157 aa overlap). Also highly similar to others e.g. Q9ZBR1|COAD_STRCO from Streptomyces coelicolor (159 aa), FASTA scores: opt: 575, E(): 5.8e-33, (54.1% identity in 159 aa overlap); Q9WZK0|COAD_THEMA from Thermotoga maritima (161 aa), FASTA scores: opt: 509, E(): 2.4e-28, (50.0% identity in 154 aa overlap); P23875|COAD_ECOLICOAD|KDTB|B3634|Z5058|ECS4509 from Escherichia coli strain O157:H7 and K12 (159 aa), FASTA scores: opt: 459, E(): 7.3e-25, (45.15% identity in 155 aa overlap); etc. Belongs to the CoaD family.</t>
  </si>
  <si>
    <t>Rv2966c, (MTCY349.21), len: 188 aa. Possible methyltransferase, equivalent (but shorter 36 aa) to O69465|MLCB1243.09 hypothetical 23.0 KDA protein from Mycobacterium leprae (220 aa), FASTA scores: opt: 872, E(): 9.1e-50, (74.2% identity in 182 aa overlap). Also similar to others e.g. Q9ZBR2|SC7A1.11 putative methylase from Streptomyces coelicolor (195 aa), FASTA scores: opt: 510, E(): 3.7e-26, (47.5% identity in 179 aa overlap); Q9F842 hypothetical methyltransferase (fragment) from Mycobacterium smegmatis (80 aa), FASTA scores: opt: 386, E(): 2.5e-18, (75.0% identity in 80 aa overlap); P10120|YHHF_ECOLI|YHHFZ|B3465 putative methylase from Escherichia colistrain K12 (198 aa), FASTA scores: opt: 319, E(): 1.1e-13, (35.5% identity in 183 aa overlap); etc. Contains PS00092 N-6 Adenine-specific DNA methylases signature.</t>
  </si>
  <si>
    <t>Involved in gluconeogenesis and lipogenesis. Pyruvate carboxylase catalyzes a 2-step reaction, involving the ATP-dependent carboxylation of the covalently attached biotin in the first step and the transfer of the carboxyl group to pyruvate in the second [catalytic activity: ATP + pyruvate + HCO(3)(-) = ADP + phosphate + oxaloacetate].</t>
  </si>
  <si>
    <t>Probable pyruvate carboxylase Pca (pyruvic carboxylase)</t>
  </si>
  <si>
    <t>Rv2967c, (MTCY349.20), len: 1127 aa. Probable pca, pyruvate carboxylase (ala-rich protein), equivalent to Q9F843|PYC pyruvate carboxylase from Mycobacterium smegmatis (1127 aa), FASTA scores: opt: 6232, E(): 0, (83.3% identity in 1127 aa overlap). Also highly similar to others e.g. Q9RK64|SCF11.26c pyruvate carboxylase from Streptomyces coelicolor (1124 aa), FASTA scores: opt: 5526, E(): 0, (74.65% identity in 1125 aa overlap); O54587|PYC pyruvate carboxylase from Corynebacterium glutamicum (Brevibacterium flavum) (1140 aa), FASTA scores: opt: 4811, E(): 0, (64.5% identity in 1132 aa overlap); Q9DDT1 pyruvate carboxylase from Brachydanio rerio (Zebrafish) (1180 aa), FASTA scores: opt: 3133, E(): 1.1e-171, (47.8% identity in 1142 aa overlap); etc. Contains PS00867 Carbamoyl-phosphate synthase subdomain signature 2, PS00165 Serine/threonine dehydratases pyridoxal-phosphate attachment site, and PS00188 Biotin-requiring enzymes attachment site.</t>
  </si>
  <si>
    <t>Rv2968c, (MTCY349.19), len: 210 aa. Probable conserved integral membrane protein, equivalent to O69464 putative integral membrane protein from Mycobacterium leprae (214 aa), FASTA scores: opt: 1060, E(): 1.4e-58, (71.95% identity in 214 aa overlap). Also highly similar to others e.g. Q9F844 hypothetical integral membrane protein from Mycobacterium smegmatis (187 aa), FASTA scores: opt: 883, E(): 1.2e-47, (62.8% identity in 190 aa overlap); Q9KXP3 putative integral membrane protein from Streptomyces coelicolor (240 aa), FASTA scores: opt: 503, E(): 4.6e-24, (38.0% identity in 192 aa overlap); etc.</t>
  </si>
  <si>
    <t>Possible conserved membrane or secreted protein</t>
  </si>
  <si>
    <t>Rv2969c, (MTCY349.18), len: 255 aa. Possible conserved membrane or exported protein, equivalent to Q9CBS4|ML1667 possible conserved membrane protein from Mycobacterium leprae (264 aa), FASTA scores: opt: 1101, E(): 9.9e-68, (65.9% identity in 258 aa overlap); and highly similar to O69463 putative transmembrane protein from Mycobacterium leprae (258 aa), FASTA scores: opt: 1097, E(): 1.8e-67, (65.5% identity in 258 aa overlap). C-terminus also highly similar to Q9KK65|996A160 exported protein (fragment) from Mycobacterium avium (85 aa), FASTA scores: opt: 418, E(): 2e-21, (72.95% identity in 85 aa overlap). Also weakly similar to membrane or exported proteins e.g. Q9S2U7|SC4G6.04c putative integral membrane protein from Streptomyces coelicolor (275 aa), FASTA scores: opt: 312, E(): 7.6e-14, (28.25% identity in 230 aa overlap); Q9XAB6|SCC22.22C putative secreted protein from Streptomyces coelicolor (255 aa), FASTA scores: opt: 181, E(): 6.4e-05, (27.0% identity in 226 aa overlap); etc. Also some similarity with P72001|PKNE_MYCTU from Mycobacterium tuberculosis (566 aa), FASTA scores: opt: 264, E(): 2.3e-10, (30.5% identity in 177 aa overlap).</t>
  </si>
  <si>
    <t>Rv2970A</t>
  </si>
  <si>
    <t>Rv2970A, len: 56 aa. Conserved hypothetical protein, similar to C-terminal part of several oxidoreductases e.g. Rv2971|Z83018|MTCY349_22 from Mycobacterium tuberculosis (282 aa), FASTA scores: opt: 158, E(): 3.6e-06, (45.0% identity in 60 aa overlap). May represent a gene fragment.</t>
  </si>
  <si>
    <t>Probable lipase/esterase LipN</t>
  </si>
  <si>
    <t>Rv2970c, (MTCY349.17), len: 376 aa. Probable lipN, lipase/esterase, similar to others e.g. Q9AA37|CC0771 putative esterase from Caulobacter crescentus (380 aa), FASTA scores: opt: 822, E(): 8e-46, (42.15% identity in 318 aa overlap); Q9XDR4 esterase HDE from petroleum-degrading bacterium HD-1 (317 aa), FASTA scores: opt: 738, E(): 2e-40, (48.85% identity in 262 aa overlap); O52270 lipase from Pseudomonas sp. (strain B11-1) (308 aa), FASTA scores: opt: 683, E(): 7.3e-37, (41.3% identity in 288 aa overlap); etc. Also similar to P71668 hypothetical 34.1 KDA protein from Mycobacterium tuberculosis (320 aa), FASTA scores: opt: 715, E(): 6.3e-39, (42.3% identity in 298 aa overlap). Equivalent to AAK47374 from Mycobacterium tuberculosis strain CDC1551 (309 aa) but longer 67 aa.</t>
  </si>
  <si>
    <t>Rv2971, (MTCY349.16c), len: 282 aa. Probable oxidoreductase, possibly aldo/keto reductase, equivalent to O69462 putative oxidoreductase from Mycobacterium leprae (282 aa), FASTA scores: opt: 1495, E(): 4.9e-93, (82.35% identity in 272 aa overlap). Also similar to others e.g. Q9KYM9|SC9H11.10C oxidoreductase from Streptomyces coelicolor (276 aa), FASTA scores: opt: 849, E(): 1.2e-49, (51.7% identity in 267 aa overlap); Q9ZBW7|SC4B5.01C putative oxidoreductase from Streptomyces coelicolor (277 aa), FASTA scores: opt: 847, E(): 1.7e-49, (49.1% identity in 271 aa overlap); Q46857|YQHE_ECOLI|YQHE|B3012 hypothetical oxidoreductase from Escherichia coli strain K12 (275 aa), FASTA scores: opt: 827, E(): 3.7e-48, (47.45% identity in 276 aa overlap); etc. Contains PS00063 Aldo/keto reductase family putative active site signature; and PS00062 Aldo/keto reductase family signature 2.</t>
  </si>
  <si>
    <t>Possible conserved membrane or exported protein</t>
  </si>
  <si>
    <t>Rv2972c, (MTCY349.15), len: 237 aa. Possible conserved membrane or exported protein, equivalent (but longer 52 aa) to O69461|MLCB1243.02 hypothetical 20.5 KDA protein from Mycobacterium leprae (180 aa), FASTA scores: opt: 581, E(): 8.2e-32, (55.75% identity in 174 aa overlap). Also similar to membrane or exported proteins e.g. Q9F2P3|SCE41.16C putative lipoprotein from Streptomyces coelicolor (258 aa), FASTA scores: opt: 498, E(): 4.1e-26, (44.08% identity in 186 aa overlap); Q99QB5|SCP1.323C putative secreted protein from Streptomyces coelicolor (219 aa), FASTA scores: opt: 329, E(): 8.5e-15, (36.35% identity in 176 aa overlap); Q9ACQ1|SCP1.267 putative secreted protein from Streptomyces coelicolor (219 aa), FASTA scores: opt: 286, E(): 6.6e-12, (32.03% identity in 231 aa overlap); etc.</t>
  </si>
  <si>
    <t>Critical role in recombination and DNA repair. Help process holliday junction intermediates to mature products by catalysing branch migration. Has a DNA unwinding activity characteristic of a DNA helicase with a 3' to 5' polarity. RECG unwind branched duplex DNA (Y-DNA).</t>
  </si>
  <si>
    <t>Probable ATP-dependent DNA helicase RecG</t>
  </si>
  <si>
    <t>Rv2973c, (MTCY349.14), len: 737 aa. Probable recG, ATP-dependent DNA helicase (see citation below), equivalent to O69460|RECG_MYCLE ATP-dependent DNA helicase from Mycobacterium leprae (743 aa), FASTA scores: opt: 3846, E(): 0, (79.3% identity in 744 aa overlap). Also highly similar to others e.g. Q9ZBR3|SC7A1.10 putative ATP-dependent DNA helicase from Streptomyces coelicolor (742 aa), FASTA scores: opt: 1249, E(): 1.1e-67, (46.2% identity in 758 aa overlap); Q9PGE8 ATP-dependent DNA helicase from Xylella fastidiosa (718 aa), FASTA scores: opt: 1174, E(): 3.5e-63, (42.1% identity in 539 aa overlap); P24230|RECG_ECOLI|RECG|B3652 from Escherichia coli strain K12 (693 aa), FASTA scores: opt: 457, E(): 7.3e-22, (35.2% identity in 733 aa overlap); etc. Contains PS00017 ATP/GTP-binding site motif A (P-loop). Belongs to the helicase family, RECG subfamily.</t>
  </si>
  <si>
    <t>Rv2974c, (MTCY349.13), len: 470 aa. Conserved hypothetical ala-rich protein, highly similar to others e.g. C-terminus of Q9ZBR4|SC7A1.09 hypothetical 59.5 KDA protein from Streptomyces coelicolor (589 aa), FASTA scores: opt: 774, E(): 1.3e-36, (41.0% identity in 495 aa overlap); Q9K9Z6|BH2498 hypothetical protein from Bacillus halodurans (557 aa), FASTA scores: opt: 268, E(): 8e-08, (27.7% identity in 502 aa overlap) (N-terminus longer 76 aa); Q9X293 conserved hypothetical protein from Thermotoga maritima (497 aa), FASTA scores: opt: 265, E(): 1.1e-07, (24.9% identity in 470 aa overlap) (N-terminus longer 43 aa); etc. Also some similarity with P47609|Y369_MYCGE|MG369 hypothetical protein from Mycoplasma genitalium (557 aa), FASTA scores: opt: 154, E(): 0.25, (20.25% identity in 489 aa overlap); this, and following ORF, are similar to Y369_MYCGE but no cosmid sequence error was identified.</t>
  </si>
  <si>
    <t>Rv2975c</t>
  </si>
  <si>
    <t>Rv2975c, (MTCY349.12), len: 84 aa. Conserved hypothetical protein, similar to N-terminus of others e.g. Q9ZBR4|SC7A1.09 hypothetical 59.5 KDA protein from Streptomyces coelicolor (589 aa), FASTA scores: opt: 141, E(): 0.0019, (41.25% identity in 80 aa overlap); Q98R49|MYPU_1610 hypothetical protein from Mycoplasma pulmonis (545 aa), FASTA scores: opt: 127, E(): 0.023, (48.0% identity in 50 aa overlap); Q9K9Z6|BH2498 hypothetical protein from Bacillus halodurans (557 aa), FASTA scores: opt: 126, E(): 0.028, (34.55% identity in 81 aa overlap); etc. Also some similarity with N-terminus of P47609|Y369_MYCGE|MG369 hypothetical protein from Mycoplasma genitalium (557 aa), FASTA scores: opt: 108, E(): 0.7, (36.75% identity in 49 aa overlap); this, and preceding ORF, are similar to Y369_MYCGE and YLOV protein but no cosmid sequence error was identified.</t>
  </si>
  <si>
    <t>Involved in base excision repair.excises uracil residues from the DNA which can arise as a result of misincorporation of dUMP residues by DNA polymerase or due to deamination of cytosine.</t>
  </si>
  <si>
    <t>Probable uracil-DNA glycosylase Ung (UDG)</t>
  </si>
  <si>
    <t>Rv2976c, (MTCY349.11), len: 227 aa. Probable ung, uracil-DNA glycosylase (see citation below), equivalent to Q9CBS3 uracil-DNA glycosylase from Mycobacterium leprae (227 aa), FASTA scores: opt: 1394, E(): 8.8e-85, (88.1% identity in 227 aa overlap). Also highly similar to others e.g. Q9EX12 from Streptomyces coelicolor (225 aa), FASTA scores: opt: 1134, E(): 1.3e-67, (72.75% identity in 224 aa overlap); Q9K682|UNG_BACHD from Bacillus halodurans (224 aa), FASTA scores: opt: 652, E(): 8.9e-36, (45.5% identity in 222 aa overlap); P39615|UNG_BACSU from Bacillus subtilis (225 aa), FASTA scores: opt: 625, E(): 5.4e-34, (45.5% identity in 222 aa overlap); etc. Belongs to the uracil-DNA glycosylase family.</t>
  </si>
  <si>
    <t>Involved in thiamine biosynthesis [catalytic activity: ATP + thiamine phosphate = ADP + thiamine diphosphate].</t>
  </si>
  <si>
    <t>Probable thiamine-monophosphate kinase ThiL (thiamine-phosphate kinase)</t>
  </si>
  <si>
    <t>Rv2977c, (MTCY349.10), len: 333 aa. Possible thiL, thiamin-monophosphate kinase, equivalent to Q9CBS2 probable thiamine-monophosphate kinase from Mycobacterium leprae (325 aa), FASTA scores: opt: 1738, E(): 4.5e-98, (80.9% identity in 314 aa overlap). Also highly similar to others e.g. Q9ZBR7|SC7A1.06 putative thiamine monphosphate kinase from Streptomyces coelicolor (322 aa), FASTA scores: opt: 959, E(): 7.8e-51, (51.1% identity in 319 aa overlap); O05514|THIL_BACSU thiamine-monophosphate kinase from Bacillus subtilis (325 aa), FASTA scores: opt: 476, E(): 1.5e-21, (35.15% identity in 273 aa overlap); P77785|THIL_ECOLI|THIL|B0417 thiamine-monophosphate kinase from Escherichia coli strain K12 (325 aa), FASTA scores: opt: 418, E(): 5e-18, (36.9% identity in 282 aa overlap); etc. Belongs to the thiamine-monophosphate kinase family. Note that the start, as given, is in IS1538.</t>
  </si>
  <si>
    <t>Required for the transposition of the insertion element IS1538.</t>
  </si>
  <si>
    <t>Rv2978c, (MTCY349.09), len: 459 aa. Probable transposase for IS1538, very similar to several other putative transposases from Mycobacterium tuberculosis e.g. YX16_MYCTU|Q10809 (460 aa), FASTA scores: opt: 2613, E(): 0, (83.0% identity in 458 aa overlap); etc. Low level matches to other tranposases.</t>
  </si>
  <si>
    <t>Rv2979c, (MTCY349.08), len: 194 aa. Probable resolvase for IS1538, with low level matches to transposon resolvases; highly similar from aa 101 to YX1C_MYCTU|Q10831 from Mycobacterium tuberculosis (295 aa), FASTA scores: opt: 809, E(): 0, (69.1% identity in 194 aa overlap). Contains PS00397 Site-specific recombinases active site, and possible helix-turn-helix motiv at aa 2-23.</t>
  </si>
  <si>
    <t>Rv2980, (MTCY349.07c), len: 181 aa. Possible conserved secreted protein, equivalent to Q9CBS1 possible secreted protein from Mycobacterium leprae (191 aa), FASTA scores: opt: 794, E(): 2.3e-40, (67.25% identity in 177 aa overlap). Also some weak similarity with other hypothetical proteins or secreted proteins e.g. C-terminus of Q98F98|MLL3872 MLL3872 protein from Rhizobium loti (Mesorhizobium loti) (575 aa), FASTA scores: opt: 148, E(): 0.16, (28.35% identity in 194 aa overlap); Q9L0W9|SCH22A.13C putative secreted protein from Streptomyces coelicolor (167 aa), FASTA scores: opt: 114, E(): 7.5, (40.0% identity in 80 aa overlap); etc. Equivalent to AAK47385 from Mycobacterium tuberculosis strain CDC1551 (214 aa) but shorter 33 aa. Has hydrophobic stretch near N-terminus. A core mycobacterial gene; conserved in mycobacterial strains (See Marmiesse et al., 2004). Predicted to be an outer membrane protein (See Song et al., 2008).</t>
  </si>
  <si>
    <t>ddlA</t>
  </si>
  <si>
    <t>Involved in cell wall formation. Along with alanine racemase, it MAKES up the D-alanine branch of the peptidoglycan biosynthetic route. [catalytic activity: ATP + D-alanine + D-alanine = ADP + phosphate + D-alanyl-D-alanine].</t>
  </si>
  <si>
    <t>Probable D-alanine--D-alanine ligase DdlA (D-alanylalanine synthetase) (D-ala-D-ala ligase)</t>
  </si>
  <si>
    <t>Rv2981c, (MTCY349.06), len: 373 aa. Probable ddlA (alternate gene name: ddl), D-alanine--D-alanine ligase a (see citation below), equivalent to Q9CBS0|Q9CBS0 D-alanine-D-alanine ligase a from Mycobacterium leprae (384 aa), FASTA scores: opt: 2001, E(): 2.4e-115, (81.75% identity in 367 aa overlap); and Q9ZGN0|DDL_MYCSM D-alanine--D-alanine ligase from Mycobacterium smegmatis (373 aa), FASTA scores: opt: 1934, E(): 3.1e-111, (77.95% identity in 372 aa overlap). Also highly similar to others e.g. Q9ZBR9|DDL_STRCO from Streptomyces coelicolor (389 aa), FASTA scores: opt: 1187, E(): 2.2e-65, (52.0% identity in 379 aa overlap); P15051|DDLA_SALTY from Salmonella typhimurium and Salmonella typhi (363 aa), FASTA scores: opt: 946, E(): 1.3e-50, (44.5% identity in 364 aa overlap); P23844|DDLA_ECOLI|DDLA|B0381|Z0477|ECS0431 from Escherichia coli strain O157:H7 and K12 (364 aa), FASTA scores: opt: 938, E(): 3.9e-50, (43.55% identity in 363 aa overlap); etc. Contains PS00843 D-alanine--D-alanine ligase signature 1. Belongs to the D-alanine--D-alanine ligase family.</t>
  </si>
  <si>
    <t>gpdA2</t>
  </si>
  <si>
    <t>Involved in de novo phospholipid biosynthesis; glycerol-3 phosphate formation [catalytic activity: SN-glycerol 3-phosphate + NAD(P)(+) = glycerone phosphate + NAD(P)H].</t>
  </si>
  <si>
    <t>Probable glycerol-3-phosphate dehydrogenase [NAD(P)+] GpdA2 (NAD(P)H- dependent glycerol-3-phosphate dehydrogenase)</t>
  </si>
  <si>
    <t>Rv2982c, (MTCY349.05), len: 334 aa. Probable gpdA2 (alternate gene name: gpsA), glycerol-3-phosphate dehydrogenase [NAD(P)+], equivalent to Q9CBR9|GPDA_MYCLE glycerol-3-phosphate dehydrogenase [NAD(P)+] from Mycobacterium leprae (349 aa), FASTA scores: opt: 1686, E(): 1.7e-95, (77.95% identity in 349 aa overlap). Also highly similar to others e.g. Q9ZBS0|GPDA_STRCO from Streptomyces coelicolor (336 aa), FASTA scores: opt: 1165, E(): 9.8e-64, (56.25% identity in 327 aa overlap); P46919|GPDA_BACSU from Bacillus subtilis (345 aa), FASTA scores: opt: 872, E(): 7.5e-46, (44.9% identity in 325 aa overlap); P37606|GPDA_ECOLI|GPSA|B3608|Z5035|ECS4486. from Escherichia coli strain O157:H7 and K12 (339 aa), FASTA scores: opt: 799, E(): 2.1e-41, (42.9% identity in 331 aa overlap); etc. Also highly similar to O53761|GPD2_MYCTU probable glycerol-3-phosphate dehydrogenase from Mycobacterium tuberculosis (341 aa), FASTA scores: opt: 740, E(): 8.4e-38, (40.35% identity in 322 aa overlap). Belongs to the NAD-dependent glycerol-3-phosphate dehydrogenase family.</t>
  </si>
  <si>
    <t>Rv2983</t>
  </si>
  <si>
    <t>Rv2983, (MTCY349.04c), len: 214 aa. Conserved hypothetical ala-rich protein, equivalent to O33128|ML1680|MLCB637.37c hypothetical 22.0 KDA protein from Mycobacterium leprae (216 aa), FASTA scores: opt: 1080, E(): 9e-61, (79.05% identity in 215 aa overlap). Also similar to other hypothetical proteins e.g. Q9ZBS2|SC7A1.01C from Streptomyces coelicolor (212 aa), FASTA scores: opt: 420, E(): 2.9e-19, (43.5% identity in 207 aa overlap); O26710|MTH613 from Methanothermobacter thermautotrophicus (223 aa), FASTA scores: opt: 193, E(): 5.8e-05, (30.0% identity in 190 aa overlap); Q9RKG8|SCE46.21 from Streptomyces coelicolor (210 aa), FASTA scores: opt: 139, E(): 0.14, (27.65% identity in 206 aa overlap); etc.</t>
  </si>
  <si>
    <t>ppk1</t>
  </si>
  <si>
    <t>Catalyzes the reversible transfer of the terminal phosphate of ATP to form a long-chain polyphosphate (polyp) [catalytic activity: ATP + {phosphate}(N) = ADP + {phosphate}(N+1)]. Likely involved in MPRAB-SIGE-rel signalling and the stringent response.</t>
  </si>
  <si>
    <t>Polyphosphate kinase PPK (polyphosphoric acid kinase) (ATP-polyphosphate phosphotransferase)</t>
  </si>
  <si>
    <t>Rv2984, (MTCY349.03c), len: 742 aa. Ppk1, polyphosphate kinase (See Sureka et al., 2007), equivalent to O33127|PPK_MYCLE polyphosphate kinase from Mycobacterium leprae (739 aa), FASTA scores: opt: 4264, E(): 0, (87.85% identity in 742 aa overlap). Also highly similar to others e.g. Q9KZV6|PPK_STRCO from Streptomyces coelicolor (746 aa), FASTA scores: opt: 1979, E(): 2.6e-117, (59.9% identity in 701 aa overlap); Q9KD27|PPK_BACHD from Bacillus halodurans (705 aa), FASTA scores: opt: 1319, E(): 1.4e-75, (45.55% identity in 674 aa overlap); Q9PAC7|PPK_XYLFA from Xylella fastidiosa (698 aa), FASTA scores: opt: 1300, E(): 2.2e-74, (43.3% identity in 693 aa overlap); etc. Belongs to the polyphosphate kinase family.</t>
  </si>
  <si>
    <t>Function unknown; hydrolytic enzyme. Possibly involved in removal of damaged nucleotide.</t>
  </si>
  <si>
    <t>Possible hydrolase MutT1</t>
  </si>
  <si>
    <t>Rv2985, (MTCY349.02c), len: 317 aa. Possible mutT1, long MutT protein (hydrolase) (see citation below), highly similar to O33126|MLCB637.35 hypothetical 34.5 KDA protein from Mycobacterium leprae (312 aa), FASTA scores: opt: 1514, E(): 5.1e-91, (71.85% identity in 316 aa overlap); and Q9CBR8|ML1682 hypothetical protein from Mycobacterium leprae (311 aa), FASTA scores: opt: 1510, E(): 9.2e-91, (71.5% identity in 316 aa overlap). Also similar to Q50195|L222-ORF6|ML2698 hypothetical protein from Mycobacterium leprae (251 aa), FASTA scores: opt: 231, E(): 1.1e-07, (36.7% identity in 128 aa overlap). Also similar to shorter mutt proteins and related hypothetical protein e.g. Q9EUS6 hypothetical 16.6 KDA protein from Streptomyces griseus subsp. griseus (152 aa), FASTA scores: opt: 380, E(): 1.7e-17, (50.75% identity in 130 aa overlap); Q9KZV8|SCD84.10C putative mutt-like protein from Streptomyces coelicolor (142 aa), FASTA scores: opt: 376, E(): 2.9e-17, (46.1% identity in 128 aa overlap); P96590|mutt mutt protein from Bacillus subtilis (149 aa), FASTA scores: opt: 180, E(): 0.00017, (35.25% identity in 122 aa overlap); etc. Also similar to O05437 hypothetical 27.1 KDA protein from Mycobacterium tuberculosis (248 aa), FASTA scores: opt: 224, E(): 3.2e-07, (34.03% identity in 144 aa overlap). Contains PS00893 mutT domain signature. Seems to belong to the mutt/NUDIX family protein.</t>
  </si>
  <si>
    <t>This protein belongs to the histone like family of prokaryotic DNA-binding proteins which are capable of wrapping DNA to stabilize it, and prevent its denaturation under extreme environmental conditions.</t>
  </si>
  <si>
    <t>DNA-binding protein HU homolog HupB (histone-like protein) (HLP) (21-kDa laminin-2-binding protein)</t>
  </si>
  <si>
    <t>Rv2986c, (MTCY349.01), len: 214 aa. hupB (alternate gene names: hup, hlp, lbp21), DNA-binding protein HU homolog (resembles fusion between HU and histone) (see Pethe et al., 2002), equivalent to others from Mycobacteria e.g. Q9XB18|DBH_MYCBO from Mycobacterium bovis (205 aa), FASTA scores: opt: 1050, E(): 5.6e-45, (95.35% identity in 214 aa overlap); Q9ZHC5|DBH_MYCSM from Mycobacterium smegmatis (208 aa), FASTA scores: opt: 1035, E(): 3.1e-44, (80.2% identity in 217 aa overlap); and O33125|DBH_MYCLE from Mycobacterium leprae (200 aa), FASTA scores: opt: 914, E(): 2.7e-38, (80.1% identity in 216 aa overlap). Also highly similar to others from other organisms e.g. O86537|DBH2_STRCO from Streptomyces coelicolor (218 aa), FASTA scores: opt: 569, E(): 2.6e-21, (51.35% identity in 220 aa overlap); P08821|DBH1_BACSU from Bacillus subtilis (92 aa), FASTA scores: opt: 280, E(): 2.5e-07, (45.05% identity in 91 aa overlap) (C-terminus shorter); etc. Contains PS00045 Bacterial histone-like DNA-binding proteins signature. Belongs to the bacterial histone-like protein family. Note that its C-terminal domain is very rich in lysine and alanine.</t>
  </si>
  <si>
    <t>Involved in leucine biosynthesis (at the second step) [catalytic activity: 3-isopropylmalate = 2-isopropylmaleate + H(2)O (also catalyses 2-isopropylmaleate + H(2)O = 3-hydroxy-4-methyl-3-carboxypentanone)].</t>
  </si>
  <si>
    <t>Probable 3-isopropylmalate dehydratase (small subunit) LeuD (isopropylmalate isomerase) (alpha-IPM isomerase) (IPMI)</t>
  </si>
  <si>
    <t>Rv2987c, (MTV012.01c), len: 198 aa. Probable leuD, 3-isopropylmalate dehydratase, small subunit, equivalent to O33124|LEUD_MYCLE 3-isopropylmalate dehydratase small subunit from Mycobacterium leprae (198 aa), FASTA scores: opt: 1155, E(): 4.2e-72, (87.75% identity in 196 aa overlap). Also highly similar to many e.g. O86535|LEUD_STRCO from Streptomyces coelicolor (197 aa), FASTA scores: opt: 765, E(): 2.6e-45, (59.0% identity in 195 aa overlap); P04787|LEUD_SALTY from Salmonella typhimurium (201 aa), FASTA scores: opt: 528, E(): 5.2e-29, (45.05% identity in 191 aa overlap); P30126|LEUD_ECOLI|LEUD|B0071 from Escherichia coli strain K12 (201 aa), FASTA scores: opt: 498, E(): 6e-27, (43.45% identity in 191 aa overlap); etc.</t>
  </si>
  <si>
    <t>Probable 3-isopropylmalate dehydratase (large subunit) LeuC (isopropylmalate isomerase) (alpha-IPM isomerase) (IPMI)</t>
  </si>
  <si>
    <t>Rv2988c, (MTV012.02c), len: 473 aa. Probable leuC, 3-isopropylmalate dehydratase, large subunit, equivalent to O33123|LEU2_MYCLE 3-isopropylmalate dehydratase small subunit from Mycobacterium leprae (476 aa), FASTA scores: opt: 2818, E(): 1.3e-171, (88.75% identity in 471 aa overlap). Also highly similar to many e.g. Q44427|LEU2_ACTTI from Actinoplanes teichomyceticus (485 aa), FASTA scores: opt: 1958, E(): 6.5e-117, (71.0% identity in 479 aa overlap); P55251|LEU2_RHIPU from Rhizomucor pusillus (755 aa), FASTA scores: opt: 1937, E(): 1.9e-115, (61.25% identity in 467 aa overlap) (C-terminus longer); P30127|LEU2_ECOLI|LEUC|B0072 from Escherichia coli strain K12 (465 aa), FASTA scores: opt: 1896, E(): 5.5e-113, (61.6% identity in 456 aa overlap); etc. Contains PS00450 Aconitase family signature. Belongs to the aconitase/IPM isomerase family.</t>
  </si>
  <si>
    <t>Rv2989, (MTV012.03), len: 233 aa. Probable transcriptional regulator (ala-rich protein), highly similar to O86533|SC1C2.33c putative transcriptional regulator from Streptomyces coelicolor (238 aa), FASTA scores: opt: 711, E(): 2.3e-38, (53.05% identity in 230 aa overlap); and similar to others e.g. Q9KND6 putative transcriptional regulator from Vibrio cholerae (244 aa), FASTA scores: opt: 232, E(): 1.2e-07, (29.75% identity in 232 aa overlap); Q9R9U0|SRPS efflux pump regulator from Pseudomonas putida (259 aa), FASTA scores: opt: 224, E(): 4.1e-07, (28.35% identity in 247 aa overlap); etc. Also similar to proteins from Mycobacterium tuberculosis e.g. O06806|Rv1773c|MTCY28.39 hypothetical 26.6 KDA protein (248 aa), FASTA scores: opt: 239, E(): 4.4e-08, (29.85% identity in 231 aa overlap); P71977|RV1719|MTCY04C12.04 hypothetical 27.9 KDA protein (259 aa), FASTA scores: opt: 215, E(): 1.6e-06, (31.85% identity in 223 aa overlap); etc. Equivalent to AAK47396 from Mycobacterium tuberculosis strain CDC1551 (267 aa) but shorter 34 aa. Contains possible helix-turn-helix motif at aa 25-46 (Score 1005, +2.61 SD).</t>
  </si>
  <si>
    <t>Rv2990c, (MTV012.04c), len: 286 aa. Hypothetical unknown protein.</t>
  </si>
  <si>
    <t>Rv2991, (MTV012.05), len: 163 aa. Conserved protein, similar to others e.g. Q9K3X7|2SCG61.39. hypothetical 17.6 KDA protein from Streptomyces coelicolor (153 aa), FASTA scores: opt: 266, E(): 2.1e-11, (34.85% identity in 155 aa overlap); Q9CNX3|PM0299 hypothetical protein from Pasteurella multocida (171 aa), FASTA scores: opt: 175, E(): 5.1e-05, (31.3% identity in 131 aa overlap); Q9KZI9|SCG8A.10 conserved hypothetical protein from Streptomyces coelicolor (142 aa), FASTA scores: opt: 163, E(): 0.00031, (32.4% identity in 108 aa overlap); etc. Also some similarity to O06553|MTCI65.22|Rv1155 hypothetical protein from Mycobacterium tuberculosis (147 aa), FASTA scores: opt: 127, E(): 0.1, (32.9% identity in 73 aa overlap); and to several proteins of similar size that confer resistance to 5-Nitroimidazole antibiotics in Bacteroides.</t>
  </si>
  <si>
    <t>gltS</t>
  </si>
  <si>
    <t>Involved in translation mechanisms [catalytic activity: ATP + L-glutamate + tRNA(GLU) = AMP + diphosphate + L-glutamyl-tRNA(GLU)].</t>
  </si>
  <si>
    <t>Glutamyl-tRNA synthetase GltS (glutamate--tRNA ligase) (glutamyl-tRNA synthase) (GLURS)</t>
  </si>
  <si>
    <t>Rv2992c, (MTV012.06c), len: 490 aa. GltS (alternate gene name: gltX), glutamyl-tRNA synthase, equivalent to O33120|SYE_MYCLE glutamyl-tRNA synthetase from Mycobacterium leprae (502 aa), FASTA scores: opt: 2660, E(): 2.3e-163, (81.35% identity in 488 aa overlap). Also highly similar to others e.g. O86528|SYE_STRCO from Streptomyces coelicolor (494 aa), FASTA scores: opt: 1777, E(): 1.4e-106, (57.45% identity in 484 aa overlap); P22250|SYE_BACSU from Bacillus subtilis (483 aa), FASTA scores: opt: 1099, E(): 5.4e-63, (38.45% identity in 489 aa overlap); O51345|SYE_BORBU|GLTX|BB0372 from Borrelia burgdorferi (Lyme disease spirochete) (490 aa), FASTA scores: opt: 1009, E(): 3.3e-57, (34.85% identity in 491 aa overlap); etc. Belongs to class-I aminoacyl-tRNA synthetase family.</t>
  </si>
  <si>
    <t>Isomerizes HHDD (2-hydroxy-hept-2,4-diene-1,7-dioate) to OHED (2-oxo-hept-3-ene-1,7-dioate).</t>
  </si>
  <si>
    <t>Possible 2-hydroxyhepta-2,4-diene-1,7-dioate isomerase (HHDD isomerase)</t>
  </si>
  <si>
    <t>Rv2993c, (MTV012.07c), len: 239 aa. Possible 2-hydroxyhepta-2,4-diene-1,7-dioate isomerase, equivalent to O33119|ML1689|MLCB637.28 possible 2-hydroxyhepta-2,4-diene- 1,7-dioate isomerase from Mycobacterium leprae (242 aa), FASTA scores: opt: 1427, E(): 4.4e-86, (85.9% identity in 241 aa overlap). Also similar to others e.g. Q9LBE3|DR1609 from Deinococcus radiodurans (250 aa), FASTA scores: opt: 723, E(): 5.5e-40, (49.05% identity in 216 aa overlap); O27551|MTH1507 from Methanothermobacter thermautotrophicus (260 aa), FASTA scores: opt: 708, E(): 5.4e-39, (52.1% identity in 213 aa overlap); Q9HQR6|VNG1037G|HPCE from Halobacterium sp. (strain NRC-1) (244 aa), FASTA scores: opt: 590, E(): 2.7e-31, (43.65% identity in 220 aa overlap); etc. Start chosen by homology, but ORF could continue upstream.</t>
  </si>
  <si>
    <t>Unknown; COULB be involved in efflux system (possibly drug).</t>
  </si>
  <si>
    <t>Rv2994, (MTV012.08), len: 445 aa. Probable conserved integral membrane protein, member of major facilitator superfamily (MFS) possibly involved in transport of drug. C-terminal part highly similar to O33118|MLCB637.27c hypothetical 14.7 KDA protein (probable pseudogene product) from Mycobacterium leprae (134 aa), FASTA scores: opt: 483, E(): 2.7e-21, (60.9% identity in 138 aa overlap). Also similar to various transporters e.g. Q9I5C8|PA0811 probable MFS transporter from Pseudomonas aeruginosa (415 aa), FASTA scores: opt: 289, E(): 1.3e-09, (26.05% identity in 399 aa overlap); O30210|AF0025 cyanate transport protein from Archaeoglobus fulgidus (393 aa), FASTA scores: opt: 281, E(): 3.7e-09, (24.05% identity in 399 aa overlap); Q9RI35|SCJ12.25C putative nitrate/nitrite transporter from Streptomyces coelicolor (412 aa), FASTA scores: opt: 264, E(): 3.8e-08, (24.95% identity in 409 aa overlap); Q9A5N5|CC2412 major facilitator family transporter from Caulobacter crescentus (405 aa), FASTA scores: opt: 263, E(): 4.3e-08, (27.55% identity in 399 aa overlap); etc. First start taken; similarity to P21191|NORA_STAAU quinolone resistance protein from Staphylococcus aureus (388 aa) suggests alternative start at 7319 but then no positively charged aa before first transmembrane segment.</t>
  </si>
  <si>
    <t>Involved in leucine biosynthesis (at the third step) [catalytic activity: 3-carboxy-2-hydroxy-4-methylpentanoate + NAD(+) = 3-carboxy-4-methyl-2-oxopentanoate + NADH (the product decarboxylates to 4-methyl-2-oxopentanoate)].</t>
  </si>
  <si>
    <t>Probable 3-isopropylmalate dehydrogenase LeuB (beta-IPM dehydrogenase) (IMDH) (3-IPM-DH)</t>
  </si>
  <si>
    <t>Rv2995c, (MTV012.09), len: 336 aa. Probable leuB, 3-isopropylmalate dehydrogenase, identical except a single bp to P94929|LEU3_MYCBO 3-isopropylmalate dehydrogenase from Mycobacterium bovis (336 aa) (see citation below), FASTA scores: opt: 2168, E(): 5.1e-132, (99.7% identity in 336 aa overlap); and equivalent to O33117|LEU3_MYCLE 3-isopropylmalate dehydrogenase from Mycobacterium leprae (336 aa), FASTA scores: opt: 1864, E(): 1.8e-112, (83.95% identity in 336 aa overlap). Also highly similar to others e.g. P94631|LEU3_CORGL from Corynebacterium glutamicum (340 aa), FASTA scores: opt: 1526, E(): 1e-90, (69.9% identity in 339 aa overlap); O86504 from Streptomyces coelicolor (347 aa), FASTA scores: opt: 1470, E(): 4.2e-87, (67.85% identity in 339 aa overlap); Q9UZ05|PAB2424 from Pyrococcus abyssi (354 aa), FASTA scores: opt: 998, E(): 1e-56, (50.0% identity in 322 aa overlap); etc. Note that also shows high similarity with many tartrate dehydrogenases. Belongs to the isocitrate and isopropylmalate dehydrogenases family.</t>
  </si>
  <si>
    <t>Involved at the first committed step in the 'phosphorylated' pathway of L-serine biosynthesis [catalytic activity: 3-phosphoglycerate + NAD(+) = 3-phosphohydroxypyruvate + NADH].</t>
  </si>
  <si>
    <t>Probable D-3-phosphoglycerate dehydrogenase SerA1 (PGDH)</t>
  </si>
  <si>
    <t>Rv2996c, (MTV012.10), len: 528 aa. Probable serA1, D-3-phosphoglycerate dehydrogenase, equivalent to SERA_MYCLE D-3-phosphoglycerate dehydrogenase from Mycobacterium leprae (528 aa), FASTA scores: opt: 2974, E(): 1.9e-166, (89.6% identity in 528 aa overlap). Also highly similar to many e.g. Q9Z564 from Streptomyces coelicolor (529 aa), FASTA scores: opt: 1879, E(): 2.1e-102, (57.6% identity in 526 aa overlap); O29445|SERA_ARCFU from Archaeoglobus fulgidus (527 aa), FASTA scores: opt: 1252, E(): 9.6e-66, (41.3% identity in 530 aa overlap); P35136|SERA_BACSU from Bacillus subtilis (525 aa), FASTA scores: opt: 1172, E(): 4.5e-61, (37.9% identity in 528 aa overlap); etc. Contains PS00017 ATP/GTP-binding site motif A (P-loop), PS00065 D-isomer specific 2-hydroxyacid dehydrogenases NAD-binding signature, and PS00670 D-isomer specific 2-hydroxyacid dehydrogenases signature 2. Belongs to the D-isomer specific 2-hydroxyacid dehydrogenases family. Note that previously known as serA.</t>
  </si>
  <si>
    <t>Possible alanine rich dehydrogenase</t>
  </si>
  <si>
    <t>Rv2997, (MTV012.11), len: 480 aa. Possible ala-rich dehydrogenase, similar to others dehydrogenases and hypothetical proteins e.g. Q9EYI5 putative dehydrogenase from Streptomyces nogalater (472 aa), FASTA scores: opt: 1131, E(): 1.7e-61, (41.0% identity in 471 aa overlap); Q9ZBG4|SC9B5.16 putative dehydrogenase from Streptomyces coelicolor (472 aa), FASTA scores: opt: 1064, E(): 2e-57, (39.05% identity in 471 aa overlap); Q98BS8 probable dehydrogenase from Rhizobium loti (Mesorhizobium loti) (524 aa), FASTA scores: opt: 196, E(): 0.00021, (25.1% identity in 526 aa overlap); etc. Shows strong similarity throughout its length to O06826|MTCY493.22c|Rv1432 hypothetical 50.5 KDA protein from Mycobacterium tuberculosis (473 aa), FASTA scores: opt: 1220, E(): 6.1e-67, (42.35% identity in 465 aa overlap).</t>
  </si>
  <si>
    <t>Rv2998, (MTV012.12), len: 153 aa. Hypothetical unknown protein. Note that equivalent to AAK47405 Hypothetical 19.4 kDa protein from Mycobacterium tuberculosis strain CDC1551 (186 aa) but sequence differs in N-terminus.</t>
  </si>
  <si>
    <t>Rv2998A</t>
  </si>
  <si>
    <t>Rv2998A, len: 67 aa. Probable conserved hypothetical protein, (possibly gene fragment), highly similar to central part of two-component sensor proteins e.g. O07777|Rv0601c|MTCY19H5.21 two component sensor (fragment) from Mycobacterium tuberculosis (156 aa), FASTA scores: opt: 212, E(): 3.7e-09, (58.2% identity in 67 aa overlap); Q9L2B6|SC8F4.08 probable two-component sensor kinase from Streptomyces coelicolor (478 aa), FASTA scores: opt: 193, E(): 2.6e-07, (47.05% identity in 68 aa overlap); etc.</t>
  </si>
  <si>
    <t>Probable conserved lipoprotein LppY</t>
  </si>
  <si>
    <t>Rv2999, (MTV012.13), len: 321 aa. Probable lppY, conserved lipoprotein, highly similar to O07774|LPQO|Rv0604|MTCY19H5.18c putative lipoprotein from Mycobacterium tuberculosis (316 aa), FASTA scores: opt: 1153, E(): 5e-62, (53.2% identity in 312 aa overlap); and showing similarity with AAK80743|CAC2799 uncharacterized conserved protein similar to LPPY/LPQO of Mycobacterium tuberculosis from Clostridium acetobutylicum (152 aa), FASTA scores: opt: 165, E(): 0.0077, (26.08% identity in 138 aa overlap); and Q9F2T1|SCD65.01c putative lipoprotein (fragment) from Streptomyces coelicolor (146 aa), FASTA scores: opt: 126, E(): 1.6, (% identity in aa overlap). Equivalent to AAK47407 from Mycobacterium tuberculosis strain CDC1551 (329 aa) but shorter 8 aa. Contains probable N-terminal signal sequence and PS00013 Prokaryotic membrane lipoprotein lipid attachment site.</t>
  </si>
  <si>
    <t>Rv3000, (MTV012.14), len: 219 aa. Possible conserved transmembrane protein, similar to various membrane proteins e.g. P77307|YBBM_ECOLI|B0491 hypothetical 28.2 KDA protein (potential integral membrane protein) from Escherichia coli strain K12 (259 aa), FASTA scores: opt: 292, E(): 3.1e-11, (30.25% identity in 218 aa overlap); N-terminus of Q9BJF3 putative ABC transporter (fragment) from Sterkiella histriomuscorum (1319 aa), FASTA scores: opt: 274, E(): 1.3e-09, (39.6% identity in 101 aa overlap); Q9C9W0|T23K23.21 putative ABC transporter from Arabidopsis thaliana (Mouse-ear cress) (263 aa), FASTA scores: opt: 258, E(): 4.4e-09, (30.1% identity in 196 aa overlap); P74369|YG47_SYNY3|SLR1647 hypothetical 28.1 KDA protein (potential integral membrane protein) from Synechocystis sp. strain PCC 6803 (259 aa), FASTA scores: opt: 257, E(): 5.1e-09, (37.75% identity in 98 aa overlap); etc. Contains PS00017 ATP/GTP-binding site motif A (P-loop).</t>
  </si>
  <si>
    <t>Involved in valine and isoleucine biosynthesis (at the second step) [catalytic activity: (R)-2,3-dihydroxy-3-methylbutanoate + NADP(+) = (S)-2-hydroxy-2-methyl-3-oxobutanoate + NADPH].</t>
  </si>
  <si>
    <t>Probable KETOL-acid reductoisomerase IlvC (acetohydroxy-acid isomeroreductase) (alpha-keto-beta-hydroxylacil reductoisomerase)</t>
  </si>
  <si>
    <t>Rv3001c, (MT3081, MTV012.15c), len: 333 aa. Probable ilvC, ketol-acid reductoisomerase, equivalent or highly similar to others e.g. Q59500|ILVC_MYCAV from Mycobacterium avium (333 aa), FASTA scores: opt: 1977, E(): 3.2e-113, (87.7% identity in 333 aa overlap); O33114|ILVC_MYCLE from Mycobacterium leprae (333 aa), FASTA scores: opt: 1924, E(): 5.3e-110, (86.5% identity in 333 aa overlap); Q9Z565|ILVC_STRCO|SC8D9.26 from Streptomyces coelicolor (332 aa), FASTA scores: opt: 1494, E(): 8.3e-84, (67.5% identity in 326 aa overlap); Q59818|ILVC_STRAW from Streptomyces avermitilis (333 aa) FASTA scores: opt: 1487, E(): 2.2e-83, (66.8% identity in 326 aa overlap); etc. Belongs to the KETOL-acid reductoisomerases family.</t>
  </si>
  <si>
    <t>ilvN</t>
  </si>
  <si>
    <t>Involved in valine and isoleucine biosynthesis (at the first step) [catalytic activity: 2-acetolactate + CO(2) = 2-pyruvate].</t>
  </si>
  <si>
    <t>Probable acetolactate synthase (small subunit) IlvN (acetohydroxy-acid synthase) (AHAS) (ALS)</t>
  </si>
  <si>
    <t>Rv3002c, (MT3082, MTV012.16c), len: 168 aa. Probable ilvN (alternate gene name: ilvH), acetolactate synthase, small subunit, equivalent or highly similar to others e.g. O33113|ILVH_MYCLE|MLCB637.21 from Mycobacterium leprae (169 aa), FASTA scores: opt: 843, E(): 5.1e-47, (83.5% identity in 164 aa overlap); Q59499|ILVH_MYCAV|ILVN from Mycobacterium avium (167 aa), FASTA scores: opt: 798, E(): 3.7e-44, (81.05% identity in 169 aa overlap); Q9Z566|ILVN from Streptomyces coelicolor (174 aa), FASTA scores: opt: 678, E(): 1.7e-36, (64.8% identity in 159 aa overlap); etc. Belongs to the acetolactate synthase small subunit family.</t>
  </si>
  <si>
    <t>Involved in valine and isoleucine biosynthesis (at the first step) [catalytic activity: 2-acetolactate + CO(2) = 2 pyruvate].</t>
  </si>
  <si>
    <t>Acetolactate synthase (large subunit) IlvB1 (acetohydroxy-acid synthase)</t>
  </si>
  <si>
    <t>Rv3003c, (MT3083, MTV012.17c), len: 618 aa. ilvB1, acetolactate synthase, large subunit, equivalent or highly similar to others e.g. O33112|ILVB_MYCLE|MLCB637.20|ML1696 from Mycobacterium leprae (625 aa), FASTA scores: opt: 3653, E(): 5.4e-208, (87.1% identity in 627 aa overlap); Q59498|ILVB_MYCAV from Mycobacterium avium (621 aa), FASTA scores: opt: 3473, E(): 2.3e-197, (84.7% identity in 614 aa overlap); P42463|ILVB_CORGL from Corynebacterium glutamicum (Brevibacterium flavum) (626 aa), FASTA scores: opt: 2754, E(): 5.9e-155, (65.8% identity in 589 aa overlap); etc. Contains PS00187 Thiamine pyrophosphate enzymes signature. Cofactor: thiamine pyrophosphate, and magnesium (by similarity). Note that previously known as ilvB.</t>
  </si>
  <si>
    <t>Unknown function (putative secreted protein).</t>
  </si>
  <si>
    <t>Low molecular weight protein antigen 6 (CFP-6)</t>
  </si>
  <si>
    <t>Rv3004, (MT3084.1, MTV012.18), len: 112 aa. Cfp6, low molecular weight protein antigen 6 (CFP-6) (See Bhaskar et al., 2000). Weak homology with Q9RKZ5|SC6D7.02 putative membrane protein from Streptomyces coelicolor (156 aa), FASTA scores: opt: 109, E(): 0.78, (39.4% identity in 122 aa overlap). Caution: the initiator methionine may be further upstream making the sequence a precursor. Predicted to be an outer membrane protein (See Song et al., 2008).</t>
  </si>
  <si>
    <t>Rv3005c, (MTV012.19c), len: 279 aa. Conserved hypothetical protein, equivalent to O33110|MLCB637.18|ML1698 hypothetical 29.5 KDA protein from Mycobacterium leprae (277 aa), FASTA scores: opt: 1245, E(): 1.2e-65, (70.5% identity in 278 aa overlap). Also similar, but longer approximately 100 aa in N-terminus, to other hypothetical proteins, few membrane proteins, e.g. Q9RKN9|SCC75A.35 putative membrane protein from Streptomyces coelicolor (180 aa), FASTA scores: opt: 326, E(): 3.9e-12, (44.2% identity in 138 aa overlap); P96694|YDFP|AB001488 hypothetical protein from Bacillus subtilis (129 aa), FASTA scores: opt:273, E(): 3.7e-09, (33.1% identity in 130 aa overlap); Q9KKT1|VCA1019 hypothetical protein from Vibrio cholerae (148 aa), FASTA scores: opt: 258, E(): 3.1e-08, (34.9% identity in 126 aa overlap); etc.</t>
  </si>
  <si>
    <t>Probable conserved lipoprotein LppZ</t>
  </si>
  <si>
    <t>Rv3006, (MTV012.20), len: 373 aa. Probable lppZ, conserved lipoprotein, equivalent to O33109|MLCB637.17C|ML1699 putative lipoprotein from M. leprae (372 aa), FASTA scores: opt: 2211, E(): 4.3e-100, (87.1% identity in 373 aa overlap). Shows also similarity (in part) with Q9Z571|SC8D9.20c putative oxidoreductase from Streptomyces coelicolor (447 aa), FASTA scores: opt: 185, E(): 0.051, (31.6% identity in 300 aa overlap); Q9Z9R3|BH2090 glucose dehydrogenase-B from Bacillus halodurans (371 aa), FASTA scores: opt: 206, E(): 0.0043, (28.3% identity in 205 aa overlap); and other glucose dehydrogenases B. Contains signal sequence and appropriately positioned PS00013 Prokaryotic membrane lipoprotein lipid attachment site, followed by a proline-rich domain.</t>
  </si>
  <si>
    <t>Rv3007c, (MTV012.21c), len: 204 aa. Possible oxidoreductase, similar to Q9EWU5|3SC5B7.04c putative oxidoreductase from Streptomyces coelicolor (162 aa), FASTA scores: opt: 376, E(): 1.5e-18, (41.35% identity in 150 aa overlap); Q9K416|SCG22.29c putative flavin-dependent reductase protein from Streptomyces coelicolor (169 aa), FASTA scores: opt: 246, E(): 1e-09, (34.1% identity in 135 aa overlap); and some similarity to coupling proteins of 4-hydroxyphenylacetic hydroxylase/monooxygenase e.g. Q9HWT6|HPAC|PA4092 Pseudomonas aeruginosa (170 aa), FASTA score: opt: 214; O68232|HPAC Photorhabdus luminescens (Xenorhabdus luminescens) (172 aa), FASTA score: opt: 198; Q9RPU2|HPAC Salmonella dublin (170 aa), FASTA score: opt: 197; etc. Equivalent to AAK47416 from Mycobacterium tuberculosis strain CDC1551 (236 aa) but shorter 32 aa. Start chosen by similarity.</t>
  </si>
  <si>
    <t>Rv3008, (MTV012.22), len: 207 aa (start uncertain). Hypothetical unknown protein.</t>
  </si>
  <si>
    <t>Component of the translational apparatus. Furnishes a means for formation of correctly charged GLN-tRNA(GLN) through the transamidation of misacylated GLU- tRNA(GLN) in organisms which lack glutaminyl-tRNA synthetase. The reaction takes place in the presence of glutamine and ATP through an activated gamma-phospho-GLU-tRNA(GLN) [catalytic activity: ATP + L-glutamyl-tRNA(GLN) + L-glutamine = ADP + phosphate + L-glutaminyl-tRNA(GLN) + L-glutamate].</t>
  </si>
  <si>
    <t>Probable glutamyl-tRNA(GLN) amidotransferase (subunit B) GatB (Glu-ADT subunit B)</t>
  </si>
  <si>
    <t>Rv3009c, (MT3089, MTV012.23c), len: 509 aa. Probable gatB, Glu- tRNA-Gln amidotransferase, subunit B , equivalent to O33107|GATB_MYCLE|MLCB637_15 glutamyl-tRNA(GLN) amidotransferase from Mycobacterium leprae (509 aa), FASTA scores: opt: 2973, E(): 2.9e-173, (88.4% identity in 509 aa overlap). Also highly similar to other Glu- tRNA-Gln amidotransferases e.g. Q9Z578|GATB|SC8D9.13 from Streptomyces coelicolor (504 aa), FASTA scores: opt: 2264, E(): 3.6e-130, (66.0% identity in 495 aa overlap); P74215|GATB_SYNY3|SLL1435 from Synechocystis sp. strain PCC 6803 (519 aa), FASTA scores: opt: 1289, E(): 6.7e-71, (42.0% identity in 485 aa overlap); Q9X100|GATB_THEMA|TM1273 glutamyl-tRNA(GLN) amidotransferase from Thermotoga maritima (482 aa), FASTA scores: opt: 1165, E(): 2.2e-63, (40.05% identity in 487 aa overlap); etc. For more information about function, see citation below. Similar to many members of the pet112 family. Belongs to the GatB family.</t>
  </si>
  <si>
    <t>Involved in glycolysis; converts sugar-1-P to sugar-1,6-P [catalytic activity: ATP + D-fructose 6-phosphate = ADP + D-fructose 1,6-bisphosphate].</t>
  </si>
  <si>
    <t>Probable 6-phosphofructokinase PfkA (phosphohexokinase) (phosphofructokinase)</t>
  </si>
  <si>
    <t>Rv3010c, (MTV012.24c), len: 343 aa. Probable pfkA, phosphofructokinase, equivalent to O33106|K6PF_MYCLE|MLCB637.14 6-phosphofructokinase from Mycobacterium leprae (343 aa), FASTA scores: opt: 2099, E(): 4.1e-122, (90.4% identity in 343 aa overlap). Also highly similar to others e.g. Q9FC99|K6P3_STRCO from Streptomyces coelicolor (341 aa), FASTA scores: opt: 1329, E(): 1.1e-74, (58.9% identity in 338 aa overlap); Q9L1L8|K6P2_STRCO|PFKA2|PFK2|SC6A11.02 6-phosphofructokinase 2 from Streptomyces coelicolor (341 aa), FASTA scores: opt: 1303, E(): 4.5e-73, (56.7% identity in 342 aa overlap); Q9KH71|PFP PPI-dependent phosphofructokinase from Dictyoglomus thermophilum (346 aa), FASTA scores: opt: 893, E(): 8.4e-48, (41.85% identity in 344 aa overlap); etc. Contains PS00433 Phosphofructokinase signature. Belongs to the phosphofructokinase family.</t>
  </si>
  <si>
    <t>Component of the translational apparatus. Furnishes a means for formation of correctly charged GLN-tRNA(GLN) through the transamidation of misacylated GLU-tRNA(GLN) in organisms which lack glutaminyl-tRNA synthetase. The reaction takes place in the presence of glutamine and ATP through an activated gamma-phospho-GLU-tRNA(GLN) [catalytic activity: ATP + L-glutamyl-tRNA(GLN) + L-glutamine = ADP + phosphate + L-glutaminyl-tRNA(GLN) + L-glutamate].</t>
  </si>
  <si>
    <t>Probable glutamyl-tRNA(GLN) amidotransferase (subunit A) GatA (Glu-ADT subunit A)</t>
  </si>
  <si>
    <t>Rv3011c, (MT3091, MTV012.25c), len: 494 aa. Probable gatA, Glu-tRNA-Gln amidotransferase, subunit A , equivalent to O33105|GATA|ML1702|MLCB637.13 glutamyl-tRNA(GLN) amidotransferase from Mycobacterium leprae (497 aa), FASTA scores: opt: 2839, E(): 3.5e-161, (88.8% identity in 492 aa overlap). Also highly similar to other Glu-tRNA-Gln amidotransferases e.g. Q9Z580|GATA_STRCO from Streptomyces coelicolor (497 aa), FASTA scores: opt: 2231, E(): 4.5e-125, (70.3% identity in 486 aa overlap); P73558|GATA_SYNY3|SLR0877 from Synechocystis sp. strain PCC 6803 (483 aa), FASTA scores: opt: 1593, E(): 3.3e-87, (55.85% identity in 487 aa overlap); O06491|GATA_BACSU glutamyl-tRNA(GLN) amidotransferase from Bacillus subtilis (485 aa), FASTA scores: opt: 1389, E(): 4.3e-75, (51.7% identity in 468 aa overlap); etc. For more information about function, see citation below. Contains PS00017 ATP/GTP-binding site motif A (P-loop). Belongs to the amidase family. Nucleotide position 3370177 in the genome sequence has been corrected, T:G resulting in M420L.</t>
  </si>
  <si>
    <t>Probable glutamyl-tRNA(GLN) amidotransferase (subunit C) GatC (Glu-ADT subunit C)</t>
  </si>
  <si>
    <t>Rv3012c, (MT3092, MTV012.26c), len: 99 aa. Probable gatC, Glu-tRNA-Gln amidotransferase, subunit C, equivalent to O33104|GATC_MYCLE|MLCB637.12 glutamyl-tRNA(GLN) amidotransferase from Mycobacterium leprae (99 aa), FASTA scores: opt: 483, E(): 3.1e-25, (74.75% identity in 99 aa overlap). Also highly similar to other Glu-tRNA-Gln amidotransferases e.g. Q9Z581|GATC_STRCO|SC8D9.10 from Streptomyces coelicolor (98 aa), FASTA scores: opt: 298, E(): 4e-13, (53.7% identity in 95 aa overlap); O06492|GATC_BACSU from B. subtilis (96 aa), FASTA scores: opt: 222, E(): 3.7e-08, (43.15% identity in 95 aa overlap); Q9KF29|BH0665 from Bacillus halodurans (96 aa), FASTA scores: opt: 211, E(): 1.9e-07, (41.05% identity in 95 aa overlap); etc. For more information about function, see citation below. Belongs to the GatC family.</t>
  </si>
  <si>
    <t>Rv3013</t>
  </si>
  <si>
    <t>Rv3013, (MTV012.27), len: 218 aa. Conserved protein, equivalent to O33103|MLCB637_11c hypothetical 24.4 KDA protein from Mycobacterium leprae (230 aa), FASTA scores: opt: 1188, E(): 2.6e-67, (83.95% identity in 218 aa overlap). Equivalent to AAK47422 from Mycobacterium tuberculosis strain CDC1551 (240 aa) but shorter 22 aa. A core mycobacterial gene; conserved in mycobacterial strains (See Marmiesse et al., 2004).</t>
  </si>
  <si>
    <t>This protein catalyzes the formation of phosphodiester linkages between 5'-phosphoryl and 3'-hydroxyl groups in double-stranded DNA using NAD as a coenzyme and as the energy source for the reaction. It is essential for DNA replication and repair of damaged DNA [catalytic activity: NAD(+) + (deoxyribonucleotide)(N) + (deoxyribonucleotide)(M) = AMP + nicotinamide nucleotide + (deoxyribonucleotide)(N+M)].</t>
  </si>
  <si>
    <t>DNA ligase [NAD dependent] LigA (polydeoxyribonucleotide synthase [NAD+])</t>
  </si>
  <si>
    <t>Rv3014c, (MT3094, MTV012.28c), len: 691 aa. ligA (alternate gene name: lig), DNA ligase NAD-dependent (see citation below), equivalent to O33102|DNLJ_MYCLE|LIGA|LIG|ML1705|MLCB637.10 DNA ligase from Mycobacterium leprae (694 aa), FASTA scores: opt: 3844, E(): 0, (84.7% identity in 687 aa overlap). Also highly similar to many prokaryotic and eukaryotic ligases e.g. Q9Z585|LIGA|SC8D9.06 from Streptomyces coelicolor (735 aa), FASTA scores: opt: 2002, E(): 4e-113, (59.4% identity in 714 aa overlap); P49421|DNLJ_RHOMR|LIGA|LIG from Rhodothermus marinus (712 aa), FASTA scores: opt: 1835, E(): 4.6e-103, (45.55% identity in 685 aa overlap); P15042|DNLJ_ECOLI|LIGA|LIG|DNAL|PDEC|lop|B2411 from Escherichia coli strain K12 (671 aa), FASTA scores: opt: 1696, E(): 1.1e-94, (43.8% identity in 680 aa overlap); etc. Belongs to the NAD-dependent DNA ligase family.</t>
  </si>
  <si>
    <t>Rv3015c, (MTV012.29c), len: 337 aa. Conserved hypothetical protein, equivalent to Q9CBR6|ML1706 hypothetical protein from Mycobacterium leprae (337 aa), FASTA scores: opt: 1703, E(): 3.1e-92, (78.05% identity in 337 aa overlap); and (but longer 47 aa) O33101|MLCB637.09 hypothetical 30.0 KDA protein from Mycobacterium leprae (290 aa), FASTA scores: opt: 1564, E(): 2.4e-78, (78.6% identity in 290 aa overlap). Also similar to Q9Z586|SC8D9.05 hypothetical 35.0 KDA protein from Streptomyces coelicolor (331 aa), FASTA scores: opt: 774, E(): 4.7e-38, (43.4% identity in 334 aa overlap); and showing similarity with other proteins e.g. Q39586|METE_CHLRE 5-methyltetrahydropteroyltriglutamate--homocysteine methyltransferase from Chlamydomonas reinhardtii (814 aa), FASTA scores: opt: 162, E(): 0.048, (27.05% identity in 355 aa overlap).</t>
  </si>
  <si>
    <t>Probable lipoprotein LpqA</t>
  </si>
  <si>
    <t>Rv3016, (MTV012.30), len: 209 aa. Probable lpqA, lipoprotein. Contains signal sequence and appropriately positioned PS00013 Prokaryotic membrane lipoprotein lipid attachment site.</t>
  </si>
  <si>
    <t>ESAT-6 like protein EsxQ (TB12.9) (ESAT-6 like protein 8)</t>
  </si>
  <si>
    <t>Rv3017c, (MT3097, MTV012.31c), len: 120 aa. EsxQ, ESAT-6 like protein (see citation below), possibly secreted protein, very similar to AAK47433|MT3104 putative secreted ESAT-6 like protein 9 from Mycobacterium tuberculosis strain CDC1551 (96 aa), FASTA scores: opt: 315, E(): 1.2e-14, (65.7% identity in 70 aa overlap); Rv3019c|O53266|MTV012.33c putative secreted ESAT-6 like protein 9 from Mycobacterium tuberculosis (96 aa), FASTA scores: opt: 315, E(): 1.2e-14, (65.7% identity in 70 aa overlap) and Rv0288|O53693|CFP7|MT0301|MTV035.16 10 KDA antigen CFP7 (low molecular weight protein antigen 7) (CFP-7) from Mycobacterium tuberculosis (95 aa), FASTA scores: opt: 303, E(): 7.4e-14, (66.2% identity in 68 aa overlap). An alternative start site exists at 3376801. Belongs to the ESAT6 family. Note previously known as TB12.9.</t>
  </si>
  <si>
    <t>PE27A</t>
  </si>
  <si>
    <t>Rv3018A</t>
  </si>
  <si>
    <t>PE family protein PE27A</t>
  </si>
  <si>
    <t>Rv3018A, len: 28 aa. PE27A, Member of Mycobacterium tuberculosis PE family (see Brennan and Delogu, 2002), most similar to Rv0285 (102 aa), FASTA scores: opt: 147, E(): 3.5e-05, (92.85% identity in 28 aa overlap); etc.</t>
  </si>
  <si>
    <t>PPE family protein PPE46</t>
  </si>
  <si>
    <t>Rv3018c, (MTV012.32c), len: 434 aa. PPE46, Member of PPE family but lacks Gly, Ala rich repeats at C-terminal domain, closest to MTCY261.19. See citation below. Also very similar to following ORF MTV012.35c. Nearly identical in parts to Mycobacterium tuberculosis protein erroneously described as dihydrofolate reductase (X59271|MTFOLA_1) P31500|DYR_MYCTU (214 aa), FASTA scores: opt: 972, E(): 4.4e-42, (80.0% identity in 195 aa overlap); and Z97559|MTCY261_19 from Mycobacterium tuberculosis cosmid (473 aa), FASTA scores: opt: 806, E(): 0; (38.8% identity in 479 aa overlap); and O53268|MTV012.35c from Mycobacterium tuberculosis (358 aa), FASTA scores: opt: 1714, E(): 3.3e-79, (78.3% identity in 355 aa overlap).</t>
  </si>
  <si>
    <t>Secreted ESAT-6 like protein EsxR (TB10.3) (ESAT-6 like protein 9)</t>
  </si>
  <si>
    <t>Rv3019c, (MT3104, MTV012.33c), len: 96 aa. EsxR, secreted ESAT-6 like protein (see citations below), most similar to O53693|AAK44525|Rv0288|CFP7|MT0301|MTV035.16 10 KDA antigen CFP7 (low molecular weight protein antigen 7) (CFP-7) from Mycobacterium tuberculosis (95 aa), FASTA scores: opt: 566, E(): 5.1e-31, (84.3% identity in 95 aa overlap). Also similar to Q9CD33|ML2531 possible cell surface protein from Mycobacterium leprae (96 aa), FASTA scores: opt: 472, E(): 8.3e-25, (66.6% identity in 96 aa overlap); O53264|Rv3017c|MTV012.31c putative secreted antigen from Mycobacterium tuberculosis (120 aa), FASTA scores: opt: 321, E(): 9.6e-15, (67.15% identity in 70 aa overlap); Q57165|AAK48357|O84901|X79562|ESAT6|Rv3875|MT3989|MTV027.10 esat6 gene from Mycobacterium tuberculosis strain Erdman (94 aa), FASTA scores: opt: 131, E(): 0.028, (26.1% identity in 88 aa overlap). Belongs to the ESAT6 family.</t>
  </si>
  <si>
    <t>ESAT-6 like protein EsxS</t>
  </si>
  <si>
    <t>Rv3020c, (MTV012.34c), len: 97 aa. EsxS, ESAT-6 like protein. PE-family related protein; distant member of the Mycobacterium tuberculosis PE family, similar to AAK44524|MT0300 PE family protein from M. tuberculosis strain CDC1551 (97 aa), FASTA scores: opt: 564, E(): 5.9e-30, (91.75% identity in 97 aa overlap). Has potential helix-turn-helix motif at positions 14-35. Seems to belong to the ESAT6 family (see Betts et al., 2002). Note that previously known as PE28. A core mycobacterial gene; conserved in mycobacterial strains (See Marmiesse et al., 2004).</t>
  </si>
  <si>
    <t>PPE47</t>
  </si>
  <si>
    <t>Rv3021c</t>
  </si>
  <si>
    <t>PPE family protein PPE47</t>
  </si>
  <si>
    <t>Rv3021c, (MTV012.35c), len: 358 aa. PPE47, Member of Mycobacterium tuberculosis PPE family. Should be continuation of upstream ORF MTV012.36c but is frameshifted due to missing base at 36448 in v012. Sequence has been checked but no error apparent. Very similar to neighbouring ORF O53265|MTV012.32c|Rv3018c from Mycobacterium tuberculosis (434 aa), FASTA scores: opt: 1714, E(): 6.6e-770, (78.3% identity in 355 aa overlap) and AAK47430|MT3101 (strongly in the N-terminal part) (310 aa), FASTA scores: opt: 897, E(): 4.5e-37, (66.95% identity in 227 aa overlap).</t>
  </si>
  <si>
    <t>PE29</t>
  </si>
  <si>
    <t>Rv3022A</t>
  </si>
  <si>
    <t>PE family protein PE29</t>
  </si>
  <si>
    <t>Rv3022A, len: 104 aa. PE29, Member of the Mycobacterium tuberculosis PE family (see Brennan and Delogu, 2002), similar to many others e.g. Rv0285|AL021930_12 from Mycobacterium tuberculosis (102 aa), FASTA scores: opt: 497, E(): 3e-21, (80.39% identity in 102 aa overlap); etc.</t>
  </si>
  <si>
    <t>PPE family protein PPE48</t>
  </si>
  <si>
    <t>Rv3022c, (MTV012.36c), len: 81 aa. PPE48, Member of M. tuberculosis PPE family with frameshift due to missing bp in codon 82. The ORF continues in downstream MTV012.35c. The sequence has been checked and no errors were detected. Identical to neigbouring ORF O53265|Rv3018c|MTV012.32c (434 aa), FASTA scores: opt: 526, E(): 6.2e-26, (100.0% identity in 81 aa overlap); and O69706|Rv739c|MTV025.087c (77 aa), FASTA scores: opt: 392, E(): 3.4e-18, (72.7% identity in 77 aa overlap).</t>
  </si>
  <si>
    <t>Rv3023c</t>
  </si>
  <si>
    <t>Required for the transposition of the insertion sequence IS1081.</t>
  </si>
  <si>
    <t>Rv3023c, (MTV012.38c), len: 415 aa. Probable IS1081 transposase. Contains PS01007 Transposases, Mutator family, signature. Similars to P35882|TRA1_MYCTU|Rv1199c|MTCI364.11c and Rv2512c|MTCY07A7.18c transposases for insertion sequence element IS1081 (415 aa), FASTA scores: opt: 2675, E(): 1.8e-162, (100.0% identity in 415 aa overlap). Belongs to the mutator family of transposase.</t>
  </si>
  <si>
    <t>trmU</t>
  </si>
  <si>
    <t>Involved in translation mechanisms [catalytic activity: S-adenosyl-L-methionine + tRNA = S-adenosyl-L-homocysteine + tRNA containing 5-methylaminomethyl-2-thiouridylate].</t>
  </si>
  <si>
    <t>Probable tRNA (5-methylaminomethyl-2-thiouridylate)-methyltransferase TrmU</t>
  </si>
  <si>
    <t>Rv3024c, (MT3108, MTV012.39c), len: 367 aa. Probable trmU, tRNA (5-methylaminomethyl-2-thiouridylate)-methyltransferase , equivalent to O33099|TRMU_MYCLE|ML1707|MLCB637.07 probable tRNA (5-methylaminomethyl-2-thiouridylate)-methyltransferase from Mycobacterium leprae (358 aa), FASTA scores: opt: 2033, E(): 5.5e-116, (85.45% identity in 357 aa overlap). Also highly similar to others e.g. O86583|TRMU_STRCO|SC2A11.22 from Streptomyces coelicolor (376 aa), FASTA scores: opt: 1336, E(): 1e-73, (56.9% identity in 369 aa overlap); BAB49856|MLR2824 from Rhizobium loti (378 aa), FASTA scores: opt: 826, E(): 8.3e-43, (42.35% identity in 359 aa overlap); Q9ZDM1|TRMU_RICPR|RP306 from Rickettsia prowazekii (358 aa), FASTA scores: opt: 800, E(): 3e-41, (40.1% identity in 359 aa overlap); etc. Belongs to the TrmU family.</t>
  </si>
  <si>
    <t>Catalyzes the removal of elemental sulfur from cysteine to produce alanine.</t>
  </si>
  <si>
    <t>Cysteine desulfurase IscS (NIFS protein homolog) (nitrogenase metalloclusters biosynthesis protein NIFS)</t>
  </si>
  <si>
    <t>Rv3025c, (MTV012.40c), len: 393 aa. IscS (alternate gene name: nifS), cysteine desulfurase (NifS-like protein) , equivalent to MLCB637.06|O33098 NIFS-like protein from Mycobacterium leprae (396 aa), FASTA scores: opt: 2186, E(): 2.7e-122, (84.9% identity in 391 aa overlap). Also highly similar to many e.g. O86581|SC2A11.20 putative pyridoxal-phosphate-dependent aminotransferase from Streptomyces coelicolor (389 aa), FASTA scores: opt: 1568, E(): 1.1e-85, (61.7% identity in 389 aa overlap); P57795|ISCS|NIFS cysteine desulfurase (NIFS protein homolog) from Methanosarcina thermophila (404 aa), FASTA scores: opt: 1059, E(): 1.6e-55, (46.2% identity in 381 aa overlap); O54055|ISCS_RUMFL|ISCS|NIFS cysteine desulfurase from Ruminococcus flavefaciens (396 aa), FASTA scores: opt: 973, E(): 2e-50, (43.3% identity in 381 aa overlap); P57794|NIFS_ACEDI cysteine desulfurase from Acetobacter diazotrophicus (400 aa), FASTA scores: opt: 958, E(): 1.6e-49, (41.1% identity in 392 aa overlap); etc. Also similar to Rv1464|MTV007.11 from Mycobacterium tuberculosis. Contains PS00595 Aminotransferases class-V pyridoxal-phosphate attachment site. Belongs to class-V of pyridoxal-phosphate-dependent aminotransferases, NIFS/ISCS subfamily. Cofactor: pyridoxal phosphate (by similarity).</t>
  </si>
  <si>
    <t>Rv3026c, (MTV012.41c), len: 304 aa. Conserved hypothetical protein, similar to Q9RCZ0|SCM10.08C putative acyltransferase from Streptomyces coelicolor (275 aa), FASTA scores: opt: 393, E(): 2.2e-17, (41.4% identity in 299 aa overlap). Similar in part to other hypothetical proteins and acyltransferases e.g. BAB51968|MLR5533 from Rhizobium loti (266 aa), FASTA scores: opt: 280, E(): 2.4e-10, (29.45% identity in 258 aa overlap); Q9KIH9 putative acyltransferase (putative acyltransferase transmembrane protein) from Rhizobium meliloti (Sinorhizobium meliloti) (292 aa), FASTA scores: opt: 252, E(): 1.4e-08, (30.5% identity in 210 aa overlap); O69114|PLSC putative 1-acyl-SN-glycerol-3-phosphate acyltransferase from Burkholderia pseudomallei (Pseudomonas pseudomallei) (289 aa), FASTA scores: opt: 216, E(): 2.4e-06, (30.85% identity in 269 aa overlap); etc. So may be a member of acyltransferase family protein.</t>
  </si>
  <si>
    <t>Rv3027c, (MTV012.42c), len: 281 aa. Probable acetyltransferase. Contains GNAT (Gcn5-related N-acetyltransferase) domain in N-terminal part. See Vetting et al. 2005. Similar, to others e.g. Q9RCY9|SCM10.09c from Streptomyces coelicolor (256 aa), FASTA scores: opt: 498, E(): 7.8e-24, (47.7% identity in 237 aa overlap); BAB50158|MLR3216 from Rhizobium loti (291 aa), FASTA scores: opt: 359, E(): 3.7e-15, (33.35% identity in 246 aa overlap); etc. Start changed since first submission, extended by 25 aa.</t>
  </si>
  <si>
    <t>The electron transfer flavoprotein serves as a specific electron acceptor for other dehydrogenases. It transfers the electrons to the main respiratory chain via ETF-ubiquinone oxidoreductase (ETF dehydrogenase).</t>
  </si>
  <si>
    <t>Probable electron transfer flavoprotein (alpha-subunit) FixB (alpha-ETF) (electron transfer flavoprotein large subunit) (ETFLS)</t>
  </si>
  <si>
    <t>Rv3028c, (MTV012.43c), len: 318 aa. Probable fixB (alternate gene name: etfA), electron transfer flavoprotein (alpha subunit) for various dehydrogenases. Equivalent to O33096|ETFA_MYCLE|FIXB|ML1711|MLCB637.04 electron transfer flavoprotein from Mycobacterium leprae (318 aa), FASTA scores: opt: 1788, E(): 1.1e-87, (89.3% identity in 318 aa overlap). Also highly similar to many e.g. Q9K418|SCG22.27c from Streptomyces coelicolor (320 aa), FASTA scores: opt: 1161, E(): 1.6e-54, (59.45% identity in 323 aa overlap); AAK08137|etfa from Rhodobacter sphaeroides (308 aa), FASTA scores: opt: 792, E(): 5.1e-35, (45.95% identity in 309 aa overlap); P38974|ETFA_PARDE electron transfer flavoprotein from Paracoccus denitrificans (307 aa), FASTA scores: opt: 789, E(): 7.4e-35, (45.95% identity in 309 aa overlap); etc. Belongs to the Etf alpha-subunit / FixB family.</t>
  </si>
  <si>
    <t>Probable electron transfer flavoprotein (beta-subunit) FixA (beta-ETF) (electron transfer flavoprotein small subunit) (ETFSS)</t>
  </si>
  <si>
    <t>Rv3029c, (MTV012.44c), len: 266 aa. Probable fixA (alternate gene name: etfB), electron transfer flavoprotein (beta-subunit). Equivalent of O33095|ETFB_MYCLE|FixA|MLCB637.03 electron transfer flavoprotein from Mycobacterium leprae (266 aa), FASTA scores: opt: 1603, E(): 7.6e-87, (95.1% identity in 266 aa overlap). Also highly similar to others e.g. Q9K417|SCG22.28c from Streptomyces coelicolor (262 aa), FASTA scores: opt: 860, E(): 2.3e-43, (52.4% identity in 263 aa overlap); O85691|ETFB_MEGEL from Megasphaera elsdenii (270 aa), FASTA scores: opt: 548, E(): 4.2e-25, (35.15% identity in 273 aa overlap); etc. Also highly similar in particular to Q9KHD0|NONH flavoprotein reductase from Streptomyces griseus subsp. griseus (this one is required for macrotetrolide biosynthesis in Streptomyces griseus) (261 aa), FASTA scores: opt: 867, E(): 8.8e-44, (54.0% identity in 263 aa overlap). Belongs to the Etf beta-subunit / FixA family.</t>
  </si>
  <si>
    <t>Rv3030, (MTV012.45), len: 274 aa. Conserved protein, equivalent to O33094|MLCB637.02c|ML1713 hypothetical 30.8 KDa protein from Mycobacterium leprae (280 aa), FASTA scores: opt: 1388, E(): 5.5e-83, (78.2% identity in 280 aa overlap). N-terminus has similarity to hypothetical proteins from a number of organisms and to Q54303|EMBL:X86780|RAPM methyltransferase from Streptomyces hygroscopicus (317 aa), FASTA scores: opt: 191, E(): 3.6e-05, (35.65% identity in 101 aa overlap).</t>
  </si>
  <si>
    <t>Rv3031, (MTV012.46), len: 526 aa. Conserved protein, equivalent to Q9CBR4|ML1714 hypothetical protein from Mycobacterium leprae (522 aa), FASTA scores: opt: 3167, E(): 4.4e-190, (86.15% identity in 526 aa overlap); and highly similar to truncated O33093|MLCB637.01c hypothetical 37.2 KDA protein (fragment) from Mycobacterium leprae (338 aa), FASTA scores: opt: 2041, E(): 5.7e-120, (84.8% identity in 342 aa overlap). Also some similarity to hypothetical proteins Q9V0M7|PAB1857 from Pyrococcus abyssi (602 aa), FASTA scores: opt: 477, E(): 3.5e-22, (31.2% identity in 556 aa overlap); and Synechocystis P74630|D90916|SLL0735 from Synechocystis sp. strain PCC 6803 (529 aa), FASTA scores: opt: 282, E(): 4.7e-10, (28.6% identity in 560 aa overlap).</t>
  </si>
  <si>
    <t>Involved in the synthesis of glycogen and 6-O-methylglucosyl-containing lipopolysaccharides (MGLP)</t>
  </si>
  <si>
    <t>Alpha (1-&gt;4) glucosyltransferase</t>
  </si>
  <si>
    <t>Rv3032, (MTV012.47), len: 414 aa. Alpha (1-&gt;4) glucosyltransferase (See Stadthagen et al., 2007). Equivalent to Q9CBR3|ML1715 putative transferase from Mycobacterium leprae (438 aa), FASTA scores: opt: 2456, E(): 7.3e-145, (87.9% identity in 414 aa overlap). Also similar to hypothetical proteins and various transferases e.g. P73369|SLL1971 hypothetical 46.2 KDA protein from Synechocystis sp. strain PCC 6803 (404 aa), FASTA scores: opt: 584, E(): 7.3e-29, (34.5% identity in 400 aa overlap); Q9Z5B7|SC2G5.06 putative transferase from Streptomyces coelicolor (406 aa), FASTA scores: opt: 509, E(): 3.3e-24, (35.9% identity in 413 aa overlap); Q9UZA1|PAB0827 galactosyltransferase (LPS biosynthesis RFBU related protein) from Pyrococcus abyssi (371 aa), FASTA scores: opt: 381, E(): 2.6e-16, (26.75% identity in 404 aa overlap); etc.</t>
  </si>
  <si>
    <t>Rv3032A</t>
  </si>
  <si>
    <t>Rv3032A, len: 129 aa. Conserved protein.</t>
  </si>
  <si>
    <t>Rv3033, (MTV012.48), len: 182 aa. Unknown protein. Predicted to be an outer membrane protein (See Song et al., 2008).</t>
  </si>
  <si>
    <t>Possible transferase</t>
  </si>
  <si>
    <t>Rv3034c, (MTV012.49c), len: 300 aa. Possible transferase (2.-.-.-), equivalent to AAK47449|MT3119 Hexapeptide transferase family protein from M. tuberculosis strain CDC1551 but N-terminus shorter 39 residues (262 aa), FASTA scores: opt: 1773, E(): 4.7e-105, (100.0% identity in 262 aa overlap). Similar to Q9CBR1|ML1719 from Mycobacterium leprae but also shorter in N-terminus (245 aa), FASTA scores: opt: 1549, E(): 6.6e-91, (90.6% identity in 244 aa overlap). Some weakly similarity with other transferases (C-terminal part shows some similarity to acetyltransferase from Methanococcus jannaschii (214 aa)). Alternative start possible at 3395077 but codon usage not as good.</t>
  </si>
  <si>
    <t>Rv3035, (MTV012.50), len: 360 aa. Conserved protein, equivalent to Q9CBR0|ML1720 hypothetical protein from Mycobacterium leprae (364 aa), FASTA scores: opt: 1963, E(): 1.4e-108, (75.8% identity in 363 aa overlap). A core mycobacterial gene; conserved in mycobacterial strains (See Marmiesse et al., 2004).</t>
  </si>
  <si>
    <t>Probable conserved secreted protein TB22.2</t>
  </si>
  <si>
    <t>Rv3036c, (MTV012.51c), len: 227 aa. Probable TB22.2, conserved secreted protein, with putative N-terminal signal peptide, highly similar to secreted immunogenic protein MPT64/MPB64 P19996|Rv1980c|MTCY39.39 from Mycobacterium tuberculosis and Mycobacterium bovis (228 aa), FASTA scores: opt: 681, E(): 2.5e-35, (45.8% identity in 227 aa overlap). Predicted to be an outer membrane protein (See Song et al., 2008).</t>
  </si>
  <si>
    <t>Rv3037c, (MTV012.52c), len: 358 aa. Conserved hypothetical protein, similar in part to others e.g. O86799|SC6G4.36c from Streptomyces coelicolor (426 aa), FASTA scores: opt: 545, E(): 5.5e-27, (36.15% identity in 354 aa overlap); Q9UZW6|PAB0687 from Pyrococcus abyssi (386 aa), FASTA scores: opt: 262, E(): 3.5e-09, (31.0% identity in 200 aa overlap).</t>
  </si>
  <si>
    <t>Rv3038c, (MTV012.53c), len: 327 aa. Conserved protein, equivalent to Q9CBQ9|ML1723 hypothetical protein from Mycobacterium leprae (327 aa), FASTA scores: opt: 1843, E(): 6.1e-108, (80.75% identity in 327 aa overlap). Weak similarity with e.g. Q9KZI3|SCG8A.16 putative methyltransferase from Streptomyces coelicolor (199 aa), FASTA scores: opt: 227, E(): 3.9e-07, (31.95% identity in 191 aa overlap) and O52570 methyltransferase from Amycolatopsis mediterranei (272 aa), FASTA scores: opt: 228, E(): 4.3e-07, (31.7% identity in 164 aa overlap). Contains PS00044 Bacterial regulatory proteins, lysR family signature but shows no similarity to known LysR family members.</t>
  </si>
  <si>
    <t>echA17</t>
  </si>
  <si>
    <t>Rv3039c</t>
  </si>
  <si>
    <t>Probable enoyl-CoA hydratase EchA17 (crotonase) (unsatured acyl-CoA hydratase) (enoyl hydrase)</t>
  </si>
  <si>
    <t>Rv3039c, (MTV012.54c), len: 254 aa. Probable echA17, Enoyl-CoA Hydratase/Isomerase Superfamily member (crotonase). Similar to many e.g. Q9L1E6|SC3D11.16 putative enoyl-CoA hydratase from Streptomyces coelicolor (255 aa), FASTA scores: opt: 625, E(): 1.5e-30, (45.55% identity in 224 aa overlap); O07137||ECH8_MYCLE|ML2402|MLCB1306.05c probable enoyl-CoA hydratase ECHA8 from Mycobacterium leprae (257 aa), FASTA scores: opt: 448, E(): 6.4e-20, (35.3% identity in 235 aa overlap), P97087|CRT crotonase / enoyl-CoA hydratase from Clostridium thermosaccharolyticum (Thermoanaerobacterium thermosaccharolyticum) (259 aa), FASTA scores: opt: 420, E(): 3.1e-18, (31.2% identity in 234 aa overlap). Also similar to Mycobacterium tuberculosis AAK45356|O53418|Rv1070c|ECHA8|MT1100|MTV017.23c probable enoyl-CoA hydratase ECHA8 (257 aa), FASTA scores: opt: 450, E(): 4.9e-20, (36.4% identity in 226 aa overlap). Belongs to the enoyl-CoA hydratase/isomerase family.</t>
  </si>
  <si>
    <t>Rv3040c, (MTV012.55c), len: 288 aa. Conserved protein, highly similar to Q9XA40|SCH17.07c hypothetical protein from Streptomyces coelicolor (312 aa), FASTA scores: opt: 648, E(): 5.2e-34, (50.0% identity in 260 aa overlap). Also similar to Q9F7R7 predicted mutt superfamily hydrolase from uncultured proteobacterium EBAC31A08 (264 aa), FASTA scores: opt: 295, E(): 1.3e-11, (27.2% identity in 257 aa overlap); AAK24293|CC2322 hypothetical protein from Caulobacter crescentus (254 aa), blast scores: 185 (32% identity) and 131 (37% identity), etc.</t>
  </si>
  <si>
    <t>Thought to be involved in active transport of undetermined substrate (possibly iron) across the membrane. Responsible for energy coupling to the transport system.</t>
  </si>
  <si>
    <t>Rv3041c, (MTV012.56c), len: 287 aa. Probable conserved ATP-binding protein ABC transporter (see citation below), equivalent to Q9CBQ7|ML1726 putative ABC transporter protein ATP-binding protein from Mycobacterium leprae (305 aa), FASTA scores: opt: 1576, E(): 8.6e-85, (83.4% identity in 289 aa overlap). Also similar to other putative ATP-binding proteins ABC transporters e.g. Q9X9Z4|SCI5.06C from Streptomyces coelicolor (265 aa), FASTA scores: opt: 893, E(): 4.8e-45, (53.3% identity in 257 aa overlap); Q9L156|SC5C11.16c from Streptomyces coelicolor (279 aa), FASTA scores: opt: 680, E(): 1.3e-32, (45.4% identity in 271 aa overlap); etc. Contains PS00017 ATP/GTP-binding site motif A (P-loop). Belongs to the ATP-binding transport protein family (ABC transporters).</t>
  </si>
  <si>
    <t>Generates serine from phosphoserine [catalytic activity: phosphoserine + H(2)O = serine + phosphate].</t>
  </si>
  <si>
    <t>Probable phosphoserine phosphatase SerB2 (PSP) (O-phosphoserine phosphohydrolase) (pspase)</t>
  </si>
  <si>
    <t>Rv3042c, (MTV012.57c), len: 409 aa. Probable serB2, Phosphoserine phosphatase, equivalent to Q9CBQ6|ML1727 putative phosphoserine phosphatase from Mycobacterium leprae (411 aa), FASTA scores: opt: 2173, E(): 1.3e-117, (86.3% identity in 408 aa overlap). Also similar to other e.g. Q9S281|SCI28.02 from Streptomyces coelicolor (410 aa), FASTA scores: opt: 1209, E(): 3e-62, (51.75% identity in 400 aa overlap); Q9HUK|PA4960 from Pseudomonas aeruginosa (429 aa), FASTA scores: opt: 704, E(): 3.1e-33, (40.95% identity in 393 aa overlap); O28142|SERB_ARCTU|AF2138 from Archaeoglobus fulgidus (344 aa), FASTA scores: opt: 671, E(): 2e-31, (37.25% identity in 325 aa overlap); and P06862|SERB_ECOLI (322 aa), FASTA scores: opt: 628, E(): 5.7e-29, (46.8% identity in 235 aa overlap). Belongs to the SerB family.</t>
  </si>
  <si>
    <t>Cytochrome C oxidase is the component of the respiratory chain that catalyzes the reduction of oxygen to water. Subunits 1-3 form the functional core of the enzyme complex. CO I is the catalytic subunit of the enzyme. Electrons originating in cytochrome C are transferred via the copper a center of subunit 2 and heme a of subunit 1 to the bimetallic center formed by heme A3 and copper B [catalytic activity: 4 ferrocytochrome C + O(2) = 2 H(2)O + 4 ferricytochrome C].</t>
  </si>
  <si>
    <t>Probable cytochrome C oxidase polypeptide I CtaD (cytochrome AA3 subunit 1)</t>
  </si>
  <si>
    <t>Rv3043c, (MTV012.58c), len: 573 aa. Probable ctaD, integral membrane cytochrome C oxidase polypeptide I, equivalent to Q9CBQ5|ML1728 from Mycobacterium leprae (574 aa), FASTA scores: opt: 3738, E(): 3.8e-216, (95.4% identity in 566 aa overlap). Also similar to other cytochrome C oxidases polypeptide I e.g. Q9AEL9|CTAD from Corynebacterium glutamicum (Brevibacterium flavum) (584 aa), FASTA scores: opt: 3065, E(): 6.8e-176, (72.65% identity in 567 aa overlap); Q9X813|SC6G10.28c from Streptomyces coelicolor (578 aa), FASTA scores: opt: 2888, E(): 2.6e-165, (71.7% identity in 544 aa overlap); Q9K451|CTAD from Streptomyces coelicolor (573 aa), FASTA scores: opt: 2757, E(): 1.8e-157, (70.2% identity in 537 aa overlap). Contains PS00077 Cytochrome c oxidase subunit I, copper B binding region signature. Belongs to the heme-copper respiratory oxidase family.</t>
  </si>
  <si>
    <t>May be involved in active transport of FeIII-decitrate across the membrane (import).</t>
  </si>
  <si>
    <t>Probable FEIII-dicitrate-binding periplasmic lipoprotein FecB</t>
  </si>
  <si>
    <t>Rv3044, (MTV012.59), len: 359 aa. Probable fecB, FeIII dicitrate-binding periplasmic lipoprotein (see citation below), equivalent to Q9CBQ4|FECB|ML1729 putative FEIII-dicitrate transporter lipoprotein from Mycobacterium leprae (364 aa), FASTA scores: opt: 1816, E(): 1.1e-96, (75.65% identity in 357 aa overlap); and Q9LA57|FECB from Mycobacterium avium (364 aa), FASTA scores: opt: 1769, E(): 5.1e-94. Similar to many periplasmic FeIII-dicitrate transporters e.g. P72593|FECB|SLR1319 from Synechocystis sp. strain PCC 6803 (315 aa), FASTA scores: opt: 459, E(): 3.6e-19, (31.35% identity in 303 aa overlap); and P72611|FECB|SLR1492 from Synechocystis sp. strain PCC 6803. N-terminus longer (approximately 30 aa) to AAK47459 from Mycobacterium tuberculosis strain CDC1551 (327 aa). Has signal peptide and appropriately positioned PS00013 Prokaryotic membrane lipoprotein lipid attachment site.</t>
  </si>
  <si>
    <t>Generates aldehyde or ketone from alcohol [catalytic activity: alcohol + NADP(+) = aldehyde or ketone + NADPH].</t>
  </si>
  <si>
    <t>Probable NADP-dependent alcohol dehydrogenase AdhC</t>
  </si>
  <si>
    <t>Rv3045, (MTV012.60), len: 346 aa. Probable adhC, NADP-dependent alcohol dehydrogenase, equivalent to Q9CBQ3|ADHA|ML1730 alcohol dehydrogenases from Mycobacterium leprae (362 aa), FASTA scores: opt: 1982, E(): 1.3e-111, (85.85% identity in 346 aa overlap); Q9AE96|ADHC from Mycobacterium smegmatis (348 aa), FASTA scores: opt: 1808, E(): 3.4e-101, (78.95% identity in 347 aa overlap); Q9EWF1|SCK13.33c putative dehydrogenase from Streptomyces coelicolor (346 aa), FASTA scores: opt: 1508, E(): 3.3e-83, (64.45% identity in 346 aa overlap); O06007|ADHA from Bacillus subtilis (349 aa), FASTA scores: opt: 1412, E(): 1.9e-77, (61.8% identity in 335 aa overlap); etc. Contains PS00059 Zinc-containing alcohol dehydrogenases signature. Belongs to the zinc-containing alcohol dehydrogenase family. High similarity with other bacterial ADH'S.</t>
  </si>
  <si>
    <t>Rv3046c, (MTV012.61c), len: 124 aa. Conserved protein, similar to several hypothetical mycobacterial proteins e.g. Q50171|ML2258 U296W hypothetical protein from Mycobacterium leprae (100 aa), FASTA scores: opt: 194, E(): 7.6e-06, (35.9% identity in 103 aa overlap); and O06409|Rv0543c|MTCY25D10.22c from Mycobacterium tuberculosis (100 aa), FASTA scores: opt: 192, E(): 1e-05, (34.7% identity in 98 aa overlap).</t>
  </si>
  <si>
    <t>Rv3047c, (MTV012.62c), len: 94 aa. Hypothetical unknown protein.</t>
  </si>
  <si>
    <t>nrdF2</t>
  </si>
  <si>
    <t>Ribonucleoside-diphosphate reductase (beta chain) NrdF2 (ribonucleotide reductase small subunit) (R2F protein)</t>
  </si>
  <si>
    <t>Rv3048c, (MTV012.63c), len: 324 aa. NrdF2, ribonucleoside-diphosphate reductase, beta chain (see citation below), equivalent to Q9CBQ2|RIR2_MYCL|NRDF|ML1731 ribonucleoside-diphosphate reductase beta chain from Mycobacterium leprae (325 aa), FASTA scores: opt: 2009, E(): 1.3e-123, (93.5% identity in 324 aa overlap). Also similar to other ribonucleoside-diphosphate reductases e.g. Q9XD62|NRDF from Corynebacterium glutamicum (Brevibacterium flavum) (334 aa), FASTA scores: opt: 1648, E(): 4.2e-100, (78.35% identity in 314 aa overlap); O69274|NRDF from Corynebacterium ammoniagenes (Brevibacterium ammoniagenes) (329 aa), FASTA scores: opt: 1626, E(): 1.1e-98, (75.3% identity in 320 aa overlap); P37146|NRDF|B2676 from Escherichia coli (319 aa), FASTA scores: opt: 1569, E(): 5.7e-95, (71.3% identity in 317 aa overlap). Contains PS00368 Ribonucleotide reductase small subunit signature. Belongs to the ribonucleoside diphosphate reductase small chain family. Cofactor: binds 2 iron ions (by similarity). Note that previously known as nrdG.</t>
  </si>
  <si>
    <t>Function unknown; involved in cellular metabolism.</t>
  </si>
  <si>
    <t>Rv3049c, (MTV012.64c), len: 524 aa. Probable monooxygenase, similar to several monooxygenases e.g. Q9I3H5|PA1538 probable flavin-containing monooxygenase from Pseudomonas aeruginosa (527 aa), FASTA scores: opt: 1577, E(): 3.9e-90, (47.3% identity in 501 aa overlap); Q9RKB5|SCE87.23c monooxygenase from Streptomyces coelicolor (519 aa), FASTA scores: opt: 1522, E(): 9.8e-87, (47.4% identity in 485 aa overlap); Q9I218|PA2097 probable flavin-binding monooxygenase from Pseudomonas aeruginosa (491 aa), FASTA scores: opt: 1366, E(): 4.2e-77, (43.75% identity in 489 aa overlap); etc. Also similar to Q10532|Rv0892|Y892_MYCTU|MT0916|MTCY31.20 probable monooxygenase from Mycobacterium tuberculosis strain H37Rv (495 aa), FASTA scores: opt: 1147, E(): 1.5e-63, (38.0% identity in 479 aa overlap).</t>
  </si>
  <si>
    <t>Rv3050c, (MTV012.65c), len: 246 aa. Probable transcriptional regulatory protein TetR-family, equivalent but shorter to Q9CBQ1|ML1733 from Mycobacterium leprae (275 aa), FASTA scores: opt: 1381,(E): 2.7e-79, (86.25% identity in 240 aa overlap); AAK44712|MT0489 from Mycobacterium tuberculosis strain CDC1551 (256 aa), FASTA scores: opt: 328,(E): 1.8e-13, (30.75% identity in 234 aa overlap); etc. Also some similarity to O53757|Rv0472c|MTV038.16c. Alternative starts possible at 68052 or 67923. Has potential helix-turn-helix motif at positons 51-72.</t>
  </si>
  <si>
    <t>Involved in the DNA replication pathway. Catalyzes the biosynthesis of deoxyribonucleotides from the corresponding ribonucleotides, precursors that are necessary for DNA synthesis. [catalytic activity: 2'-deoxyribonucleoside diphosphate + oxidized thioredoxin + H(2)O = ribonucleoside diphosphate + reduced thioredoxin].</t>
  </si>
  <si>
    <t>Ribonucleoside-diphosphate reductase (alpha chain) NrdE (ribonucleotide reductase small subunit) (R1F protein)</t>
  </si>
  <si>
    <t>Rv3051c, (MTV012.66c), len: 693 aa. NrdE, ribonucleotide-diphosphate reductase, alpha chain (see citations below), equivalent to Q9CBQ0|NRDE|ML1734 from Mycobacterium leprae (693 aa), FASTA scores: opt: 4259,E(): 0, (93.2% identity in 693 aa overlap). Similar to other Ribonucleoside-diphosphate reductases e.g. Q9XD63|NRDE from Corynebacterium glutamicum (Brevibacterium flavum) (707 aa), FASTA scores: opt: 3683,E(): 0, (79.35% identity in 693 aa overlap); O69273|NRDE from Corynebacterium ammoniagenes (Brevibacterium ammoniagenes) (720 aa), FASTA scores: opt: 3555, E(): 1.7e-214, (76.1% identity in 694 aa overlap); P39452|NRDE|B2675 from Escherichia coli (713 aa), FASTA scores: opt: 3430, E(): 1.1e-206, (73.6% identity in 693 aa overlap); etc. Equivalent to AAK47468|MT3137 from Mycobacterium tuberculosis strain CDC1551 (725 aa) but shorter in N-terminus. Contains PS00089 Ribonucleotide reductase large subunit signature. Belongs to the ribonucleoside diphosphate reductase large chain family.</t>
  </si>
  <si>
    <t>Unknown. Probably involved in ribonucleotide reductase function.</t>
  </si>
  <si>
    <t>Probable NrdI protein</t>
  </si>
  <si>
    <t>Rv3052c, (MTCY22D7.30), len: 150 aa. Probable nrdI, equivalent to Q9CBP9|NRDI|ML1735 from Mycobacterium leprae (138 aa), FASTA scores: opt: 765, E(): 3.8e-44, (79.7% identity in 138 aa overlap), and similar to many NRDI proteins e.g. Q47415|NRDI_ECOLI|B2674 from Escherichia coli (136 aa), FASTA scores: opt: 574, E(): 1.9e-31, (62.2% identity in 135 aa overlap). Belongs to the NRDI family.</t>
  </si>
  <si>
    <t>Involved in electron transfer system for ribonucleotide reductase system NRDEF.</t>
  </si>
  <si>
    <t>Probable glutaredoxin electron transport component of NRDEF (glutaredoxin-like protein) NrdH</t>
  </si>
  <si>
    <t>Rv3053c, (MTCY22D7.29), len: 79 aa. Probable nrdH, glutaredoxin-like protein, equivalent to Q9CBP8|NRDH|ML1736 from Mycobacterium leprae (80 aa), FASTA scores: opt: 478, E(): 2.7e-27, (91.15% identity in 79 aa overlap), and similar to many glutaredoxin-like proteins e.g. Q9XD65|NRDH from Corynebacterium glutamicum (Brevibacterium flavum) (77 aa), FASTA scores: opt: 382, E(): 1.5e-20, (72.35% identity in 76 aa overlap); and Q56108|NRDH_SALTY from Salmonella typhimurium (81 aa), FASTA scores: opt: 243, E(): 9.9e-11, (45.85% identity in 72 aa overlap). Belongs to the glutaredoxin family.</t>
  </si>
  <si>
    <t>Rv3054c</t>
  </si>
  <si>
    <t>Rv3054c, (MTCY22D7.28), len: 184 aa. Conserved hypothetical protein, similar to Q9RD22|SCM1.21 putative secreted protein from Streptomyces coelicolor (187 aa), FASTA scores: opt: 651, E(): 1.5e-33, (56.8% identity in 175 aa overlap). Also shares similarity with other hypothetical proteins and Chromate reductases e.g. AAK56853|CHRR from Pseudomonas putida (186 aa), FASTA scores: opt: 339, E(): 3.3e-14, (38.75% identity in 160 aa overlap). Contains aminotransferases class-II pyridoxal-phosphate attachment site (PS00599) near C-terminus.</t>
  </si>
  <si>
    <t>Rv3055, (MTCY22D7.26c), len: 204 aa. Possible transcriptional regulatory protein, similar to Q9RD23|SCM1.20c putative TetR-family transcriptional regulator from Streptomyces coelicolor (234 aa), FASTA scores: opt: 471, E(): 4.6e-23, (44.9% identity in 187 aa overlap); and with low similarity to other e.g. Q9ADK8|2SCK31.12 putative TetR-family transcriptional regulator from Streptomyces coelicolor (198 aa), FASTA scores: opt: 208, 2.5e-06, (32.9% identity in 155 aa overlap); Q9ADD9|SCBAC20F6.11c putative TetR-family transcriptional from Streptomyces coelicolor (199 aa), FASTA scores: opt: 182, E(): 0.00012, (31.0% identity in 184 aa overlap). Contains potential helix-turn-helix motif from aa 48 to 69 (+3.42 SD). so may belong to the TetR/AcrR family of transcriptional regulators.</t>
  </si>
  <si>
    <t>Thought to be involved in DNA metabolism and mutagenesis [catalytic activity: N deoxynucleoside triphosphate = N diphosphate + {DNA}N].</t>
  </si>
  <si>
    <t>Possible DNA-damage-inducible protein P DinP (DNA polymerase V) (pol IV 2) (DNA nucleotidyltransferase (DNA-directed))</t>
  </si>
  <si>
    <t>Rv3056, (MTCY22D7.25c, MT3142), len: 346 aa. Possible dinP (alternate gene name: dinB2), DNA-damage-inducible protein (DNA polymerase V) (see citations below), similar to others e.g. AAK45855|MT1589 from Mycobacterium tuberculosis strain CDC1551 (485 aa), FASTA scores: opt: 620, E(): 6.1e-32, (37.2% identity in 344 aa overlap); BAB49140|MLR1877 from Rhizobium loti (Mesorhizobium loti) (415 aa), FASTA scores: opt: 533, E(): 1.8e-26, (34.35% identity in 358 aa overlap); and BAB54888|MLL9709 from Rhizobium loti (Mesorhizobium loti) (361 aa), FASTA scores: opt: 532, E(): 1.8e-26, (35.35% identity in 348 aa overlap). Extensive similarity to proteins induced by DNA damage such as dinP, mucB, umuC. Belongs to the DNA polymerase type-Y family.</t>
  </si>
  <si>
    <t>Unknown, but similar to various oxidoreductases and enzymes involved in polyketides synthesis</t>
  </si>
  <si>
    <t>Probable short chain alcohol dehydrogenase/reductase</t>
  </si>
  <si>
    <t>Rv3057c, (MTCY22D7.24), len: 287 aa. Probable oxidoreductase, probably short-chain alcohol dehydrogenase/reductase. Equivalent to Q9CBP7|ML1740 possible short chain dehydrogenases/reductase from Mycobacterium leprae (312 aa), FASTA scores: opt: 1563, E(): 6e-89, (81.8% identity in 280 aa overlap). Also similar to many oxidoreductases e.g. Q9ZBX8|SCD78.21c putative oxidoreductase from Streptomyces coelicolor (585 aa), FASTA scores: opt: 541, E(): 6.7e-26, (37.25% identity in 263 aa overlap); AAK47506|MT3170 oxidoreductase, short-chain dehydrogenase/reductase family from Mycobacterium tuberculosis strain CDC1551 (276 aa), FASTA scores: opt: 521, E(): 6.1e-25, (36.25% identity in 276 aa overlap); AAK45541|MT1283 oxidoreductase, short-chain dehydrogenase/reductase family from Mycobacterium tuberculosis strain CDC1551 (276 aa), FASTA scores: opt: 471, E(): 7.2e-22, (32.4% identity in 281 aa overlap). Also similar to O50460|Rv1245c|MTV006.17C dehydrogenase (276 aa). Contains short-chain alcohol dehydrogenase family signature (PS00061). May belong to the short-chain dehydrogenases/reductases (SDR) family.</t>
  </si>
  <si>
    <t>Rv3058c, (MTCY22D7.23), len: 216 aa. Possible transcriptional regulatory protein, TetR-family, showing reasonable similarity to others e.g. AAK48337|MT3970 from Mycobacterium tuberculosis strain CDC1551 (216 aa), FASTA scores: opt: 261, E(): 2.8e-10, (31.7% identity in 221 aa overlap); Q49962|ML1070|U1756B from Mycobacterium leprae (217 aa), FASTA scores: opt: 234, E(): 1.8e-08, (27.2% identity in 195 aa overlap); Q9CDD3|ML0064 from Mycobacterium leprae (214 aa), FASTA scores: opt: 199, E(): 3.6e-06, (25.65% identity in 195 aa overlap); O66121|CPRS from Streptomyces coelicolor (215 aa), FASTA scores: opt: 183, E(): 4.2e-05, (26.0% identity in 196 aa overlap). Equivalent to AAK47476|MT3144 from Mycobacterium tuberculosis strain CDC1551 (237 aa) but N-terminus shorter 21 residues. Start was predicted by TBParse but alternatives (ATG) are possible. Could belong to the TetR/AcrR family of transcriptional regulators.</t>
  </si>
  <si>
    <t>Probable cytochrome P450 136 Cyp136</t>
  </si>
  <si>
    <t>Rv3059, (MTCY22D7.22c), len: 492 aa. Probable cyp136, cytochrome P450 136, similar to other cytochrome P450-dependent oxidases e.g. Q59990|CYP120|CYP|SLR0574 putative cytochrome P450 120 from Synechocystis sp. strain PCC 6803 (444 aa), FASTA scores: opt: 579, E(): 1.5e-29, (27.3% identity in 443 aa overlap); Q64654|CYP51|CP51_RAT cytochrome P450 51 (lanosterol 14-alpha demethylase) from Rattus norvegicus (Rat) (503 aa), FASTA scores: opt: 549, E(): 1.4e-27, (26.2% identity in 458 aa overlap); Q9JIY3|CYP51 lanosterol 14-alpha-demethylase from Mus musculus (Mouse) (486 aa), FASTA scores: opt: 546, E(): 2.1e-27, (25.75% identity in 458 aa overlap). Contains cytochrome P450 cysteine heme-iron ligand signature (PS00086). Belongs to the cytochrome P450 family.</t>
  </si>
  <si>
    <t>Rv3060c, (MTCY22D7.21), len: 490 aa. Probable transcriptional regulatory protein, showing reasonable similarity to several members of the GntR family e.g. BAB54431|MLL8575 from Rhizobium loti (Mesorhizobium loti) (247 aa), FASTA scores: opt: 274, E(): 3.5e-10, (30.35% identity in 224 aa overlap); P96570|ESMR from Burkholderia cepacia (Pseudomonas cepacia) (277 aa), FASTA scores: opt: 229, E(): 2.8e-07, (25.85% identity in 240 aa overlap); Q9S276|SCI28.07 from Streptomyces coelicolor (230 aa), FASTA scores: opt: 211, E(): 3.4e-06, (27.25% identity in 220 aa overlap); etc. Seems to have two domains: residues 1-260 resemble UxuR, and 260-490 resemble PdhR, ExuR, etc. Contains bacterial regulatory proteins, GntR family signature (PS00043). Helix-turn-helix motif (+3.13 SD) at aa 38-59. Seems to belong to the GntR family of transcriptional regulators.</t>
  </si>
  <si>
    <t>Probable acyl-CoA dehydrogenase FadE22</t>
  </si>
  <si>
    <t>Rv3061c, (MTCY22D7.20), len: 721 aa. Probable fadE22, Acyl-CoA Dehydrogenase, similar to many e.g. AAK44503|MT0284 from Mycobacterium tuberculosis strain CDC1551 (731 aa), FASTA scores: opt: 1804, E(): 1.1e-101, (43.45% identity in 743 aa overlap); AAK48037|MT3678 from Mycobacterium tuberculosis strain CDC1551 (711 aa), FASTA scores: opt: 1630, E(): 3.9e-91, (42.55% identity in 733 aa overlap); and extensive similarity in C-terminal part to many acyl-CoA dehydrogenases e.g. Q9A5G9|CC2478 from Caulobacter crescentus (407 aa), FASTA scores: opt: 767, E(): 4.8e-39, (36.7% identity in 376 aa overlap). Also similar to many hypothetical proteins. Could belong to the acyl-CoA dehydrogenases family.</t>
  </si>
  <si>
    <t>This protein seals during DNA replication, DNA recombination and DNA repair NICKS in double-stranded DNA [catalytic activity: ATP + (deoxyribonucleotide)(N) + (deoxyribonucleotide)(M) = AMP + pyrophosphate + (deoxyribonucleotide)(N+M)].</t>
  </si>
  <si>
    <t>Probable ATP-dependent DNA ligase LigB (polydeoxyribonucleotide synthase [ATP]) (polynucleotide ligase [ATP]) (sealase) (DNA repair protein) (DNA joinase)</t>
  </si>
  <si>
    <t>Rv3062, (MTCY22D7.19c), len: 507 aa. Probable ligB, DNA ligase ATP-dependent (see citation below), highly similar to numerous archaebacterial and eukaryotic polynucleotide DNA ligases, e.g. Q9FCB1|DNLI_STRCO|LIG|2SCG58.02 from Streptomyces coelicolor (512 aa), FASTA scores: opt: 1677, E(): 2.5e-90, (55.65% identity in 512 aa overlap); Q9HR35|DNLI_HALN1|LIG|VNG0881G from Halobacterium sp. strain NRC-1 (561 aa), FASTA scores: opt: 985, E(): 5.6e-50, (42.25% identity in 440 aa overlap); Q9V185|DNLI_PYRAB|LIG|PAB2002 from Pyrococcus abyssi (559 aa), FASTA scores: opt: 978, E(): 1.4e-49, (39.05% identity in 443 aa overlap); etc. Also similar to Rv3731|MTV025.079|LIGC possible DNA ligase from M. tuberculosis (358 aa). Similarity at N-terminus is poor so first start codon was taken. Contains (PS00697) ATP-dependent DNA ligase AMP-binding site signature, and (PS00017) ATP/GTP-binding site motif A (P-loop). Belongs to the ATP-dependent DNA ligase family.</t>
  </si>
  <si>
    <t>Peptide utilization during carbon starvation.</t>
  </si>
  <si>
    <t>Probable carbon starvation protein A homolog CstA</t>
  </si>
  <si>
    <t>Rv3063, (MTCY22D7.18c), len: 758 aa. Probable cstA, integral membrane starvation-induced stress response protein, similar to other e.g. P15078|CSTA_ECOLI|B0598 from Escherichia coli strain K12 (701 aa), FASTA scores: opt: 2357, E(): 9.5e-137, (51.25% identity in 712 aa overlap); AAG54933|CSTA from Escherichia coli strain O157:H7 EDL933 (701 aa), FASTA scores: opt: 2356, E(): 1.1e-136, (51.1% identity in 712 aa overlap); etc. Predicted to be membrane associated. Similarity suggests start at GTG at 16801 in Y22D7 but no RBS obvious so TBParse-predicted start at 16881 taken. Belongs to the CstA family.</t>
  </si>
  <si>
    <t>Rv3064c</t>
  </si>
  <si>
    <t>Rv3064c, (MTCY22D7.17), len: 141 aa. Probable conserved integral membrane protein, similar to many e.g. Q9KY40|SCC8A.08 putative integral membrane protein from Streptomyces coelicolor (153 aa), FASTA scores: opt: 391, E(): 2.4e-18, (48.45% identity in 130 aa overlap); Q9K461|SC2H12.23c putative integral membrane protein from Streptomyces coelicolor (151 aa), FASTA scores: opt: 339, E(): 5.1e-15, (46.7% identity in 124 aa overlap); BAB48975|MLR1652 hypothetical protein from Rhizobium loti (Mesorhizobium loti) (130 aa), FASTA scores: opt: 319, E(): 8.7e-14, (41.45% identity in 123 aa overlap); Q9JR31|NMA2196|NMB0291 conserved hypothetical inner membrane protein from Neisseria meningitidis serogroup a and B (132 aa), FASTA scores: opt: 303, E(): 9.4e-13, (43.65% identity in 126 aa overlap); etc.</t>
  </si>
  <si>
    <t>Involved in transport of multidrugs (tetraphenylphosphonium, erythromycin, ethidium bromide, acriflavine, safranin O, pyronin Y, etc) across the membrane (export): multidrugs resistance by an export mechanism (conferes resistance to toxic compounds by removing them for the cells). Responsible for the translocation of the substrate across the membrane.</t>
  </si>
  <si>
    <t>Multidrugs-transport integral membrane protein Mmr</t>
  </si>
  <si>
    <t>Rv3065, (MT3150.1, MTCY22D7.17c), len: 107 aa. Mmr, integral membrane multidrugs resistance transporter (see citation below), equivalent to Q9CBP1|ML1756 probable multidrug resistance protein from Mycobacterium leprae (107 aa), FASTA scores: opt: 534, E(): 3.3e-28, (77.55% identity in 107 aa overlap). Also highly similar to bacterial proteins involved in resistance to ethidium bromide or methyl viologen e.g. O87866|QACG_STASP quaternary ammonium compound-resistance protein QACG (quarternary ammonium determinant G) from Staphylococcus sp. strain ST94 (107 aa), FASTA scores: opt: 307, E(): 1.8e-13, (39.8% identity in 103 aa overlap); P96460|QAC quaternary ammonium compounds resistance protein QAC from Staphylococcus aureus (107 aa), FASTA scores: opt: 304, E(): 2.8e-13, (40.4% identity in 104 aa overlap); Q57225|QACE_ECOLI quaternary ammonium compound-resistance protein QACE (quarternary ammonium determinant E) from Escherichia coli (110 aa), FASTA scores: opt: 300, E(): 5.2e-13, (48.15% identity in 108 aa overlap); AAG55967|Z1870 methylviologen resistance protein encoded within prophage CP-933X from Escherichia coli strain O157:H7 EDL933 (110 aa); P23895|EMRE|MVRC|EB|B0543 EMRE protein from Escherichia coli (110 aa), FASTA scores: opt: 290, E(): 2.3e-12, (43.55% identity in 101 aa overlap); etc. Also similar to the SugE protein of enteric bacteria. Belongs to the small multidrug resistance (SMR) protein family. Note that previously known as emrE.</t>
  </si>
  <si>
    <t>Probable transcriptional regulatory protein (probably DeoR-family)</t>
  </si>
  <si>
    <t>Rv3066, (MTCY22D7.15c), len: 202 aa. Probable transcriptional regulatory protein deoR-family, with some similarity to transcriptional regulators and hypothetical proteins, e.g. Q9X9V5|SCI7.35c hypothetical 21.1 KDA protein from Streptomyces coelicolor (197 aa), FASTA scores: opt: 398, E(): 5.7e-19, (40.3% identity in 191 aa overlap); AAG55222|Z1073 putative DeoR-type transcriptional regulator from Escherichia coli strain O157:H7 EDL933 (178 aa), FASTA scores: opt: 257, E(): 7.9e-10, (28.4% identity in 176 aa overlap); Q9HXU1|PA3699 probable transcriptional regulator (TetR/AcrR family) from Pseudomonas aeruginosa (237 aa), FASTA scores: opt: 229, E(): 6.7e-08, (32.1% identity in 187 aa overlap); etc.</t>
  </si>
  <si>
    <t>Rv3067, (MTCY22D7.14c), len: 136 aa. Conserved hypothetical protein, weakly similar to other mycobacterium proteins e.g. O53953|Rv1804c|MTV049.26c (108 aa), FASTA scores: opt: 183, E(): 0.00053, (36.6% identity in 82 aa overlap); O07222|Rv1810|MTCY16F9.04c (118 aa), FASTA scores: opt: 149, E(): 0.05, (30.95% identity in 84 aa overlap). Has hydrophobic stretch at N-terminus. Start chosen on basis of codon usage but upstream ATG also possible.</t>
  </si>
  <si>
    <t>This enzyme participates in both the breakdown and synthesis of glucose [catalytic activity: alpha-D-glucose 1-phosphate = alpha-D-glucose 6-phosphate].</t>
  </si>
  <si>
    <t>Probable phosphoglucomutase PgmA (glucose phosphomutase) (PGM)</t>
  </si>
  <si>
    <t>Rv3068c, (MTCY22D7.13), len: 547 aa. Probable pgmA, phosphoglucomutase, highly similar to other phosphoglucomutases e.g. Q9L117|PGM from Streptomyces coelicolor (546 aa), FASTA scores: opt: 2569, E(): 2.8e-149, (71.4% identity in 545 aa overlap); Q9ABY5|CC0085 from Caulobacter crescentus (545 aa), FASTA scores: opt: 2465, E(): 6.2e-143, (70.4% identity in 541 aa overlap); P38569|PGMU_ACEXY|CELB from Acetobacter xylinum (555 aa), FASTA scores: opt: 2206, E(): 4e-127, (62.25% identity in 543 aa overlap); P74643|PGM|SLL0726 from Synechocystis sp. strain PCC 6803 (567 aa), FASTA scores: opt: 2168, E(): 8.5e-125, (60.0% identity in 550 aa overlap); P36938|PGMU_ECOLI|PGM|B0688 from Escherichia coli (546 aa), FASTA scores: opt: 2111, E(): 2.5e-121, (58.2% identity in 550 aa overlap). Also similar to other phosphomannomutases. Has phosphoglucomutase and phosphomannomutase signature (PS00710) and ATP/GTP-binding site motif A (P-loop) (PS00017). Belongs to the phosphohexose mutases family.</t>
  </si>
  <si>
    <t>Rv3069</t>
  </si>
  <si>
    <t>Rv3069, (MTCY22D7.12c), len: 132 aa. Probable conserved transmembrane protein, similar to several hypothetical and CRCB bacterial proteins e.g. Q9A6V2|CC1981 CRCB protein (see citation below; seems to be involved in camphor resistance and chromosome condensation, promoting or protecting chromosome folding) from Caulobacter crescentus (127 aa), FASTA scores: opt: 275, E(): 1.6e-11, (41.1% identity in 124 aa overlap); Q9FC39|SC4G1.10 putative integral membrane protein from Streptomyces coelicolor (154 aa), FASTA scores: opt: 258, E(): 2.5e-10, (42.15% identity in 121 aa overlap); Q9V0X2|PAB1925 CRCB protein (see citation below) from Pyrococcus abyssi (123 aa), FASTA scores: opt: 256, E(): 2.8e-10, (39.8% identity in 113 aa overlap); O59171|PH1502 hypothetical 13.6 KDA protein from Pyrococcus horikoshii (123 aa), FASTA scores: opt: 249, E(): 8.2e-10, (38.65% identity in 119 aa overlap); etc.</t>
  </si>
  <si>
    <t>Rv3070</t>
  </si>
  <si>
    <t>Rv3070, (MTCY22D7.11c), len: 126 aa. Probable conserved integral membrane protein, similar to several hypothetical and CRCB bacterial proteins e.g. Q9FC37|SC4G1.12 putative integral membrane protein from Streptomyces coelicolor (124 aa), FASTA scores: opt: 280, E(): 3.1e-11, (45.3% identity in 117 aa overlap); O25823|HP1225 conserved hypothetical integral membrane protein from Helicobacter pylori (Campylobacter pylori) (130 aa), FASTA scores: opt: 225, E(): 1e-07, (33.35% identity in 123 aa overlap); O07590|YHDU hypothetical 12.4 KDA protein from Bacillus subtilis (118 aa), FASTA scores: opt: 224, E(): 1.1e-07, (37.85% identity in 111 aa overlap); Q9KVS9|VC0060 CRCB protein (see Hu et al., 1996; seems involved in camphor resistance and chromosome condensation, promoting or protecting chromosome folding) from Vibrio cholera (126 aa), FASTA scores: opt: 221, E(): 1.8e-07, (33.35% identity in 126 aa overlap); etc.</t>
  </si>
  <si>
    <t>Rv3071, (MTCY22D7.10c), len: 369 aa. Conserved hypothetical protein, weakly similar in N-terminus of Q9A4V0|CC2725 hypothetical protein CC2725 from Caulobacter crescentus (113 aa), FASTA scores: opt: 141, E(): 0.031, (27.6% identity in 105 aa overlap). C-terminal region also weakly similar to other hypothetical proteins e.g. Q9FC38|YG11_STRCO from Streptomyces coelicolor (114 aa), FASTA scores: opt: 151, E(): 0.007, (31.65% identity in 98 aa overlap).</t>
  </si>
  <si>
    <t>Rv3072c, (MTCY22D7.09), len: 174 aa. Hypothetical protein, similar in part to O87779 hypothetical 18.1 KDA protein (fragment) from Mycobacterium paratuberculosis (166 aa), FASTA scores: opt: 238, E(): 2.5e-08, (42.6% identity in 108 aa overlap); Q9AH10 putative F420-dependent dehydrogenase from Rhodococcus erythropolis (295 aa), FASTA scores: opt: 228, E(): 1.7e-07, (34.25% identity in 111 aa overlap); P71557|Y953_MYCTU|Rv0953c|MTCY10D7.21 possible oxidoreductase from Mycobacterium tuberculosis strain H37Rv (304 aa), FASTA scores: opt: 208, E(): 3.2e-06, (38.9% identity in 108 aa overlap); etc. N-terminal region similar to several proteins from Mycobacterium tuberculosis.</t>
  </si>
  <si>
    <t>Rv3073c, (MTCY22D7.08), len: 118 aa. Conserved hypothetical protein, highly similar to other e.g. Q9F3D7|SC2H2.18 from Streptomyces coelicolor (119 aa), FASTA scores: opt: 399, E(): 2.5e-20, (53.05% identity in 115 aa overlap); Q9K4K9|SC5F8.15c from Streptomyces coelicolor (117 aa), FASTA scores: opt: 334, E(): 6e-16, (49.1% identity in 112 aa overlap); Q9HKD5|TA0666 from Thermoplasma acidophilum (134 aa), FASTA scores: opt: 334, E(): 6.7e-16, (42.35% identity in 111 aa overlap); BAB53507|MLL7394 from Rhizobium loti (Mesorhizobium loti) (120 aa), FASTA scores: opt: 309, E(): 3e-14, (43.65% identity in 110 aa overlap); etc.</t>
  </si>
  <si>
    <t>Rv3074, (MTCY22D7.07c), len: 424 aa. Conserved hypothetical protein, highly similar but shorter (46 aa) to P71806|Rv1378c|MTCY02B12.12c hypothetical 51.3 KDA protein from Mycobacterium tuberculosis (475 aa), FASTA scores: opt: 2009, E(): 5.8e-113, (72.95% identity in 429 aa overlap); and also similar to other hypothetical mycobacterium proteins e.g. O33266|Rv0336|MTCY279.03 (503 aa), FASTA scores: opt: 337, E(): 7.5e-13, (28.6% identity in 381 aa overlap); O33360|Rv0515|MTCY20G10.05 (503 aa), FASTA scores: opt: 337, E(): 7.5e-13, (28.6% identity in 381 aa overlap); etc.</t>
  </si>
  <si>
    <t>Rv3075c, (MTCY22D7.06), len: 307 aa. Conserved protein, with some similarity to Q9I562|PA0883 probable acyl-CoA lyase beta chain from Pseudomonas aeruginosa (275 aa), FASTA scores: opt: 408, E(): 9.2e-19, (35.15% identity in 273 aa overlap); Q9S2U9|SC4G6.02 putative citrate lyase beta chain from Streptomyces coelicolor (274 aa), FASTA scores: opt: 384, E(): 3.1e-17, (34.7% identity in 265 aa overlap); O06162|cite|Rv2498c|MTCY07A7.04c from Mycobacterium tuberculosis (273 aa), FASTA scores: opt: 349, E(): 5.1e-15, (35.2% identity in 264 aa overlap); etc. Several initiation codons possible, first one chosen.</t>
  </si>
  <si>
    <t>Rv3076, (MTCY22D7.05c), len: 158 aa. Conserved hypothetical protein, weakly similar to Q9AK12|SC8D11.07 hypothetical 17.0 KDA protein from Streptomyces coelicolor (151 aa), FASTA scores: opt: 110, E(): 1.5, (25.5% identity in 145 aa overlap).</t>
  </si>
  <si>
    <t>Rv3077, (MTCY22D7.04c), len: 603 aa. Possible hydrolase, with some similarity to variety of hydrolases (aryl- and steryl sulfatases principaly) e.g. Q45087|PEHA phosphonate monoester hydrolase from Burkholderia caryophylli (514 aa), FASTA scores: opt: 239, E(): 7.2e-07, (23.95% identity in 413 aa overlap); Q9I1E5|PA2333 probable sulfatase from Pseudomonas aeruginosa (538 aa), FASTA scores: opt: 231, E(): 2.3e-06, (28.1% identity in 516 aa overlap); P31447|YIDJ_ECOLI|B3678 putative sulfatase from Escherichia coli (497 aa), FASTA scores: opt: 222, E(): 7.4e-06, (27.7% identity in 390 aa overlap); etc. Note that previously known as atsF.</t>
  </si>
  <si>
    <t>Enzyme involved in the second step of nitrobenzene degradation: rearranged the intermediate hydroxylaminobenzene to 2-aminophenol.</t>
  </si>
  <si>
    <t>Probable hydroxylaminobenzene mutase Hab</t>
  </si>
  <si>
    <t>Rv3078, (MTCY22D7.03c), len: 133 aa. Probable hab, hydroxylaminobenzene mutase (5.-.-.-) (see Davis et al., 2000), highly similar to two hydroxylaminobenzene mutases from Pseudomonas pseudoalcaligenes O52214|HABA (135 aa), FASTA scores: opt: 495, E(): 6.8e-25, (51.1% identity in 133 aa overlap); and O52216|HABB (164 aa), FASTA scores: opt: 479, E(): 8.2e-24, (51.9% identity in 133 aa overlap) (see Davis et al., 2000); and to Q9AH35|NBZB hydroxylaminobenzene mutase from Pseudomonas putida (164 aa), FASTA scores: opt: 476, E(): 1.3e-23, (51.8% identity in 133 aa overlap) (see Park &amp; Kim 2000). Gene name according to Pseudomonas pseudoalcaligenes nomenclature. Also similarity with putative different membrane proteins involved in transport (protein predicted to be a transmembrane protein).</t>
  </si>
  <si>
    <t>Rv3079c</t>
  </si>
  <si>
    <t>Rv3079c, (MTCY22D7.02), len: 275 aa. Conserved protein, similar to other hypothetical mycobacterium proteins e.g. P71557|Y953_MYCTU|Rv0953c|MTCY10D7.21 possible oxidoreductase from Mycobacterium tuberculosis strain H37Rv (282 aa), FASTA scores: opt: 668, E(): 2.4e-34, (40.55% identity in 281 aa overlap); O06216|Rv2161c|MTCY270.07 from Mycobacterium tuberculosis strain H37Rv (288 aa), FASTA scores: opt: 595, E(): 8.5e-30, (40.9% identity in 274 aa overlap); O87779 from Mycobacterium paratuberculosis (166 aa), FASTA scores: opt: 464, E(): 7.2e-22, (41.55% identity in 166 aa overlap); etc. Also some similarity to other proteins e.g. Q9AH10 putative F420-dependent dehydrogenase from Rhodococcus erythropolis (295 aa), FASTA scores: opt: 401, E(): 9.6e-18, (30.2% identity in 288 aa overlap); Q9AE04|RIF17 RIF17 protein from Amycolatopsis mediterranei (356 aa), FASTA scores: opt: 298, E(): 2.8e-11, (35.0% identity in 203 aa overlap); AAK48081|MT3720 luciferase-related protein from Mycobacterium tuberculosis strain CDC1551 (395 aa), FASTA scores: opt: 223, E(): 1.4e-06, (29.4% identity in 211 aa overlap).</t>
  </si>
  <si>
    <t>Involved in signal transduction (via phosphorylation). Involved in transcriptional regulatory mechanism and in the regulation of secondary metabolites [catalytic activity: ATP + a protein = ADP + a phosphoprotein].</t>
  </si>
  <si>
    <t>Serine/threonine-protein kinase transcriptional regulatory protein PknK (protein kinase K) (STPK K)</t>
  </si>
  <si>
    <t>Rv3080c, (MTV013.01c-MTCY22D7.01), len: 1110 aa. pknK, serine/threonine protein kinase involved in transcriptional regulatory function (see citation below). Similar but shorter in N-terminus (approximately 300 residues) to others e.g. Q48411|ACOK transcriptional regulatory protein of aco ABCD operon from Klebsiella pneumoniae (921 aa), FASTA scores: opt: 886, E(): 7.6e-37, (27.75% identity in 829 aa overlap); Q9HX92|PA3921 probable transcriptional regulator from Pseudomonas aeruginosa (belongs to the LuxR/UhpA family of transcriptional regulators) (906 aa), FASTA scores: opt: 760, E(): 1.5e-30, (29.55% identity in 822 aa overlap); Q9I2X9|PA1760 probable transcriptional regulator from Pseudomonas aeruginosa (belongs to the LuxR/UhpA family of transcriptional regulators) (907 aa), FASTA scores: opt: 696, E(): 2.3e-27, (25.85% identity in 685 aa overlap); P06993|malt (alias BAB37683|ECS4260 and AAG58520|malt) positive regulator of MAL regulon from Escherichia coli strain O157:H7 (901 aa), FASTA scores: opt: 660, E(): 1.4e-25, (29.25% identity in 530 aa overlap); Q9KNF3|VCA0011 malt regulatory protein from Vibrio cholerae (belongs to the LuxR/UhpA family of transcriptional regulators) (921 aa), FASTA scores: opt: 626, E(): 7.2e-24, (25.8% identity in 659 aa overlap); etc. N-terminal region similar to N-terminus of serine/threonine kinases e.g. Q9KK90|PKMA serine/threonine kinase (similar to the Ser/Thr family of protein kinases) from Amycolatopsis mediterranei (589 aa), FASTA scores: opt: 545, E(): 5.7e-20, (34.45% identity in 334 aa overlap); Q9RPT5|AMK serine/threonine protein kinase homolog (similar to the Ser/Thr family of protein kinases) from Amycolatopsis mediterranei (606 aa), FASTA scores: opt: 537, E(): 1.5e-19, (35.55% identity in 346 aa overlap); Q9L0I0|PKAD protein serine/threonine kinase from Streptomyces coelicolor (599 aa), FASTA scores: opt: 520, E(): 1e-18, (36.1% identity in 324 aa overlap); etc. N-terminal part also similar to O53510|PKNL_MYCTU|Rv2176|MT2232|MTV021.09 probable serine/threonine-protein kinase from Mycobacterium tuberculosis strain H37Rv (399 aa), FASTA scores: opt: 511, E(): 2.1e-18, (35.15% identity in 313 aa overlap). Contains PS00107 Protein kinases ATP-binding region signature and PS00017 ATP/GTP-binding site motif A (P-loop). Contains Hank's kinase subdomain. First part of the protein seems belong to the Ser/Thr family of protein kinases, and second parts seems belongs to the LuxR/UhpA family of transcriptional regulators.</t>
  </si>
  <si>
    <t>Rv3081, (MTV013.02), len: 412 aa. Conserved hypothetical protein. Second part of the protein (approximately residues 250-412) shares weak similarity with other hypothetical proteins e.g. Q9YEU3|APE0488 from Aeropyrum pernix (188 aa), FASTA scores: opt: 149, E(): 0.019, E(): 0.019, (29.5% identity in 173 aa overlap); and first part shares weak similarity with C-terminal part of Q9RVT9|DR0933 alpha-amlyase from Deinococcus radiodurans (644 aa), FASTA scores: opt: 127, E(): 1.4, (27.25% identity in 198 aa overlap). Equivalent to AAK47502|MT3166 hypothetical 48.3 KDA protein from Mycobacterium tuberculosis strain CDC1551 (436 aa) but shorter 24 aa in N-terminus. Contains PS00850 Glycine radical signature and possible helix-turn-helix motif at aa 53-74.</t>
  </si>
  <si>
    <t>May have a role in the regulation of proteins necessary for virulence.</t>
  </si>
  <si>
    <t>Virulence-regulating transcriptional regulator VirS (AraC/XylS family)</t>
  </si>
  <si>
    <t>Rv3082c, (MT3167, MTV013.03c), len: 340 aa. VirS, transcriptional regulatory protein araC/xylS family, probably involved in virulence (see citations below). Similar to many transcriptional regulators araC/xylS family e.g. Q9HZ25|PA3215 probable transcriptional regulator (AraC/XylS family) from Pseudomonas aeruginosa (337 aa), FASTA scores: opt: 379, E(): 3e-17, (30.4% identity in 306 aa overlap); Q9Z3Y6|PHBR polyhydroxybutyrate transcriptional activator from Pseudomonas sp. 61-3 (379 aa), FASTA scores: opt: 336, E(): 2e-14, (26.35% identity in 334 aa overlap); P72171|ORUR|PA0831 ornithine utilization transcriptional regulator oruR from Pseudomonas aeruginosa (339 aa), FASTA scores: opt: 274, E(): 1.9e-10, (23.7% identity in 321 aa overlap); Q9ZFW7 virulence regulating homolog from Pseudomonas alcaligenes (346 aa), FASTA scores: opt: 262, E(): 1.2e-09, (24.5% identity in 339 aa overlap); etc. Also similar to O69703|Rv3736|MTV025.084 putative regulatory protein (AraC/XylS family) from Mycobacterium tuberculosis strain H37Rv (353 aa), FASTA scores: opt: 656, E(): 3.5e-35, (36.95% identity in 333 aa overlap). Has potential helix-turn-helix motif at positions 252-273. Belongs to the AraC/XylS family of transcriptional regulators. Substrate of PknK.</t>
  </si>
  <si>
    <t>Function unknown; possible oxidoreductase involved in cellular metabolism.</t>
  </si>
  <si>
    <t>Probable monooxygenase (hydroxylase)</t>
  </si>
  <si>
    <t>Rv3083, (MTV013.04), len: 495 aa. Probable monooxygenase, highly similar to other putative monooxygenases flavin-binding family e.g. AAK48336|MT3969 from Mycobacterium tuberculosis strain CDC1551 (489 aa), FASTA scores: opt: 1692, E(): 4.9e-98, (49.7% identity in 489 aa overlap); Q9A588|CC2569 from Caulobacter crescentus (498 aa), FASTA scores: opt: 1684, E(): 1.6e-97, (52.25% identity in 484 aa overlap); Q9APW3 from Pseudomonas aeruginosa (508 aa), FASTA scores: opt: 1603, E(): 1.8e-92, (49.8% identity in 484 aa overlap); etc.</t>
  </si>
  <si>
    <t>lipR</t>
  </si>
  <si>
    <t>Rv3084</t>
  </si>
  <si>
    <t>Probable acetyl-hydrolase/esterase LipR</t>
  </si>
  <si>
    <t>Rv3084, (MTV013.05), len: 308 aa. Probable lipR, N-Acetyl-hydrolase/esterase, similar to other e.g. Q01109|BAH_STRH from Streptomyces hygroscopicus (299 aa), FASTA scores: opt: 558, E(): 4.1e-26, (40.25% identity in 246 aa overlap); Q9X8J4|SCE9.22 from Streptomyces coelicolor (266 aa), FASTA scores: opt: 544, E(): 2.5e-25, (36.95% identity in 257 aa overlap); Q56171|DEA from Streptomyces viridochromogenes (299 aa), FASTA scores: opt: 532, E(): 1.4e-24, (38.6% identity in 254 aa overlap); etc. Also similar to O06350|LIPF|Rv3487c|MTCY13E12.41c (277 aa), FASTA score: opt: 291, E(): 8.5e-10, (28.5% identity in 239 aa overlap). May belong to the 'GDXG' family of lipolytic enzymes.</t>
  </si>
  <si>
    <t>Rv3085</t>
  </si>
  <si>
    <t>Rv3085, (MTV013.06), len: 276 aa. Probable short-chain dehydrogenase/reductase, similar to various oxidoreductases in the short chain dehydrogenases/reductases family e.g. Q9CC98|ML1094 short chain alcohol dehydrogenase from Mycobacterium leprae (277 aa), FASTA scores: opt: 1059, E(): 4.8e-56, (61.65% identity in 266 aa overlap); Q9I3H6|PA1537 probable short-chain dehydrogenase from Pseudomonas aeruginos (295 aa), FASTA scores: opt: 858, E(): 4.7e-44, (48.4% identity in 285 aa overlap); Q9CBP7|ML1740 possible short chain reductase from Mycobacterium leprae (312 aa), FASTA scores: opt: 500, E(): 1e-22, (36.6% identity in 257 aa overlap); etc. Also similar to mycobacterium proteins O50460|Rv1245c|MTV006.17c dehydrogenase similar to the short-chain dehydrogenases/reductases family (276 aa), FASTA scores: opt: 1200, E(): 1.9e-64, (65.2% identity in 273 aa overlap); and P95101|Rv3057c|MTCY22D7.24 hypothetical dehydrogenase (287 aa). Contains PS00061 Short-chain alcohol dehydrogenase family signature. Belongs to the short-chain dehydrogenases/reductases (SDR) family.</t>
  </si>
  <si>
    <t>Function unknown; generates an aldehyde (or perhaps a ketone) from an alcohol.</t>
  </si>
  <si>
    <t>Probable zinc-type alcohol dehydrogenase AdhD (aldehyde reductase)</t>
  </si>
  <si>
    <t>Rv3086, (MTV013.07), len: 368 aa. Probable adhD, zinc-type alcohol dehydrogenase, highly similar to many e.g. O69045 hypothetical alcohol dehydrogenase from Rhodococcus rhodochrous (370 aa), FASTA scores: opt: 1255, E(): 8.7e-68, (50.4% identity in 367 aa overlap); P25406|ADHB_UROHA alcohol dehydrogenase I-B from Uromastyx hardwickii (Indian spiny-tailed lizard) (375 aa), FASTA scores: opt: 787, E(): 8.2e-40, (35.9% identity in 373 aa overlap); P72324||ADHI_RHOSH alcohol dehydrogenase class III from Rhodobacter sphaeroides (Rhodopseudomonas sphaeroides) (376 aa), FASTA scores: opt: 787, E(): 8.3e-40, (35.1% identity in 379 aa overlap). Also highly similar to P71818|Rv0761c|MTCY369.06c hypothetical zinc-type alcohol dehydrogenase-like protein from Mycobacterium tuberculosis strain H37Rv (375 aa), FASTA scores: opt: 1186, E(): 1.2e-63, (47.3% identity in 368 aa overlap). Contains PS00059 Zinc-containing alcohol dehydrogenases signature. Belongs to the zinc-containing alcohol dehydrogenase. Possibly requires zinc for its activity.</t>
  </si>
  <si>
    <t>Rv3087</t>
  </si>
  <si>
    <t>Rv3087, (MTV013.08), len: 472 aa. Possible triacylglycerol synthase (See Daniel et al., 2004), similar to several Mycobacterium tuberculosis proteins e.g. MTCY08D5.16, MTCY28.26, MTCY493.29c. Also similar to Q9X7A8|MLCB1610.05|ML1244 conserved membrane protein from Mycobacterium leprae (491 aa).</t>
  </si>
  <si>
    <t>tgs4</t>
  </si>
  <si>
    <t>Putative triacylglycerol synthase (diacylglycerol acyltransferase) Tgs4</t>
  </si>
  <si>
    <t>Rv3088, (MTV013.09), len: 474 aa. Putative tgs4, triacylglycerol synthase (See Daniel et al., 2004), similar to several Mycobacterium tuberculosis proteins e.g. MTCY31.23 (505 aa), MTCY13E12.34c (497 aa) and MTCY493.29c (459 aa). Also similar to Q9X7A8|MLCB1610.05|ML1244 conserved membrane protein from Mycobacterium leprae (491 aa).</t>
  </si>
  <si>
    <t>Probable chain -fatty-acid-CoA ligase FadD13 (fatty-acyl-CoA synthetase)</t>
  </si>
  <si>
    <t>Rv3089, (MTV013.10), len: 503 aa. Probable fadD13, Acyl-CoA Synthetase, similar to many e.g. MTCI28.06, MTCY08D5.09, MTCY06G11.08 from Mycobacterium tuberculosis strain H37Rv; and to Q9F7P5 predicted acid--CoA ligase FADD13 from uncultured proteobacterium EBAC31A08 (504 aa), FASTA scores: opt: 1126, E(): 2.4e-62, (38.85% identity in 502 aa overlap); Q9EY88|FCS feruloyl-CoA synthetase from Amycolatopsis sp. strain HR167 (491 aa), FASTA scores: opt: 1073, E(): 4.5e-59, (38.5% identity in 504 aa overlap); BAB49118|MLR1843 probable acid-CoA ligase from Rhizobium loti (Mesorhizobium loti) (495 aa), FASTA scores: opt: 937, E(): 1.2e-50, (36.2% identity in 503 aa overlap); Q9KZC1|SC6F7.21 probable long-chain-fatty-acid-CoA ligase from Streptomyces coelicolor (511 aa), FASTA scores: opt: 899, E(): 2.8e-48, (36.1% identity in 510 aa overlap); Q9A5P7|CC2400 putative acid-CoA ligase from Caulobacter crescentus (496 aa), FASTA scores: opt: 874, E(): 9.8e-47, (35.1% identity in 507 aa overlap); etc. Contains PS00455 Putative AMP-binding domain signature and PS00061 Short-chain alcohol dehydrogenase family signature.</t>
  </si>
  <si>
    <t>Rv3090</t>
  </si>
  <si>
    <t>Unknown alanine and valine rich protein</t>
  </si>
  <si>
    <t>Rv3090, (MTCY164.01), len: 295 aa. Unknown Ala-, Val-rich protein. Hydrophobic stretch at N-terminus.</t>
  </si>
  <si>
    <t>Rv3091, (MTCY164.02), len: 563 aa. Conserved protein, similar in part to O60859 neuropathy target esterase from Homo sapiens (Human) (1327 aa), FASTA scores: opt: 177, E(): 0.0062, (30.65% identity in 173 aa overlap); and Q9I385|PA1640 hypothetical protein from Pseudomonas aeruginosa (345 aa), FASTA scores: opt: 152, E(): 0.069, (27.8% identity in 180 aa overlap).</t>
  </si>
  <si>
    <t>Rv3092c, (MTCY164.03c), len: 306 aa. Probable conserved integral membrane protein, highly similar to Q9RUT5|DR1297 conserved hypothetical protein from Deinococcus radiodurans (311 aa), FASTA scores: opt: 941, E(): 9.8e-51, (55.65% identity in 309 aa overlap); Q9A8B8|CC1436 hypothetical protein from Caulobacter crescentus (314 aa), FASTA scores: opt: 791, E(): 1.6e-41, (46.9% identity in 305 aa overlap); and also highly similar to Q9I2N8|PA1857 hypothetical protein from Pseudomonas aeruginosa (307 aa), FASTA scores: opt: 373, E(): 8.1e-16, (40.8% identity in 321 aa overlap); BAB36119|ECS2696 putative methyl-independent mismatch repair protein from Escherichia coli strain O157:H7 (305 aa), FASTA scores: opt: 335, E(): 1.7e-13, (39.75% identity in 307 aa overlap).</t>
  </si>
  <si>
    <t>Function unknown; could be involved in cellular metabolism.</t>
  </si>
  <si>
    <t>Hypothetical oxidoreductase</t>
  </si>
  <si>
    <t>Rv3093c, (MTCY164.04c), len: 334 aa. Hypothetical oxidoreductase, with some similarity with various oxidoreductases e.g. Q58929|mer|MJ1534 N5,N10-methylene tetrahydromethanopterin reductase from Methanococcus jannaschii (331 aa), FASTA scores: opt: 300, E(): 1.1e-10, (24.1% identity in 324 aa overlap); and Q9ZA30|GRA-ORF29 putative FMN-dependent monooxygenase from Streptomyces violaceoruber (343 aa), FASTA scores: opt: 264, E(): 1.5e-08, (30.45% identity in 335 aa overlap); Q9CCV8|ML0348 possible coenzyme F420-dependent oxidoreductase from Mycobacterium leprae (350 aa), FASTA scores: opt: 220, E(): 6.4e-06, (26.5% identity in 328 aa overlap); etc.</t>
  </si>
  <si>
    <t>Rv3094c, (MTCY164.05c), len: 376 aa. Conserved hypothetical protein, some similarity with various proteins e.g. Q9RMR9|NRGC NRGC protein (corresponding gene seems regulated by NifA) from Bradyrhizobium japonicum (388 aa), FASTA scores: opt: 677, E(): 5.8e-35, (34.55% identity in 353 aa overlap); P26698|PIGM_RHOSO pigment protein from Rhodococcus sp. strain ATCC 21145 (387 aa), FASTA scores: opt: 480, E(): 1.2e-22, (28.7% identity in 376 aa overlap); Q9F0J3|NCNH hydroxylase from Streptomyces arenae (405 aa), FASTA scores: opt: 441, E(): 3.3e-20, (29.25% identity in 352 aa overlap); etc. Equivalent to AAK47516 from Mycobacterium tuberculosis strain CDC1551 (395 aa) but N-terminus shorter 19 aa.</t>
  </si>
  <si>
    <t>Unknown. Could be involved in regulatory mechanism.</t>
  </si>
  <si>
    <t>Hypothetical transcriptional regulatory protein</t>
  </si>
  <si>
    <t>Rv3095, (MTCY164.06), len: 158 aa. Possible regulatory protein, because contains possible helix-turn-helix motif at aa 39-61 (+4.83 SD). Similar to hypothetical proteins e.g. Q9I0C9|PA2713 from Pseudomonas aeruginosa (159 aa), FASTA scores: opt: 486, E(): 1.6e-25, (45.95% identity in 148 aa overlap); Q9AAF6|CC0645 from Caulobacter crescentus (188 aa), FASTA scores: opt: 479, E(): 5.3e-25, (45.75% identity in 153 aa overlap); Q9K408|2SCG61.07 from Streptomyces coelicolor (157 aa), FASTA scores: opt: 407, E(): 2.8e-20, (43.9% identity in 139 aa overlap); etc.</t>
  </si>
  <si>
    <t>Rv3096, (MTCY164.07), len: 379 aa. Hypothetical protein, with slight similarity to several proteins e.g. Q09671|OYEB_SCHPO|SPAC5H10.10 putative NADPH dehydrogenase C5H10.10 (old yellow enzyme homolog) from Schizosaccharomyces pombe (Fission yeast) (392 aa), FASTA scores: opt: 125, E(): 1.1, (25.45% identity in 165 aa overlap); and Q12603|XYNA_DICTH beta-1,4-xylanase (endo-1,4-beta-xylanase) from Dictyoglomus thermophilum (352 aa), FASTA scores: opt: 124, E(): 1.2, (25.65% identity in 195 aa overlap); etc. Contains glycosyl hydrolases family 5 signature (PS00659). Predicted to be an outer membrane protein (See Song et al., 2008).</t>
  </si>
  <si>
    <t>lipY</t>
  </si>
  <si>
    <t>Generates diacylglycerol and a fatty acid anion from triacylglycerol [catalytic activity: triacylglycerol + H(2)O = diacylglycerol + a fatty acid anion].</t>
  </si>
  <si>
    <t>PE-PGRS family protein, triacylglycerol lipase LipY (esterase/lipase) (triglyceride lipase) (tributyrase)</t>
  </si>
  <si>
    <t>Rv3097c, (MTCY164.08c), len: 437 aa. LipY, triacylglycerol lipase. Belongs to the hormone-sensitive lipase family (See Deb et al., 2006) and member of the M. tuberculosis PE-family PGRS subfamily of gly-rich proteins (see citation below); N-terminal part similar to N-terminus of M. tuberculosis PE-PGRS family members e.g. Q10637|Y03A_MYCTU hypothetical glycine-rich 49.6 kDa protein (603 aa). Other relatives include MTCY1A11.25c; MTCY21B4.13c; MTCY270.06; MTCY359.33; MTC1A11.04. This region is a possible MT-complex-specific genomic island (See Becq et al., 2007).</t>
  </si>
  <si>
    <t>Rv3098A</t>
  </si>
  <si>
    <t>Possible mRNA interferase</t>
  </si>
  <si>
    <t>PemK-like protein</t>
  </si>
  <si>
    <t>Rv3098A, len: 106 aa. PemK-like protein.</t>
  </si>
  <si>
    <t>Rv3098c, (MTCY164.09c), len: 150 aa. Hypothetical unknown protein (shorter version of MTCY164.09c). This region is a possible MT-complex-specific genomic island (See Becq et al., 2007).</t>
  </si>
  <si>
    <t>Rv3099c, (MTCY164.10c), len: 283 aa. Conserved protein, some similarity with hypothetical proteins e.g. Q9XA69|SCGD3.09 from Streptomyces coelicolor (274 aa), FASTA scores: opt: 384, E(): 1.8e-17, (32.7% identity in 269 aa overlap); and P71606|Y036_MYCTU|Rv0036c from Mycobacterium tuberculosis strain H37Rv (257 aa), FASTA scores: opt: 179, E(): 0.00024, (25.85% identity in 205 aa overlap).</t>
  </si>
  <si>
    <t>Binds specifically to the SSRA RNA (TMRNA) and is required for stable association of SSRA with ribosomes. Thought to be implicated in the survival of bacterium within macrophages.</t>
  </si>
  <si>
    <t>Probable SSRA-binding protein SmpB</t>
  </si>
  <si>
    <t>Rv3100c, (MTCY164.11c), len: 160 aa. Probable smpB, small protein b related to several bacterial small protein b homologs e.g. O32881|SSRP_MYCLE|ML0671|MLCB1779.19c from Mycobacterium leprae (160 aa), FASTA scores: opt: 914, E(): 1.1e-52, (84.9% identity in 159 aa overlap); Q9L1S9|SMPB from Streptomyces coelicolor (159 aa), FASTA scores: opt: 568, E(): 3.3e-30, (55.15% identity in 145 aa overlap); O32230|SSRP_BACSU from Bacillus subtilis (156 aa), FASTA scores: opt: 511, E(): 1.7e-26, (47.05% identity in 153 aa overlap); etc. Belongs to the SSRP family. Conserved in M. tuberculosis, M. leprae, M. bovis and M. avium paratuberculosis; predicted to be essential for in vivo survival and pathogenicity (See Ribeiro-Guimaraes and Pessolani, 2007).</t>
  </si>
  <si>
    <t>Involved in growth (principally during log phase cells). Thought to be involved in active transport of septation component across the membrane. Responsible for the translocation of the substrate across the membrane. Is coded in an operon essential for cell division.</t>
  </si>
  <si>
    <t>Putative cell division protein FtsX (septation component-transport integral membrane protein ABC transporter)</t>
  </si>
  <si>
    <t>Rv3101c, (MTCY164.12c), len: 297 aa. Putative ftsX, cell division protein, septation component transport integral membrane protein ABC transporter (see citations below), equivalent to O32882|FTSX_MYCLE|ML0670|MLCB1779.20c cell division protein from Mycobacterium leprae (297 aa), FASTA scores: opt: 1597, E(): 9.2e-93, (80.8% identity in 297 aa overlap); and similar to others e.g. Q9L1S7|SCE59.27c from Streptomyces coelicolor (305 aa), FASTA scores: opt: 585, E(): 1.9e-29, (34.55% identity in 304 aa overlap); O34876|FTSX_BACSU from Bacillus subtilis (296 aa), FASTA scores: opt: 318, E(): 9.1e-13, (24.65% identity in 300 aa overlap); Q9K6X3|FTSX|BH3601 from Bacillus halodurans (298 aa), FASTA scores: opt: 290, E(): 5.2e-11, (22.75% identity in 299 aa overlap); etc. Belongs to the FTSX family.</t>
  </si>
  <si>
    <t>Involved in growth. Thought to be involved in active transport of septation component across the membrane. Responsible for energy coupling to the transport system. Is coded in an operon essential for cell division.</t>
  </si>
  <si>
    <t>Putative cell division ATP-binding protein FtsE (septation component-transport ATP-binding protein ABC transporter)</t>
  </si>
  <si>
    <t>Rv3102c, (MTCY164.13_2c), len: 229 aa. Putative ftsE, cell division protein, septation component transport ATP-binding protein ABC transporter (see citations below), equivalent to O32883|FTSE|ML0669 cell division ATP-binding protein from Mycobacterium leprae (229 aa), FASTA scores: opt: 1384, E(): 2.4e-74, (91.7% identity in 229 aa overlap); and similar to Q9L1S6|FTSE from Streptomyces coelicolor (229 aa), FASTA scores: opt: 914, E(): 8.7e-47, (62.85% identity in 226 aa overlap); Q9A0S4|FTSE|SPY0644 from Streptococcus pyogenes (230 aa), FASTA scores: opt: 866, E(): 5.7e-44, (57.9% identity in 228 aa overlap); Q9CGX0|FTSE from Lactococcus lactis (subsp. lactis) (Streptococcus lactis) (230 aa), FASTA scores: opt: 792, E(): 1.3e-39, (52.2% identity in 228 aa overlap); etc. Other relatives from Mycobacterium tuberculosis include: MTCY253.24; MTCY16B7.10; MTCY9C4.04c; MTCY50.01; MTCY05A6.09c; MTCY04C12.31. Contains PS00017 ATP/GTP-binding site motif A (P-loop) and ABC transporters family signature (PS00211). Belongs to the ATP-binding transport protein family (ABC transporters).</t>
  </si>
  <si>
    <t>Hypothetical proline-rich protein</t>
  </si>
  <si>
    <t>Rv3103c, (MTCY164.13c), len: 145 aa. Hypothetical unknown pro-rich protein, with some similarity to Proline-rich proteins e.g. Q39789 proline-rich cell wall protein from Gossypium hirsutum (Upland cotton) (214 aa), FASTA scores: opt: 267, E(): 0.00014, (40% identity in 110 aa overlap). Equivalent to AAK47525 from M. tuberculosis strain CDC1551 (158 aa) but shorter 13 aa.</t>
  </si>
  <si>
    <t>Rv3104c, (MTCY164.14c), len: 308 aa. Possible conserved transmembrane protein, with some similarity to hypthetical proteins e.g. Q9L1X9|SC8E4A.26 putative membrane protein from Streptomyces coelicolor (408 aa), FASTA scores: opt: 514, E(): 4.3e-25, (35.2% identity in 287 aa overlap); Q9XA89|CF43A.26c hypothetical 36.1 KDA protein from Streptomyces coelicolor (333 aa), FASTA scores: opt: 482, E(): 3.7e-23, (34.9% identity in 301 aa overlap); Q55987|SLR0765 hypothetical 68.9 KDA protein from Synechocystis sp. strain PCC 6803 (617 aa), FASTA scores: opt: 429, E(): 1.3e-19, (30.6% identity in 278 aa overlap); etc.</t>
  </si>
  <si>
    <t>Peptide chain release factor 2 directs the termination of translation in response to the peptide chain termination codons UGA and UAA.</t>
  </si>
  <si>
    <t>Probable peptide chain release factor 2 PrfB (RF-2)</t>
  </si>
  <si>
    <t>Rv3105c, (MTCY164.15c), len: 378 aa. Probable prfB, peptide chain release factor 2, equivalent to O32885|RF2_MYCLE|ML0667|MLCB1779.24c from Mycobacterium leprae, FASTA scores: opt: 2197, E(): 1.8e-126, (90.05% identity in 372 aa overlap); and also similar to other peptide chain release factors e.g. Q9L1S3|PRFB from Streptomyces coelicolor (368 aa), FASTA scores: opt: 1674, E(): 1.2e-94, (69.3% identity in 365 aa overlap); O67695|RF2_AQUAE|PRFB|AQ_1840 from Aquifex aeolicus (373 aa), FASTA scores: opt: 1082, E(): 1.3e-58, (44.45% identity in 369 aa overlap); P28367|RF2_BACSU from B. subtilis (366 aa), FASTA scores: opt: 1030, E(): 1.9e-55, (44.0% identity in 359 aa overlap); etc. Also related to Q10605|MTCY373.19|RF1_MYCTU|Rv1299|MT1338 peptide chain release factor 1 (rf-1) (357 aa), FASTA scores: opt: 646, E(): 1.1e-34, (38.6% identity in 350 aa overlap). Contains prokaryotic-type class I peptide chain release factors signature (PS00745). Belongs to the prokaryotic and mitochondrial release factors family.</t>
  </si>
  <si>
    <t>Generates oxidized ferredoxin from ferredoxin [catalytic activity: reduced ferredoxin + NADP(+) = oxidized ferredoxin + NADPH].</t>
  </si>
  <si>
    <t>NADPH:adrenodoxin oxidoreductase FprA (NADPH-ferredoxin reductase)</t>
  </si>
  <si>
    <t>Rv3106, (MTCY164.16), len: 456 aa. FprA, NADPH:adrenodoxin oxidoreductase (NADPH-ferredoxin reductase) (see citations below), equivalent to O32886|MLCB1779.25|FPRA|ML0666 from Mycobacterium leprae (456 aa), FASTA scores: opt: 2505, E(): 1.2e-142, (81,05% identity in 459 aa overlap); also similar to other NADPH:adrenodoxin oxidoreductases e.g. Q9RX19|DR0496 from Deinococcus radiodurans (479 aa), FASTA scores: opt: 1331, E(): 2.6e-72, (48.9% identity in 454 aa overlap); Q9RK35|SCF15.02 from Streptomyces coelicolor (454 aa), FASTA scores: opt: 1102, E(): 1.3e-58, (41.35% identity in 462 aa overlap); P82861 from Salvelinus fontinalis (Brook trout) (498 aa), FASTA scores: opt: 827, E(): 4e-42, (41.3% identity in 460 aa overlap); Q9V3T9|ADRO_DROME from Drosophila melanogaster (Fruit fly) (466 aa), FASTA scores: opt: 790, E(): 6.3e-40, (39.45% identity in 459 aa overlap); etc. Also similar to Q10547|FPRB|Rv0886|MT0909|MTCY31.14 from Mycobacterium tuberculosis strain H37Rv (575 aa), FASTA scores: opt: 894, E(): 4.4e-46, (42.05% identity in 459 aa overlap). Cofactor: FAD</t>
  </si>
  <si>
    <t>Involved in ether lipid biosynthesis [catalytic activity: 1-acyl-glycerone 3-phosphate + a long-chain alcohol = 1-alkyl-glycerone 3-phosphate + a long-chain acid anion].</t>
  </si>
  <si>
    <t>Possible alkyldihydroxyacetonephosphate synthase AgpS (alkyl-DHAP synthase) (alkylglycerone-phosphate synthase)</t>
  </si>
  <si>
    <t>Rv3107c, (MTCY164.17c), len: 527 aa. Possible agpS, alkyl-dihydroxyacetonephosphate synthase, similar to others and some various enzymes e.g. AAK46595|MT2311 putative alkyl-dihydroxyacetonephosphate synthase from Mycobacterium tuberculosis strain CDC1551 (529 aa), FASTA scores: opt: 1052, E(): 2.1e-58, (37.1% identity in 542 aa overlap); Q9RJ97|SCF91.28c putative flavoprotein from Streptomyces coelicolor (530 aa), FASTA scores: opt: 972, E(): 2.2e-53, (36.2% identity in 544 aa overlap); O96759|ADAS_DICDI alkyldihydroxyacetonephosphate synthase from Dictyostelium discoideum (Slime mold) (611 aa), FASTA scores: opt: 617, E(): 4.5e-31, (33.95% identity in 480 aa overlap); O97157|ADAS_TRYBB alkyldihydroxyacetonephosphate synthase from Trypanosoma brucei (613 aa), FASTA scores: opt: 567, E(): 6.2e-28, (29.15% identity in 521 aa overlap); etc. Also similar to O53525|Rv2251|MTV022.01 hypothetical 49.8 KDA protein from Mycobacterium tuberculosis strain H37Rv (475 aa), FASTA scores: opt: 1019, E(): 2.3e-56, (38.6% identity in 487 aa overlap). Belongs to the FAD-binding oxidoreductase/transferase family 4. Cofactor: FAD (by similarity).</t>
  </si>
  <si>
    <t>Rv3108, (MTCY164.18), len: 146 aa. Hypothetical unknown protein. This region is a possible MT-complex-specific genomic island (See Becq et al., 2007).</t>
  </si>
  <si>
    <t>moaA1</t>
  </si>
  <si>
    <t>Probable molybdenum cofactor biosynthesis protein A MoaA1</t>
  </si>
  <si>
    <t>Rv3109, (MTCY164.19), len: 359 aa. Probable moaA1, molybdenum cofactor biosynthesis protein, highly similar to others e.g. P39757|MOAA_BACSU|NARA|NARAB from Bacillus subtilis (341 aa), FASTA scores: opt: 810, E(): 6.2e-44, (39.75% identity in 327 aa overlap); O67929|MOAA_AQUAE|AQ_2183 from Aquifex aeolicus (320 aa), FASTA scores: opt: 794, E(): 6e-43, (40.55% identity in 323 aa overlap); Q9ZIM6|MOAA_STACA from Staphylococcus carnosus (340 aa), FASTA scores: opt: 783, E(): 3.2e-42, (38.65% identity in 326 aa overlap); etc. Also highly similar to O53143|MOAA3|MOA3_MYCTU|MT3427 molybdenum cofactor biosynthesis protein A 3 from Mycobacterium tuberculosis strain F4 (378 aa), FASTA scores: opt: 1762, E(): 4.7e-104, (74.3% identity in 350 aa overlap); and similar to O53881|MOA2_MYCTU|MOAA2|Rv0869c|MT0892|MTV043.62 molybdenum cofactor biosynthesis protein A 2 from Mycobacterium tuberculosis strain H37Rv (360 aa), FASTA scores: opt: 657, E(): 3e-34, (36.55% identity in 309 aa overlap). Belongs to the MoaA / NifB / PqqE family. Note that previously known as moaA. This region is a possible MT-complex-specific genomic island (See Becq et al., 2007).</t>
  </si>
  <si>
    <t>moaB1</t>
  </si>
  <si>
    <t>Rv3110</t>
  </si>
  <si>
    <t>Thought to be involved in molybdopterin biosynthesis. Catalyzes the dehydratation of 4A-hydroxytetrahydropterins [catalytic activity: (6R)-6-(L-erythro-1,2-dihydroxypropyl)-5,6,7,8-tetrahydro-4A-hydroxypterin = (6R)-6-(L-erythro-1,2- dihydroxypropyl)-7,8-dihydro-6H-pterin + H(2)O].</t>
  </si>
  <si>
    <t>Probable pterin-4-alpha-carbinolamine dehydratase MoaB1 (PHS) (4-alpha- hydroxy-tetrahydropterin dehydratase) (pterin-4-a-carbinolamine dehydratase) (phenylalanine hydroxylase-stimulating protein) (PHS) (pterin carbinolamine dehydratase) (PCD)</t>
  </si>
  <si>
    <t>Rv3110, (MTCY164.20), len: 131 aa. Probable moaB1, pterin-4-alpha-carbinolamine dehydratase, similar to others e.g. P73790|SSL2296 from Synechocystis sp. strain PCC 6803 (96 aa), FASTA scores: opt: 195, E(): 6.2e-07, (35.4% identity in 96 aa overlap); Q9PAB4|PHS_XYLFA|XF2604 from Xylella fastidiosa (116 aa), FASTA scores: opt: 187, E(): 2.6e-06, (36.25% identity in 102 aa overlap); AAK42360|Q97WM6|PHS_SULSO|SSO2187 from Sulfolobus solfataricus (114 aa), FASTA scores: opt: 177, E(): 1.3e-05, (34.6% identity in 78 aa overlap); etc. Also highly similar to AAK47768|MT3426 pterin-4-alpha-carbinolamine dehydratase from Mycobacterium tuberculosis CDC1551 (124 aa), FASTA scores: opt: 383, E(): 7.7e-20, (50.0% identity in 110 aa overlap). Belongs to the pterin-4-alpha-carbinolamine dehydratase family. Note that previously known as moaB. This region is a possible MT-complex-specific genomic island (See Becq et al., 2007).</t>
  </si>
  <si>
    <t>moaC1</t>
  </si>
  <si>
    <t>Rv3111</t>
  </si>
  <si>
    <t>Probable molybdenum cofactor biosynthesis protein C MoaC1</t>
  </si>
  <si>
    <t>Rv3111, (MTCY164.21), len: 170 aa. Probable moaC1, molybdopterin cofactor biosynthesis protein, highly similar to others e.g. Q9HX95|MOAC|PA3918 from Pseudomonas aeruginosa (160 aa), FASTA scores: opt: 576, E(): 2.2e-29, (62.1% identity in 153 aa overlap); Q9ZFA6|MOAC from Rhodobacter sphaeroides (Rhodopseudomonas sphaeroides) (159 aa), FASTA scores: opt: 541, E(): 3.4e-27, (59.85% identity in 157 aa overlap); BAB48171|MLR0616 from Rhizobium loti (Mesorhizobium loti) (160 aa), FASTA scores: opt: 531, E(): 1.5e-26, (58.75% identity in 160 aa overlap); P30747|MOAC_ECOLI|CHLA3|B0783 from Escherichia coli strain K12 (160 aa), FASTA scores: opt: 527, E(): 2.6e-26, (58.5% identity in 159 aa overlap); etc. Also highly similar to O53376|MOAC3|Rv3324c|MTV016.24c putative molybdenum cofactor biosynthesis protein C 3 from Mycobacterium tuberculosis (177 aa), FASTA scores: opt: 738, E(): 1.7e-39, (71.5% identity in 165 aa overlap); AAK47767|MT3425 molybdopterin cofactor biosynthesis protein C from Mycobacterium tuberculosis strain CDC1551 (184 aa), FASTA scores: opt: 734, E(): 3.1e-39, (71.8% identity in 163 aa overlap); and Rv0864|MOAC2|MTV043.57 putative molybdenum cofactor biosynthesis protein C 2 (167 aa). Note that previously known as moaC. This region is a possible MT-complex-specific genomic island (See Becq et al., 2007).</t>
  </si>
  <si>
    <t>moaD1</t>
  </si>
  <si>
    <t>Rv3112</t>
  </si>
  <si>
    <t>Probable molybdenum cofactor biosynthesis protein D MoaD1 (molybdopterin converting factor small subunit) (molybdopterin [MPT] converting factor, subunit 1)</t>
  </si>
  <si>
    <t>Rv3112, (MTCY164.22), len: 83 aa. Probable moaD1, molybdenum cofactor biosynthesis protein (molybdopterin converting factor (subunit 1)), similar to others e.g. Q9HJF0|TA1019 from Thermoplasma acidophilum (85 aa), FASTA scores: opt: 144, E(): 0.0012, (31.7% identity in 82 aa overlap); BAB59710|TVG0556526 from Thermoplasma volcanium (90 aa), FASTA scores: opt: 144, E(): 0.0012, (31.7% identity in 82 aa overlap); P30748|MOAD_ECOLI|CHLA4|CHLM|B0784 from Escherichia coli strain K12 (81 aa), FASTA scores: opt: 116, E(): 0.11, (36.9% identity in 84 aa overlap); etc. N-terminus also highly similar to to O53375|GPHA|Rv3323c|MTV016.23c MOAD-MOAE fusion protein from Mycobacterium tuberculosis (221 aa), FASTA scores: opt: 333, E(): 2e-16, (65.05% identity in 83 aa overlap); and some similarity with Rv0868c|MTV043.61c|MOAD2 putative molybdenum cofactor biosynthesis protein D 2 (92 aa). Note that previously known as moaD. This region is a possible MT-complex-specific genomic island (See Becq et al., 2007).</t>
  </si>
  <si>
    <t>Rv3113</t>
  </si>
  <si>
    <t>Possible phosphatase</t>
  </si>
  <si>
    <t>Rv3113, (MTCY164.23), len: 222 aa. Possible phosphatase, with weak similarity to other phosphatases e.g. Q9KYY0|SCE33.02c from Streptomyces coelicolor (223 aa), FASTA scores: opt: 368, E(): 1.2e-16, (32.9% identity in 222 aa overlap); and Q55039|GPH_SYNP7|CBBZ phosphoglycolate phosphatase from Synechococcus sp. strain PCC 7942 (Anacystis nidulans R2) (212 aa), FASTA scores: opt: 176, E(): 0.00025, (24.7% identity in 182 aa overlap). This region is a possible MT-complex-specific genomic island (See Becq et al., 2007).</t>
  </si>
  <si>
    <t>Rv3114</t>
  </si>
  <si>
    <t>Rv3114, (MTCY164.24), len: 176 aa. Conserved hypothetical protein, with some similarity to Q9F9W7 cytosine deaminase from Bifidobacterium longum (143 aa), FASTA scores: opt: 207, E(): 2.2e-07, (37.05% identity in 108 aa overlap); and Q9RV23|DR1207 cell cycle protein MESJ, putative/cytosine deaminase-related protein from Deinococcus radiodurans (600 aa), FASTA scores: opt: 212, E(): 3.5e-07, (33.35% identity in 177 aa overlap). Equivalent to AAK47536|MT3196 cytidine and deoxycytidylate deaminase family protein from Mycobacterium tuberculosis strain CDC1551 (187 aa) but shorter 11 aa. This region is a possible MT-complex-specific genomic island (See Becq et al., 2007).</t>
  </si>
  <si>
    <t>Rv3115</t>
  </si>
  <si>
    <t>Involved in the transposition in the insertion sequence IS1081.</t>
  </si>
  <si>
    <t>Rv3115, (MTCY164.25), len: 415 aa. Probable IS1081 transposase, similar to others. Has transposases, mutator family, signature (PS01007). Other copies are MTCY10G2.02c, MTCY441.35, MTCY77.03c. This region is a possible MT-complex-specific genomic island (See Becq et al., 2007).</t>
  </si>
  <si>
    <t>Possibly involved in molybdopterin metabolism (synthesis).</t>
  </si>
  <si>
    <t>Probable molybdenum cofactor biosynthesis protein MoeB2 (MPT-synthase sulfurylase) (molybdopterin synthase sulphurylase)</t>
  </si>
  <si>
    <t>Rv3116, (MTCY164.26), len: 389 aa. Probable moeB2, molybdopterin cofactor biosynthesis protein, equivalent to Q9CCG8|MOEZ|ML0817 protein probably involved in molybdopterin biosynthesis from Mycobacterium leprae (395 aa), FASTA scores: opt: 1433, E(): 8e-80, (57.8% identity in 384 aa overlap). Very similar to members of the HESA/MOEB/THIF family e.g. Q9FCL0|2SC3B6.02 putative sulfurylase from Streptomyces coelicolor (392 aa), FASTA scores: opt: 1562, E(): 1.1e-87, (58.15% identity in 380 aa overlap); Q9XC37|PDTORFF MOEB-like protein (putative sulfurylase) from Pseudomonas stutzeri (Pseudomonas perfectomarina) (391 aa), FASTA scores: opt: 1311, E(): 2.1e-72, (52.4% identity in 395 aa overlap); O54307|MPT|MOEB MPT-synthase sulfurylase from Synechococcus sp. strain PCC 7942 (Anacystis nidulans R2) (391 aa), FASTA scores: opt: 1238, E(): 5.7e-68, (51.4% identity in 393 aa overlap); P74344|MOEB|SLL1536 molybdopterin biosynthesis MOEB protein from Synechocystis sp. strain PCC 6803 (392 aa), FASTA scores: opt: 1212, E(): 2.2e-66, (46.5% identity in 398 aa overlap); etc. Also highly similar to O05860|MTCY07D11.20|MOEB1|Rv3206c putative molybdenum cofactor biosynthesis protein from Mycobacterium tuberculosis strain H37Rv (392 aa), FASTA scores: opt: 1445, E(): 1.5e-80, (56.25% identity in 400 aa overlap). Belongs to the HesA /MoeB/ThiF family. Note that previously known as moeB. This region is a possible MT-complex-specific genomic island (See Becq et al., 2007).</t>
  </si>
  <si>
    <t>Rv3117</t>
  </si>
  <si>
    <t>Probable thiosulfate sulfurtransferase CysA3 (rhodanese-like protein) (thiosulfate cyanide transsulfurase) (thiosulfate thiotransferase)</t>
  </si>
  <si>
    <t>Rv3117, (MTCY164.27, MT3199, O05793), len: 277 aa. Probable cysA3 (alternate gene name: sseC3), thiosulfate sulfurtransferase (see Wooff et al., 2002), equivalent to Q50036|CYSA|CYSA3|ML2198|THTR_MYCLE putative sulfurtransferase thiosulfate from Mycobacterium leprae (277 aa). Also highly similar to other putative thiosulfate sulfurtransferases e.g. P16385|THTR_SACER|CYSA from Saccharopolyspora erythraea (Streptomyces erythraeus) (281 aa), FASTA scores: opt: 1442, E(): 1.7e-84, (75.55% identity in 274 aa overlap); Q9RXT9DR0217|DR0217 from Deinococcus radiodurans (286 aa), FASTA scores: opt: 1046, E(): 2.6e-59, (53.8% identity in 275 aa overlap); Q9HMT7|TSSA|VNG2393G from Halobacterium sp. strain NRC-1 (293 aa), FASTA scores: opt: 1030, E(): 2.7e-58, (56.1% identity in 278 aa overlap); Q9Y8N8|APE2595 from Aeropyrum pernix (218 aa), FASTA scores: opt: 808, E(): 2.7e-44, (53.5% identity in 215 aa overlap); etc. Identical second copy present as Rv0815c|AL022004|MTV043.07c|MT0837|O05793|cysA2 (277 aa) (100.0% identity in 277 aa overlap). Also shows some similarity to P96888|THT2_MYCTU|SSEA|Rv3283|MT3382|MTCY71.23 putative thiosulfate sulfurtransferase from Mycobacterium tuberculosis (297 aa), FASTA scores: opt: 955, E(): 1.6e-53, (50.2% identity in 271 aa overlap); and Q59570|THT3_MYCTU|SSEB|Rv2291|MT2348|MTCY339.19c putative thiosulfate sulfurtransferase from Mycobacterium tuberculosis (284 aa), FASTA scores: E(): 1.4e-14, (26.7% identity in 292 aa overlap). Contains rhodanese active site and C-terminal signatures (PS00380, PS00683). Belongs to the rhodanese family. This region is a possible MT-complex-specific genomic island (See Becq et al., 2007).</t>
  </si>
  <si>
    <t>sseC1</t>
  </si>
  <si>
    <t>Rv3118</t>
  </si>
  <si>
    <t>Conserved hypothetical protein SseC1</t>
  </si>
  <si>
    <t>Rv3118, (MTCY164.28, O05794), len: 100 aa. SseC1, conserved hypothetical protein, equivalent to Q9CBC7|ML2199 hypothetical protein from Mycobacterium leprae (100 aa), FASTA scores: opt: 545, E(): 3.1e-30, (84.0% identity in 10 aa overlap). Also similar to hypothetical proteins e.g. Q50035 from Saccharopolyspora erythraea (Streptomyces erythraeus) (101 aa), FASTA scores: opt: 345, E(): 9.7e-17, (57.15% identity in 98 aa overlap); and Q9K4H3|SCD66.02 from Streptomyces coelicolor (95 aa), FASTA scores: opt: 249, E(): 2.8e-10, (48.5% identity in 99 aa overlap). Some weak similarity with Q9ZB84|PCAG protocatechuate 3,4-dioxygenase alpha-subunit from Pseudomonas marginata (196 aa), FASTA scores: opt: 109, E(): 1.4, (31.3% identity in 83 aa overlap); and other bacterial proteins. Identical second copy present as Rv0814c|AL022004|MTV043.06c|SSEC2 from Mycobacterium tuberculosis (100 aa) (100.0% identity in 100 aa overlap). Note that previously known as sseC. This region is a possible MT-complex-specific genomic island (See Becq et al., 2007).</t>
  </si>
  <si>
    <t>moaE1</t>
  </si>
  <si>
    <t>Rv3119</t>
  </si>
  <si>
    <t>Probable molybdenum cofactor biosynthesis protein E MoaE1 (molybdopterin converting factor large subunit) (molybdopterin [MPT] converting factor, subunit 2)</t>
  </si>
  <si>
    <t>Rv3119, (MTCY164.29), len: 147 aa. Probable moaE1, molybdopterin converting factor E (molybdopterin converting factor (subunit 2)), highly similar to others e.g. O31705|MOAE from Bacillus subtilis (157 aa), FASTA scores: opt: 390, E(): 8.6e-19, (43.95% identity in 132 aa overlap); Q9K8I7|MOAE|BH3019 from Bacillus halodurans (156 aa), FASTA scores: opt: 369, E(): 2e-17, (42.4% identity in 132 aa overlap); P30749|MOAE_ECOLI|CHLA5|B0785 from Escherichia coli strain K12 (149 aa), FASTA scores: opt: 312, E(): 1.1e-13, (38.45% identity in 130 aa overlap); etc. Also highly similar (but shorter 74 aa) to O53375|GPHA|Rv3323c|MTV016.23c MOAD-MOAE fusion protein from Mycobacterium tuberculosis (221 aa), FASTA scores: opt: 733, E(): 3.9e-41, (76.2% identity in 143 aa overlap); and highly similar to O53878|MOAE2|Rv0866|MTV043.59 putative molybdopterin synthase large subunit from Mycobacterium tuberculosis (141 aa), FASTA scores: opt: 321, E(): 2.6e-14, (40.9% identity in 132 aa overlap). Note that previously known as moaE. This region is a possible MT-complex-specific genomic island (See Becq et al., 2007).</t>
  </si>
  <si>
    <t>Rv3120</t>
  </si>
  <si>
    <t>Rv3120, (MTCY164.30), len: 200 aa. Conserved hypothetical protein, with weak similarity to several hypothetical proteins and many N-methyl transferases e.g. Q9X9V1|ORF8 putative methyltransferase from Streptomyces coelicolor A3(2) (208 aa), FASTA scores: opt: 177, E(): 0.00011, (34.6% identity in 130 aa overlap); Q9XA90|SCF43A.25c putative methyltransferase from Streptomyces coelicolor (215 aa), FASTA scores: opt: 147, E(): 0.011, (31.3% identity in 166 aa overlap); BAB52127|MLL5735 probable methyltransferase from Rhizobium loti (Mesorhizobium loti) (247 aa), FASTA scores: opt: 133, E(): 0.11, (29.75% identity in 158 aa overlap). Highly similar to O53374|Rv3322c|MTV016.22c possible methyltransferase from Mycobacterium tuberculosis strain H37Rv (204 aa), FASTA scores: opt: 691, E(): 1.1e-38, (57.0% identity in 200 aa overlap). This region is a possible MT-complex-specific genomic island (See Becq et al., 2007).</t>
  </si>
  <si>
    <t>cyp141</t>
  </si>
  <si>
    <t>Rv3121</t>
  </si>
  <si>
    <t>Probable cytochrome P450 141 Cyp141</t>
  </si>
  <si>
    <t>Rv3121, (MTCY164.31), len: 400 aa. Probable cyp141, cytochrome P-450 integral membrane protein, similar to other cytochrome P450-dependent oxidases e.g. Q9X5P9|CYP107N1 from Streptomyces lavendulae (410 aa), FASTA scores: opt: 825, E(): 3.1e-42, (33.35% identity in 393 aa overlap); Q59819|OLEP|CYP107D1 from Streptomyces antibioticus (407 aa), FASTA scores: opt: 812, E(): 1.9e-41, (34.85% identity in 396 aa overlap); O32460|CYP107M1 from Actinomadura hibisca (411 aa), FASTA scores: opt: 713, E(): 1.6e-35, (31.05% identity in 396 aa overlap); P55544|CPXP_RHISN|CYP112A|Y4LD from Rhizobium sp. strain NGR234 (400 aa), FASTA scores: opt: 688, E(): 5.1e-34, (33.0% identity in 406 aa overlap); etc. Also similar to MTCY339.44c, MTCY369.22, MTCY50.26, MTCY03C7.11, MTCY339.34c, MTCY339.42, MTCY369.11c. Contains cytochrome P450 cysteine heme-iron ligand signature (PS00086). Belongs to the cytochrome P450 family. This region is a possible MT-complex-specific genomic island (See Becq et al., 2007).</t>
  </si>
  <si>
    <t>Rv3122, (MTCY164.32), len: 156 aa. Hypothetical unknown protein. This region is a possible MT-complex-specific genomic island (See Becq et al., 2007).</t>
  </si>
  <si>
    <t>Rv3123, (MTCY164.33), len: 164 aa. Hypothetical unknown protein, but N-terminus shares weak similarity with N-terminal part of O93439|CMESO-1 BHLH transcription factor from Gallus gallus (Chicken) (287 aa), FASTA scores: opt: 129, E(): 0.81, (38.75% identity in 80 aa overlap). This region is a possible MT-complex-specific genomic island (See Becq et al., 2007).</t>
  </si>
  <si>
    <t>moaR1</t>
  </si>
  <si>
    <t>Rv3124</t>
  </si>
  <si>
    <t>Transcriptional regulatory protein MoaR1</t>
  </si>
  <si>
    <t>Rv3124, (MTCY164.34), len: 289 aa. MoaR1, transcriptional regulatory protein, similar to many Streptomyces and Mycobacterium tuberculosis regulatory proteins e.g. Q11052|YC67_MYCTU|Rv1267c|MT1305|MTCY50.15 from Mycobacterium tuberculosis strain H37Rv (388 aa), FASTA scores: opt: 963, E(): 2e-56, (55.15% identity in 252 aa overlap); O53145 from Mycobacterium tuberculosis (381 aa); P71484|EMBR from Mycobacterium avium (384 aa), FASTA scores: opt: 859, E(): 1.5e-49, (52.2% identity in 249 aa overlap); Q9XCC3|TYLT from Streptomyces fradiae (404 aa), FASTA scores: opt: 462, E(): 3.1e-23, (35.05% identity in 254 aa overlap); Q9XCC4|TYLS from Streptomyces fradiae (277 aa), FASTA scores: opt: 456, E(): 5.6e-23, (33.45% identity in 269 aa overlap); etc. Start chosen by similarity, alternative possible (see AAK47548 from Mycobacterium tuberculosis strain CDC1551, longer N-terminus (311 aa)). This region is a possible MT-complex-specific genomic island (See Becq et al., 2007).</t>
  </si>
  <si>
    <t>PPE49</t>
  </si>
  <si>
    <t>PPE family protein PPE49</t>
  </si>
  <si>
    <t>Rv3125c, (MTCY164.35c), len: 391 aa. PPE49, Member of the Mycobacterium tuberculosis PPE family, similar to other e.g. P95247|Rv2352c|MTCY98.21c (391 aa), FASTA scores: opt: 1576, E(): 3.8e-72, (62.55% identity in 398 aa overlap), MTCY98.0029c, MTCY03A2.22c, MTCY10G2.10, MTCY02B10.25c, MTCI364.08, M TCY21C12.09c, MTCY48.17. This region is a possible MT-complex-specific genomic island (See Becq et al., 2007).</t>
  </si>
  <si>
    <t>Rv3126c, (MTCY164.36c), unknown, len: 104 aa. Hypothetical unknown protein. Shortened version of MTCY164.36c, avoiding overlap. This region is a possible MT-complex-specific genomic island (See Becq et al., 2007).</t>
  </si>
  <si>
    <t>Rv3127, (MTCY164.37), len: 344 aa. Conserved protein, highly similar to Mycobacterium tuberculosis protein O53476|Rv2032|MTV018.19 (331 aa), FASTA scores: opt: 1212, E(): 6e-69, (56.7% identity in 321 aa overlap), and also similar to P95195|MTCY03A2.27c (332 aa), FASTA scores: opt: 521, E(): 1.6e-25; (35.0% identity in 326 aa overlap). Some similarity to C-terminal half of hypothetical Mycobacterium tuberculosis proteins. Predicted possible vaccine candidate (See Zvi et al., 2008).</t>
  </si>
  <si>
    <t>Rv3128c, (MTCY164.38c), len: 337 aa. Conserved hypothetical protein, similar to other conserved hypothetical proteins. This ORF corresponds to a fusion of MTCY164.38 and MTCY164.39c. Has in-frame amber stop codon but is similar throughout its length to Rv2807|MTCY16B7.36c|Z81331 conserved hypothetical protein from Mycobacterium tuberculosis (384 aa), FASTA scores: opt: 954, E(): 0, (47.2% identity in 339 aa overlap).</t>
  </si>
  <si>
    <t>Rv3129, (MTCY164.40), len: 110 aa. Conserved hypothetical protein, with some similarity to various hypothetical proteins from Streptomyces coelicolor e.g. Q9RI34|SCJ12.26 hypothetical 14.5 KDA protein (137 aa), FASTA scores: opt: 141, E(): 0.0016, (39.3% identity in 84 aa overlap); Q9RI49|SCJ12.09c hypothetical 15.8 KDA protein (146 aa), FASTA scores: opt: 141, E(): 0.0017, (38.05% identity in 92 aa overlap); Q9RJ05|SCJ1.09C possible DNA-binding protein (233 aa), FASTA scores: opt: 140, E(): 0.0029, (34.85% identity in 89 aa overlap); Q9XA48|SCGD3.31c putative branched-chain alpha keto acid dehydrogenase E1 beta subunit (334 aa); etc.</t>
  </si>
  <si>
    <t>Involved in synthesis of triacylglycerol</t>
  </si>
  <si>
    <t>Triacylglycerol synthase (diacylglycerol acyltransferase) Tgs1</t>
  </si>
  <si>
    <t>Rv3130c, (MTCY03A2.28, MTCY164.41c), len: 463 aa. tgs1, triacylglycerol synthase (See Daniel et al., 2004; Sirakova et al., 2006), similar to several hypothetical Mycobacterium tuberculosis strain H37Rv proteins e.g. O06795|YH60_MYCTU|Rv1760|MTCY28.26 hypothetical 54.1 KDA protein (502 aa), FASTA scores: opt: 586, E(): 9.8e-29, (28.95% identity in 463 aa overlap). Predicted possible vaccine candidate (See Zvi et al., 2008).</t>
  </si>
  <si>
    <t>Rv3131, (MTCY03A2.27c), len: 332 aa. Conserved protein, similar to other hypothetical bacterial proteins e.g. O53476|Rv2032|MTV018.19 (331 aa), FASTA scores: opt: 568, E(): 2.5e-27, (36.7% identity in 321 aa overlap); O05800|Rv3127|MTCY164.37 (344 aa), FASTA scores: opt: 521, E(): 1.9e-24, (34.95% identity in 326 aa overlap); Q9RI33|SCJ12.27c from Streptomyces coelicolor (335 aa), FASTA scores: opt: 441, E(): 1.3e-19, (35.75% identity in 319 aa overlap); Q9RI44|SCJ12.14 from Streptomyces coelicolor (309 aa), FASTA scores: opt: 328, E(): 9.3e-13, (27.9% identity in 308 aa overlap); Q9CBP5|ML1751 from Mycobacterium leprae (721 aa), FASTA scores: opt: 137, E(): 0.78, (26.15% identity in 298 aa overlap); etc. Equivalent to AAK47555 from Mycobacterium tuberculosis strain CDC1551 but shorter 12 aa. Predicted possible vaccine candidate (See Zvi et al., 2008).</t>
  </si>
  <si>
    <t>Sensor part of the two component regulatory system DEVR/DEVS/dost. Thought to control HSPX|Rv2031|ACR expression; O2, NO and CO are ligands, DOSS is inactive in the presence of oxygen</t>
  </si>
  <si>
    <t>Two component sensor histidine kinase DevS</t>
  </si>
  <si>
    <t>Rv3132c, (MTCY03A2.26), len: 578 aa. DevS (alternate gene name: dosS), membrane-bound two component sensor histidine kinase (see citations below; dev for Differentially Expressed in Virulent strain), similar to others two component sensors e.g. Q9RI43|SCJ12.15c putative two-component sensor from Streptomyces coelicolor (585 aa), FASTA scores: opt: 1305, E(): 2.5e-69, (41.35% identity in 573 aa overlap); Q9ZBY4|SCD78.15 putative two component sensor from Streptomyces coelicolor (560 aa), FASTA scores: opt: 1194, E(): 8.1e-63, (41.05% identity in 558 aa overlap); O85371|CPRS two component regulator from Rhodococcus sp (563 aa), FASTA scores: opt: 803, E(): 8.3e-40, (38.4% identity in 552 aa overlap); Q9L094|SCC24.23 putative two-component sensor histidine kinase from Streptomyces coelicolor (similarity only in C-terminus for this one); etc. Also highly similar to mycobacterium O53473|Rv2027c|MTV018.14c putative membrane protein (573 aa), FASTA scores: opt: 2333, E(): 7.6e-130, (61.45% identity in 576 aa overlap). Predicted possible vaccine candidate (See Zvi et al., 2008). Contains GAF domain that binds heme.</t>
  </si>
  <si>
    <t>Regulator part of the two component regulatory system DEVR/DEVS/dost. Controls HSPX|Rv2031|ACR expression.</t>
  </si>
  <si>
    <t>Two component transcriptional regulatory protein DevR (probably LuxR/UhpA-family)</t>
  </si>
  <si>
    <t>Rv3133c, (MTCY03A2.25), len: 217 aa. DevR (alternate gene name: dosR), two component transcriptional regulator (see Dasgupta et al., 2000; dev for Differentially Expressed in Virulent strain), highly similar to several e.g. O85372|CPRR two component regulator from Rhodococcus sp. (212 aa), FASTA scores: opt: 868, E(): 6.2e-46, (65.05% identity in 206 aa overlap); Q9RI42|SCJ12.16c putative LuxR family two-component response regulator from Streptomyces coelicolor (233 aa), FASTA scores: opt: 849, E(): 9.7e-45, (60.55% identity in 218 aa overlap); Q9XA59|SCGD3.19 putative two-component system response transcriptional regulator from Streptomyces coelicolor (218 aa), FASTA scores: opt: 835, E(): 6.5e-44, (61.55% identity in 208 aa overlap); and similar to others. Contains bacterial regulatory proteins, LuxR family signature (PS00622) near C-terminus as seen in bvgA, comA, dctR, degU, evgA, fimZ, fixJ, gacA, glpR, narL, narP, nodW, rcsB and uhpA. Helix-turn-helix motif at 166-187 (+3.15 SD). Belongs to the LuxR/UhpA family of transcriptional regulators. The N-terminal region is similar to that of other regulatory components of sensory transduction systems.</t>
  </si>
  <si>
    <t>Function unknown. Could play a role in the adaptation to hypoxia, participating in the phosphorelay in the two component regulatory system DEVR|Rv3133c/DEVS|Rv3132c.</t>
  </si>
  <si>
    <t>Rv3134c, (MTCY03A2.240, len: 268 aa. Universal stress protein family protein. Ala-, Val- rich (see citations below), related to other hypothetical Mycobacterium tuberculosis proteins e.g. O53474|Rv2028c|MTV018.15c (279 aa), FASTA scores: opt: 562, E(): 3.2e-28, (40.65% identity in 273 aa overlap); O06188|Rv2624c|MTCY01A10.08 (272 aa), FASTA scores: opt: 458, E(): 1.1e-21, (36.55% identity in 271 aa overlap); O53472|R2026c|MTV018.13c (294 aa), FASTA scores: opt: 232, E(): 1.9e-07, (30.45% identity in 276 aa overlap); etc. Shares some similarity with other hypothetical proteins from Streptomyces coelicolor e.g. Q9RIZ8|SCJ1.16c (294 aa), FASTA scores: opt: 207, E(): 6.9e-06, (28.9% identity in 263 aa overlap); Q9K4L5|SC5F8.09 putative stress-inducible protein (312 aa), FASTA scores: opt: 204, E(): 1.1e-05, (28.4% identity in 271 aa overlap); etc. Equivalent to AAK47558|MT3220 Universal stress protein family from Mycobacterium tuberculosis strain CDC1551 (268 aa). Rv3134c seems cotranscribed with devR-devS (see Sherman et al., 2001).</t>
  </si>
  <si>
    <t>PPE family protein PPE50</t>
  </si>
  <si>
    <t>Rv3135, (MTCY03A2.23c), len: 132 aa. PPE50, Member of the Mycobacterium tuberculosis Ala-, Gly-rich PPE family, similar to P95190|Rv3136|MTCY03A2.22c (380 aa), FASTA scores: opt: 494, E(): 6.7e-25, (57.25% identity in 131 aa overlap) (next ORF downstream), MTY21C12_9, MTCY3C7_24, MTCI125_27, MTV049_12, MTV049_9, MTV049_11, MTCY274_24 etc.</t>
  </si>
  <si>
    <t>PPE family protein PPE51</t>
  </si>
  <si>
    <t>Rv3136, (MTCY03A2.22c), len: 380 aa. PPE51, Member of the Mycobacterium tuberculosis Ala-, Gly-rich PPE family, similar to Q9AGF0|Ov2770c Rv2770c-like protein from M. microti (397 aa), FASTA scores: opt: 917, E(): 9e-41, (46.15% identity in 388 aa overlap); O33312|Rv2770c|MTV002.35c, MTV002_36, MTCI125_26, MTCY10G2_10, MTCI364_8, MTV049_28, MTV049_29, etc.</t>
  </si>
  <si>
    <t>Rv3136A</t>
  </si>
  <si>
    <t>Rv3136A, len: 110 aa. Conserved protein.</t>
  </si>
  <si>
    <t>Probable monophosphatase</t>
  </si>
  <si>
    <t>Rv3137, (MTCY03A2.21c), len: 260 aa. Probable monophosphatase, equivalent to O32889|MLCB1779_19|ML0662 putative monophosphatase from Mycobacterium leprae (255 aa), FASTA scores: opt: 1403, E(): 1.2e-81, (81.8% identity in 253 aa overlap). Also similar to Q9K4B1|SC7E4.05c from Streptomyces coelicolor (266 aa), FASTA scores: opt: 969, E(): 3.5e-54, (57.9% identity in 259 aa overlap); Q53743|PUR3 mono-phosphatase from Streptomyces lipmanii (Streptomyces alboniger) (273 aa), FASTA scores: opt: 862, E(): 2.1e-47, (55.25% identity in 257 aa overlap); BAB50023|MLL3039 mono-phosphatase from Rhizobium loti (Mesorhizobium loti) (262 aa), FASTA scores: opt: 448, E(): 3.2e-21, (31.37% identity in 255 aa overlap); etc. Contains inositol monophosphatase family signature 1 (PS00629).</t>
  </si>
  <si>
    <t>Involved in cellular metabolism [catalytic activity: S-adenosyl-L-methionine + dihydroflavodoxin + [formate acetyltransferase]-glycine = 5'-deoxyadenosine + methionine + flavodoxin + [formate acetyltransferase]-glycine-2-YL radical].</t>
  </si>
  <si>
    <t>Probable pyruvate formate lyase activating protein PflA (formate acetyltransferase activating enzyme) ([pyruvate formate-lyase] activating enzyme)</t>
  </si>
  <si>
    <t>Rv3138, (MTCY03A2.20c), len: 362 aa. Probable pflA, pyruvate formate lyase activating protein, similar to other e.g. Q9V0N1|PAB1859 from Pyrococcus abyssi (348 aa), FASTA scores: opt: 926, E(): 1.1e-52, (39.95% identity in 343 aa overlap); O27446|MTH1395 from Methanobacterium thermoautotrophicum (335 aa), FASTA scores: opt: 909, E(): 1.3e-51, (42.2% identity in 327 aa overlap); O28939|AF1330 from Archaeoglobus fulgidus (336 aa), FASTA scores: opt: 884, E(): 5.6e-50, (42.0% identity in 319 aa overlap); etc. Also similar to O50099|PH1391 hypothetical 40.2 KDA protein from Pyrococcus horikoshii (348 aa), FASTA scores: opt: 934, E(): 3.3e-53, (40.5% identity in 343 aa overlap); and other hypothetical proteins.</t>
  </si>
  <si>
    <t>Probable acyl-CoA dehydrogenase FadE24</t>
  </si>
  <si>
    <t>Rv3139, (MTCY03A2.19c), len: 468 aa. Probable fadE24, acyl-CoA dehydrogenase (1.3.99.-), equivalent to O32890|MLCB1779.30|FADE24|ML0661 putative acyl-CoA dehydrogenase from Mycobacterium leprae (465 aa), FASTA scores: opt: 2587, E(): 4e-153, (83.6% identity in 464 aa overlap). Similar to other e.g. Q9HUH0|PA4995 from Pseudomonas aeruginosa (429 aa), FASTA scores: opt: 1139, E(): 2.8e-63, (45.3% identity in 426 aa overlap); Q9K6D0|MMGC|BH3799 from Bacillus halodurans (379 aa), FASTA scores: opt: 603, E(): 4.7e-30, (30.3% identity in 366 aa overlap); Q9K6D1|ACDA|BH3798 from Bacillus halodurans (380 aa), FASTA scores: opt: 601, E(): 6.3e-30, (32.25% identity in 363 aa overlap); etc. Contains acyl-CoA dehydrogenases signature 2 (PS00073) near C-terminus. Belongs to the acyl-CoA dehydrogenases family.</t>
  </si>
  <si>
    <t>Probable acyl-CoA dehydrogenase FadE23</t>
  </si>
  <si>
    <t>Rv3140, (MTCY03A2.18c), len: 401 aa. Probable fadE23, acyl-CoA dehydrogenase (1.3.99.-) (see citation below), equivalent to O32891|MLCB1779.31|FADE23|ML0660 putative acyl-CoA dehydrogenase from Mycobacterium leprae (400 aa), FASTA scores: opt: 2307, E(): 3e-136, (89.5% identity in 401 aa overlap). Also similar to others e.g. Q9HUH1|PA4994 from Pseudomonas aeruginosa (402 aa), FASTA scores: opt: 1558, E(): 1.2e-89, (61.0% identity in 400 aa overlap); O31251 from Acinetobacter sp. ADP1 (401 aa), FASTA scores: opt: 1509, E(): 1.3e-86, (58.2% identity in 402 aa overlap); Q9K6D1|ACDA or BH3798 from Bacillus halodurans (380 aa), FASTA scores: opt: 612, E(): 8.4e-31, (38.2% identity in 293 aa overlap); Q9AHX9|FADFX from Pseudomonas putida (375 aa), FASTA scores: opt: 584, E(): 4.6e-29, (32.7% identity in 379 aa overlap); etc. Could belong to the acyl-CoA dehydrogenases family.</t>
  </si>
  <si>
    <t>Involved in lipid degradation [catalytic activity: NADPH + quinone = NADP(+) + semiquinone].</t>
  </si>
  <si>
    <t>Probable NADPH quinone oxidoreductase FadB4 (NADPH:quinone reductase) (zeta-crystallin)</t>
  </si>
  <si>
    <t>Rv3141, (MTCY03A2.17c), len: 323 aa. Probable fadB4, quinone oxidoreductase, showing strong similarity to variety of quinone oxidoreductases and domains in polyketide and fatty acid synthases e.g. Q9HTV6|PA5234 probable oxidoreductase from Pseudomonas aeruginosa (325 aa), FASTA scores: opt: 737, E(): 1.4e-35, (39.65% identity in 328 aa overlap); Q9RYQ7|DRA0251 putative NADPH quinone oxidoreductase from Deinococcus radiodurans (336 aa), FASTA scores: opt: 688, E(): 1e-32, (40.6% identity in 325 aa overlap); Q9RVG8|DR1061 putative NADPH quinone oxidoreductase from Deinococcus radiodurans (388 aa), FASTA scores: opt: 559, E(): 3.3e-25, (36.3% identity in 325 aa overlap); BAB49685|MLL2594 probable quinone oxidoreductase from Rhizobium loti (Mesorhizobium loti) (326 aa), FASTA scores: opt: 519, E(): 5.9e-23, (34.25% identity in 330 aa overlap); Q9LXZ4|T5P19_110 quinone reductase-like protein from Arabidopsis thaliana (348 aa), FASTA scores: opt: 517, E(): 8.1e-23, (33.55% identity in 322 aa overlap); etc. Also similar to Q9AA38|CC0770 zinc-containing alcohol dehydrogenase from Caulobacter crescentus (325 aa), FASTA scores: opt: 673, E(): 7.2e-32, (40.2% identity in 326 aa overlap); and Q9ABX4|CC0096 zinc-containing alcohol dehydrogenase from Caulobacter crescentus (332 aa), FASTA scores: opt: 623, E(): 5.7e-29, (40.7% identity in 334 aa overlap). Also resembles Mycobacterium tuberculosis proteins P96826|Rv0149|MTCI5_23, MTCY13D12.11, MTCY24G1.03, MTCY19H9.01. Belongs to the zinc-containing alcohol dehydrogenase family, quinone oxidoreductase subfamily. Thought to be differentially expressed within host cells (see Triccas et al., 1999).</t>
  </si>
  <si>
    <t>Rv3142c, (MTCY03A2.16), len: 142 aa. Hypothetical unknown protein. Equivalent to AAK47569 from Mycobacterium tuberculosis strain CDC1551 but shorter 33 aa.</t>
  </si>
  <si>
    <t>Unknown, but could be involved in regulatory mechanism</t>
  </si>
  <si>
    <t>Probable response regulator</t>
  </si>
  <si>
    <t>Rv3143, (MTCY03A2.15c), len: 133 aa. Probable response regulator, similar to other sensory transduction regulatory proteins e.g. Q9X810|SC6G10.25 from Streptomyces coelicolor (133 aa), FASTA scores: opt: 474, E(): 2.8e-24, (54.15% identity in 120 aa overlap); Q9KZ82|SCE25.04c from Streptomyces coelicolor (225 aa), FASTA scores: opt: 144, E(): 0.016, (32.3% identity in 127 aa overlap); Q9RZT4|DRB0029 from Deinococcus radiodurans (416 aa), FASTA scores: opt: 145, E(): 0.024, (30.65% identity in 124 aa overlap). Similar to other regulatory components of sensory transduction systems.</t>
  </si>
  <si>
    <t>PPE family protein PPE52</t>
  </si>
  <si>
    <t>Rv3144c, (MTCY03A2.14), len: 409 aa. PPE52, Member of the Mycobacterium tuberculosis PPE family, Gly-, Ala-rich, similar to others e.g. P71868|Rv3533c|MTCY03C7.23 (582 aa), FASTA scores: opt: 1007, E(): 5.2e-35, (56.2% identity in 306 aa overlap); and MTV014_3, MTCY6G11_5, MTCY98.0034c, MTCY31.06c, MTCY48.17, MTCY98.0029c, MTCY03C7.17c, etc. Nucleotide position 3510642 in the genome sequence has been corrected, T:C resulting in S226G.</t>
  </si>
  <si>
    <t>Involved in aerobic|anaerobic respiration [catalytic activity: NADH + ubiquinone = NAD(+) + ubiquinol].</t>
  </si>
  <si>
    <t>Probable NADH dehydrogenase I (chain A) NuoA (NADH-ubiquinone oxidoreductase chain A)</t>
  </si>
  <si>
    <t>Rv3145, (MTCY03A2.13c), len: 128 aa. Probable nuoA, integral membrane NADH dehydrogenase, chain A, similar to others e.g. Q9XAQ4|NUOA from Streptomyces coelicolor (119 aa), FASTA scores: opt: 405, E(): 5.4e-20, (68.75% identity in 128 aa overlap); Q9RU86|DR1506 from Deinococcus radiodurans (160 aa), FASTA scores: opt: 327, E(): 9e-15, (40.3% identity in 124 aa overlap); BAB47039|NDHC from Triticum aestivum (Wheat), FASTA scores: opt: 273, E(): 2.6e-11, (38.1% identity in 126 aa overlap); etc. Also similar to a NADH-plastoquinone oxidoreductases e.g. P26303|NU3C_WHEAT|NDHC from Triticum aestivum (Wheat) (120 aa), FASTA scores: opt: 273, E(): 2.6e-1, (38.1% identity in 126 aa overlap). Belongs to the complex I subunit 3 family.</t>
  </si>
  <si>
    <t>Probable NADH dehydrogenase I (chain B) NuoB (NADH-ubiquinone oxidoreductase chain B)</t>
  </si>
  <si>
    <t>Rv3146, (MTCY03A2.12c), len: 184 aa. Probable nuoB, NADH dehydrogenase, chain B, similar to others e.g. Q9XAQ5|NUOB from Streptomyces coelicolor (184 aa), FASTA scores: opt: 989, E(): 1.4e-56, (78.25% identity in 184 aa overlap); Q56218|NQO6_THETH|NQO6 from Thermus aquaticus (subsp. thermophilus) (181 aa), FASTA scores: opt: 720, E(): 2.6e-39, (64.45% identity in 152 aa overlap); Q9RU87|DR1505 from Deinococcus radiodurans (181 aa), FASTA scores: opt: 719, E(): 3e-39, (62.6% identity in 155 aa overlap); etc. Belongs to the complex I 20 KDA subunit family. May contain an iron-sulfur 4FE-4S cluster.</t>
  </si>
  <si>
    <t>Probable NADH dehydrogenase I (chain C) NuoC (NADH-ubiquinone oxidoreductase chain C)</t>
  </si>
  <si>
    <t>Rv3147, (MTCY03A2.11c), len: 236 aa. Probable nuoC, NADH dehydrogenase, chain C, similar to others e.g. Q9XAQ6|NUOC from Streptomyces coelicolor (251 aa), FASTA scores: opt: 1113, E(): 2.6e-64, (67.35% identity in 236 aa overlap); Q9A6X2|CC1954 from Caulobacter crescentus (197 aa), FASTA scores: opt: 351, E(): 1.6e-15, (41.65% identity in 132 aa overlap); BAB48757|MLL1369 from Rhizobium loti (Mesorhizobium loti) (201 aa), FASTA scores: opt: 347, E(): 3e-15, (42.4% identity in 132 aa overlap); etc. Also similar to Q9UUU0|NUGM NUGM protein precursor from Yarrowia lipolytica (Candida lipolytica) (281 aa), FASTA scores: opt: 356, E(): 1.1e-15, (34.55% identity in 162 aa overlap). Also similar to MTCY251.05, FASTA score: E():4.9e-05. Equivalent to AAK47574 from Mycobacterium tuberculosis strain CDC1551 but longer 26 aa. Belongs to the complex I 30 KDA subunit family.</t>
  </si>
  <si>
    <t>Probable NADH dehydrogenase I (chain D) NuoD (NADH-ubiquinone oxidoreductase chain D)</t>
  </si>
  <si>
    <t>Rv3148, (MTCY03A2.10c), len: 440 aa. Probable nuoD, NADH dehydrogenase, chain B, similar to others e.g. Q9XAQ7|NUOD from Streptomyces coelicolor (440 aa), FASTA scores: opt: 2198, E(): 1e-131, (73.9% identity in 429 aa overlap); P15689|NUCM_PARTE from Paramecium tetraurelia (400 aa), FASTA scores: opt: 922, E(): 5.8e-51, (38.5% identity in 408 aa overlap); Q9RU89|NUOD_DEIRA|DR1503 from Deinococcus radiodurans (401 aa), FASTA scores: opt: 922, E(): 5.8e-51, (47.75% identity in 404 aa overlap); etc. Equivalent to AAK47575 from Mycobacterium tuberculosis strain CDC1551 but longer 42 aa. Contains helix-turn-helix motif at aa 340-361. Belongs to the complex I 49 KDA subunit family.</t>
  </si>
  <si>
    <t>Probable NADH dehydrogenase I (chain E) NuoE (NADH-ubiquinone oxidoreductase chain E)</t>
  </si>
  <si>
    <t>Rv3149, (MTCY03A2.09c), len: 252 aa. Probable nuoE, NADH dehydrogenase, chain E, similar to others e.g. Q9XAQ8|NUOE from Streptomyces coelicolor (290 aa), FASTA scores: opt: 1002, E(): 5.7e-55, (69.5% identity in 213 aa overlap); P40915|NUHM_NEUCR|NUO-24 from Neurospora crassa (263 aa), FASTA scores: opt: 412, E(): 1.9e-18, (38055% identity in 192 aa overlap); P19234|NUHM_RAT from Rattus norvegicus (Rat) (241 aa), FASTA scores: opt: 410, E(): 2.4e-18, (23.9% identity in 237 aa overlap); etc. Belongs to the complex I 24 KDA subunit family. Binds a 2FE-2S cluster (potential).</t>
  </si>
  <si>
    <t>Probable NADH dehydrogenase I (chain F) NuoF (NADH-ubiquinone oxidoreductase chain F)</t>
  </si>
  <si>
    <t>Rv3150, (MTCY03A2.08c), len: 445 aa. Probable nuoF, NADH dehydrogenase, chain F, similar to others e.g. Q9XAQ9|NUOF_STRCO from Streptomyces coelicolor (449 aa), FASTA scores: opt: 2314, E(): 3.5e-139, (76.25% identity in 434 aa overlap); NUF2_RHIME from Rhizobium meliloti (421 aa), FASTA scores: opt: 1545, E(): 1.8e-90, (53.1% identity in 424 aa overlap); Q9RU92|DR1500 from Deinococcus radiodurans (444 aa), FASTA scores: opt: 1445, E(): 4.1e-84, (52.9% identity in 427 aa overlap); etc. Contains respiratory-chain NADH dehydrogenase 51 Kd subunit signature 2 (PS00645). Belongs to the complex I 51 KDA subunit family. Cofactor: FMN and one 4FE-4S cluster (probable).</t>
  </si>
  <si>
    <t>Probable NADH dehydrogenase I (chain G) NuoG (NADH-ubiquinone oxidoreductase chain G)</t>
  </si>
  <si>
    <t>Rv3151, (MTCY03A2.07c), len: 806 aa. Probable nuoG, NADH dehydrogenase I, chain G, similar to others e.g. Q9XAR0|NUOG_STRCO from Streptomyces coelicolor (843 aa), FASTA scores: opt: 1968 ,E(): 5.2e-107, (62.45% identity in 818 aa overlap); P56914|NUG2_RHIME from Rhizobium meliloti (853 aa), FASTA scores: opt: 964, E(): 1.6e-48, (30.6% identity in 840 aa overlap); etc. But also similarity with other proteins e.g. P77908|FDHA formate dehydrogenase, alpha subunit (formate dehydrogenase [NADP+]) from Moorella thermoacetica (Clostridium thermoaceticum) (893 aa), FASTA scores: opt: 928, E(): 2e-46, (28.65% identity in 865 aa overlap); and Q9UUU3|NUAM NUAM protein precursor from Yarrowia lipolytica (Candida lipolytica) (728 aa), FASTA scores: opt: 894, E(): 1.7e-44, (31.95% identity in 676 aa overlap). Equivalent to AAK47578 from Mycobacterium tuberculosis strain CDC1551 but longer 15 aa. Contains respiratory-chain NADH dehydrogenase 75 kDa subunit signature 2 (PS00642). Belongs to the complex I 75 KDA subunit family. Cofactor: may bind two 4FE-4S cluster and one 2FE-2S cluster.</t>
  </si>
  <si>
    <t>Probable NADH dehydrogenase I (chain H) NuoH (NADH-ubiquinone oxidoreductase chain H)</t>
  </si>
  <si>
    <t>Rv3152, (MTCY03A2.06c), len: 410 aa. Probable nuoH, integral membrane NADH dehydrogenase I, chain H, similar to others e.g. Q9XAR1 Q9XAR1|NUOH from Streptomyces coelicolor (467 aa), FASTA scores: opt: 1630, E(): 3.4e-90, (58.35% identity in 413 aa overlap); Q9RU94|DR1498 from Deinococcus radiodurans (397 aa), FASTA scores: opt: 1081, E(): 2e-57, (45.5% identity in 391 aa overlap); Q9ZCF7|NUOH_RICPR|RP796 from Rickettsia prowazekii (339 aa), FASTA scores: opt: 976, E(): 3.4e-51, (46.2% identity in 329 aa overlap); etc. Contains respiratory-chain NADH dehydrogenase subunit 1 signature 2 (PS00668). Some similarity to MTCY251.02 (FASTA score: E(): 1.2e-07). Belongs to the complex I subunit 1 family.</t>
  </si>
  <si>
    <t>Probable NADH dehydrogenase I (chain I) NuoI (NADH-ubiquinone oxidoreductase chain I)</t>
  </si>
  <si>
    <t>Rv3153, (MTCY03A2.05c), len: 211 aa. Probable nuoI, NADH dehydrogenase I, chain I, similar to others e.g. Q9XAR2|NUOI from Streptomyces coelicolor (211 aa), FASTA scores: opt: 825, E(): 9.3e-44, (70.1% identity in 164 aa overlap); Q56224|NQO9_THETH from Thermus aquaticus (subsp. thermophilus) (182 aa), FASTA scores: opt: 543, E(): 1.8e-26, (50.9% identity in 163 aa overlap); Q9RU95|DR1497 from Deinococcus radiodurans (178 aa), FASTA scores: opt: 527, E(): 1.7e-25, (48.75% identity in 162 aa overlap); etc. Contains two 4Fe-4S ferredoxins, iron-sulfur binding region signatures (PS00198). Belongs to the complex I 23 KDA subunit family. The iron-sulfur centers are similar to those of 'bacterial-type' 4FE-4S ferredoxins. Cofactor: binds two 4FE-4S clusters.</t>
  </si>
  <si>
    <t>Probable NADH dehydrogenase I (chain J) NuoJ (NADH-ubiquinone oxidoreductase chain J)</t>
  </si>
  <si>
    <t>Rv3154, (MTCY03A2.04c), len: 262 aa. Probable nuoJ, transmembrane NADH dehydrogenase I, chain J, similar to others e.g. Q9XAR3|NUOJ from Streptomyces coelicolor (285 aa), FASTA scores: opt: 991, E(): 3.2e-52, (63.7% identity in 243 aa overlap); Q9JX90|NUOJ|NMA0006 from Neisseria meningitidis (serogroup A) (223 aa), FASTA scores: opt: 329, E(): 9.6e-13, (34.85% identity in 175 aa overlap); Q9K1B2|NMB0253 from Neisseria meningitidis (serogroup B) (223 aa), FASTA scores: opt: 326, E(): 1.5e-12, (34.85% identity in 175 aa overlap); etc. But also similarity with Q00243|NU6C_PLEBO|NDH6 NADH-plastoquinone oxidoreductase chain 6 homolog (catalytic activity: NADH + plastoquinone = NAD(+) + plastoquinol) from Plectonema boryanum (199 aa), FASTA scores: opt: 287, E(): 2.8e-10, (34.35% identity in 195 aa overlap). Similar to polypeptide 6 of the NADH-ubiquinol oxidoreductase of chloroplasts or mitochondria.</t>
  </si>
  <si>
    <t>Probable NADH dehydrogenase I (chain K) NuoK (NADH-ubiquinone oxidoreductase chain K)</t>
  </si>
  <si>
    <t>Rv3155, (MTCY03A2.03c), len: 99 aa. Probable nuoK, integral membrane NADH dehydrogenase I, chain K, similar to others e.g. Q9XAR4|NUOK from Streptomyces coelicolor (99 aa), FASTA scores: opt: 509, E(): 2.7e-31, (78.55% identity in 98 aa overlap); Q56226|NQOB_THETH|NQO11 from Thermus aquaticus (subsp. thermophilus) (95 aa), blast scores: initn: 298, init1: 180, bits: 85.7, FASTA scores: opt: 313, E(): 9.4e-17, (53.7% identity in 95 aa overlap); Q9RU97|DR1495 from Deinococcus radiodurans (103 aa), FASTA scores: opt: 309, E(): 2e-16, (52.0% identity in 100 aa overlap); etc. But also similarity with NADH-plastoquinone oxidoreductases chain 4L e.g. Q9MUL4|NULC_MESVI|NDHE from Mesostigma viride (catalytic activity: NADH + plastoquinone = NAD(+) + plastoquinol) (101 aa), FASTA scores: opt: 280, E(): 2.8e-14, (40.6% identity in 101 aa overlap); and P06261|NULC_TOBAC|NDHE|NDH4L from Nicotiana tabacum (Common tobacco) (101 aa), FASTA scores: opt: 259, E(): 1e-12, (43.0% identity in 93 aa overlap). Similar to polypeptide 4L of the NADH-ubiquinol oxidoreductase of chloroplasts or mitochondria.</t>
  </si>
  <si>
    <t>Probable NADH dehydrogenase I (chain L) NuoL (NADH-ubiquinone oxidoreductase chain L)</t>
  </si>
  <si>
    <t>Rv3156, (MTCY03A2.02c), len: 633 aa. Probable nuoL, integral membrane NADH dehydrogenase I, chain L, similar to others e.g. Q9XAR5|NUOL_STRCO from Streptomyces coelicolor (654 aa), FASTA scores: opt: 2074, E(): 1.1e-111, (61.1% identity in 648 aa overlap); Q56227|NQOC_THETH|NQO12 from Thermus aquaticus (subsp. thermophilus) (606 aa), FASTA scores: opt: 1420, E(): 3.8e-74, (43.35% identity in 630 aa overlap); Q9ZJV6|NUOL|JHP1192 from Helicobacter pylori J99 (Campylobacter pylori J99) (612 aa), FASTA scores: opt: 1279, E(): 4.7e-66, (41.65% identity in 516 aa overlap); etc. Also similar to MTCY251.04 (FASTA score: E(): 1.3e-11) and MTCY03A2.01c (FASTA score: E(): 2.3e-10). Similar to polypeptide 5 of the NADH-ubiquinol oxidoreductase of chloroplasts or mitochondrial.</t>
  </si>
  <si>
    <t>Probable NADH dehydrogenase I (chain M) NUOK (NADH-ubiquinone oxidoreductase chain M)</t>
  </si>
  <si>
    <t>Rv3157, (MTCY03A2.01c-MTV014.01c), len: 553 aa. Probable nuoM, integral membrane NADH dehydrogenase I, chain M, similar to others e.g. Q9XAR6|NUOM from Streptomyces coelicolor (523 aa), FASTA scores: opt: 1621, E(): 4.2e-89, (56.55% identity in 541 aa overlap); P50974|NUOM_RHOCA|NUOM from Rhodobacter capsulatus (Rhodopseudomonas capsulata) (512 aa), FASTA scores: opt: 996, E(): 6.5e-52, (38.2% identity in 521 aa overlap); P29925|NQOD_PARDE|NQO13 from Paracoccus denitrificans (513 aa), FASTA scores: opt: 987, E(): 2.2e-51, (37.05% identity in 540 aa overlap); etc. Also similar to MTCY251.04 (FASTA score: E(): 3.3e-16) and MTCY03A2.02c (FASTA score: E(): 9.6e-13). Similar to polypeptide 4 of the NADH-ubiquinol oxidoreductase of chloroplasts or mitochondrial.</t>
  </si>
  <si>
    <t>Probable NADH dehydrogenase I (chain N) NuoN (NADH-ubiquinone oxidoreductase chain N)</t>
  </si>
  <si>
    <t>Rv3158, (MTV014.02c), len: 531 aa. Probable nuoN, integral membrane NADH dehydrogenase I, chain N, similar to others e.g. Q9XAR7|SC10A7.08c from Streptomyces coelicolor (552 aa), FASTA scores: opt: 1493, E(): 1.1e-81, (56.7% identity in 543 aa overlap); Q9PGI2|XF0318 from Xylella fastidiosa (485 aa), FASTA scores: opt: 942, E(): 7.4e-49, (39.6% identity in 379 aa overlap); CAB51628|NUON2 from Rhizobium meliloti (Sinorhizobium meliloti) (479 aa), FASTA scores: opt: 934, E(): 2.2e-48, (35.5% identity in 479 aa overlap); etc. But also similarity with NADH-plastoquinone oxidoreductases chain 4L (catalytic activity: NADH + plastoquinone = NAD(+) + plastoquinol) e.g. P29801|NU2C_SYNP7|NDHB from Synechococcus sp. strain PCC 7942 (Anacystis nidulans R2) (521 aa), FASTA scores: opt: 921, E(): 1.4e-47, (40.25% identity in 395 aa overlap). Belongs to the complex I subunit 2 family.</t>
  </si>
  <si>
    <t>PPE family protein PPE53</t>
  </si>
  <si>
    <t>Rv3159c, (MTV014.03c), len: 590 aa. PPE53, Member of the Mycobacterium tuberculosis PPE_family of Gly-, Asn-rich proteins. Highly similar to P71868|Rv3533c|MTCY03C7.23 (582 aa), FASTA scores: opt: 2289, E(): 3.2e-98, (63.5% identity in 600 aa overlap); and also similar to MTCY48_17, MTV041_29, MTCY6G11_5, MTCY98_24, etc. Predicted to be an outer membrane protein (See Song et al., 2008).</t>
  </si>
  <si>
    <t>Rv3160c, (MTV014.04c), len: 213 aa. Possible transcriptional regulator, with some similarity to others e.g. Q9S3L4|AMTR AMTR protein (global repressor in the nitrogen regulation system; see Jakoby et al., 2000) (222 aa), FASTA scores: opt: 182, E(): 7.3e-05, (27.9% identity in 208 aa overlap); Q9X7X9|SC6A5.33c putative regulatory protein from Streptomyces coelicolor (223 aa), FASTA scores: opt: 176, E(): 0.00018, (26.5% identity in 185 aa overlap); Q9XA31|SCH69.03c putative transcriptional regulator from Streptomyces coelicolor (209 aa), FASTA scores: opt: 173, E(): 0.00027, (27.25% identity in 176 aa overlap); BAB54133|MLL7734 transcriptional regulator from Rhizobium loti (Mesorhizobium loti) (213 aa), FASTA scores: opt: 172, E(): 0.00031, (23.55% identity in 204 aa overlap); etc. Also similar to hypothetical proteins from Mycobacterium tuberculosis strain H37Rv e.g. P96839|Rv3557v|MTCY06G11.04c (200 aa), FASTA scores: opt: 169, E(): 0.00046, (26.75% identity in 157 aa overlap). Contains probable helix-turn-helix motif from aa 31 to 52 (Score 1857, +5.51 SD). Similar to the TetR/AcrR family of transcriptional regulators.</t>
  </si>
  <si>
    <t>Rv3161c, (MTV014.05c), len: 382 aa. Possible dioxygenase, similar to subunit of several dioxygenases and related proteins e.g. BAB50510|MLR3662 dioxygenase, alpha subunit from Rhizobium loti (Mesorhizobium loti) (400 aa), FASTA scores: opt: 413, E(): 6.2e-20, (28.4% identity in 331 aa overlap); Q9A3T0|CC3122 rieske 2FE-2S family protein from Caulobacter crescentus (404 aa), FASTA scores: opt: 405, E(): 2.1e-19, (27.95% identity in 372 aa overlap); Q9HTF4|PA5410 probable ring hydroxylating dioxygenase, alpha-subunit from Pseudomonas aeruginosa (429 aa), FASTA scores: opt: 392, E(): 1.6e-18, (25.8% identity in 399 aa overlap); Q9AGK6|PHTAA phthalate dioxygenase large subunit from Arthrobacter keyseri (473 aa), FASTA scores: opt: 385, E(): 5.2e-18, (34.0% identity in 206 aa overlap); P76253|YEAW_ECOLI putative dioxygenase, alpha subunit from Escherichia coli (374 aa), FASTA scores: opt: 376, E(): 1.7e-17, (27.05% identity in 344 aa overlap); etc.</t>
  </si>
  <si>
    <t>Rv3162c</t>
  </si>
  <si>
    <t>Rv3162c, (MTV014.06c), len: 145 aa. Possible integral membrane protein, with some similarity to C-terminal part of Q10803|Rv2877c|MTCY274.08c hypothetical protein from Mycobacterium tuberculosis (287 aa), FASTA scores: opt: 112, E(): 6.9, (29.65% identity in 135 aa overlap); and other hypothetical proteins from other organisms.</t>
  </si>
  <si>
    <t>Rv3163c</t>
  </si>
  <si>
    <t>Rv3163c, (MTV014.07c), len: 423 aa. Possible conserved secreted protein, with some similarity to other hypothetical bacterial proteins e.g. Q9Z539|SC9B2.20c from Streptomyces coelicolor (460 aa), FASTA scores: opt: 666, E(): 1.5e-33, (33.55% identity in 417 aa overlap); O58486|PH0774 from Pyrococcus horikoshii (410 aa), FASTA scores: opt: 329, E(): 6.9e-13, (23.8% identity in 424 aa overlap); Q9UZ66|PAB0849 from Pyrococcus abyssi (410 aa), FASTA scores: opt: 322, E(): 1.9e-12, (24.15% identity in 389 aa overlap); etc. Also some similarity with P71761|Rv1480|MTV007.27|MTCY277.01 from Mycobacterium tuberculosis (317 aa), FASTA scores: opt: 198, E(): 6.3e-05, (26.75% identity in 269 aa overlap). Contains PS00402 Binding-protein-dependent transport systems inner membrane comp signature.</t>
  </si>
  <si>
    <t>Involved in transcriptional mechanism; regulates methanol dehydrogenase.</t>
  </si>
  <si>
    <t>Probable methanol dehydrogenase transcriptional regulatory protein MoxR3</t>
  </si>
  <si>
    <t>Rv3164c, (MTV014.08c), len: 320 aa. Probable moxR3, methanol dehydrogenase regulatory protein, highly similar to Q9Z538|SC9B2.21c putative regulatory protein from Streptomyces coelicolor (332 aa), FASTA scores: opt: 1227, E(): 1.7e-67, (60.25% identity in 302 aa overlap); Q9UZ67|MOXR-3|PAB0848 methanol dehydrogenase regulatory protein from Pyrococcus abyssi (314 aa), FASTA scores: opt: 1126, E(): 2.3e-61, (54.1% identity in 305 aa overlap); Q9HSH7|MOXR|VNG0223G methanol dehydrogenase regulatory protein from Halobacterium sp. strain NRC-1 (318 aa), FASTA scores: opt: 1072, E(): 4.5e-58, (51.45% identity in 315 aa overlap); Q9RVV4|DR0918 MOXR-related protein from Deinococcus radiodurans (354 aa), FASTA scores: opt: 1000, E(): 1.2e-53, (50.95% identity in 318 aa overlap); etc. Also high similarity with several hypothetical bacterial proteins.</t>
  </si>
  <si>
    <t>Rv3165c</t>
  </si>
  <si>
    <t>Rv3165c, (MTV014.09)c, len: 160 aa. Unknown protein.</t>
  </si>
  <si>
    <t>Rv3166c</t>
  </si>
  <si>
    <t>Rv3166c, (MTV014.10c), len: 319 aa. Probable transmembrane protein, similar but longer (52 aa) to O32895|MLCB1779.35c hypothetical protein from Mycobacterium leprae (119 aa), FASTA scores: opt: 289, E(): 3.7e-10, (44.25% identity in 122 aa overlap). Also some similarity to Q9Z536|SC9B2.23c putative transmembrane protein from Streptomyces coelicolor (339 aa), FASTA scores: opt: 247, E(): 2.5e-07, (28.2% identity in 326 aa overlap); and in N-terminus to Q9RS20|DR2307 putative multidrug-efflux transporter from Deinococcus radiodurans (410 aa), FASTA scores: opt: 135,E(): 1, (32.35% identity in 136 aa overlap).</t>
  </si>
  <si>
    <t>Rv3167c</t>
  </si>
  <si>
    <t>Rv3167c, (MTV014.11c), len: 208 aa. Probable transcriptional regulator, TetR family, similar to several transcriptional regulators e.g. Q9L2A4|SC8F4.22c (TetR/AcrR family) from Streptomyces coelicolor (234 aa), FASTA scores: opt: 317, E(): 7.5e-13, (33.35% identity in 210 aa overlap); Q9RK47|SCF12.11 (TetR/AcrR family) from Streptomyces coelicolor (206 aa), FASTA scores: opt: 293, E(): 2.1e-11, (32.65% identity in 199 aa overlap); Q54288 regulator of antibiotic transport complexes (TetR/AcrR family) (204 aa), FASTA scores: opt: 260, E(): 2.4e-09, (30.75% identity in 205 aa overlap); etc. Equivalent to AAK47595 from Mycobacterium tuberculosis strain CDC1551 but shorter 21 aa. Contains probable helix-turn-helix motif from aa 42 to 63 (Score 1727, +5.07 SD). May belong to the TetR/AcrR family of transcriptional regulators.</t>
  </si>
  <si>
    <t>Confers resistance to aminoglycoside antibiotics</t>
  </si>
  <si>
    <t>Putative aminoglycoside phosphotransferase</t>
  </si>
  <si>
    <t>Rv3168, (MTV014.12), len: 378 aa. Putative aminoglycoside phosphotransferase, similar to hypothetical proteins e.g. Q9M7Y6|F3E22.6 from Arabidopsis thaliana (Mouse-ear cress) (314 aa), FASTA scores: opt: 236, E(): 1.1e-07, (27.35% identity in 234 aa overlap); Q9RYW2|DRA0194 from Deinococcus radiodurans (386 aa), FASTA scores: opt: 207, E(): 9.1e-06, (23.45% identity in 320 aa overlap); etc. Also some similarity with O69727|Rc3761c|MTV025.109c hypothetical protein from Mycobacterium tuberculosis (351 aa), FASTA scores: opt: 193, E(): 6.4e-05, (29.4% identity in 242 aa overlap).</t>
  </si>
  <si>
    <t>Rv3169, (MTV014.13), len: 374 aa. Conserved protein, with similarity to other hypothetical proteins: Q9A8W6|CC1232 from Caulobacter crescentus (368 aa), FASTA scores: opt: 669, E(): 3.3e-34, (34.05% identity in 376 aa overlap); and O32901|MLCB1779.41 from Mycobacterium leprae (127 aa), FASTA scores: opt: 179, E(): 0.00034, (29.0% identity in 131 aa overlap). Also weak similarity with P95149|Rv1866|MTCY359.07c (804 aa), FASTA scores: opt: 121, E(): 6.4, (37.0% identity in 119 aa overlap). Equivalent to AAK47597 from Mycobacterium tuberculosis strain CDC1551 but shorter 43 aa.</t>
  </si>
  <si>
    <t>Possibly catalyzes the oxidative deamination: oxidize on primary amines, and perhaps on secondary and tertiary amines [catalytic activity: RCH(2)NH(2) + H(2)O + O(2) = RCHO + NH(3) + H(2)O(2)]. Must have important function in metabolism. Supposedly involved in stationary-phase survival.</t>
  </si>
  <si>
    <t>Probable flavin-containing monoamine oxidase AofH (amine oxidase) (MAO)</t>
  </si>
  <si>
    <t>Rv3170, (MT3259, MTV014.14), len: 448 aa. Probable aofH, flavin-containing (mono)amine oxidase, equivalent to a predicted homologous protein from Mycobacterium smegmatis (see citation below), and similar to many eukaryotic monoamine oxidases e.g. P49253|AOF_ONCMY from Oncorhynchus mykiss (Rainbow trout) (Salmo gairdneri) (522 aa), FASTA scores: opt: 869, E(): 5.3e-44, (37.7% identity in 448 aa overlap); P21396|AOFA_RAT|MAOA from Rattus norvegicus (Rat) (526 aa), FASTA scores: opt: 839, E(): 3.2e-42, (37.45% identity in 446 aa overlap); Q99NA8|MAO-a from Cavia porcellus (Guinea pig) (506 aa), FASTA scores: opt: 836, E(): 4.6e-42, (37.0% identity in 446 aa overlap); P21398|AOFA_BOVIN from Bos taurus (Bovine) (527 aa), FASTA scores: opt: 806, E(): 2.8e-40, (37.0% identity in 446 aa overlap); P21397|AOFA_HUMAN (527 aa), FASTA scores: opt: 801, E(): 5.6e-40, (37.2% identity in 446 aa overlap); etc. Alternative start possible at position 3538487. Belongs to the flavin monoamine oxidase family. Cofactor: FAD (potential).</t>
  </si>
  <si>
    <t>Possible non-heme haloperoxidase Hpx</t>
  </si>
  <si>
    <t>Rv3171c, (MTV014.15c), len: 299 aa. Possible hpx, non-heme haloperoxidase, similar to other hydrolases (principaly epoxide hydrolases) and non-heme chloroperoxidases e.g. Q9RKB6|SCE87.22c putative hydrolase from Streptomyces coelicolor (314 aa), FASTA scores: opt: 431, E(): 6e-20, (38.05% identity in 297 aa overlap); Q9HZ14|PA3226 probable hydrolase (similar to alpha/beta hydrolase fold) from Pseudomonas aeruginosa (275 aa), FASTA scores: opt: 236, E(): 1e-07, (29.6% identity in 277 aa overlap); Q9DBL9|1300003 D03RIK protein similar to alpha/beta hydrolase fold from Mus musculus (Mouse) (351 aa), FASTA scores: opt: 223, E(): 8.3e-07, (24.35% identity in 304 aa overlap); AAK46260|MT1988 epoxide hydrolase from Mycobacterium tuberculosis strain CDC1551 (356 aa), FASTA scores: opt: 223, E(): 8.4e-07, (40.7% identity in 113 aa overlap); P49323|PRXC_STRLI|CPO|CPOL non-heme chloroperoxidase (chloride peroxidase) from Streptomyces lividans (275 aa), FASTA scores: opt: 220, E(): 1e-06, (29.5% identity in 305 aa overlap); etc. Equivalent to AAK47599 Hydrolase, alpha/beta hydrolase family from Mycobacterium tuberculosis strain CDC1551 but shorter 24 aa. Start chosen by similarity, alternative with good RBS possible.</t>
  </si>
  <si>
    <t>Rv3172c, (MTV014.16c), len: 160 aa. Hypothetical unknown protein.</t>
  </si>
  <si>
    <t>Possibly involved in transcriptional mechanism (probably repression).</t>
  </si>
  <si>
    <t>Rv3173c, (MTV014.17c), len: 200 aa. Probable transcriptional regulatory protein TetR family, similar to several bacterial putative regulatory proteins e.g. Q9EWI2|SC7H9.14 from Streptomyces coelicolor (195 aa), FASTA scores: opt: 319, E(): 1.7e-13, (34.55% identity in 195 aa overlap); O85695|3SCF60.04 from Streptomyces lividans and Streptomyces coelicolor (192 aa), FASTA scores: opt: 297, E(): 4.3e-12, (37.45% identity in 187 aa overlap); BAB50853|MLR4117 from Rhizobium loti (Mesorhizobium loti) (205 aa), FASTA scores: opt: 280, E(): 5.5e-11, (31.45% identity in 194 aa overlap); BAB53760|MLL8133 from Rhizobium loti (Mesorhizobium loti) (194 aa), FASTA scores: opt: 270, E(): 2.3e-10, (34.05% identity in 185 aa overlap); etc. Also similar to other regulators from Mycobacterium tuberculosis e.g. P96839|Rv3557c|MTCY06G11.04c (200 aa), FASTA scores: opt: 154, E(): 0.0013, (38.8% identity in 80 aa overlap). Contains probable helix-turn-helix motif from aa 39 to 60 (Score 1251, +3.45 SD). Similar to the TetR/AcrR family of transcriptional regulators. This region is a possible MT-complex-specific genomic island (See Becq et al., 2007).</t>
  </si>
  <si>
    <t>Rv3174</t>
  </si>
  <si>
    <t>Probable short-chain dehydrogenase/reductase</t>
  </si>
  <si>
    <t>Rv3174, (MTV014.18), len: 235 aa. Probable oxidoreductase short-chain dehyrogenase/reductase, similar to others e.g. Q9RPT7|sits from Streptomyces albus (223 aa), FASTA scores: opt: 654, E(): 6.1e-32, (49.3% identity in 215 aa overlap); Q9RI61|SCJ11.46 from Streptomyces coelicolor (230 aa), FASTA scores: opt: 626, E(): 2.9e-30, (50.9% identity in 224 aa overlap); Q9A5Z1|CC2306 from Caulobacter crescentus (252 aa), FASTA scores: opt: 430, E(): 1.3e-18, (39.45% identity in 228 aa overlap); Q51641 insect-type dehydrogenase (249 aa), FASTA scores: opt: 301, E(): 5.7e-11, (38.3% identity in 188 aa overlap); Q9HXC9|PA3883 from Pseudomonas aeruginosa (276 aa), FASTA scores: opt: 296, E(): 1.2e-10, (29.55% identity in 247 aa overlap); etc. May belong to the short-chain dehydrogenases/reductases (SDR) family. This region is a possible MT-complex-specific genomic island (See Becq et al., 2007).</t>
  </si>
  <si>
    <t>Possible amidase (aminohydrolase)</t>
  </si>
  <si>
    <t>Rv3175, (MTV014.19), len: 495 aa. Possible amidase , similar to others e.g. Q9F6D0|ZHUL enantiomer selective amidase from Streptomyces sp. R1128 (507 aa), FASTA scores: opt: 1328 ,E(): 7.5e-69, (44.5% identity in 492 aa overlap); BAB51815|MLR5350 probable amidase from Rhizobium loti (Mesorhizobium loti) (457 aa), FASTA scores: opt: 7487, E(): 1.3e-35, (35.9% identity in 482 aa overlap); O28325|YJ54_ARCFU|AF1954 putative amidase from Archaeoglobus fulgidus (453 aa), FASTA scores: opt: 532, E(): 3.2e-23, (32.05% identity in 471 aa overlap); etc. But also similar to glutamyl-tRNA amidotransferases who belong to amidase family e.g. Q9RTA9|DR1856 glutamyl-tRNA(GLN) amidotransferase, subunit A from Deinococcus radiodurans (482 aa), FASTA scores: opt: 560, E(): 8.2e-25, (30.6% identity in 513 aa overlap); Q9LCX3|GATA GLU/asp-tRNA amidotransferase subunit A from Thermus aquaticus (subsp. thermophilus) (471 aa), FASTA scores: opt: 558, E(): 1.1e-24, (30.85% identity in 486 aa overlap); Q49091|GATA_MORCA glutamyl-tRNA(GLN) amidotransferase subunit A from Moraxella catarrhalis (492 aa), FASTA scores: opt: 526, E(): 7.5e-23, (30.45% identity in 473 aa overlap); etc. Seems to belong to the amidase family. Contains PS00017 ATP/GTP-binding site motif A (P-loop). This region is a possible MT-complex-specific genomic island (See Becq et al., 2007).</t>
  </si>
  <si>
    <t>mesT</t>
  </si>
  <si>
    <t>Rv3176c</t>
  </si>
  <si>
    <t>Biotransformation enzyme that acts on a variety of epoxides and arene oxides. Catalyzes the hydrolysis of arene and epoxides to less reactive and more water soluble dihydrodiols by the trans addition of water [catalytic activity: an epoxide + H(2)O = a glycol].</t>
  </si>
  <si>
    <t>Probable epoxide hydrolase MesT (epoxide hydratase) (arene-oxide hydratase)</t>
  </si>
  <si>
    <t>Rv3176c, (MTV014.20c), len: 318 aa. Probable mesT, epoxide hydrolase, similar to others e.g. O15007|PEG1|MEST|Q92571|O14973 MEST protein (mesoderm specific transcript (mouse) homolog) (similar to alpha/beta hydrolase fold) from Homo sapiens (Human) (335 aa), FASTA scores: opt: 348, E(): 6e-15, (32.15% identity in 280 aa overlap); AAH06639|Q07646 MEST protein from Mus musculus (Mouse) (335 aa), FASTA scores: opt: 342, E(): 1.4e-14, (31.45% identity in 280 aa overlap); Q9I8E7|MEST epoxide hydrolase from Fugu rubripes (Japanese pufferfish) (Takifugu rubripes) (326 aa), FASTA scores: opt: 322, E(): 2.7e-13, (29.55% identity in 301 aa overlap); Q9PUC9|PEG1|MEST epoxide hydrolase from Brachydanio rerio (Zebrafish) (Zebra danio) (344 aa), FASTA scores: opt: 322, E(): 2.8e-13, (32.35% identity in 207 aa overlap); Q9HYH6|PA3429 probable epoxide hydrolase from Pseudomonas aeruginosa (298 aa), FASTA scores: opt: 258, E(): 3e-09, (29.85% identity in 288 aa overlap); O31243|ECHA epoxide hydrolase from Agrobacterium radiobacter (294 aa), FASTA scores: opt: 202, E(): 1.1e-05, (27.0% identity in 278 aa overlap); etc. Also similar to Q50599|Rv1834|MT1882|MTCY1A11.09c hypothetical 31.7 KDA protein from Mycobacterium tuberculosis (288 aa), FASTA scores: opt: 294, E(): 1.5e-11, (29.95% identity in 287 aa overlap). Equivalent to AAK47604 from Mycobacterium tuberculosis strain CDC1551 (339 aa) but shorter 21 aa. Similar to alpha/beta hydrolase fold. May belong to peptidase family S33. Note that previously known as lipS. This region is a possible MT-complex-specific genomic island (See Becq et al., 2007).</t>
  </si>
  <si>
    <t>Possible peroxidase (non-haem peroxidase)</t>
  </si>
  <si>
    <t>Rv3177, (MTV014.21), len: 286 aa. Possible peroxidase (non-haem peroxidase), highly similar to Q9KJF9|W78 cultivar specificity protein (similar to alpha/beta hydrolase fold) W78 from Rhizobium leguminosarum (287 aa), FASTA scores: opt: 1059, E(): 2.3e-59, (61.4% identity in 272 aa overlap); BAB48728|MLL1328 hypothetical protein from Rhizobium loti (Mesorhizobium loti) (286 aa), FASTA scores: opt: 746, E(): 1.1e-39, (43.25% identity in 282 aa overlap). Similar to nonheme chloroperoxidases and related esterases e.g. O73957|SAL lipolytic enzyme from Sulfolobus acidocaldarius (314 aa), FASTA scores: opt: 408, E(): 1.9e-18, (32.4% identity in 287 aa overlap); Q9AJM9|BIOH protein involved in biotin synthesis from Kurthia sp. 538-KA26 (267 aa), FASTA scores: opt: 324 ,E(): 3.2e-13, (30.0% identity in 250 aa overlap); Q9CBB1|ML2269 putative hydrolase (similar to alpha/beta hydrolase fold) from Mycobacterium leprae (265 aa); O05691|THCF_RHOER non-heme haloperoxidase from Rhodococcus erythropolis (similar to other bacterial non-heme BROMO- and chloro-peroxidases) (274 aa), FASTA scores: opt: 279, E(): 2.2e-10, (29.0% identity in 276 aa overlap); Q53540|est esterase (similar to alpha/beta hydrolase fold) from Pseudomonas putida (276 aa), FASTA scores: opt: 271, E(): 7.1e-10, (29.65% identity in 280 aa overlap); etc. Also similar to O06420|BPOC|Rv0554|MTCY25D10.33 hypothetical 28.3 KDA protein (similar to alpha/beta hydrolase fold) from M. tuberculosis (262 aa), FASTA scores: opt: 280 ,E(): 1.8e-10, (28.0% identity in 257 aa overlap). Equivalent to AAK47605 from Mycobacterium tuberculosis strain CDC1551 (300 aa) but shorter 14 aa. Similar to alpha/beta hydrolase fold. This region is a possible MT-complex-specific genomic island (See Becq et al., 2007).</t>
  </si>
  <si>
    <t>Rv3178</t>
  </si>
  <si>
    <t>Rv3178, (MTV014.22), len: 119 aa. Hypothetical protein, with some similarity to other hypothetical bacterial proteins (principally mycobacterium and streptomyces proteins) e.g. P71854|Rv3547|MTCY03C7.09c from Mycobacterium tuberculosis strain H37Rv (151 aa), FASTA scores: opt: 310, E(): 2e-14, (40.5% identity in 116 aa overlap); Q9ZH81 from M. paratuberculosis (144 aa), FASTA scores: opt: 274, E(): 5.6e-12, (38.9% identity in 108 aa overlap); O85698|3SCF60.07 from Streptomyces lividans and Streptomyces coelicolor (149 aa), FASTA scores: opt: 235, E(): 2.7e-09, (35.2% identity in 108 aa overlap); Q10772|YF58_MYCTU|Rv1558|MT1609|MTCY48.07c (148 aa); Q9WX21|SCE68.11 from Streptomyces coelicolor (305 aa); etc. Equivalent to AAK47606 from Mycobacterium tuberculosis strain CDC1551 (171 aa) but shorter 52 aa. This region is a possible MT-complex-specific genomic island (See Becq et al., 2007).</t>
  </si>
  <si>
    <t>Rv3179, (MTV014.23), len: 429 aa. Conserved protein, highly similar to Q9KH61 putative ATP/GTP binding protein from Mycobacterium smegmatis (428 aa), FASTA scores: opt: 2466, E(): 1.5e-148, (89.7% identity in 428 aa overlap) (no article found on the NCBI web site (July 2001)); and to other hypothetical bacterial proteins e.g. O07781|Rv0597c|MTCY19H5.25 from M. tuberculosis (411 aa), FASTA scores: opt: 1031, E(): 8e-58, (41.5% identity in 417 aa overlap); BAB54715|MLR9349 from Rhizobium loti (Mesorhizobium loti) (435 aa), FASTA scores: opt: 365, E(): 1.1e-15, (31.75% identity in 416 aa overlap); etc. Equivalent to AAK47609 from Mycobacterium tuberculosis strain CDC1551 (454 aa) but shorter 25 aa. Contains PS00017 ATP/GTP-binding site motif A (P-loop). This region is a possible MT-complex-specific genomic island (See Becq et al., 2007).</t>
  </si>
  <si>
    <t>Rv3180c</t>
  </si>
  <si>
    <t>Rv3180c, (MTV014.24c), len: 144 aa. Hypothetical unknown ala-rich protein. Contains probable coiled-coil domain from aa 40 to 70. This region is a possible MT-complex-specific genomic island (See Becq et al., 2007).</t>
  </si>
  <si>
    <t>Rv3181c</t>
  </si>
  <si>
    <t>Rv3181c, (MTV014.25c), len: 150 aa. Conserved protein, with some similarity to other mycobacterium proteins e.g. Q50718|YY07_MYCTU|Rv3407|MT3515|MTCY78.21c (99 aa), FASTA scores: opt: 123, E(): 0.25, (33.7% identity in 89 aa overlap); and O50412|Rv3385c|MTV004.43c (102 aa), FASTA scores: opt: 123, E(): 0.26, (39.7% identity in 68 aa overlap). This region is a possible MT-complex-specific genomic island (See Becq et al., 2007).</t>
  </si>
  <si>
    <t>Rv3182, (MTV014.26), len: 114 aa. Hypothetical protein, with some similarity to other hypothetical bacterial proteins e.g. O53468|Rv2022c|MTV018.09c from M. tuberculosis (201 aa), FASTA scores: opt: 335, E(): 3.6e-16, (51.9% identity in 104 aa overlap); and Q9L3R6|ORF119 from Anabaena sp. strain PCC 7120 (119 aa), FASTA scores: opt: 250, E(): 1.6e-10, (42.1% identity in 95 aa overlap). Equivalent to AAK47614 from Mycobacterium tuberculosis strain CDC1551 (94 aa) but longer 20 aa. This region is a possible MT-complex-specific genomic island (See Becq et al., 2007).</t>
  </si>
  <si>
    <t>Rv3183</t>
  </si>
  <si>
    <t>Rv3183, (MTV014.27), len: 109 aa. Possible transcriptional regulator, similar to others e.g. Q9S1D9|YPPCP1.08c from Yersinia pestis (99 aa), FASTA scores: opt: 119, E(): 0.47, (40.55% identity in 74 aa overlap); Q9X153|TM1330 from Thermotoga maritima (111 aa), FASTA scores: opt: 115, E(): 0.91, (40.35% identity in 57 aa overlap); P95258|Rv1956|MTCY09F9.08c (alias AAK46277 putative DNA-binding protein from strain CDC1551) (149 aa), FASTA scores: opt: 116, E(): 1, (42.25% identity in 71 aa overlap). Also similar to O53467|Rv2021c|MTV018.08c from Mycobacterium tuberculosis (101 aa), FASTA scores: opt: 214, E(): 5.8e-07, (43.0% identity in 107 aa overlap). Contains probable helix-turn-helix motif from aa 51 to 72 (Score 1803, +5.33 SD). This region is a possible MT-complex-specific genomic island (See Becq et al., 2007).</t>
  </si>
  <si>
    <t>Rv3184</t>
  </si>
  <si>
    <t>Involved in the transposition in the insertion sequence IS6110.</t>
  </si>
  <si>
    <t>Rv3184, (MTV014.28), len: 108 aa. Putative Transposase for IS6110 (fragment). Identical to many other M. tuberculosis IS6110 transposase subunits. The transposase described here may be made by a frame shifting mechanism during translation that fuses Rv3184 and Rv3185, the sequence UUUUAAAG (directly upstream of Rv3185) maybe responsible for such a frameshifting event (see McAdam et al., 1990). This region is a possible MT-complex-specific genomic island (See Becq et al., 2007).</t>
  </si>
  <si>
    <t>Rv3185</t>
  </si>
  <si>
    <t>Rv3185, (MTV014.29), len: 328 aa. Probable IS6110 transposase. Identical to many other M. tuberculosis IS6110 transposase subunits. The transposase described here may be made by a frame shifting mechanism during translation that fuses Rv3184 and Rv3185, the sequence UUUUAAAG (directly upstream of Rv3185) maybe responsible for such a frameshifting event (see McAdam et al., 1990). Start changed since first submission (+ 16 aa). This region is a possible MT-complex-specific genomic island (See Becq et al., 2007).</t>
  </si>
  <si>
    <t>Rv3186</t>
  </si>
  <si>
    <t>Involved in the transposition of the insertion sequence IS6110.</t>
  </si>
  <si>
    <t>Rv3186, (MTV014.30), len: 108 aa. Putative Transposase for IS6110 (fragment). Identical to many other M. tuberculosis IS6110 transposase subunits. The transposase described here may be made by a frame shifting mechanism during translation that fuses Rv3186 and Rv3187, the sequence UUUUAAAG (directly upstream of Rv3187) maybe responsible for such a frameshifting event (see McAdam et al., 1990). This region is a possible MT-complex-specific genomic island (See Becq et al., 2007).</t>
  </si>
  <si>
    <t>Rv3187</t>
  </si>
  <si>
    <t>Rv3187, (MTV014.31), len: 328 aa. Probable IS6110 transposase. Identical to many other M. tuberculosis IS6110 transposase subunits. The transposase described here may be made by a frame shifting mechanism during translation that fuses Rv3186 and Rv3187, the sequence UUUUAAAG (directly upstream of Rv3187) maybe responsible for such a frameshifting event (see McAdam et al., 1990). Start changed since first submission (+ 16 aa). This region is a possible MT-complex-specific genomic island (See Becq et al., 2007).</t>
  </si>
  <si>
    <t>Rv3188</t>
  </si>
  <si>
    <t>Rv3188, (MTV014.32), len: 115 aa. Conserved hypothetical protein, with similarity to other proteins from Mycobacterium tuberculosis: Q10868|YJ90_MYCTU|Rv1990c|MT2044|MTCY39.29 hypothetical protein (113 aa), FASTA scores: opt: 184, E(): 8.1e-06, (28.45% identity in 109 aa overlap); and O06299|Rv0348|MTCY13E10.08 hypothetical protein (217 aa), FASTA scores: opt: 129, E(): 0.074, (30.0% identity in 100 aa overlap). Also some similarity with C-terminus of Q9XA59|SCGD3.19 putative two-component system response transcriptional regulator from Streptomyces coelicolor (218 aa), FASTA scores: opt: 114, E(): 0.76, (30.0% identity in 110 aa overlap) (for this one, no similarity exists in the N-terminal region with the N-terminus of other regulatory components of sensory transduction systems). This region is a possible MT-complex-specific genomic island (See Becq et al., 2007).</t>
  </si>
  <si>
    <t>Rv3189</t>
  </si>
  <si>
    <t>Rv3189, (MTV014.33), len: 206 aa. Conserved hypothetical protein, weakly similar to other proteins from Mycobacterium tuberculosis e.g. O86329|MBTE|Rv2380c|MTCY22H8.05 (1682 aa), FASTA scores: opt: 135, E(): 0.79, (27.8% identity in 187 aa overlap); and Q10869|YJ89_MYCTU|Rv1989c|MT2043MTCY39.30 (186 aa), FASTA scores: opt: 122, E(): 0.85, (32.25% identity in 93 aa overlap). This region is a possible MT-complex-specific genomic island (See Becq et al., 2007).</t>
  </si>
  <si>
    <t>Rv3190A</t>
  </si>
  <si>
    <t>Rv3190A, len: 69 aa. Conserved protein.</t>
  </si>
  <si>
    <t>Rv3190c, (MTV014.34c), len: 421 aa. Hypothetical unknown protein. This region is a possible MT-complex-specific genomic island (See Becq et al., 2007).</t>
  </si>
  <si>
    <t>Involved in the transposition of an insertion sequence.</t>
  </si>
  <si>
    <t>Rv3191c, (MTV014.35c), len: 344 aa. Probable transposase, similar to many especially Q9K2N8 putative transposase from Pseudomonas aeruginosa (338 aa), FASTA scores: opt: 837, E(): 1.3e-43, (42.55% identity in 336 aa overlap); Q9RBF4 insertion sequence IS1088 from Alcaligenes eutrophus (Ralstonia eutropha) (342 aa), FASTA scores: opt: 823, E(): 9.2e-43, (43.05% identity in 337 aa overlap); and Q51379 putative transposase from Pseudomonas alcaligenes (338 aa), FASTA scores: opt: 818, E(): 1.8e-42, (42.35% identity in 333 aa overlap). Contains probable helix-turn-helix motif from aa 25 to 46 (Score 1968, +5.89 SD). This region is a possible MT-complex-specific genomic island (See Becq et al., 2007).</t>
  </si>
  <si>
    <t>Rv3192</t>
  </si>
  <si>
    <t>Conserved hypothetical alanine and proline-rich protein</t>
  </si>
  <si>
    <t>Rv3192, (MTV014.36), len: 153 aa. Conserved hypothetical ala- and pro-rich protein, with weak similarity to N-terminal half of several proteins e.g. Q11030|YD60_MYCTU|Rv1360|MT1405|MTCY02B10.24 hypothetical 37.3 KDA protein from Mycobacterium tuberculosis (340 aa), FASTA scores: opt: 245, E(): 3.7e-08, (33.1% identity in 157 aa overlap); O30260|AF2411 conserved hypothetical protein from Archaeoglobus fulgidus (363 aa), FASTA scores: opt: 144, E(): 0.072, (32.6% identity in 92 aa overlap); Q9ZA30|GRA-ORF29 putative FMN-dependent monooxygenase from Streptomyces violaceoruber (343 aa), FASTA scores: opt: 133, E(): 0.33, (25.15% identity in 159 aa overlap).</t>
  </si>
  <si>
    <t>Rv3193c, (MTV014.37c), len: 992 aa. Probable conserved transmembrane protein, with hydrophobic N-terminal domain (~1-340 aa), highly similar to Q9CCM6|ML0644 putative integral membrane protein from Mycobacterium leprae (983 aa), FASTA scores: opt: 5421, E(): 0, (86.15% identity in 989 aa overlap); and O53609|Rv0064|MTV030.07 putative membrane protein from Mycobacterium tuberculosis strain H37Rv (979 aa), FASTA scores: opt: 3204, E(): 2.1e-142, (50.25% identity in 985 aa overlap). C-terminal part (709-990 aa) highly similar to O32904|MLCB1779.46 hypothetical 29.1 KDA protein from Mycobacterium leprae (277 aa), FASTA scores: opt: 1521, E(): 3.4e-64, (82.6% identity in 282 aa overlap). Also some similarity to hypothetical proteins generally transmembrane e.g. Q9FCI4|2SC3B6.28 from Streptomyces coelicolor (815 aa), FASTA scores: opt: 951, E(): 3.4e-37, (39.2% identity in 826 aa overlap); P72637|SLL1060 from Synechocystis sp. strain PCC 6803 (1032 aa), FASTA scores: opt: 938, E(): 1.6e-36, (29.95% identity in 855 aa overlap); O28851|AF1421 from Archaeoglobus fulgidus (880 aa), FASTA scores: opt: 526, E(): 2.6e-17, (28.05% identity in 970 aa overlap); etc.</t>
  </si>
  <si>
    <t>Rv3194c, (MTV014.38c), len: 340 aa. Possible conserved secreted protein (N-terminal stretch hydrophobic), equivalent to Q9CCM7|ML0643 putative secreted protein from Mycobacterium leprae (340 aa), FASTA scores: opt: 1822, E(): 1.6e-102, (80.3% identity in 340 aa overlap). Also similar to other proteins e.g. Q9FCI6|2SC3B6.26 putative secreted protein from Streptomyces coelicolor (364 aa), FASTA scores: opt: 430, E(): 1.1e-18, (40.95% identity in 359 aa overlap); Q9S3Y5|SDRC SDRC protein from Streptomyces coelicolor (241 aa), FASTA scores: opt: 396, E(): 8.9e-17, (35.2% identity in 318 aa overlap) (similarity in part for this one); O34470|YLBL YLBL protein from Bacillus subtilis (350 aa), FASTA scores: opt: 385, E(): 5.6e-16, (27.7% identity in 350 aa overlap); etc.</t>
  </si>
  <si>
    <t>Rv3195, (MTV014.39), len: 472 aa. Hypothetical protein, equivalent to Q49746|ML0642|B1937_C3_231 hypothetical 50.3 KDA protein from Mycobacterium leprae (479 aa), FASTA scores: opt: 2503, E(): 1e-138, (79.35% identity in 475 aa overlap). Similar in part to Q9FCI9|2SC3B6.23c conserved hypothetical protein from Streptomyces coelicolor (487 aa), FASTA scores: opt: 1382, E(): 2.7e-73, (46.4% identity in 489 aa overlap); Q9X8I7|SCE9.14 hypothetical 41.2 KDA protein from Streptomyces coelicolor (375 aa), FASTA scores: opt: 319, E(): 2.4e-11, (25.6% identity in 383 aa overlap); etc.</t>
  </si>
  <si>
    <t>Rv3196, (MTV014.40), len: 299 aa. Hypothetical protein, with some similarity to other hypothetical proteins e.g. Q9FCJ5|2SC3B6.17c putative secreted protein from Streptomyces coelicolor (442 aa), FASTA scores: opt: 233, E(): 3.5e-07, (29.9% identity in 261 aa overlap). Predicted to be an outer membrane protein (See Song et al., 2008).</t>
  </si>
  <si>
    <t>Rv3196A</t>
  </si>
  <si>
    <t>Rv3196A, len: 66 aa. Unknown protein.</t>
  </si>
  <si>
    <t>Rv3197, (MTV014.41), len: 447 aa. Probable conserved ATP-binding protein ABC transporter, highly similar to Mycobacterium leprae proteins: Q9CCM8|ML0640 hypothetical protein (473 aa), FASTA scores: opt: 2512, E(): 2.1e-140, (83.0% identity in 447 aa overlap). Interestingly, the N-terminal half (1-219 aa) corresponds to Q49747|ABC1|B1937_C3_233 ABC1 protein from Mycobacterium leprae (267 aa), FASTA scores: opt: 1276, E(): 6.3e-68, (88.6% identity in 219 aa overlap); and the C-terminal half (239-447 aa) corresponds to Q49745|B1937_C2_179 hypothetical 23.1 KDA protein (206 aa), FASTA scores: opt: 1138, E(): 6.5e-60, (77.05% identity in 209 aa overlap); two adjacent orfs from Mycobacterium leprae. Also highly similar to other proteins (generally ABC transporters) e.g. Q9FCJ6|2SC3B6.16c hypothetical 51.3 KDA protein from Streptomyces coelicolor (469 aa), FASTA scores: opt: 1340, E(): 1.8e-71, (45.9% identity in 449 aa overlap); O65576|ABC1AT ABC1 protein (alias Q9SBB2|T15B16.14|AT4G01660 putative ABC transporter) from Arabidopsis thaliana (Mouse-ear cress) (623 aa), FASTA scores: opt: 543, E(): 1.7e-24, (28.4% identity in 405 aa overlap); O27682|MTH1645 ABC transporter from Methanobacterium thermoautotrophicum (623 aa), FASTA scores: opt: 497, E(): 7.8e-22, (33.0% identity in 309 aa overlap); etc. Contains PS00017 ATP/GTP-binding site motif A (P-loop). Belongs to the ATP-binding transport protein family (ABC transporters).</t>
  </si>
  <si>
    <t>Probable transcriptional regulatory protein WhiB-like WhiB7</t>
  </si>
  <si>
    <t>Rv3197A, len: 92 aa. Probable whiB7 (alternate gene name: whmC), WhiB-like regulatory protein (see citation below), similar to WhiB paralogue of Streptomyces coelicolor, wblE gene product (85 aa). Equivalent to Q49765|WHIB7|ML0639|B1937_F2_68 putative transcriptional regulator WHIB7 from Mycobacterium leprae (89 aa), FASTA scores: opt: 441, E(): 6.3e-24, (69.3% identity in 88 aa overlap). Similar to Q9FCJ8|2SC3B6.14 putative DNA-binding protein from Streptomyces coelicolor (122 aa), FASTA scores: opt: 348, E(): 2.2e-17, (57.7% identity in 78 aa overlap); Q9AD55|SCP1.95 putative regulatory protein from Streptomyces coelicolor (102 aa), FASTA scores: opt: 166, E(): 7.1e-05, (39.4% identity in 76 aa overlap); etc.</t>
  </si>
  <si>
    <t>Possible glutaredoxin protein</t>
  </si>
  <si>
    <t>Rv3198A, len: 84 aa. Possible glutaredoxin protein , highly similar to Q9FCK1|2SC3B6.11c putative glutaredoxin-like protein from Streptomyces coelicolor (80 aa), FASTA scores: opt: 293, E(): 2.2e-14, (55.15% identity in 78 aa overlap); and Q9RSN9|DR2085 putative glutaredoxin from Deinococcus radiodurans (81 aa), FASTA scores: opt: 198, E(): 1.2e-07, (53.55% identity in 56 aa overlap). Also similar to several hypothetical bacterial proteins e.g. Q9X8C2|SCE36.09 hypothetical 13.0 KDA protein from Streptomyces coelicolor (114 aa), FASTA scores: opt: 181, E(): 2.6e-06, (44.45% identity in 72 aa overlap).</t>
  </si>
  <si>
    <t>uvrD2</t>
  </si>
  <si>
    <t>Involved in nucleotide excision repair. Has both ATPase and helicase activities. Unwinds DNA duplexes with 3' to 5' polarity with respect to the bound strand and initiates unwinding most effectively when a single-stranded region is present. Involved in the postincision events of nucleotide excision repair and methyl-directed mismatch repair.</t>
  </si>
  <si>
    <t>Probable ATP-dependent DNA helicase II UvrD2</t>
  </si>
  <si>
    <t>Rv3198c, (MTV014.42c), len: 700 aa. Probable UvrD2, ATP dependent DNA helicase II (see citation below), equivalent to P53528|UVRD_MYCLE|VRD|UVRD2|ML0637|B1937_F1_27 probable DNA helicase II homolog from Mycobacterium leprae (717 aa), FASTA scores: opt: 3749, E(): 0, (82.85% identity in 706 aa overlap); and C-terminal half (466-700 aa) corresponds to Q49764|RECQ|B1937_F2_66 putative DNA helicase RECQ (242 aa), FASTA scores: opt: 1267, E(): 1.4e-69, (82.5% identity in 234 aa overlap); products of two adjacent ORFS in Mycobacterium leprae. Also similar to other DNA helicases e.g. Q9FCK0|2SC3B6.12 from Streptomyces coelicolor (785 aa), FASTA scores: opt: 1687, E(): 1.2e-94, (52.05% identity in 728 aa overlap); P71561|CRA|IVRD|Rv0949|MT0976|MTCY10D7.25c ATP-dependent DNA helicase PCRA from Mycobacterium tuberculosis (771 aa), FASTA scores: opt: 715, E(): 1e-35, (34.1% identity in 710 aa overlap); Q9CD72|PCRA_MYCLE|UVRD|ML0153 ATP-dependent DNA helicase PCRA from Mycobacterium leprae (778 aa), FASTA scores: opt: 687, E(): 5.1e-34, (32.0% identity in 719 aa overlap); O83991|TP1028 DNA helicase II (UVRD) from Treponema pallidum (670 aa), FASTA scores: opt: 652, E(): 6e-32, (30.25% identity in 671 aa overlap); etc. Contains PS00017 ATP/GTP-binding site motif A (P-loop). Belongs to the UVRD subfamily of helicases.</t>
  </si>
  <si>
    <t>Involved in nicotinate and nicotinamide metabolism. Generates AMP and NMN from NAD(+) and H(2)O. Acting on acid anhydrides, in phosphorus-containing anhydrides. Also acts on NADP+, 3-acetylpyridine and the thionicotinamide analogues of NAD+ and NADP+ [catalytic activity: NADH + H(2)O = AMP + NMNH].</t>
  </si>
  <si>
    <t>Probable NADH pyrophosphatase NudC (NAD+ diphosphatase) (NAD+ pyrophosphatase) (NADP pyrophosphatase)</t>
  </si>
  <si>
    <t>Rv3199c, (MTV014.43)c, len: 313 aa. Probable nudC, NADH pyrophosphatase, similar in particular to Q9CXN4|4933433B15RIK from Mus musculus (Mouse) (356 aa), FASTA scores: opt: 493, E(): 7.4e-24, (39.65% identity in 232 aa overlap); Q9ABG1|CC0266 mutt/NUDIX family protein from Caulobacter crescentus (313 aa), FASTA scores: opt: 479, E(): 5.1e-23, (38.3% identity in 222 aa overlap); O86062|NUDC_PSEAE|NUDC|PA1823 NADH pyrophosphatase from Pseudomonas aeruginosa (278 aa), FASTA scores: opt: 371,2 E(): 3e-16, (43.15% identity in 153 aa overlap); Q9RV62|NUDC_DEIRA|NUDC|DR1168 NADH pyrophosphatase from Deinococcus radiodurans (280 aa), FASTA scores: opt: 363, E(): 9.6e-16, (34.45% identity in 270 aa overlap); etc. Caution: equivalent to AAK47636 from Mycobacterium tuberculosis strain CDC1551 (386 aa) but shorter 72 aa. Contains PS00893 mutT domain signature. Belongs to the NUDIX hydrolase family, NUDC subfamily. Cofactor: requires divalent ions: manganese or magnesium.</t>
  </si>
  <si>
    <t>Thought to be involved in cation transport across the membrane.</t>
  </si>
  <si>
    <t>Possible transmembrane cation transporter</t>
  </si>
  <si>
    <t>Rv3200c, (MTV014.44c), len: 355 aa. Possible transmembrane cation transporter, similar to many transmembrane proteins and putative potassium channels e.g. Q9XA52|SCGD3.27C putative membrane protein from Streptomyces coelicolor (365 aa), FASTA scores: opt: 1022, E(): 2.6e-53, (49.85% identity in 325 aa overlap); Q9RRZ3|DR2336 putative potassium channel from Deinococcus radiodurans (320 aa), FASTA scores: opt: 436, E(): 1e-18, (30.9% identity in 304 aa overlap); O28600|AF1673 putative potassium channel from Archaeoglobus fulgidus (314 aa), FASTA scores: opt: 363, E(): 2.1e-14, (27.2% identity in 309 aa overlap); Q57604|Y13B_METJAMJ0138.1|MJ0138.1 putative potassium channel from Methanococcus jannaschii (333 aa), FASTA scores: opt: 356, E(): 5.7e-14, (26.0% identity in 281 aa overlap); P73132|SLL0993 potassium channel from Synechocystis sp. strain PCC 6803 (365 aa), FASTA scores: opt: 330, E(): 2.1e-12, (27.8% identity in 324 aa overlap); etc. Contains PS00017 ATP/GTP-binding site motif A (P-loop).</t>
  </si>
  <si>
    <t>Has both ATPase and helicase activities</t>
  </si>
  <si>
    <t>Probable ATP-dependent DNA helicase</t>
  </si>
  <si>
    <t>Rv3201c, (MTV014.45c), len: 1101 aa. Probable ATP-dependent DNA helicase, similar to others e.g. Q9FCK4|2SC3B6.08 from Streptomyces coelicolor (1222 aa), FASTA scores: opt: 1209, E(): 5.4e-63, (38.45% identity in 1199 aa overlap); P71561|PCRA_MYCTU|CRA|IVRD|Rv0949|MT0976|MTCY10D7.25c from Mycobacterium tuberculosis (771 aa), FASTA scores: opt: 403, E(): 6.5e-16, (28.15% identity in 717 aa overlap); Q9FCK5|2SC3B6.07 from Streptomyces coelicolor (1159 aa), FASTA scores: opt: 349, E(): 1.3e-12, (29.2% identity in 1144 aa overlap); Q9L3M1|UVRD from Prochlorococcus sp. (512 aa; fragment), FASTA scores: opt: 290, E(): 2e-09, (27.95% identity in 479 aa overlap); etc. Contains PS00017 ATP/GTP-binding site motif A (P-loop).</t>
  </si>
  <si>
    <t>Possible ATP-dependent DNA helicase</t>
  </si>
  <si>
    <t>Rv3202c, (MTCY07D11.24, MTV014.46c), len: 1055 aa. Possible ATP-dependent DNA helicase, showing some similarity to UvrD proteins e.g. Q9FCK5|2SC3B6.07 putative ATP-dependent DNA helicase from Streptomyces coelicolor (1159 aa), FASTA scores: opt: 666, E(): 1e-29, (34.5% identity in 1154 aa overlap); Q9L7T3|UVRD|PA5443 mismatch repair protein MUTU (DNA helicase II) from Pseudomonas aeruginosa (728 aa), FASTA scores: opt: 239, E(): 7.3e-06, (23.8% identity in 677 aa overlap) (no similarity in C-terminal part for this one); etc. C-terminal region similar to Q9FDU2|ORF3 ORF3 protein (fragment) from Streptomyces griseus (551 aa), FASTA scores: opt: 800, E(): 1.7e-37, (36.2% identity in 525 aa overlap); and Q9ZG15 hypothetical 35.5 KDA protein from Rhodococcus erythropolis (323 aa), FASTA scores: opt: 232, E(): 9.7e-06, (28.55% identity in 266 aa overlap).</t>
  </si>
  <si>
    <t>Function unknown; presumed lipolytic enzyme involved in cellular metabolism.</t>
  </si>
  <si>
    <t>Possible lipase LipV</t>
  </si>
  <si>
    <t>Rv3203, (MTCY07D11.23c), len: 224 aa. Possible lipV, hydrolase lipase, showing some similarity to other lipases e.g. Q9JSN0|NMA2216 putative hydrolase from Neisseria meningitidis (serogroup A) (312 aa), FASTA scores: opt: 192, E(): 0.00016, (45.2% identity in 73 aa overlap); Q9RK95|SCF1.09 putative hydrolase from Streptomyces coelicolor (258 aa), FASTA scores: opt: 188, E(): 0.00024, (30.1% identity in 226 aa overlap); Q9KZC3|SC6F7.19c putative lipase from Streptomyces coelicolor (269 aa), FASTA scores: opt: 179, E(): 0.00086, (36.35% identity in 121 aa overlap); etc. Equivalent to AAK47641 Hydrolase, alpha/beta hydrolase family from Mycobacterium tuberculosis strain CDC1551 (261 aa) but shorter 37 aa. Contains serine active site signature of lipases (PS00120).</t>
  </si>
  <si>
    <t>Possible DNA-methyltransferase (modification methylase)</t>
  </si>
  <si>
    <t>Rv3204, (MTCY07D11.22c), len: 101 aa. Possible DNA methyltransferase, similar to many hypothetical bacteriel proteins and methyltransferases e.g. Q9KT40|VC1065 methylated-DNA--protein-cysteine methyltransferase-related protein from Vibrio cholerae (100 aa), FASTA scores: opt: 170, E(): 2.8e-05, (34.35% identity in 99 aa overlap); Q9UTN9|SPAC1250.04c putative methyltransferase from Schizosaccharomyces pombe (Fission yeast) (108 aa), FASTA scores: opt: 161, E(): 0.00013, (36.65% identity in 101 aa overlap); Q9YDF4|APE0959 175 AA long hypothetical methylated-DNA--protein-cysteine methyltransferase from Aeropyrum pernix (175 aa), FASTA scores: opt: 144, E(): 0.003, (37.95% identity in 87 aa overlap); Q50855 putative methylguanine-DNA methyltransferase from Myxococcus xanthus (147 aa), FASTA scores: opt: 141, E(): 0.0041, (37.65% identity in 93 aa overlap); etc.</t>
  </si>
  <si>
    <t>Rv3205c, (MTCY07D11.21), len: 292 aa. Conserved protein, highly similar to Q9CCG7|ML0818 hypothetical protein from Mycobacterium leprae (297 aa), FASTA scores: opt: 1745, E(): 9.1e-98, (87.3% identity in 291 aa overlap). A core mycobacterial gene; conserved in mycobacterial strains (See Marmiesse et al., 2004).</t>
  </si>
  <si>
    <t>Possibly involved in molybdopterin metabolism (synthesis)</t>
  </si>
  <si>
    <t>Probable molybdenum cofactor biosynthesis protein MoeB1 (MPT-synthase sulfurylase) (molybdopterin synthase sulphurylase)</t>
  </si>
  <si>
    <t>Rv3206c, (MTCY07D11.20), len: 392 aa. Probable moeB1, molybdopterin cofactor biosynthesis protein, equivalent to Q9CCG8|MOEZ|ML0817 protein probably involved in molybdopterin biosynthesis from Mycobacterium leprae (395 aa), FASTA scores: opt: 2285, E(): 3.3e-130, (86.45% identity in 391 aa overlap.) Very similar to members of the HESA/MOEB/THIF family e.g. Q9FCL0|2SC3B6.02 putative sulfurylase from Streptomyces coelicolor (392 aa), FASTA scores: opt: 1776, E(): 1.4e-99, (65.3% identity in 395 aa overlap); Q9XC37|PDTORFF MOEB-like protein (putative sulfurylase) from Pseudomonas stutzeri (Pseudomonas perfectomarina) (391 aa), FASTA scores: opt: 1526, E(): 1.5e-84, (59.1% identity in 391 aa overlap); O54307|MPT|MOEB MPT-synthase sulfurylase from Synechococcus sp. strain PCC 7942 (Anacystis nidulans R2) (391 aa), FASTA scores: opt: 1309, E(): 1.8e-71, (52.95% identity in 387 aa overlap); P74344|MOEB|SLL1536 molybdopterin biosynthesis MOEB protein from Synechocystis sp. strain PCC 6803 (392 aa), FASTA scores: opt: 1308, E(): 2e-71, (50.65% identity in 397 aa overlap); etc. Also highly similar to O05792|MOEB2|Rv3116|MTCY164.26 putative molybdenum cofactor biosynthesis protein from Mycobacterium tuberculosis (389 aa), FASTA scores: opt: 1440, E(): 2.3e-79, (57.25% identity in 386 aa overlap). Has hydrophobic segment from ~45-71. Belongs to the HesA/MoeB/ThiF FAMILY. Note that previously known as moeZ. Thought to be differentially expressed within host cells (see citation below).</t>
  </si>
  <si>
    <t>Rv3207c, (MTCY07D11.19), len: 285 aa. Conserved protein, highly similar but shorter (57 aa) to Q9CCG9|ML0816 hypothetical protein from Mycobacterium leprae (341 aa), FASTA scores: opt: 1676, E(): 9.7e-96, (81.0% identity in 284 aa overlap). Also similar to C-terminus of Q9FBI6|SCP8.36 hypothetical protein from Streptomyces coelicolor (559 aa), FASTA scores: opt: 426, E(): 8.4e-19, (37.35% identity in 281 aa overlap); and similar to other hypothetical proteins (generally membrane proteins) e.g. Q9K456|SC2H12.28C putative membrane protein from Streptomyces coelicolor (314 aa), FASTA scores: opt: 341, E(): 8.8e-14, (29.75% identity in 296 aa overlap). Contains neutral zinc metallopeptidases, zinc-binding region signature (PS00142).</t>
  </si>
  <si>
    <t>Rv3208, (MTCY07D11.18c), len: 228 aa. Probable transcriptional regulator, TetR family, equivalent to Q9CCH0|ML0815 putative TetR-family transcriptional regulator from Mycobacterium leprae (228 aa), FASTA scores: opt: 1248, E(): 1.4e-74, (82.4% identity in 227 aa overlap). Also highly similar to Q9FBI8|SCP8.33c putative TetR-family transcriptional regulator from Streptomyces coelicolor (213 aa), FASTA scores: opt: 629, E(): 4e-34, (45.8% identity in 203 aa overlap); Q9KIL9|F58R F58R (fragment) from Streptomyces coelicolor A3(2) (149 aa), FASTA scores: opt: 497, E(): 1.3e-25, (50.35% identity in 147 aa overlap); Q9K3T5|SCE66.08 putative TetR-family transcriptional regulator from Streptomyces coelicolor (225 aa), FASTA scores: opt: 344, E(): 1.8e-15, (31.15% identity in 212 aa overlap); Q9RYK4|DRA0308 transcriptional regulator, TetR family from Deinococcus radiodurans (239 aa), FASTA scores: opt: 290, E(): 6.5e-12, (30.5% identity in 223 aa overlap); etc. And also similar to Mycobacterium tuberculosis proteins P96381|Rv1019|MTCY10G2.30c hypothetical 21.7 KDA protein (197 aa), FASTA scores: opt: 356, E(): 2.7e-16, (34.4% identity in 189 aa overlap); MTV034_4; MTY07A7A_3; MTV032_1; MTCY07A7_12; etc. Contains probable helix-turn-helix motif at aa 60-81 (Score 1517, +4.35 SD). Similar to the TetR/AcrR family of transcriptional regulators.</t>
  </si>
  <si>
    <t>Conserved protein TB9.4</t>
  </si>
  <si>
    <t>Rv3208A, len: 90 aa. TB9.4, conserved protein (see citations below), equivalent to Q9CCH1|ML0814 hypothetical protein from Mycobacterium leprae (82 aa), FASTA scores: opt: 411, E(): 1.8e-22, (81.0% identity in 79 aa overlap). Also similar, but shorter in N-terminus, to Q9FBI9|SCP8.32c putative ATP-binding protein from Streptomyces coelicolor (94 aa), FASTA scores: opt: 246, E(): 8.1e-11, (53.4% identity in 73 aa overlap); Q9DGP6 (alias Q9DGP4) glutamate decarboxylase 67 KDA isoform (fragment) from Alepocephalus bairdii (182 aa), FASTA scores: opt: 100, E(): 2.6, (35.3% identity in 85 aa overlap). Corresponds to Statens Serum Institute antigen, CYP10 TB9.4. Has N-terminal sequence, vevkigitdsprelv.</t>
  </si>
  <si>
    <t>Conserved hypothetical threonine and proline rich protein</t>
  </si>
  <si>
    <t>Rv3209, (MTCY07D11.17c), len: 186 aa. Conserved hypothetical thr-, pro-rich protein, equivalent (but shorter 36 aa in N-terminus) to Q9CCH2|ML0813 putative membrane protein from Mycobacterium leprae (195 aa), FASTA scores: opt: 508, E(): 1.4e-15, (58.4% identity in 185 aa overlap). Also some similarity with Q10390|MMS3_MYCTU|MMPS3|Rv2198c|MT2254|MTCY190.09c probable conserved transmembrane transport protein from M. tuberculosis (299 aa), FASTA scores: opt: 339, E(): 3.7e-08, (35.0% identity in 180 aa overlap); and Q9CCE9|MMPS3|ML0877 putative membrane protein from Mycobacterium leprae (293 aa), FASTA scores: opt: 272, E(): 2.8e-05, (36.4% identity in 173 aa overlap). A core mycobacterial gene; conserved in mycobacterial strains (See Marmiesse et al., 2004). Predicted to be an outer membrane protein (See Song et al., 2008).</t>
  </si>
  <si>
    <t>Rv3210c, (MTCY07D11.16), len: 231 aa. Conserved protein, similar (but N-terminus shorter) to Q9FBJ1|SCP8.30 conserved hypothetical protein from Streptomyces coelicolor (260 aa), FASTA scores: opt: 599, E(): 1.1e-30, (42.5% identity in 233 aa overlap); and some similarity to Q9RRV1|DR2384 phenylacetic acid degradation protein PAAC from Deinococcus radiodurans (263 aa), FASTA scores: opt: 129, E(): 0.43, (27.9% identity in 172 aa overlap); and Q9F621 FLGK protein from Rhizobium meliloti (Sinorhizobium meliloti) (472 aa).</t>
  </si>
  <si>
    <t>Probable ATP-dependent RNA helicase RhlE</t>
  </si>
  <si>
    <t>Rv3211, (MTCY07D11.15c), len: 527 aa. Probable rhlE, ATP-dependent RNA helicase, equivalent (but shorter 22 aa) to Q9CCH3|RHLE|ML0811 putative ATP-dependent RNA helicase from Mycobacterium leprae (544 aa), FASTA scores: opt: 2497, E(): 8.7e-131, (74.75% identity in 531 aa overlap). Also highly similar to other RNA helicases e.g. Q9FBJ2|SCP8.29c from Streptomyces coelicolor (879 aa), FASTA scores: opt: 1458, E(): 3.6e-73, (52.5% identity in 522 aa overlap); Q9DF36 from Xenopus laevis (African clawed frog) (800 aa), FASTA scores: opt: 792, E(): 2.3e-36, (37.15% identity in 385 aa overlap); Q99Z38|dead|SPY1415 from Streptococcus pyogenes (759 aa), FASTA scores: opt: 779, E(): 1.1e-35, (37.1% identity in 380 aa overlap); P33906|dead|CSDA from Klebsiella pneumoniae (642 aa), FASTA scores: opt: 768, E(): 4e-35, (43.4% identity in 387 aa overlap); etc. Contains ATP/GTP-binding site motif A (PS00017) and dead-box subfamily ATP-dependent helicases signature (PS00039). Similar to dead/DEAH box helicase family and similar to helicase C-terminal domain.</t>
  </si>
  <si>
    <t>Conserved alanine valine rich protein</t>
  </si>
  <si>
    <t>Rv3212, (MTCY07D11.14c), len: 407 aa. Conserved ala-, val-rich protein, equivalent to Q9CCH4|ML0810 putative membrane protein from Mycobacterium leprae (407 aa), FASTA scores: opt: 2158, E(): 5.3e-119, (79.85% identity in 407 aa overlap). Weak similarity to several eukaryotic transcription factors e.g. P08393|ICP0_HSV11|ICP0|IE110 trans-acting transcriptional protein from Herpes simplex virus (type 1 / strain 17) (775 aa), FASTA scores: opt: 115, E(): 2, (26.9% identity in 334 aa overlap). A core mycobacterial gene; conserved in mycobacterial strains (See Marmiesse et al., 2004). Predicted to be an outer membrane protein (See Song et al., 2008).</t>
  </si>
  <si>
    <t>Function unknown, but possibly involved in regulation of partitioning.</t>
  </si>
  <si>
    <t>Possible SOJ/para-related protein</t>
  </si>
  <si>
    <t>Rv3213c, (MTCY07D11.13), len: 266 aa. Possible soj/parA-related protein, very similar in particular to Soj/ParA proteins (and relatives) from Bacillus subtilis that inhibit the initiation of sporulation by preventing phosphorylation of Spo0A (see Quisel &amp; Grossman 2000) e.g. Q9S228|SCI51.12c from Streptomyces coelicolor (340 aa), FASTA scores: opt: 746, E(): 1.6e-40, (48.2% identity in 249 aa overlap); Q9HT11|SOJ|PA5563 from Pseudomonas aeruginosa (262 aa), FASTA scores: opt: 649, E(): 2.1e-34, (42.2% identity in 256 aa overlap); Q9PB62|XF2282 from Xylella fastidiosa (264 aa), FASTA scores: opt: 624, E(): 8.3e-33, (42.25% identity in 251 aa overlap); Q9K5N0|SOJ_BACHD|SOJ|BH4058 from Bacillus halodurans (253 aa), FASTA scores: opt: 621, E(): 1.2e-32, (41.55% identity in 248 aa overlap); P37522|SOJ_BACSU (253 aa), FASTA scores: opt: 620, E(): 1.4e-32, (41.65% identity in 245; etc. Also similar to various mycobacterial proteins: U00021_10 from Mycobacterium leprae, MTCI125_29 from Mycobacterium tuberculosis, MLCB1351_6 from Mycobacterium leprae, MTV028_9c|Rv3918c|para probable chromosome partitioning protein from Mycobacterium tuberculosis, MSGDNAB_18 from Mycobacterium leprae. Seems to belong to the para family.</t>
  </si>
  <si>
    <t>gpm2</t>
  </si>
  <si>
    <t>Possible phosphoglycerate mutase Gpm2 (phosphoglyceromutase) (PGAM) (BPG-dependent PGAM)</t>
  </si>
  <si>
    <t>Rv3214, (MTCY07D11.12c), len: 203 aa. Possible gpm2, phosphoglycerate mutase, similar to many mutases especially phosphoglycerate mutases e.g. Q9F3H5|2SCC13.14c putative mutase from Streptomyces coelicolor (198 aa), FASTA scores: opt: 487, E(): 4.4e-25, (42.25% identity in 194 aa overlap); BAB49378|MLL2186 probable phosphoglycerate mutase from Rhizobium loti (Mesorhizobium loti) (193 aa), FASTA scores: opt: 423, E(): 7e-21, (41.2% identity in 182 aa overlap); Q9RKV8|SC9G1.08c putative phosphatase from Streptomyces coelicolor (199 aa), FASTA scores: opt: 419, E(): 1.3e-20, (41.1% identity in 185 aa overlap); Q9RDL0|SCC123.14c putative phosphoglycerate mutase from Streptomyces coelicolor (223 aa), FASTA scores: opt: 240, E(): 8.8e-09, (36.9% identity in 168 aa overlap); Q9X194|TM1374 phosphoglycerate mutase from Thermotoga maritima (201 aa), FASTA scores: opt: 218, E(): 2.3e-07, (33.15% identity in 202 aa overlap); etc. But N-terminus also similar to Q9CCH5|ENTC|ML0808 putative isochorismate synthase from Mycobacterium leprae (577 aa), FASTA scores: opt: 346, E(): 2.1e-15, (55.05% identity in 109 aa overlap). N-terminus shows also some similarity with other M. tuberculosis proteins e.g. MTCY427.09c; MTCY20G9.15; MTCY428.28. Equivalent to AAK47652 from Mycobacterium tuberculosis strain CDC1551 (228 aa) but shorter 25 aa. Note that previously known as entD.</t>
  </si>
  <si>
    <t>entC</t>
  </si>
  <si>
    <t>Could be involved in enterobactin biosynthesis. Enterobactin is an iron-chelating compound involved in transporting iron from the bacterial environment into the cell cytoplasm. Could be also involved in 2,3-dihydroxybenzoate or enterochelin or menaquinone biosynthesis [catalytic activity: chorismate = isochorismate].</t>
  </si>
  <si>
    <t>Probable isochorismate synthase EntC (isochorismate hydroxymutase) (enterochelin biosynthesis)</t>
  </si>
  <si>
    <t>Rv3215, (MTCY07D11.11c), len: 372 aa. Probable entC, isochorismate synthase, equivalent to Q9CCH5|ENTC|ML0808 putative isochorismate synthase from Mycobacterium leprae (577 aa), FASTA scores: opt: 1817, E(): 5.5e-105, (73.5% identity in 366 aa overlap). Also similar to others e.g. Q9F639|MXCD protein involved in myxochelin-type iron chelator biosynthesis (see citation below) from Stigmatella aurantiaca (408 aa), FASTA scores: opt: 893, E(): 6.2e-48, (41.6% identity in 382 aa overlap); P45744|DHBC_BACSU isochorismate synthase from Bacillus subtilis (398 aa), FASTA scores: opt: 883, E(): 2.5e-47, (40.45% identity in 393 aa overlap); Q9KI93|CSBC isochorismate synthase (fragment) from Azotobacter vinelandii (361 aa), FASTA scores: opt: 794, E(): 7.6e-42, (45.65% identity in 298 aa overlap); and the two Escherichia coli proteins AAG54928|ENTC (alias BAB34055|ECS0632) isochorismate hydroxymutase 2 from Escherichia coli strain O157:H7 (391 aa), FASTA scores: opt: 744, E(): 1e-38, (38.8% identity in 340 aa overlap); P10377|ENTC|B0593 isochorismate synthase from Escherichia coli strain K12 (391 aa), FASTA scores: opt: 744, E(): 1e-38, (38.8% identity in 340 aa overlap); etc. Stronger similarity to Escherichia coli entC. Also similar to MTCY253.35.</t>
  </si>
  <si>
    <t>GCN5-related N-acetyltransferase, pseudogene</t>
  </si>
  <si>
    <t>Rv3216, (MTCY07D11.10c), len: 160 aa. Acetyltransferase (2.3.1.-), contains GNAT domain (Gcn5-related N-acetyltransferase. See Vetting et al. 2005), probably pseudogene as appears frameshifted due to 1bp insertion at position 3593438. Frameshift present in all sequenced tubercle bacilli. Start changed since first submission, extended by 50aa. Similar to many acetyltransferases e.g. Q9AB32|CC0402 acetyltransferase (GNAT family) from Caulobacter crescentus (159 aa), FASTA scores: opt: 325, E(): 3.8e-17, (45.65% identity in 103 aa overlap); P79081|ATS1 putative acetyltransferase ATS1 from Schizosaccharomyces pombe (Fission yeast) (168 aa), FASTA scores: opt: 313, E(): 3.1e-16, (47.6% identity in 105 aa overlap).</t>
  </si>
  <si>
    <t>Rv3217c, (MTCY07D11.09), len: 143 aa. Probable conserved integral membrane protein, equivalent (highly similar but shorter 30 aa) to Q9CCH6|ML0806 putative membrane protein from Mycobacterium leprae (173 aa). Also similar to others e.g. Q9F3L9|2SC7G11.04 putative integral membrane protein from Streptomyces coelicolor (152 aa), FASTA scores: opt: 177, E(): 0.00024, (33.8% identity in 136 aa overlap). And shows similarity to O34238|MVIN|VC0680 virulence factor MVIN homolog from Vibrio (525 aa), FASTA scores: opt: 126, E(): 0.97, (30.9% identity in 68 aa overlap). First GTG taken. A core mycobacterial gene; conserved in mycobacterial strains (See Marmiesse et al., 2004).</t>
  </si>
  <si>
    <t>Rv3218, (MTCY07D11.08c), len: 321 aa. Conserved protein, similar to several hypothetical bacterial proteins e.g. Q9F3M0|2SC7G11.03c from Streptomyces coelicolor (322 aa), FASTA scores: opt: 694, E(): 4.2e-35, (39.95% identity in 328 aa overlap); Q9A0J4|SPY0752 from Streptomyces pyogenes (340 aa), FASTA scores: opt: 187, E(): 0.00033, (30.5% identity in 141 aa overlap); O31502|YERQ from Bacillus subtilis (303 aa), FASTA scores: opt: 184, E(): 0.00045, (34.15% identity in 126 aa overlap); etc.</t>
  </si>
  <si>
    <t>Transcriptional regulatory protein WhiB-like WhiB1. Contains [4FE-4S]2+ cluster.</t>
  </si>
  <si>
    <t>Rv3219, (MTCY07D11.07c), len: 84 aa. WhiB1 (alternate gene name: whmE), WhiB-like regulatory protein (see Hutter and Dick, 1999), similar to WhiB paralogue of Streptomyces coelicolor. Equivalent to Q9CCH7|WHIB1|ML0804 putative transcriptional regulator from Mycobacterium leprae (84 aa), FASTA scores: opt: 580, E(): 3.5e-35, (95.25% identity in 84 aa overlap). Highly similar to several e.g. Q9X952|WBLE developmental regulatory protein WhiB-paralog from Streptomyces coelicolor (85 aa), FASTA scores: opt: 477, E(): 9.2e-28, (75.3% identity in 81 aa overlap); Q9AD55|SCP1.95 putative regulatory protein from Streptomyces coelicolor (102 aa), FASTA scores: opt: 383, E(): 6.1e-21, (60.75% identity in 79 aa overlap); Q9K4K8|SC5F8.16c from Streptomyces coelicolor (83 aa), FASTA scores: opt: 346, E(): 2.5e-18, (54.75% identity in 84 aa overlap); etc.</t>
  </si>
  <si>
    <t>Probable two component sensor kinase</t>
  </si>
  <si>
    <t>Rv3220c, (MTCY07D11.06), len: 501 aa. Probable sensor (probably histidine kinase), equivalent to Q9CCH8|ML0803 putative two-component system sensor kinase from Mycobacterium leprae (500 aa). Similar to others e.g. Q9F3M1|2SC7G11.01 putative histidine kinase (fragment) from Streptomyces coelicolor (372 aa), FASTA scores: opt: 1038, E(): 7.4e-56, (48.95% identity in 380 aa overlap); Q9A3K5|CC3198 sensor histidine kinase from Caulobacter crescentus (327 aa), FASTA scores: opt: 311, E(): 1.2e-11, (33.35% identity in 201 aa overlap) (similarity only in C-terminal part for this one); Q9A2T2|CC3474 putative sensor histidine kinase from Caulobacter crescentus (547 aa); etc. C-terminal half shows similarity to many sensor proteins, that respond to various stimuli from Methanobacterium thermoautotrophicum e.g. O26568|MTH468 sensory transduction histidine kinase (554 aa), FASTA scores: opt: 425, E(): 2.1e-18, (34.0% identity in 244 aa overlap); O26546|MTH446 sensory transduction regulatory protein (583 aa), FASTA scores: opt: 380, E(): 1.2e-15, (37.15% identity in 202 aa overlap); O26913|MTH823 sensory transduction regulatory protein (677 aa), FASTA scores: opt: 375, E(): 2.7e-15, (35.4% identity in 195 aa overlap); etc. Seems similar to other prokaryotic sensory transduction histidine kinases.</t>
  </si>
  <si>
    <t>rshA</t>
  </si>
  <si>
    <t>Binds sigma factor sigh and inhibits it. Probably involved in survival following heat shock and oxidative stress.</t>
  </si>
  <si>
    <t>Anti-sigma factor RshA</t>
  </si>
  <si>
    <t>Rv3221A, len: 101 aa. RshA, anti-sigma factor, similar to Q9XCD7|AAD41811.1 unknown protein from Mycobacterium smegmatis, linked to sigma factor sigH (see Fernandes et al., 1999) (101 aa), FASTA scores: opt: 422, E(): 3.4e-22, (64.9% identity in 94 aa overlap); and to Q9RL96|RsrA anti-sigma factor from Streptomyces coelicolor (see Kang et al., 1999) (105 aa), FASTA scores: opt: 163, E(): 0.00016, (32.05% identity in 78 aa overlap).</t>
  </si>
  <si>
    <t>TB7.3</t>
  </si>
  <si>
    <t>Biotinylated protein TB7.3</t>
  </si>
  <si>
    <t>Rv3221c, (MTCY07D11.05), len: 71 aa. TB7.3, Biotinylated protein (see citations below), equivalent (appears to have one additional residue) to Q9CCH9|ML0802|BTB7_MYCLE biotinylated protein TB7.3 homolog from Mycobacterium leprae (70 aa), FASTA scores: opt: 367, E(): 4e-18, (90.0% identity in 70 aa overlap); Q9XCD6|BTB7_MYCSM biotinylated protein TB7.3 homolog from Mycobacterium smegmatis (70 aa), FASTA scores: opt: 341, E(): 2.1e-16, (84.05% identity in 69 aa overlap). Similar to C-terminal part of various proteins e.g. Q9HPP8|ACC|VNG1532G biotin carboxylase from Halobacterium sp. strain NRC-1 (610 aa), FASTA scores: opt: 212, E(): 4e-07, (50.0% identity in 68 aa overlap); Q58628|PYCB_METJA|MJ1231 pyruvate carboxylase subunit B from Methanococcus jannaschii (567 aa), FASTA scores: opt: 192, E(): 7.8e-06, (44.8% identity in 58 aa overlap); Q9ZAA7|GCDC glutaconyl-CoA decarboxylase gamma subunit from Acidaminococcus fermentans (145 aa), FASTA scores: opt: 184, E(): 8.9e-06, (39.4% identity in 66 aa overlap); etc.</t>
  </si>
  <si>
    <t>Rv3222c, (MTCY07D11.04), len: 183 aa. Hypothetical protein, with some similarity to Q9SZD2|F19B15.50|AT4G29020 glycine-rich protein like from Arabidopsis thaliana (Mouse-ear cress) (158 aa), FASTA scores: opt: 131, E(): 0.77, (33.35% identity in 126 aa overlap); Q9S222|SCI51.18 putative transcriptional regulator from Streptomyces coelicolor (548 aa), FASTA scores: opt: 133, E(): 1.6, (36.25% identity in 149 aa overlap); etc. Also some similarity to other hypothetical Mycobacterium tuberculosis proteins e.g. O06292|Rv0341|MTCY13E10.01 (479 aa), FASTA scores: opt: 141, E(): 0.5, (31.2% identity in 170 aa overlap); AAK45760|MT1497.1 PE_PGRS family protein from strain CDC1551 (1408 aa), FASTA scores: opt: 137, E(): 2, (31.75% identity in 148 aa overlap); etc.</t>
  </si>
  <si>
    <t>sigH</t>
  </si>
  <si>
    <t>Alternative sigma factor that plays a role in the oxidative-stress response (regulation of thioredoxin recycling). The sigma factor is an initiation factor that promotes attachment of the RNA polymerase to specific initiation sites and then is released. This sigma factor is involved in heat shock and oxidative stress response; it is believed to control protein processing in the extracytoplasmic compartment. Regulates positively DNAK and CLPB genes. Regulates TRXB2, TRXC, Rv2466c and SIGB genes, and probably SIGB gene. SigH may mediate the transcription of at least 31 genes directly and modulates the expression of about 150 others.</t>
  </si>
  <si>
    <t>Alternative RNA polymerase sigma-E factor (sigma-24) SigH (RPOE)</t>
  </si>
  <si>
    <t>Rv3223c, (MTCY07D11.03), len: 216 aa. SigH (alternate gene name: rpoE), alternative RNA polymerase sigma factor (see citations below), similar to many e.g. Q9XCD8|sigh from Mycobacterium smegmatis (215 aa), FASTA scores: opt: 1187, E(): 8.1e-69, (87.75% identity in 212 aa overlap); O87834|SIGR from Streptomyces coelicolor (227 aa), FASTA scores: opt: 913, E(): 2.6e-51, (68.8% identity in 202 aa overlap); O68520|RPOE1 from Myxococcus xanthus (213 aa), FASTA scores: opt: 452, E(): 6.7e-22, (42.8% identity in 187 aa overlap); Q06198|RPSH_PSEAE|ALGU|ALGT|PA0762 from Pseudomonas aeruginosa (193 aa), FASTA scores: opt: 301, E(): 2.7e-12, (29.9% identity in 194 aa overlap); etc. Equivalent to AAK47662 RNA polymerase sigma-70 factor from Mycobacterium tuberculosis strain CDC1551 (284 aa), but shorter 68 aa. Has sigma-70 factors ECF subfamily signature (PS01063). So belongs to the sigma-70 factor family, ECF subfamily. Start chosen on basis of similarity, other potential starts upstream.</t>
  </si>
  <si>
    <t>Possible iron-regulated short-chain dehydrogenase/reductase</t>
  </si>
  <si>
    <t>Rv3224, (MTCY07D11.02c), len: 282 aa. Probable iron-regulated oxidoreductase, possible short-chain dehydrogenase/reductase, highly similar to BAB49551|MLL2413 hypothetical protein from Rhizobium loti (Mesorhizobium loti) (288 aa), FASTA scores: opt: 1053, E(): 6.4e-59, (57.95% identity in 276 aa overlap); Q9AB34|CC0400 short chain dehydrogenase family protein from Caulobacter crescentus (285 aa), FASTA scores: opt: 1051, E(): 8.5e-59, (55.9% identity in 281 aa overlap); and Q9VB10|CG5590 hypothetical protein (similar to the short-chain dehydrogenases/reductases (SDR) family) from Drosophila melanogaster (Fruit fly) (412 aa), FASTA scores: opt: 966, E(): 2.5e-53, (52.15% identity in 278 aa overlap). Similar to various proteins (principaly oxidoreductases) e.g. Q18639|C45B11.3 hypothetical protein (similar to the SDR family) from Caenorhabditis elegans (293 aa), FASTA scores: opt: 921, E(): 1.2e-50, (51.3% identity in 271 aa overlap); Q9HZV5|PA2892 probable short-chain dehydrogenase from Pseudomonas aeruginosa (274 aa), FASTA scores: opt: 847, E(): 5.1e-46, (49.25% identity in 274 aa overlap); Q9I6V0|PA0182 probable short-chain dehydrogenase (similar to the SDR family) from Pseudomonas aeruginosa (250 aa), FASTA scores: opt: 333, E(): 8.3e-14, (29.8% identity in 245 aa overlap); Q9HY98|PA3511 probable short-chain dehydrogenase from Pseudomonas aeruginosa (253 aa), FASTA scores: opt: 330, E(): 1.3e-13, (31.2% identity in 250 aa overlap); etc. Related proteins in Mycobacterium tuberculosis include MTCY02B10.14, MTCY369.14, and MTCY09F9.36. Has ATP/GTP-binding site motif A, (PS00017) near C-terminus. May be belong to the short-chain dehydrogenases/reductases (SDR) family.</t>
  </si>
  <si>
    <t>Rv3224A, len: 62 aa. Conserved hypothetical protein (possibly gene fragment), overlaps Rv3224. Similar to N-terminus of ML0799|AL583919_131 conserved hypothetical protein from Mycobacterium leprae (135 aa), FASTA scores: opt: 104, E(): 0.78, (59.37% identity in 32 aa overlap). Note that upstream ORF Rv3224B is similar to C-terminus of ML0799. There appears to be no frameshift as sequence is identical in strain CDC1551 and in Mycobacterium bovis. Predicted to be an outer membrane protein (See Song et al., 2008).</t>
  </si>
  <si>
    <t>Rv3224B</t>
  </si>
  <si>
    <t>Rv3224B, len: 72 aa. Conserved hypothetical protein (possibly gene fragment), similar to C-terminal part of ML0799|AL583919_131 conserved hypothetical protein from Mycobacterium leprae (135 aa), FASTA scores: opt: 229, E(): 2e-09, (60.00% identity in 70 aa overlap). Note that downstream ORF Rv3224A is similar to N-terminus of ML0799. There appears to be no frameshift as sequence is identical in strain CDC1551 and in Mycobacterium bovis. Predicted to be an outer membrane protein (See Song et al., 2008).</t>
  </si>
  <si>
    <t>Acetylation, phosphorylation, substrates unknown</t>
  </si>
  <si>
    <t>GCN5-related N-acetyltransferase, phosphorylase</t>
  </si>
  <si>
    <t>Rv3225c, (MTCY07D11.01), len: 474 aa. Conserved hypothetical protein has GNAT (Gcn5-related N-acetyltransferase) domain in N-terminal part (see Vetting et al. 2005) and phosphotransferase domain in C-terminal part. C-terminal part shows similarity to various bacterial phosphotransferases e.g. BAB49093|MLL1809 hypothetical protein from Rhizobium loti (Mesorhizobium loti) (298 aa), FASTA scores: opt: 557, E(): 2.8e-26, (34.55% identity in 295 aa overlap); P14509|KKA8_ECOLI|APHA aminoglycoside 3'-phosphotransferase from Escherichia coli (271 aa), FASTA scores: opt: 194, E(): 0.00018, (27.75% identity in 227 aa overlap); Q53826|CPH capreomycin phosphotransferase from Streptomyces capreolus (281 aa), FASTA scores: opt: 178, E(): 0.0017, (30.5% identity in 269 aa overlap).</t>
  </si>
  <si>
    <t>Rv3226c, (MTCY20B11.01c), len: 252 aa. Conserved hypothetical protein, similar to various hypothetical bacterial proteins e.g. Q9CCI2|ML0793 putative bacteriophage protein from Mycobacterium leprae (252 aa), FASTA scores: opt: 1183, E(): 3.8e-68, (70.65% identity in 252 aa overlap); BAB54183|MLR7795 hypothetical protein from Rhizobium loti (Mesorhizobium loti) (369 aa), FASTA scores: opt: 417, E(): 2.9e-19, (33.75% identity in 252 aa overlap); O64131 YOQW protein from Bacteriophage SPBc2 (224 aa), FASTA scores: opt: 413, E(): 3.4e-19, (38.5% identity in 244 aa overlap); O31916 YOQW protein from Bacillus subtilis (224 aa), FASTA scores: opt: 413, E(): 3.4e-19, (38.5% identity in 244 aa overlap); O34906 YOAM protein from Bacillus subtilis (227 aa), FASTA scores: opt: 401, E(): 2e-18, (37.7% identity in 244 aa overlap); Q9K4A5|SC7E4.11 hypothetical 30.8 KDA protein from Streptomyces coelicolor (271 aa), FASTA scores: opt: 383, E(): 3.3e-17, (39.6% identity in 283 aa overlap); etc.</t>
  </si>
  <si>
    <t>aroA</t>
  </si>
  <si>
    <t>Involved in the biosynthesis of chorismate within the biosynthesis of aromatic amino acids (the shikimate pathway). Acts in the sixth step of this pathway. [catalytic activity: phosphoenolpyruvate + 3-phosphoshikimate = orthophosphate + O(5)-(1-carboxyvinyl)-3-phosphoshikimate].</t>
  </si>
  <si>
    <t>3-phosphoshikimate 1-carboxyvinyltransferase AroA (5-enolpyruvylshikimate-3-phosphate synthase) (EPSP synthase) (EPSPS)</t>
  </si>
  <si>
    <t>Rv3227, (MTCY20B11.02), len: 450 aa. AroA, 3-phosphoshikimate 1-carboxyvinyl transferase (see citation below), equivalent (but C-terminus longer) to Q9CCI3|AROA|ML0792 putative 3-phosphoshikimate 1-carboxyvinyl transferase from Mycobacterium leprae (430 aa), FASTA scores: opt: 1466, E(): 1.4e-78, (55.05% identity in 427 aa overlap). Contains PS00885 EPSP synthase signature 2. Belongs to the EPSP synthase family.</t>
  </si>
  <si>
    <t>Rv3228, (MTCY20B11.03), len: 330 aa. Conserved hypothetical protein, equivalent to Q9CCI4|ML0791 hypothetical protein from Mycobacterium leprae (327 aa), FASTA scores: opt: 1828, E(): 1e-98, (84.0% identity in 331 aa overlap). Also similar to several hypothetical bacterial proteins e.g. Q9K4A8|SC7E4.08c from Streptomyces coelicolor (337 aa), FASTA scores: opt: 1051, E(): 1e-53, (52.65% identity in 338 aa overlap); Q9HUL3|PA4952 from Pseudomonas aeruginosa (339 aa), FASTA scores: opt: 392 ,E(): 1.4e-15, (34.85% identity in 281 aa overlap); Q9PFV1|XF0556 from Xylella fastidiosa (341 aa), FASTA scores: opt: 367, E(): 4e-14, (36.85% identity in 247 aa overlap); P45339|YJEQ_HAEIN|HI1714 from Haemophilus influenzae (346 aa), FASTA scores: opt: 355, E(): 2e-13, (31.65% identity in 281 aa overlap); etc. Contains PS00017 ATP/GTP-binding site motif A.</t>
  </si>
  <si>
    <t>Thought to be involved in lipid metabolism [catalytic activity: linoleoyl-CoA + ah(2) + O(2) = gamma-linolenoyl-CoA + a + 2 H(2)O]</t>
  </si>
  <si>
    <t>Possible linoleoyl-CoA desaturase (delta(6)-desaturase)</t>
  </si>
  <si>
    <t>Rv3229c, (MTCY20B11.04c), len: 427 aa. DesA3, linoleoyl-CoA desaturase, showing similarity with desaturases and other proteins e.g. Q08871|DES6|SLL0262 linoleoyl-CoA desaturase from Synechocystis sp. strain PCC 6803 (359 aa), FASTA scores: opt: 319, E(): 4e-13, (25.1% identity in 295 aa overlap); Q54795|DESD delta 6 desaturase from Spirulina platensis (368 aa), FASTA scores: opt: 268, E(): 7.7e-10, (25.0% identity in 300 aa overlap); Q9ZTU8|S276 protein with similarity to cytochrome B5 domain from Triticum aestivum (Wheat) (469 aa), FASTA scores: opt: 240, E(): 5.9e-08, (27.05% identity in 266 aa overlap); etc.</t>
  </si>
  <si>
    <t>Rv3230c, (MTCY20B11.05c), len: 380 aa. Putative oxidoreductase, with some similarity to various proteins, especially reductases e.g. Q9HUS4|PA4889 probable oxidoreductase from Pseudomonas aeruginosa (366 aa), FASTA scores: opt: 516, E(): 1.8e-24, (33.8% identity in 367 aa overlap); P95533|TDNB electron transfer protein from Pseudomonas putida (337 aa), FASTA scores: opt: 380, E(): 4e-16, (30.7% identity in 277 aa overlap); BAB34381|ECS0958 NADH oxidoreductase for the HCP from Escherichia coli strain O157:H7 (322 aa), FASTA scores: opt: 369, E(): 1.8e-15, (28.65% identity in 328 aa overlap); Q44253|ATDA5 aniline dioxygenase reductase component from Acinetobacter sp. (336 aa), FASTA scores: opt: 305, E(): 1.6e-11, (27.4% identity in 303 aa overlap); etc.</t>
  </si>
  <si>
    <t>Rv3231c, (MTCY20B11.06c), len: 169 aa. Conserved protein, similar to Q9KYX9|SCE33.03c hypothetical 17.4 KDA protein from Streptomyces coelicolor (167 aa), FASTA scores: opt: 415, E(): 6.6e-19, (49.1% identity in 171 aa overlap).</t>
  </si>
  <si>
    <t>ppk2</t>
  </si>
  <si>
    <t>Catalyzes the reversible transfer of phosphate from polyphosphate (polyp) to form GTP [catalytic activity: GDP + {phosphate}(N) = GTP + {phosphate}(N-1)].</t>
  </si>
  <si>
    <t>Polyphosphate kinase Ppk2 (polyphosphoric acid kinase)</t>
  </si>
  <si>
    <t>Rv3232c, (MTCY20B11.07c), len: 295 aa (start uncertain). Ppk2, polyphosphate kinase 2, highly similar to Q9I154|PA2428 hypothetical protein from Pseudomonas aeruginosa (304 aa), FASTA scores: opt: 1057, E(): 6.8e-62, (60.7% identity in 252 aa overlap); Q9I6Z1|PA0141 hypothetical protein from Pseudomonas aeruginosa (298 aa), FASTA scores: opt: 990, E(): 1.6e-57, (54.6% identity in 249 aa overlap); and other hypothetical bacterial proteins. Note that previously known as pvdS. Ppk2|Rv3232c and NdkA|Rv2445c interact (See Sureka et al., 2009).</t>
  </si>
  <si>
    <t>Rv3233c</t>
  </si>
  <si>
    <t>Rv3233c, (MTCY20B11.08c), len: 196 aa. Possible triacylglycerol synthase (See Daniel et al., 2004), similar to C-terminus of Q9RIU8|SCM11.13c hypothetical 47.1 KDA protein from Streptomyces coelicolor (446 aa), FASTA scores: opt: 308, E(): 1.2e-12, (32.0% identity in 200 aa overlap); and several hypothetical M. tuberculosis proteins e.g. O06343|YY80_MYCTU|Rv3480c|MTCY13E12.33c (497 aa), FASTA scores: opt: 248, E(): 9.8e-09, (27.5% identity in 200 aa overlap); MTCY28_26; MTCY493_29; MTCY31_25; MTCY31_25.</t>
  </si>
  <si>
    <t>tgs3</t>
  </si>
  <si>
    <t>Putative triacylglycerol synthase (diacylglycerol acyltransferase) Tgs3</t>
  </si>
  <si>
    <t>Rv3234c, (MTCY20B11.09c), len: 271 aa. Putative tgs3, triacylglycerol synthase (See Daniel et al., 2004), similar to C-terminus of Mycobacterium tuberculosis hypothetical proteins e.g. P71694|Rv1425|MTCY21B4.43|MTCY493.29c (459 aa), FASTA scores: opt: 498, E(): 5.2e-24, (36.8% identity in 261 aa overlap); MTCY03A2.28; MTCY31.23; MTCY493_29; MTCY28_26; MTV013_8; MTY13E12_33; etc. Also similar to Q9X7A8|MLCB1610.05|ML1244 conserved membrane protein from Mycobacterium leprae (491 aa), FASTA scores: opt: 309, E(): 4.3e-12, (33.35% identity in 189 aa overlap).</t>
  </si>
  <si>
    <t>Rv3235</t>
  </si>
  <si>
    <t>Hypothetical alanine arginine proline rich protein</t>
  </si>
  <si>
    <t>Rv3235, (MTCY20B11.10), len: 213 aa. Hypothetical unknown ala-, arg-, pro-rich protein.</t>
  </si>
  <si>
    <t>Probably involved in transport of undetermined substrate (possibly cations Na/H) across the membrane. Thought to be responsible for the translocation of the substrate across the membrane.</t>
  </si>
  <si>
    <t>Rv3236c, (MTCY20B11.11c), len: 385 aa. Probable conserved integral membrane transport protein, possibly cation (Na/H) transporter, equivalent to Q9CCI5|ML0782 putative transmembrane transport protein from Mycobacterium leprae (385 aa), FASTA scores: opt: 1975, E(): 2.4e-108, (81.55% identity in 385 aa overlap). Highly similar to others e.g. O69958|SC4H2.03c putative transmembrane transport protein from Streptomyces coelicolor (411 aa), FASTA scores: opt: 1226, E(): 1.6e-64, (53.5% identity in 372 aa overlap); Q9XAKO|SC66T3.13c putative transmembrane transport protein from Streptomyces coelicolor (403 aa), FASTA scores: opt: 1198, E(): 6.8e-63, (53.25% identity in 370 aa overlap); Q9RV80|DR1149 putative Na+/H+ antiporter from Deinococcus radiodurans (383 aa), FASTA scores: opt: 1069, E(): 2.3e-55, (47.35% identity in 376 aa overlap); Q9L191|SC10G8.11 putative transmembrane transport protein from Streptomyces coelicolor (446 aa), FASTA scores: opt: 695, E(): 1.9e-33, (38.05% identity in 384 aa overlap); Q9RRW8|DR2367 putative glutathione-regulated potassium-efflux system protein KEFB from Deinococcus radiodurans (575 aa), FASTA scores: opt: 414, E(): 6.2e-17, (30.25% identity in 380 aa overlap); etc. Seems to belong to the CPA2 family. Note that previously known as kefB.</t>
  </si>
  <si>
    <t>Rv3237c</t>
  </si>
  <si>
    <t>Rv3237c, (MTCY20B11.12c), len: 160 aa. Conserved protein, equivalent to Q9CCI6|ML0781 hypothetical protein from Mycobacterium leprae (160 aa), FASTA scores: opt: 828, E(): 1.5e-45, (80.6% identity in 160 aa overlap); and similar to other hypothetical bacterial proteins and more weakly to putative potassium channels e.g. Q9RV81|DR1148 conserved hypothetical protein from Deinococcus radiodurans (175 aa), FASTA scores: opt: 420, E(): 9.5e-20, (37.95% identity in 158 aa overlap); O69959|SC4H2.04c hypothetical 17.1 KDA protein from Streptomyces coelicolor (161 aa), FASTA scores: opt: 315, E(): 3.8e-13, (40.0% identity in 150 aa overlap); Q9HNH3|PCHB|VNG2104G potassium channel homolog from Halobacterium sp. strain NRC-1 (418 aa), FASTA scores: opt: 158, E(): 0.007, (31.45% identity in 124 aa overlap); Q58752|YD57_METJA|MJ1357 putative potassium channel protein from Methanococcus jannaschii (343 aa), FASTA scores: opt: 143, E(): 0.053, (33.8% identity in 68 aa overlap).</t>
  </si>
  <si>
    <t>Rv3238c, (MTCY20B11.13c), len: 244 aa. Probable conserved integral membrane protein, similar to several hypothetical proteins and transmembrane proteins e.g. Q9UN92|NRM29 multispanning nuclear envelope membrane protein NURIM (fragment) from Homo sapiens (Human) (261 aa), FASTA scores: opt: 281, E(): 3.3e-11, (30.7% identity in 189 aa overlap); Q9VEG9|CG7655 hypothetical protein from Drosophila melanogaster (Fruit fly) (253 aa), FASTA scores: opt: 242, E(): 1.1e-08, (27.7% identity in 242 aa overlap); BAB48937|MLR1600 hypothetical protein from Rhizobium loti (Mesorhizobium loti) (222 aa), FASTA scores: opt: 137, E(): 0.066, (28.1% identity in 185 aa overlap); BAB57936|SAV1774 aesenical pump membrane protein homolog from Staphylococcus aureus subsp. aureus Mu50 (430 aa), FASTA scores: opt: 125, E(): 0.68, (25.7% identity in 144 aa overlap); etc.</t>
  </si>
  <si>
    <t>Unknown, but seems involved in efflux system (probably sugar or drug transport).</t>
  </si>
  <si>
    <t>Probable conserved transmembrane transport protein</t>
  </si>
  <si>
    <t>Rv3239c, (MTCY20B11.14c), len: 1048 aa. Probable conserved transmembrane protein, organised in two domains. Domain comprising first ~500 aa residues is similar to various antibiotic resistance and efflux proteins and contains sugar transport proteins signature 1 (PS00216); e.g. Q9RL22|SC5G9.04c putative transmembrane efflux protein from Streptomyces coelicolor (489 aa), FASTA scores: opt: 905, E(): 3.1e-41, (36.95% identity in 482 aa overlap); and O68912|FRNF putative antibiotic antiporter from Streptomyces roseofulvus (517 aa), FASTA scores: opt: 866, E(): 4.1e-39, (37.1% identity in 512 aa overlap). Second part, corresponding to last 550 aa residues, is very similar to Q50733|Rv2565|MTCY9C4.03c hypothetical 62.1 kDa protein from Mycobacterium tuberculosis (583 aa), FASTA scores: E(): 2.1e-28, (36.5% identity in 572 aa overlap). Also equivalent to Rv3728|MTV025.076 putative two-domain membrane protein (similar to sugar transporter family) from Mycobacterium tuberculosis (1065 aa), FASTA scores: opt: 4328, E(): 0, (64.15% identity in 1046 aa overlap); and similar to other Mycobacterium tuberculosis proteins: MTCY3G12.01, E(): 6.3e-32; MTCY98.02c, E(): 6.3e-32; MTCY9C4.03c, E(): 1.5e-26; MTCY369.27c, E(): 2.5e-26. Equivalent to AAK47679 Drug transporter from Mycobacterium tuberculosis strain CDC1551 (1065 aa) but shorter 20 aa. Contains cyclic nucleotide-binding domain signature 2 (PS00889). Probably member of major facilitator superfamily (MFS).</t>
  </si>
  <si>
    <t>Involved in protein export. Interacts with the SECY/SECE subunits. SECA has a central role in coupling the hydrolysis of ATP to the transfer of PRE-secretory periplasmic and outer membrane proteins across the membrane.</t>
  </si>
  <si>
    <t>Probable preprotein translocase SecA1 1 subunit</t>
  </si>
  <si>
    <t>Rv3240c, (MTCY20B11.15c), len: 949 aa. Probable secA1, preprotein translocase subunit, component of secretion apparatus (see citations below), highly similar to many e.g. P57996|SEA1_MYCLE from Mycobacterium leprae (940 aa), FASTA scores: opt: 5044, E(): 0, (87.5% identity in 849 aa overlap); P95759|SECA_STRGR from Streptomyces griseus (940 aa), FASTA scores: opt: 2612, E(): 1.9e-134, (61.35% identity in 960 aa overlap); P28366|SECA_BACSU|div+ from Bacillus subtilis (841 aa), FASTA scores: opt: 1776, E(): 4.9e-89, (48.05% identity in 837 aa overlap); etc. Belongs to the SecA family. Part of the prokaryotic protein translocation apparatus which comprise SECA, SECD|Rv2587c, SECE|Rv0638, SECF|Rv2586c, SECG|Rv1440 and SECY|Rv0732. Note that previously known as secA. Binds ATP.</t>
  </si>
  <si>
    <t>Function unknown, but may be involved in transduction mechanism</t>
  </si>
  <si>
    <t>Rv3241c, (MTCY20B11.16c), len: 214 aa. Conserved protein, similar to many hypothetical proteins and to some putative ribosomal proteins e.g. Q9CCI7|ML0778 hypothetical protein from Mycobacterium leprae (229 aa), FASTA scores: opt: 1234, E(): 1.3e-72, (89.3% identity in 206 aa overlap); Q9KYX2|SCE33.11c hypothetical 27.9 KDA protein from Streptomyces coelicolor (254 aa), FASTA scores: opt: 487, E(): 2.2e-24, (47.6% identity in 210 aa overlap); Q9FLV3 protein similar to ribosomal protein 30S subunit from Arabidopsis thaliana (Mouse-ear cress) (365 aa), FASTA scores: opt: 264, E(): 7e-10, (26.4% identity in 212 aa overlap); P19954|RR30_SPIOL|RPS22 plastid-specific 30S ribosomal protein 1, chloroplast, from Spinacia oleracea (Spinach) (302 aa), FASTA scores: opt: 261, E(): 9.3e-10, (26.15% identity in 214 aa overlap); P47995|YSEA_STACA hypothetical protein in SECA 5'region (ORF1) (fragment) (belongs to the S30AE family of ribosomal proteins) from Staphylococcus carnosus (165 aa), FASTA scores: opt: 201, E(): 4.2e-06, (33.35% identity in 147 aa overlap); etc.</t>
  </si>
  <si>
    <t>Rv3242c, (MTCY20B11.17c), len: 213 aa. Conserved hypothetical protein, highly similar in N-terminus to Q9CCI9|ML0776 hypothetical protein from Mycobacterium leprae (85 aa), FASTA scores: opt: 324, E(): 1.7e-13, (78.1% identity in 64 aa overlap). Also similar to Q9RUJ7|DR1389 putative competence protein COMF from Deinococcus radiodurans (219 aa), FASTA scores: opt: 223, E(): 6.3e-07, (35.8% identity in 215 aa overlap); BAB50338|MLL3453 hypothetical protein from Rhizobium loti (Mesorhizobium loti) (240 aa), FASTA scores: opt: 218, E(): 1.4e-06, (28.5% identity in 224 aa overlap); Q9A9Y1|CC0830 competence protein F from Caulobacter crescentus (265 aa), FASTA scores: opt: 182, E(): 0.00026, (30.15% identity in 219 aa overlap); etc. Equivalent to AAK47682 from Mycobacterium tuberculosis strain CDC1551 (241 aa) but shorter 29 aa. Contains purine/pyrimidine phosphoribosyl transferases signature (PS00103). Seems to belong to purine/pyrimidine phosphoribosyl transferase family.</t>
  </si>
  <si>
    <t>Rv3243c, (MTCY20B11.18c), len: 280 aa. Unknown protein.</t>
  </si>
  <si>
    <t>Probable conserved lipoprotein LpqB</t>
  </si>
  <si>
    <t>Rv3244c, (MTCY20B11.19c), len: 583 aa. Probable lpqB, conserved lipoprotein; contains appropriately placed lipoprotein signature (PS00013). Equivalent to Q9CCJ0|LPQB|ML0775 putative lipoprotein from Mycobacterium leprae (589 aa), FASTA scores: opt: 3375, E(): 1.4e-186, (87.9% identity in 579 aa overlap). Also similar to various proteins (in particular transferases) e.g. Q9KYX0|SCE33.13c putative lipoprotein from Streptomyces coelicolor (615 aa), FASTA scores: opt: 228, E(): 1.3e-05, (25.5% identity in 624 aa overlap); O87992|BBLPS1.19c putative glutamine amidotransferase from Bordetella bronchiseptica (Alcaligenes bronchisepticus) (628 aa), FASTA scores: opt: 162, E(): 0.079, (28.05% identity in 171 aa overlap); Q9L2F4|SC7A8.01 putative sugar kinase (fragment) from Streptomyces coelicolor (434 aa), FASTA scores: opt: 143, E(): 0.72, (27.65% identity in 293 aa overlap); etc.</t>
  </si>
  <si>
    <t>Two component sensory transduction histidine kinase MtrB</t>
  </si>
  <si>
    <t>Rv3245c, (MTCY20B11.20c), len: 567 aa. MtrB, sensor-like histidine kinase (see citations below), equivalent to Q9CCJ1|MTRB or ML0774 putative two-component system sensor kinase from Mycobacterium leprae (562 aa), FASTA scores: opt: 3208, E(): 7.4e-173, (88.7% identity in 566 aa overlap). Also similar to others e.g. Q9KYW9|SCE33.14c putative two-component system histidine kinase from Streptomyces coelicolor (688 aa), FASTA scores: opt: 1355, E(): 1.1e-68, (48.95% identity in 515 aa overlap); etc. Relatives in Mycobacterium tuberculosis are: MTCY369.03, E(): 1.5e-22; MTCY20G9.16, E(): 1.9e-17. Similar to other prokaryotic sensory transduction histidine kinases.</t>
  </si>
  <si>
    <t>Transcriptional activator part of a two component regulatory system.</t>
  </si>
  <si>
    <t>Two component sensory transduction transcriptional regulatory protein MtrA</t>
  </si>
  <si>
    <t>Rv3246c, (MTCY20B11.21c), len: 228 aa. MtrA, transcriptional activator, response regulator (see citations below), equivalent to Q9CCJ2|MTRA|ML0773 putative two-component response regulator from Mycobacterium leprae (228 aa), FASTA scores: opt: 1458, E(): 1.4e-85, (98.7% identity in 228 aa overlap). Also highly similar to others e.g. Q9F9J5|SCRA putative response regulator from Streptomyces coelicolor (228 aa), FASTA scores: opt: 1141, E(): 1.9e-65, (74.9% identity in 227 aa overlap); Q9KYW8|SCE33.15c putative two-component system response regulator from Streptomyces coelicolor (229 aa), FASTA scores: opt: 1141, E(): 1.9e-65, (74.9% identity in 227 aa overlap); Q9F868|REGX3 response regulator REGX3 from Mycobacterium smegmatis (228 aa), FASTA scores: opt: 730, E(): 2.3e-39, (50.90% identity in 222 aa overlap); etc. Relatives in Mycobacterium tuberculosis are: U01971|MTU01971_1; Q11156|RGX3_MYCTU; MTCY20G9.17, E(): 0; MTCY31.31c, E(): 3.4e-29; MTCY369.02, E(): 5.7e-28. Similar to bacterial regulatory proteins involved in signal transduction. The N-terminal region is similar to that of other regulatory components of sensory transduction systems. Experiments showed mtrA is differentially expressed in virulent and avirulent strains during growth in macrophages.</t>
  </si>
  <si>
    <t>Phosphorylation of dTMP to form dTDP in both de novo and salvage pathways of dTTP synthesis [catalytic activity: ATP + thymidine 5'-phosphate = ADP + thymidine 5'-diphosphate].</t>
  </si>
  <si>
    <t>Thymidylate kinase Tmk (dTMP kinase) (thymidylic acid kinase) (TMPK)</t>
  </si>
  <si>
    <t>Rv3247c, (MTCY20B11.22c), len: 214 aa. tmk, thymidylate kinase, equivalent to Q9CCJ3|TMK|ML0772 putative thymidylate kinase from Mycobacterium leprae (210 aa), FASTA scores: opt: 1023, E(): 4.8e-57, (77.3% identity in 207 aa overlap). Also similar to other thymidylate kinases e.g. Q9RQJ9|KTHY_CAUCR|TMK|CC1824 from Caulobacter crescentus (208 aa), FASTA scores: opt: 179, E(): 0.0003, (31.3% identity in 214 aa overlap); Q9V1E9|KTHY_PYRAB|TMK|PAB0319 from Pyrococcus abyssi (205 aa), FASTA scores: opt: 176, E(): 0.00045, (29.1% identity in 189 aa overlap); etc. Belongs to the thymidylate kinase family.</t>
  </si>
  <si>
    <t>Thioester hydrolase which acting on ether bounds. Could be involved in methionine and selenoamino acid metabolisms. Also involved in activated methyl. Cycle adenosylhomocysteine is a competitive inhibitor of S-adenosyl-L-methionine-dependent methyl transferase reactions; therefore adenosylhomocysteinase may play a key role in the control of methylations via regulation of the intracellular concentration of adenosylhomocysteine [catalytic activity: S-adenosyl-L-homocysteine + H(2)O = adenosine + L-homocysteine].</t>
  </si>
  <si>
    <t>Probable adenosylhomocysteinase SahH (S-adenosyl-L-homocysteine hydrolase) (adohcyase)</t>
  </si>
  <si>
    <t>Rv3248c, (MTCY20B11.23c), len: 495 aa. Probable sahH, adenosylhomocysteinase, equivalent to Q9CCJ4|SAHH|ML0771 putative S-adenosyl-L-homocysteine hydrolase from Mycobacterium leprae (492 aa), FASTA scores: opt: 3019, E(): 1.3e-177, (91.4% identity in 489 aa overlap). Also highly similar to other adenosylhomocysteinases e.g. Q9KZM1|SAHH from Streptomyces coelicolor (485 aa), FASTA scores: opt: 2258, E(): 5.7e-131, (70.0% identity in 483 aa overlap); P51540|SAHH_TRIVA from Trichomonas vaginalis (486 aa), FASTA scores: opt: 2005, E(): 1.8e-115, (62.05% identity in 477 aa overlap); P35007|SAHH_CATRO from Catharanthus roseus (Rosy periwinkle) (Madagascar periwinkle) (485 aa), FASTA scores: opt: 1941, E(): 1.5e-111, (60.15% identity in 492 aa overlap); etc. Has S-adenosyl-L-homocysteine hydrolase signature (PS00739). Belongs to the adenosylhomocysteinase family.</t>
  </si>
  <si>
    <t>Probably involved in a transcriptional mechanism</t>
  </si>
  <si>
    <t>Rv3249c, (MTCY20B11.24c), len: 211 aa. Possible transcriptional regulatory protein, TetR family, with similarity to several e.g. Q9AE61|ALKB1 putative TetR-regulatory from Rhodococcus erythropolis (208 aa), FASTA scores: opt: 503, E(): 7.7e-26, (40.6% identity in 192 aa overlap); CAC37620 putative TetR-regulatory protein from Prauserella rugosa (212 aa), FASTA scores: opt: 246, E(): 4.4e-09, (27.95% identity in 186 aa overlap); Q9K4B0|SC7E4.06 putative TetR-family transcriptional from Streptomyces coelicolor (203 aa), FASTA scores: opt: 224, E(): 1.1e-07, (34.5% identity in 197 aa overlap); Q11063|YC55_MYCTU|Rv1255c|MT1294|MTCY50.27 hypothetical transcriptional regulator from Mycobacterium tuberculosis (202 aa), FASTA scores: opt: 191, E(): 1.6e-05, (28.35% identity in 180 aa overlap); etc. Equivalent to AAK47689 from Mycobacterium tuberculosis strain CDC1551 (230 aa) but shorter 19 aa. Could belong to the TetR/AcrR family of transcriptional regulators. Possible helix-turn helix motif at aa 44-65 (+6.66 SD).</t>
  </si>
  <si>
    <t>rubB</t>
  </si>
  <si>
    <t>Rv3250c</t>
  </si>
  <si>
    <t>Involved in the hydrocarbon hydroxylating system to convert conversion of dodecane to lauric acid, which transfers electrons from NADH to rubredoxin reductase and then through rubredoxin to alkane 1 monooxygenase.</t>
  </si>
  <si>
    <t>Probable rubredoxin RubB</t>
  </si>
  <si>
    <t>Rv3250c, (MTCY20B11.25c), len: 60 aa. Probable rubB, rubredoxin, highly similar to other rubredoxins e.g. Q9AE66|RUBA4 from Rhodococcus erythropolis (60 aa), FASTA scores: opt: 391, E(): 2.2e-21, (83.05% identity in 59 aa overlap); Q9AE63|RUBA2 from Rhodococcus erythropolis (63 aa), FASTA scores: opt: 380, E(): 1.4e-20, (83.9% identity in 56 aa overlap); P42453|RUBR_ACICA|RUBA from Acinetobacter calcoaceticus (54 aa), FASTA scores: opt: 315, E(): 4.9e-16, (69.8% identity in 53 aa overlap); Q9HTK7|PA5351 from Pseudomonas aeruginosa (55 aa), FASTA scores: opt: 298, E(): 8e-15, (64.15% identity in 53 aa overlap); Q9PGC3|XF0379 from Xylella fastidiosa (57 aa), FASTA scores: opt: 263, E(): 2.5e-12, (59.25% identity in 54 aa overlap); etc. Also similar to neighbouring ORF M. tuberculosis RubA (MTCY20B11.26c). Contains rubredoxin signature (PS00202). Belongs to the rubredoxin family.</t>
  </si>
  <si>
    <t>rubA</t>
  </si>
  <si>
    <t>Rv3251c</t>
  </si>
  <si>
    <t>Involved in the hydrocarbon hydroxylating system, which transfers electrons from NADH to rubredoxin reductase and then through rubredoxin to alkane 1 monooxygenase.</t>
  </si>
  <si>
    <t>Probable rubredoxin RubA</t>
  </si>
  <si>
    <t>Rv3251c, (MTCY20B11.26c), len: 55 aa. Probable rubA, rubredoxin, highly similar to other rubredoxins (but sometimes shorter) e.g. Q9AE67|RUBA3 from Rhodococcus erythropolis (61 aa), FASTA scores: opt: 335, E(): 1e-17, (73.6% identity in 53 aa overlap); P00272|RUB2_PSEOL|ALKG from Pseudomonas oleovorans (172 aa), FASTA scores: opt: 278, E(): 2.7e-13, (65.3% identity in 49 aa overlap); CAC38028|ALKG from Alcanivorax borkumensis (174 aa), FASTA scores: opt: 271, E(): 8.6e-13, (62.0% identity in 50 aa overlap); Q9WWW4|ALKG from Pseudomonas putida (175 aa), FASTA scores: opt: 270, E(): 1e-12, (61.8% identity in 55 aa overlap); etc. Also highly similar to C-terminus of Q9XBM1|ALKB alkane 1-monooxygenase from Prauserella rugosa (490 aa), FASTA scores: opt: 296, E(): 2.9e-14, (75.5% identity in 49 aa overlap). Also similar to neighbouring ORF Mycobacterium tuberculosis rubB (MTCY20B11.25c). Contains rubredoxin signature (PS00202). Belongs to the rubredoxin family.</t>
  </si>
  <si>
    <t>Thought to be involved in fatty acid metabolism. Generates octanol and oxidized rubredoxin from octane and reduced rubredoxin. Also hydroxylates fatty acids in the omega-position [catalytic activity: octane + reduced rubredoxin + (O)2 = 1-octanol + oxidized rubredoxin + H(2)O].</t>
  </si>
  <si>
    <t>Probable transmembrane alkane 1-monooxygenase AlkB (alkane 1-hydroxylase) (lauric acid omega-hydroxylase) (omega-hydroxylase) (fatty acid omega-hydroxylase) (alkane hydroxylase-rubredoxin)</t>
  </si>
  <si>
    <t>Rv3252c, (MTCY20B11.27c), len: 416 aa. Probable alkB, transmembrane alkane-1-monooxygenase, highly similar to many (see Marin et al., 2001) e.g. Q9AE68|ALKB2 from Rhodococcus erythropolis (408 aa), FASTA scores: opt: 2018, E(): 9.6e-122, (68.6% identity in 415 aa overlap); Q9AFD5|ALKB from Nocardioides sp. CF8 (483 aa), FASTA scores: opt: 1485, E(): 1.4e-87, (56.55% identity in 405 aa overlap); Q9XAU0|ALKB1 from Rhodococcus erythropolis (391 aa), FASTA scores: opt: 1400, E(): 3.3e-82, (62.6% identity in 396 aa overlap); Q9XBM1|ALKB from Prauserella rugosa (490 aa), FASTA scores: opt: 1266, E(): 1.5e-73, (57.55% identity in 410 aa overlap); CAC40954|ALKB4 from Rhodococcus erythropolis (386 aa), FASTA scores: opt: 1190, E(): 9.1e-69, (54.3% identity in 383 aa overlap); etc.</t>
  </si>
  <si>
    <t>Thought to be involved in cationic amino acid transport across the membrane. Responsible for the translocation of the substrate across the membrane.</t>
  </si>
  <si>
    <t>Possible cationic amino acid transport integral membrane protein</t>
  </si>
  <si>
    <t>Rv3253c, (MTCY20B11.28c), len: 495 aa. Possible cationic amino acid transporter, integral membrane protein, similar to many e.g. O69844|SC1C3.02 putative cationic amino acid transporter from Streptomyces coelicolor (503 aa), FASTA scores: opt: 1649, E(): 5.8e-92, (52.6% identity in 485 aa overlap); Q9AE69 putative transporter (fragment) from Rhodococcus erythropolis (385 aa), FASTA scores: opt: 1594, E(): 9.7e-89, (62.0% identity in 387 aa overlap); Q9PBD7|XF2207 cationic amino acid transporter from Xylella fastidiosa (483 aa), FASTA scores: opt: 1079, E(): 1.2e-57, (40.55% identity in 493 aa overlap); Q9SRU9|F20H23.25 putative cationic amino acid transporter from Arabidopsis thaliana (Mouse-ear cress) (614 aa), FASTA scores: opt: 802, E(): 6.7e-41, (36.4% identity in 445 aa overlap); P30823|CTR1_RAT|SLC7A1|ATRC1 high-affinity cationic amino acid transporter-1 from Rattus norvegicus (Rat) (624 aa), FASTA scores: opt: 782, E(): 1.1e-39, (36.1% identity in 432 aa overlap); etc. Relatives in Mycobacterium tuberculosis include: MTCY3G12.14, E(): 5.6e-31; MTCY39.19, E(): 1.6e-14. Seems to belong to the APC family.</t>
  </si>
  <si>
    <t>Rv3254, (MTCY20B11.29), len: 462 aa. Conserved hypothetical protein, similar to CAC37877|SC1G7.02 putative secreted protein from Streptomyces coelicolor (440 aa), FASTA scores: opt: 606, E(): 6.2e-31, (31.7% identity in 445 aa overlap); O86550|SC1F2.13c hypothetical 50.7 KDA protein from Streptomyces coelicolor (476 aa), FASTA scores: opt: 577, E(): 4.5e-29, (32.5% identity in 400 aa overlap); Q9L0A8|SCC24.09 putative secreted protein from Streptomyces coelicolor (468 aa), FASTA scores: opt: 380, E(): 1.3e-16, (30.7% identity in 391 aa overlap); BAB48792|MLL1411 probable FAD-dependent monooxygenase from Rhizobium loti (Mesorhizobium loti) (421 aa), FASTA scores: opt: 128, E(): 1.1, (25.2% identity in 397 aa overlap); Q9L7X9|BENF benzoate-specific porin-like protein from Pseudomonas putida (397 aa), FASTA scores: opt: 119, E(): 4, (24.85% identity in 157 aa overlap); etc. Also similar to N-terminus of AAK46259|MT1987 putative ferredoxin reductase, electron transfer component from Mycobacterium tuberculosis strain CDC1551 (839 aa), FASTA scores: opt: 493, E(): 1.5e-23, (30.65% identity in 382 aa overlap).</t>
  </si>
  <si>
    <t>This enzyme converts D-mannose 6-phosphate to D-fructose 6-phosphate [catalytic activity: D-mannose 6-phosphate = D-fructose 6-phosphate].</t>
  </si>
  <si>
    <t>Probable mannose-6-phosphate isomerase ManA (phosphomannose isomerase) (phosphomannoisomerase) (PMI) (phosphohexoisomerase) (phosphohexomutase)</t>
  </si>
  <si>
    <t>Rv3255c, (MTCY20B11.30c), len: 408 aa. Probable manA, mannose-6-phosphate isomerase, equivalent to Q9CCJ5|MANA|ML0765 putative mannose-6-phosphate isomerase from Mycobacterium leprae (410 aa), FASTA scores: opt: 2271, E(): 1.6e-133, (84.45% identity in 411 aa overlap). Also similar to many others e.g. Q9KZL9|MANA from Streptomyces coelicolor (383 aa), FASTA scores: opt: 946, E(): 2.4e-51, (44.4% identity in 403 aa overlap); Q9KV87|VC0269 from Vibrio cholerae (399 aa), FASTA scores: opt: 726, E(): 1.1e-37, (34.15% identity in 404 aa overlap); Q9CMJ5|PMI|PM0829 from Pasteurella multocida (400 aa), FASTA scores: opt: 640, E(): 2.4e-32, (32.5% identity in 391 aa overlap); etc. Similar to family 1 of mannose-6-phosphate isomerases.</t>
  </si>
  <si>
    <t>Rv3256c, (MTV015.01c-MTCY20B11.31c), len: 346 aa. Conserved protein, equivalent to Q9CCJ6|ML0764 hypothetical protein from Mycobacterium leprae (365 aa), FASTA scores: opt: 1574, E(): 1.4e-82, (75.35% identity in 365 aa overlap). Also similar to other hypothetical bacterial proteins e.g. Q9KZL8|SCE34.07c from Streptomyces coelicolor (375 aa), FASTA scores: opt: 171, E(): 0.012, (31.1% identity in 376 aa overlap); P55709|Y4YA_RHISN from Rhizobium sp. strain NGR234 (457 aa), FASTA scores: opt: 140, E(): 0.84, (28.75% identity in 233 aa overlap). A core mycobacterial gene; conserved in mycobacterial strains (See Marmiesse et al., 2004).</t>
  </si>
  <si>
    <t>pmmA</t>
  </si>
  <si>
    <t>This enzyme converses D-mannose 1-phosphate in D-mannose 6-phosphate [catalytic activity: D-mannose 1-phosphate = D-mannose 6-phosphate].</t>
  </si>
  <si>
    <t>Probable phosphomannomutase PmmA (PMM) (phosphomannose mutase)</t>
  </si>
  <si>
    <t>Rv3257c, (MTV015.02c), len: 465 aa. Probable pmmA, phosphomannomutase, equivalent to Q9CCJ7|PMMA|ML0763 phosphomannomutase from Mycobacterium leprae (468 aa), FASTA scores: opt: 2533, E(): 2e-145, (83.1% identity in 468 aa overlap). Also similar to many e.g. Q9KZL6|MANB from Streptomyces coelicolor (454 aa), FASTA scores: opt: 1820, E(): 2e-102, (63.2% identity in 459 aa overlap); Q9PGN8|XF0260 from Xylella fastidiosa (500 aa), FASTA scores: opt: 1085, E(): 4.7e-58, (40.7% identity in 462 aa overlap); Q9EY19|MANB from Salmonella enterica subsp. arizonae (456 aa), FASTA scores: opt: 988, E(): 3.1e-52, (38.65% identity in 445 aa overlap); etc. Belongs to the phosphohexose mutases family.</t>
  </si>
  <si>
    <t>Rv3258c, (MTV015.03c), len: 163 aa. Conserved hypothetical protein, equivalent to Q9CCJ8|ML0762 hypothetical protein from Mycobacterium leprae (165 aa), FASTA scores: opt: 840, E(): 9.9e-42, (76.9% identity in 169 aa overlap). Also similar to Q9KZL4|SCE34.11c hypothetical 15.0 KDA protein from Streptomyces coelicolor (140 aa), FASTA scores: opt: 353, E(): 1.1e-13, (48.3% identity in 147 aa overlap); and shows really weak similarity to other bacterial proteins.</t>
  </si>
  <si>
    <t>Rv3259, (MTV015.04), len: 139 aa. Conserved hypothetical protein, equivalent, but shorter 29 aa, to Q9CCJ9|ML0761 hypothetical protein from Mycobacterium leprae (167 aa), FASTA scores: opt: 846, E(): 2.2e-47, (89.2% identity in 139 aa overlap). C-terminus highly similar to Q9S425 hypothetical 6.0 KDA protein (fragment) from Mycobacterium smegmatis (54 aa), FASTA scores: opt: 275, E(): 2.7e-11, (81.15% identity in 53 aa overlap). Also similar to Q9KZL3|SCE34.12 from Streptomyces coelicolor (117 aa), FASTA scores: opt: 152, E(): 0.004, (34.15% identity in 126 aa overlap). Equivalent to AAK47699 from Mycobacterium tuberculosis strain CDC1551 (175 aa) but shorter 36 aa. A core mycobacterial gene; conserved in mycobacterial strains (See Marmiesse et al., 2004).</t>
  </si>
  <si>
    <t>Probable transcriptional regulatory protein WhiB-like WhiB2</t>
  </si>
  <si>
    <t>Rv3260c, (MTV015.05c), len: 89 aa. Probable whiB2 (alternate gene name: whmD), WhiB-like regulatory protein (see Hutter &amp; Dick 1999), similar to WhiB paralogue of Streptomyces coelicolor, wblE gene product (85 aa). Equivalent to Q9CCK0|WHIB2|ML0760 putative transcriptional regulator from Mycobacterium leprae (89 aa), FASTA scores: opt: 550, E(): 6.1e-31, (85.4% identity in 89 aa overlap). Also similar to others e.g. Q9S426 WHMD regulatory protein (see Gomez &amp; Bishai 2000) from Mycobacterium smegmatis (129 aa), FASTA scores: opt: 488, E(): 1.4e-26, (83.55% identity in 85 aa overlap); Q06387|WHIB-STV WHIB-STV protein from Streptomyces griseocarneus (87 aa), FASTA scores: opt: 443, E(): 1.2e-23, (74.7% identity in 83 aa overlap); Q05429|WHIB|WHIB1 transcription-like factor WhiB from Streptomyces aureofaciens (87 aa), FASTA scores: opt: 442, E(): 1.3e-23, (74.7% identity in 83 aa overlap); etc. Equivalent to AAK47700 WhiB-related protein from Mycobacterium tuberculosis strain CDC1551 (123 aa) but shorter 34 aa. Also similar to other Mycobacterium tuberculosis proteins: MTCY07D11.07c (45.1% identity in 71 aa overlap) and MTCY78.13c (37.4% identity in 91 aa overlap). Start chosen by homology but ORF continues to ATG upstream at 3754.</t>
  </si>
  <si>
    <t>Required for coenzyme F420 production: involved in the conversion of FO into F420.</t>
  </si>
  <si>
    <t>Probable F420 biosynthesis protein FbiA</t>
  </si>
  <si>
    <t>Rv3261, (MTCY71.01), len: 331 aa. Probable fbiA, F420 biosynthesis protein, equivalent to FBIA F420 biosynthesis protein fbiA from Mycobacterium bovis BCG (see citations below). Also equivalent, but shorter 46 aa, to Q9CCK1|ML0759 hypothetical protein from Mycobacterium leprae (379 aa), FASTA scores: opt: 1855, E(): 3.9e-110, (79.3% identity in 333 aa overlap). Also similar to others e.g. Q9KZK9|SCE34.17 hypothetical 33.6 KDA protein from Streptomyces coelicolor (319 aa), FASTA scores: opt: 1151, E(): 1.2e-65, (55.1% identity in 332 aa overlap); O29345|AF0917 conserved hypothetical protein from Archaeoglobus fulgidus (296 aa), FASTA scores: opt: 469, E(): 1.7e-22, (31.15% identity in 302 aa overlap); Q58653|MJ1256 hypothetical protein from Methanococcus jannaschii (311 aa), FASTA scores: opt: 436, E(): 2.2e-20, (27.35% identity in 274 aa overlap); etc.</t>
  </si>
  <si>
    <t>Probable F420 biosynthesis protein FbiB</t>
  </si>
  <si>
    <t>Rv3262, (MTCY71.02), len: 448 aa. Probable fbiB, F420 biosynthesis protein, equivalent to FBIB F420 biosynthesis protein fbiB from Mycobacterium bovis BCG (see citations below). Also equivalent to Q9CCK2|ML0758 putative oxidoreductase from Mycobacterium leprae (457 aa), FASTA scores: opt: 2411, E(): 3.5e-137, (82.25% identity in 445 aa overlap). Also similar to Q9KZK8|SCE34.18 putative oxidoreductase from Streptomyces coelicolor (443 aa), FASTA scores: opt: 1180, E(): 2.2e-63, (51.75% identity in 433 aa overlap); other oxidoreductases in C-terminus; and several hypothetical bacterial proteins.</t>
  </si>
  <si>
    <t>Causes DNA methylation.</t>
  </si>
  <si>
    <t>Probable DNA methylase (modification methylase) (methyltransferase)</t>
  </si>
  <si>
    <t>Rv3263, (MTCY71.03), len: 553 aa. Probable DNA methylase, equivalent to Q9CCK4|ML0756 probable DNA methylase from Mycobacterium leprae (555 aa), FASTA scores: opt: 2980, E(): 2.1e-184, (81.9% identity in 541 aa overlap). Also similar to others e.g. P25240|MT57_ECOLI|ECO57IM modification methylase from Escherichia coli (544 aa), FASTA scores: opt: 595, E(): 1e-30, (30.35% identity in 507 aa overlap); P25201|MTA1_ACICA|ACCIM modification methylase ACCI from Acinetobacter calcoaceticus (540 aa), FASTA scores: opt: 366, E(): 5.7e-16, (23.35% identity in 467 aa overlap); Q56752|M-ACCI ACCI methylase from Bergeyella zoohelcum (541 aa), FASTA scores: opt: 365, E(): 6.6e-16, (22.95% identity in 466 aa overlap); etc. Contains PS00092 N-6 Adenine-specific DNA methylases signature. Alternative start site at aa 25.</t>
  </si>
  <si>
    <t>Involved in GDP-mannose biosynthesis and biosynthesis of nucleotide-activated glycero-manno-heptose (D-alpha-D pathway): generates GDP-mannose and phosphate from GTP and alpha-D-mannose 1-phosphate. MANB product is needed for all mannosyl glycolipids and polysaccharides which, like rhamnosyl residues, are an important part of the mycobacterium envelope [catalytic activity: alpha-D-mannose 1-phosphate + GTP = GDP-mannose + phosphate].</t>
  </si>
  <si>
    <t>D-alpha-D-mannose-1-phosphate guanylyltransferase ManB (D-alpha-D-heptose-1-phosphate guanylyltransferase)</t>
  </si>
  <si>
    <t>Rv3264c, (MTCY71.04c), len: 359 aa. ManB (alternate gene name: hddC), D-alpha-D-mannose-1-phosphate guanylyltransferase (see citations below), equivalent to Q9CCK6|RMLA2|ML0753 putative sugar-phosphate nucleotidyl transferase from Mycobacterium leprae (358 aa), FASTA scores: opt: 2075, E(): 2.7e-115, (86.9% identity in 359 aa overlap). Also similar to others e.g. Q9KZK6|SCE34.20c putative nucleotide phosphorylase from Streptomyces coelicolor (360 aa), FASTA scores: opt: 1314, E(): 2.2e-70, (57.0% identity in 358 aa overlap); Q9KZP4|SC1A8A.08 putative mannose-1-phosphate guanyltransferase from Streptomyces coelicolor (831 aa), FASTA scores: opt: 699, E(): 8.6e-34, (34.45% identity in 354 aa overlap) (only similarity in N-terminus for this one); P74589|SLL1496 mannose-1-phosphate guanyltransferase from Synechocystis sp. strain PCC 6803 (843 aa), FASTA scores: opt: 692, E(): 2.3e-33, (35.1% identity in 342 aa overlap) (only similarity in N-terminus for this one too); BAB59222|TVG0079558 mannose-1-phosphate guanyltransferase from Thermoplasma volcanium (359 aa), FASTA scores: opt: 664, E(): 5.2e-32, (34.6% identity in 338 aa overlap); Q9ZTW5|GMP GDP-mannose pyrophosphorylase from Solanum tuberosum (Potato) (361 aa), FASTA scores: opt: 636, E(): 2.3e-30, (34.65% identity in 361 aa overlap); etc. Belongs to family 2 of mannose-6-phosphate isomerases. Note that previously known as rmlA2.</t>
  </si>
  <si>
    <t>Probably involved in cell wall arabinogalactan linker formation: Uses dTDP-L-rhamnose as substrate to insert the rhamnosyl residue into the cell wall. Seems to be essential for mycobacterial viability.</t>
  </si>
  <si>
    <t>dTDP-RHA:a-D-GlcNAc-diphosphoryl polyprenol, a-3-L-rhamnosyl transferase WbbL1 (alpha-L-rhamnose-(1-&gt;3)-alpha-D-GlcNAc(1-&gt;P)-P-decaprenyl)</t>
  </si>
  <si>
    <t>Rv3265c, (MTCY71.05c), len: 301 aa. wbbL1, dTDP-RHA:a-D-GlcNAc-diphosphoryl polyprenol a-3-L-rhamnosyl transferase (see citations below), equivalent to Q9CCK7|WBBL|ML0752 putative dTDP-rhamnosyl transferase from Mycobacterium leprae (308 aa), FASTA scores: opt: 1788, E(): 3e-104, (85.05% identity in 301 aa overlap); and Q9RN50|WBBL|Q9RN49 (see note * below) dTDP-RHA:a-D-GlcNAc-diphosphoryl polyprenol, a-3-L-rhamnosyl transferase from Mycobacterium smegmatis (296 aa), FASTA scores: opt: 1494, E(): 6.1e-86, (72.35% identity in 293 aa overlap). Note that previously known as wbbL. [* Note: unpublished (experimental study on Mycobacterium smegmatis). Submitted (SEP-1999) to the EMBL/GenBank/DDBJ databases - The cell wall arabinogalactan linker formation enzyme, dTDP-Rha:a-D-GlcNAc-diphosphoryl polyprenol, a-3-L-rhamnosyl transferase is essential for mycobacterial viability - Mills J.A., Motichka K., Jucker M., Wu H.P., Uhlic B.C., Stern R.J., Scherman M.S., Vissa V.D., Yan W., Pan F., Kimbrel S., Kundu M., McNeil M.].</t>
  </si>
  <si>
    <t>rmlD</t>
  </si>
  <si>
    <t>Involved in dTDP-L-rhamnose biosynthesis: converts dTDP-6-deoxy-L-lyxo-4-hexulose to dTDP-L-rhamnose with the concomitant oxidation of NADPH to NADP+ [catalytic activity: dTDP-6-deoxy-L-lyxo-4-hexulose + NADPH = dTDP-L-rhamnose + NADP+].</t>
  </si>
  <si>
    <t>dTDP-6-deoxy-L-lyxo-4-hexulose reductase RmlD (dTDP-rhamnose modification protein) (dTDP-rhamnose biosynthesis protein) (dTDP-rhamnose synthase)</t>
  </si>
  <si>
    <t>Rv3266c, (MTCY71.06c), len: 304 aa. RmlD, dTDP-6-deoxy-L-lyxo-4-hexulose reductase (dTDP-rhamnose modification protein) (see citations below), highly similar to Q9CCK8 putative dTDP-rhamnose modification protein from Mycobacterium leprae (311 aa), FASTA scores, opt: 1440, E(): 1.1e-78, (74.7% identity in 312 aa overlap); and similar to several dTDP-4-dehydrorhamnose reductase e.g. STRL_STRGR|P29781 from Streptomyces griseus (304 aa), FASTA scores, opt: 788, E(): 0, (47.4% identity in 304 aa overlap).</t>
  </si>
  <si>
    <t>Conserved protein (CPSA-related protein)</t>
  </si>
  <si>
    <t>Rv3267, (MTCY71.07), len: 498 aa. Conserved protein, CPSA-related protein, equivalent to Q9CCK9|ML0750 hypothetical protein from Mycobacterium leprae (489 aa), FASTA scores: opt: 2523, E(): 5e-138, (78.9% identity in 498 aa overlap); and Q50160|CPSA (hypothetical protein CPSA) from Mycobacterium leprae (516 aa), FASTA scores: opt: 868, E(): 1.2e-42, (34.7% identity in 507 aa overlap). Also similar to O06347|CPSA|Rv3484|MTCY13E12.37 CPSA from Mycobacterium tuberculosis (512 aa), FASTA scores: opt: 928, E(): 4.2e-46, (37.35% identity in 498 aa overlap); and O53834|Rv0822c|MTV043.14c hypothetical 72.9 KDA protein from Mycobacterium tuberculosis (684 aa), FASTA scores: opt: 434, E(): 1.5e-17, (30.9% identity in 541 aa overlap). Also similar to Q9KZK0|SCE34.26 conserved hypothetical protein from Streptomyces coelicolor (507 aa), FASTA scores: opt: 437, E(): 8.1e-18, (28.55% identity in 469 aa overlap); O68907 FRNA protein from Streptomyces roseofulvus (770 aa), FASTA scores: opt: 388, E(): 7.6e-15, (32.6% identity in 267 aa overlap); etc. Contains PS00017 ATP/GTP-binding site motif A. Predicted to be an outer membrane protein (See Song et al., 2008).</t>
  </si>
  <si>
    <t>Rv3268, (MTCY71.08), len: 229 aa. Conserved hypothetical protein, similar to Q9KZK4|SCE34.22 hypothetical 27.1 KDA protein from Streptomyces coelicolor (263 aa), FASTA scores: opt: 442, E(): 5.9e-20, (40.1% identity in 242 aa overlap). Also weak similarity to N-terminal part (approximately 1530 to 1740 residues) of O07944|SNBDE pristinamycin I synthase 3 and 4 from Streptomyces pristinaespiralis (4848 aa), FASTA scores: opt: 159, E(): 0.11, (30.35% identity in 224 aa overlap).</t>
  </si>
  <si>
    <t>Function unknown. May be involved in a chaperoning process.</t>
  </si>
  <si>
    <t>Rv3269, (MTCY71.09), len: 93 aa. Conserved protein, similar to many Mycobacterium proteins and chaperonins/heat shock proteins e.g. Q9CCL0|ML0748 hypothetical protein from Mycobacterium leprae (92 aa), FASTA scores: opt: 427, E(): 6.8e-21, (73.65% identity in 91 aa overlap); Q10865|Rv1993c|MT2049|MTCY39.26c hypothetical protein from Mycobacterium tuberculosis (90 aa), FASTA scores: opt: 313, E(): 1.2e-13, (60.7% identity in 84 aa overlap); P71542|Y968_MYCTU|Rv0968|MTCY10D7.06c (98 aa), FASTA scores: opt: 294, E(): 2.2e-12, (55.1% identity in 98 aa overlap); Q50827|MOPA|GROEL|CH60_MYCVA chaperonin (protein CPN60) from Mycobacterium vaccae (120 aa), FASTA scores: opt: 107, E(): 2.1, (39.5% identity in 81 aa overlap); Q9AEB3|HSP65 heat shock protein (fragment) from Mycobacterium gadium (122 aa), FASTA scores: opt: 102, E(): 4.4, (38.25% identity in 81 aa overlap); Q49374|CH60_MYCGN|MOPA|GROEL chaperonin (protein CPN60) from Mycobacterium genavense (120 aa), FASTA scores: opt: 99, E(): 6.8, (40.25% identity in 82 aa overlap); etc. A core mycobacterial gene; conserved in mycobacterial strains (See Marmiesse et al., 2004).</t>
  </si>
  <si>
    <t>Metal cation-transporting ATPase; possibly catalyzes the transport of undetermined metal cation with the hydrolyse of ATP [catalytic activity: ATP + H(2)O + undetermined metal cation(in) = ADP + phosphate + undetermined metal cation(out)].</t>
  </si>
  <si>
    <t>Probable metal cation-transporting P-type ATPase C CtpC</t>
  </si>
  <si>
    <t>Rv3270, (MT3370, MTCY71.10), len: 718 aa. Probable ctpC, metal cation-transport ATPase P-type, integral membrane protein, equivalent to Q9CCL1|CTPC|ML0747 putative cation transport ATPase from Mycobacterium leprae (725 aa), FASTA scores: opt: 3908, E(): 0, (85.95% identity in 713 aa overlap). Also similar to O66027|MTAA metal transporting ATPase MTA72 from Mycobacterium tuberculosis (680 aa), FASTA scores: opt: 3756, E(): 5.5e-213, (91.45% identity in 679 aa overlap); and to other ATPases e.g. Q9ZHC7|SILP_SALTY putative cation transporting P-type ATPase from Salmonella typhimurium (824 aa), FASTA scores: opt: 1145, E(): 1.3e-59, (36.55% identity in 643 aa overlap); Q9HX93|PA3920 probable metal transporting P-type ATPase from Pseudomonas aeruginosa (792 aa), FASTA scores: opt: 1140, E(): 2.4e-59, (35.95% identity in 745 aa overlap); etc. Contains PS00154 E1-E2 ATPases phosphorylation site. Belongs to the cation transport ATPases family (E1-E2 ATPases), subfamily IB.</t>
  </si>
  <si>
    <t>Rv3271c, (MTCY71.11c), len: 222 aa. Probable conserved integral membrane protein, similar to others e.g. Q9RD35|SCM1.07c from Streptomyces coelicolor (230 aa), FASTA scores: opt: 360, E(): 4.7e-16, (33.85% identity in 195 aa overlap); Q9X897|SCE2.02c from Streptomyces coelicolor (234 aa), FASTA scores: opt: 357, E(): 7.3e-16, (33.85% identity in 195 aa overlap); Q9D0E0 2610024A01RIK protein from Mus musculus (Mouse) (288 aa), FASTA scores: opt: 191, E(): 3.7e-05, (23.65% identity in 207 aa overlap).</t>
  </si>
  <si>
    <t>Rv3272, (MTCY71.12), len: 394 aa. Conserved hypothetical protein, similar to various proteins e.g. Q9I672|PA0446 hypothetical protein from Pseudomonas aeruginosa (407 aa), FASTA scores: opt: 643, E(): 6.8e-32, (33.15% identity in 389 aa overlap); Q9RJU8|SCF41.21 putative racemase from Streptomyces coelicolor (403 aa), FASTA scores: opt: 541, E(): 1.1e-25, (31.95% identity in 385 aa overlap); O87838|SC8A6.04c putative transferase from Streptomyces coelicolor (410 aa), FASTA scores: opt: 539, E(): 1.5e-25, (29.95% identity in 395 aa overlap); Q9I563|PA0882 from Pseudomonas aeruginosa (400 aa), FASTA scores: opt: 530, E(): 5.2e-25, (28.8% identity in 396 aa overlap); BAB60328|TVG1215416 L-carnitine dehydratase from Thermoplasma volcanium (399 aa), FASTA scores: opt: 529, E(): 6e-25, (32.9% identity in 383 aa overlap); etc. C-terminus is similar to Q49678|U00012_27|B1308_C3_195 from Mycobacterium leprae (130 aa) (60.0% identity in 115 aa overlap). Also partially similar to MTCY359_7 from M. tuberculosis (778 aa) (29.9% identity in 388 aa overlap).</t>
  </si>
  <si>
    <t>Generates CO(2) and H(2)O from H(2)co(3), and possibly involved in transport of sulfate across the membrane.</t>
  </si>
  <si>
    <t>Probable transmembrane carbonic anhydrase (carbonate dehydratase) (carbonic dehydratase)</t>
  </si>
  <si>
    <t>Rv3273, (MTCY71.13), len: 764 aa. Probable transmembrane protein (N-terminal part is hydrophobic) with probable carbonic anhydrase activity (in C-terminal part). Possibly involved in transport of sulfate. Equivalent to Q9CBA3|ML2279 putative transmembrane transport protein from Mycobacterium leprae (496 aa), FASTA scores: opt: 1637, E(): 1.8e-89, (59.15% identity in 487 aa overlap). Similar to various proteins (principally sulfate transporters) e.g. Q9X927|SCH5.25 putative integral membrane protein from Streptomyces coelicolor (830 aa), FASTA scores: opt: 1325, E(): 8e-71, (40.85% identity in 788 aa overlap); Q9I729|PA0103 probable sulfate transporter from Pseudomonas aeruginosa (523 aa), FASTA scores: opt: 1015, E(): 1.3e-52, (39.95% identity in 488 aa overlap); Q9KN88|VCA0077 sulfate permease family protein from Vibrio cholerae (553 aa), FASTA scores: opt: 629, E(): 9.6e-30, (30.95% identity in 423 aa overlap); etc. C-terminal part (aa 550-764) shows similarity to carbonic anhydrase e.g. P27134|CYNT_SYNP7 carbonic anhydrase (272 aa), FASTA scores: opt: 350, E(): 8.1e-15, (33.8% identity in 201 aa overlap). Contains PS00704 Prokaryotic-type carbonic anhydrases signature 1. Seems to belong to the SulP family.</t>
  </si>
  <si>
    <t>Function unknown, but involved in lipid degradation [catalytic activity: acyl-CoA + ETF = 2,3-dehydroacyl-CoA + reduced ETF].</t>
  </si>
  <si>
    <t>Probable acyl-CoA dehydrogenase FadE25</t>
  </si>
  <si>
    <t>Rv3274c, (MTCY71.14c), len: 389 aa. Probable fadE25, Acyl-CoA Dehydrogenase, equivalent to P46703|ACDP_MYCLE|FADE25|ACD|ML0737|B1308_F1_34 probable acyl-CoA dehydrogenase FADE25 from Mycobacterium leprae (389 aa), FASTA scores: opt: 2394, E(): 3.8e-143, (92.05% identity in 389 aa overlap). Also similar to many e.g. Q9RIQ5|fade fatty acid acyl-CoA dehydrogenase from Streptomyces lividans (385 aa), FASTA scores: opt: 1692, E(): 4.9e-99, (67.35% identity in 383 aa overlap); P45867|ACDA_BACSU|ACD from Bacillus subtilis (379 aa), FASTA scores: opt: 1212, E(): 7.2e-69, (51.85% identity in 376 aa overlap); Q9K6D1|ACDA|BH3798 from Bacillus halodurans (380 aa), FASTA scores: opt: 1209, E(): 1.1e-68, (51.7% identity in 377 aa overlap); P52042|ACDS_CLOAB|BCD from Clostridium acetobutylicum (379 aa), FASTA scores: opt: 1056, E(): 4.6e-59, (44.6% identity in 379 aa overlap); etc. Contains PS00072 Acyl-CoA dehydrogenases signature 1, PS00073 Acyl-CoA dehydrogenases signature 2. Belongs to the acyl-CoA dehydrogenases family.</t>
  </si>
  <si>
    <t>Involved in purine biosynthesis (sixth step). This subunit can alone transform air to CAIR, but in association with PURK, which possesses an ATPase activity, an enzyme complex is produced which is capable of converting air to CAIR efficiently under physiological condition [catalytic activity: 1-(5-phosphoribosyl)-5-amino-4-imidazole-carboxylate = 1-(5-phosphoribosyl)-5-aminoimidazole + CO(2)].</t>
  </si>
  <si>
    <t>Probable phosphoribosylaminoimidazole carboxylase catalytic subunit PurE (air carboxylase) (AIRC)</t>
  </si>
  <si>
    <t>Rv3275c, (MTCY71.15c, PUR6), len: 174 aa. Probable purE, phosphoribosylaminoimidazole carboxylase catalytic subunit, equivalent to P46702|PUR6_MYCLE|pure|ML0736|B1308_F3_98 from Mycobacterium leprae (171 aa), FASTA scores: opt: 878, E(): 1.5e-43, (81.55% identity in 168 aa overlap). Also similar to others e.g. Q9AXD0|AIRC from Nicotiana tabacum (Common tobacco) (623 aa), FASTA scores: opt: 712, E(): 1.4e-33, (69.35% identity in 160 aa overlap) (similarity in C-terminal part for this one); Q44679|PUR6_CORAM from Corynebacterium ammoniagenes (Brevibacterium ammoniagenes) (177 aa), FASTA scores: opt: 651, E(): 1.5e-30, (68.25% identity in 148 aa overlap); Q55498|PUR6_SYNY3|pure|SLL0901 from Synechocystis sp. strain PCC 6803 (176 aa), FASTA scores: opt: 639, E(): 7.1e-30, (60.5% identity in 167 aa overlap); etc.</t>
  </si>
  <si>
    <t>Involved in purine biosynthesis (sixth step). Possesses an ATPase activity that is dependent on the presence of air (aminoimidazole ribonucleotide). The association of PURK and pure produces an enzyme complex capable of converting air to CAIR efficiently under physiological condition [catalytic activity: 1-(5-phosphoribosyl)-5-amino-4-imidazole-carboxylate = 1-(5-phosphoribosyl)-5-aminoimidazole + CO(2)].</t>
  </si>
  <si>
    <t>Probable phosphoribosylaminoimidazole carboxylase ATPase subunit PurK (air carboxylase) (AIRC)</t>
  </si>
  <si>
    <t>Rv3276c, (MTCY71.16c), len: 429 aa. Probable purK, phosphoribosylaminoimidazole carboxylase ATPase subunit , equivalent to P46701|PURK_MYCLE|ML0735|B1308_F1_32 phosphoribosylaminoimidazole carboxylase ATPase subunit from Mycobacterium leprae (439 aa), FASTA scores: opt: 2168, E(): 2.3e-123, (76.15% identity in 444 aa overlap). Also similar to others e.g. Q44678|PURK_CORAM from Corynebacterium ammoniagenes (Brevibacterium ammoniagenes) (413 aa), FASTA scores: opt: 1179, E(): 9.1e-64, (48.35% identity in 389 aa overlap); Q9KZ85|PURK from Streptomyces coelicolor (368 aa), FASTA scores: opt: 1150, E(): 4.7e-62, (55.35% identity in 345 aa overlap); Q54975|PURK_SYNP7 from Synechococcus sp. strain PCC 7942 (Anacystis nidulans R2) (395 aa), FASTA scores: opt: 772, E(): 3e-39, (38.1% identity in 383 aa overlap); etc. Belongs to the PurK / PurT family.</t>
  </si>
  <si>
    <t>Rv3277, (MTCY71.17), len: 272 aa. Probable conserved transmembrane protein, equivalent, but longer 49 aa, to Q49673|B1308_C1_121|ML0734 putative membrane protein from Mycobacterium leprae (228 aa), FASTA scores: opt: 1266, E(): 6.1e-78, (84.2% identity in 228 aa overlap). Also similar to various proteins (principally unknowns) e.g. Q9KZ84|SCE25.02 putative integral membrane protein from Streptomyces coelicolor (190 aa), FASTA scores: opt: 197, E(): 3.6e-06, (32.0% identity in 150 aa overlap); BAB50058|MLL3086 hypothetical protein from Rhizobium loti (Mesorhizobium loti) (136 aa), FASTA scores: opt: 176, E(): 6.9e-05, (34.7% identity in 147 aa overlap); O29640|AF0615 hypothetical protein from Archaeoglobus fulgidus (129 aa), FASTA scores: opt: 120, E(): 0.38, (23.35% identity in 120 aa overlap); Q9KJU8|GTCA teichoic acid glycosylation protein from Listeria innocua (145 aa), FASTA scores: opt: 117, E(): 0.67, (23.85% identity in 151 aa overlap); etc. Equivalent to AAK47718 from Mycobacterium tuberculosis strain CDC1551 (256 aa) but longer 16 aa. Contains PS00044 Bacterial regulatory proteins, lysR family signature. A core mycobacterial gene; conserved in mycobacterial strains (See Marmiesse et al., 2004).</t>
  </si>
  <si>
    <t>Rv3278c, (MTCY71.18c), len: 172 aa. Probable conserved transmembrane protein, equivalent to Q9CCL2|ML0733 putative membrane protein from Mycobacterium leprae (172 aa), FASTA scores: opt: 1024, E(): 6e-61, (83.15% identity in 172 aa overlap); and Q49672|B1308_F2_67 hypothetical protein from Mycobacterium leprae (181 aa), FASTA scores: opt: 1024, E(): 6.3e-61, (83.15% identity in 172 aa overlap) (this is certainly the same putative protein but with N-terminus longer). Also some similarity to other hypothetical proteins (generally membrane proteins) e.g. O26822|MTH726 hypothetical protein from Methanobacterium thermoautotrophicum (204 aa), FASTA scores: opt: 147, E(): 0.0079, (24.6% identity in 187 aa overlap); Q9X8H4|SCE9.01 hypothetical 47.7 KDA protein (fragment) from Streptomyces coelicolor (436 aa), FASTA scores: opt: 151, E(): 0.0079, (28.1% identity in 153 aa overlap). A core mycobacterial gene; conserved in mycobacterial strains (See Marmiesse et al., 2004).</t>
  </si>
  <si>
    <t>BIRA acts both as a biotin-operon repressor and as the enzyme that synthesizes the corepressor, acetyl-CoA:carbon-dioxide ligase. This protein also activates biotin to form biotinyl-5'-adenylate and transfers the biotin moiety to biotin-accepting proteins [catalytic activity: ATP + biotin + APO-[acetyl-CoA:carbon-dioxide ligase (ADP forming)] = AMP + pyrophosphate + [acetyl-CoA:carbon-dioxide ligase (ADP forming)]].</t>
  </si>
  <si>
    <t>Possible bifunctional protein BirA: biotin operon repressor + biotin--[acetyl-CoA-carboxylase] synthetase (biotin--protein ligase)</t>
  </si>
  <si>
    <t>Rv3279c, (MTCY71.19c), len: 266 aa. Possible birA, bifunctional protein: biotin operon repressor and biotin--[acetyl-CoA-carboxylase] synthetase, equivalent to Q9CCL3|BIRA|ML0732 biotin APO-protein ligase from Mycobacterium leprae (274 aa), FASTA scores: opt: 1189, E(): 2.3e-66, (71.2% identity in 271 aa overlap). But as it lacks a BirA h-t-h domain at N-terminus, may simply be biotin apo-protein ligase. Also similar to others e.g. Q9CNX6|BIRA|PM0296 from Pasteurella multocida (312 aa), FASTA scores: opt: 347, E(): 2.7e-14, (32.95% identity in 270 aa overlap); Q9HWC0|BIRA|PA4280 from Pseudomonas aeruginosa (312 aa), FASTA scores: opt: 335, E(): 1.5e-13, (34.2% identity in 272 aa overlap); Q9A6Z0|CC1936 from Caulobacter crescentus (250 aa), FASTA scores: opt: 332, E(): 1.9e-13, (33.6% identity in 238 aa overlap); P06709|BIRA_ECOLI (321 aa), FASTA scores: opt: 314, E(): 3.1e-12, (34.15% identity in 249 aa overlap); etc. Similar with other bacterial BIRA and with eukaryotic biotin APO-protein ligase.</t>
  </si>
  <si>
    <t>Key enzyme in the catabolic pathway of odd-chain fatty acids, isoleucine, threonine, methionine, and valine [catalytic activity: ATP + propionyl-CoA + CO(2) + H(2)O = ADP + orthophosphate + methylmalonyl-CoA.]</t>
  </si>
  <si>
    <t>Probable propionyl-CoA carboxylase beta chain 5 AccD5 (pccase) (propanoyl-CoA:carbon dioxide ligase)</t>
  </si>
  <si>
    <t>Rv3280, (MTCY71.20, pccB), len: 548 aa. Probable accD5, propionyl-CoA carboxylase beta chain 5, equivalent to P53002|PCCB_MYCLE|ACCD5|ML0731|B1308_C1_125 probable propionyl-CoA carboxylase beta chain 5 from Mycobacterium leprae (549 aa), FASTA scores: opt: 3241, E(): 4e-192, (88.7% identity in 549 aa overlap). Also similar to many e.g. O87201|DTSR2 DTSR2 protein involved in glutamate production from Corynebacterium glutamicum (Brevibacterium flavum) (537 aa), FASTA scores: opt: 2604, E(): 6.9e-153, (74.1% identity in 529 aa overlap) (see Kimura et al., 1996); P53003|PCCB_SACER from Saccharopolyspora erythraea (Streptomyces erythraeus) (546 aa), FASTA scores: opt: 2466, E(): 2.2e-144, (70.2% identity in 530 aa overlap); O88155|DTSR1 DTSR1 protein from Corynebacterium glutamicum (Brevibacterium flavum) (543 aa), FASTA scores: opt: 2375, E(): 8.8e-139, (67.1% identity in 529 aa overlap; Q9X4K7|PCCB from Streptomyces coelicolor (530 aa), FASTA scores: opt: 2360, E(): 7.3e-138, (67.9% identity in 533 aa overlap); O24789|mxpccb from Myxococcus xanthus (524 aa), FASTA scores: opt: 1868, E(): 1.5e-107, (56.85% identity in 524 aa overlap); etc. Also similar with methylmalonyl-CoA decarboxylases e.g. O59018|PH1287 from Pyrococcus horikoshii (522 aa), FASTA scores: opt: 1841, E(): 6.7e-106, (54.15% identity in 528 aa overlap). Also similarity with MTCY427.28 (43.8% identity in 434 aa overlap). Belongs to the ACCD/PCCB family. AccA3 (Rv3285), AccD5 (Rv3280), AccD4 (Rv3799), and AccE5 (Rv3281) form a biotin-dependent acyl-CoA carboxylase in M. tuberculosis H37Rv (See Oh et al., 2006).</t>
  </si>
  <si>
    <t>accE5</t>
  </si>
  <si>
    <t>Involved in long-chain fatty acid synthesis</t>
  </si>
  <si>
    <t>Probable bifunctional protein acetyl-/propionyl-coenzyme A carboxylase (epsilon chain) AccE5</t>
  </si>
  <si>
    <t>Rv3281, (MTCY71.21), len: 177 aa. Probable accE5, bifunctional acetyl-/propionyl-coenzyme A carboxylase, epsilon chain, equivalent (but longer 14 aa and with a gap between aa 82-102) to AAK47723|MT3380 from Mycobacterium tuberculosis strain CDC1551 (142 aa), FASTA scores: opt: 830, E(): 3.1e-40, (86.5% identity in 163 aa overlap). C-terminus highly similar to Q49671|B1308_C3_211|ML0730 from Mycobacterium leprae (84 aa), FASTA scores: opt: 393, E(): 7.6e-16, (68.95% identity in 87 aa overlap). A core mycobacterial gene; conserved in mycobacterial strains (See Marmiesse et al., 2004). AccA3 (Rv3285), AccD5 (Rv3280), AccD4 (Rv3799), and AccE5 (Rv3281) form a biotin-dependent acyl-CoA carboxylase in M. tuberculosis H37Rv (See Oh et al., 2006).</t>
  </si>
  <si>
    <t>Rv3282, (MTCY71.22), len: 222 aa. Conserved hypothetical protein, equivalent to Q49670|ML0729 1308R (hypothetical protein ML0729) from Mycobacterium leprae (213 aa), FASTA scores: opt: 945, E(): 5.5e-54, (68.55% identity in 213 aa overlap). Also similar to Q9EWV6|2SCK31.18 conserved hypothetical protein from Streptomyces coelicolor (206 aa), FASTA scores: opt: 459, E(): 1.3e-22, (47.35% identity in 209 aa overlap); P74331|MAF or SLL0905 MAF protein from Synechocystis sp. strain PCC 6803 (195 aa), FASTA scores: opt: 401, E(): 6.9e-19, (43.0% identity in 207 aa overlap); and shows weak similarity with various proteins e.g. Q9BUL6 acetylserotonin O-methyltransferase-like from Homo sapiens (Human) (621 aa), FASTA scores: opt: 282, E(): 8.9e-11, (31.6% identity in 193 aa overlap); O95671|ASMTL ASMTL protein from Homo sapiens (Human) (629 aa), FASTA scores: opt: 282, E(): 9e-11, (31.6% identity in 193 aa overlap); BAB51136|MLR4491 MAF protein from Rhizobium loti (Mesorhizobium loti) (199 aa), FASTA scores: opt: 269, E(): 2.3e-10, (29.3% identity in 198 aa overlap); etc.</t>
  </si>
  <si>
    <t>Possibly a sulfotransferase involved in the formation of thiosulfate [catalytic activity: thiosulfate + cyanide = sulfite + thiocyanate].</t>
  </si>
  <si>
    <t>Probable thiosulfate sulfurtransferase SseA (rhodanese) (thiosulfate cyanide transsulfurase) (thiosulfate thiotransferase)</t>
  </si>
  <si>
    <t>Rv3283, (MTCY71.23), len: 297 aa. Probable sseA, thiosulfate sulfurtransferase, equivalent P46700|THT2_MYCLE|SSEA|ML0728|B1308_C1_127 putative thiosulfate sulfurtransferase SSEA from Mycobacterium leprae (296 aa), FASTA scores: opt: 1742, E(): 5.5e-108, (83.45% identity in 296 aa overlap). Also highly similar to others e.g. Q9RXT9|DR0217 from Deinococcus radiodurans (286 aa), FASTA scores: opt: 1057, E(): 1.2e-62, (53.86% identity in 273 aa overlap); P16385|THTR_SACER|CYSA from Saccharopolyspora erythraea (Streptomyces erythraeus) (281 aa), FASTA scores: opt: 1006, E(): 2.7e-59, (51.25% identity in 277 aa overlap); P71121|THTR_CORGL from Corynebacterium glutamicum (Brevibacterium flavum) (225 aa), FASTA scores: opt: 897, E(): 3.6e-52, (59.05% identity in 215 aa overlap); etc. Also highly similar to O05793|CYSA1|CYSA|Rv3117|MT3199|MTCY164.27|CYSA2|RV0815c|MT0837|MTV043. 07c|THTR_MYCTU putative thiosulfate sulfurtransferase from Mycobacterium tuberculosis (277 aa), FASTA scores: opt: 955, E(): 6.3e-56, (50.2% identity in 271 aa overlap); and Q50036|THTR_MYCLE|CYSA|CYSA3|ML2198 putative thiosulfate sulfurtransferase from Mycobacterium leprae (277 aa), FASTA scores: opt: 931, E(): 2.5e-54, (48.9% identity in 276 aa overlap). Shows some similarity to MTCY339.19c (30.3% identity in 254 aa overlap). Contains PS00683 Rhodanese C-terminal signature. Belongs to the rhodanese family. Thought to be differentially expressed within host cells (see Triccas et al., 1999).</t>
  </si>
  <si>
    <t>Rv3284, (MTCY71.24, unknown), len: 143 aa. Conserved hypothetical protein, with similarity to other bacterial hypothetical proteins e.g. Q9RXU0|DR0216 from Deinococcus radiodurans (147 aa), FASTA scores: opt: 425, E(): 9.1e-21, (46.55% identity in 146 aa overlap); BAB37094|ECS3671 from Escherichia coli strain O157:H7 (147 aa), FASTA scores: opt: 187, E(): 2.2e-05, (29.5% identity in 139 aa overlap); AAG57925|YGDK from Escherichia coli strain O157:H7 EDL933 (147 aa), FASTA scores: opt: 187, E(): 2.2e-05, (32.05% identity in 139 aa overlap); etc.</t>
  </si>
  <si>
    <t>Involved in long-chain fatty acid synthesis (at the first step). Carries two functions: biotin carboxyl carrier protein and biotin carboxyltransferase [catalytic activity: ATP + biotin-carboxyl-carrier protein + CO(2) = ADP + orthophosphate + carboxybiotin-carboxyl-carrier protein].</t>
  </si>
  <si>
    <t>Probable bifunctional protein acetyl-/propionyl-coenzyme A carboxylase (alpha chain) AccA3: biotin carboxylase + biotin carboxyl carrier protein (BCCP)</t>
  </si>
  <si>
    <t>Rv3285, (MTCY71.25), len: 600 aa. Probable accA3, bifunctional protein acetyl-/propionyl-coenzyme A carboxylase, alpha chain (see citations below) equivalent to P46392|BCCA_MYCLE|BCCA|ML0726|B1308_C1_129 acetyl-/propionyl-coenzyme A carboxylase alpha chain from Mycobacterium leprae (598 aa), FASTA scores: opt: 3510, E(): 1.1e-196, (89.3% identity in 601 aa overlap). Also highly similar to other proteins e.g. P71122|ACCBC acyl coenzyme A carboxylase from Corynebacterium glutamicum (Brevibacterium flavum) (591 aa), FASTA scores: opt: 2776, E(): 5.6e-154, (71.95% identity in 592 aa overlap); Q54119|BCPA2 biotin carboxylase and biotin carboxyl carrier protein from Saccharopolyspora erythraea (Streptomyces erythraeus) (591 aa), FASTA scores: opt: 2723, E(): 6.7e-151, (70.5% identity in 590 aa overlap); Q54105|BCPA biotin carboxylase and biotin carboxyl carrier protein from Saccharopolyspora erythraea (Streptomyces erythraeus) (597 aa), FASTA scores: opt: 2721, E(): 8.9e-151, (70.05% identity in 594 aa overlap); Q9EWV4|2SCK31.20 putative acyl-CoA carboxylase complex a subunit from Streptomyces coelicolor (590 aa), FASTA scores: opt: 2626, E(): 2.9e-145, (68.25% identity in 595 aa overlap); etc. Contains PS00867 Carbamoyl-phosphate synthase subdomain signature 2, PS00188 Biotin-requiring enzymes attachment site. Similar to other biotin-dependent enzymes and carbamoyl-phosphate synthetases. AccA3 (Rv3285), AccD5 (Rv3280), AccD4 (Rv3799), and AccE5 (Rv3281) form a biotin-dependent acyl-CoA carboxylase in M. tuberculosis H37Rv (See Oh et al., 2006).</t>
  </si>
  <si>
    <t>The sigma factor is an initiation factor that promotes attachment of the RNA polymerase to specific initiation sites and then is released. Thought to be involved in survival and proliferation in lung granulomas during infection. Thought to be involved in virulence and persistence processes. Modulates expression of the 16 KDa alpha-crystallin homologue/Rv2031c. Negatively regulated by Rv3287c|RSBW|USFX.</t>
  </si>
  <si>
    <t>Alternative RNA polymerase sigma factor SigF</t>
  </si>
  <si>
    <t>Rv3286c, (MTCY71.26), len: 261 aa. SigF, stress response/stationary phase RNA polymerase sigma factor (see citations below), similar to several Streptomyces RNA polymerase sigma factors e.g. Q9RPC8|sigh from Streptomyces coelicolor A3(2) (354 aa), FASTA scores: opt: 869, E(): 1.1e-45, (51.15% identity in 258 aa overlap); Q9RIT0|SIG1 from Streptomyces coelicolor (361 aa), FASTA scores: opt: 869, E(): 1.1e-45, (51.15% identity in 258 aa overlap); Q9ADM4|2SC10A7.38c from Streptomyces coelicolor (318 aa), FASTA scores: opt: 776, E(): 4.6e-40, (48.75% identity in 240 aa overlap); P37971|RPOF_STRCO|SIGF|RPOX|2SCD60.01c from Streptomyces coelicolor (287 aa), FASTA scores: opt: 717, E(): 1.6e-36, (44.5% identity in 245 aa overlap); P37970|RPOF_STRAU|SIGF|RPOX from Streptomyces aureofaciens (297 aa); etc. Contains possible helix-turn-helix motif at aa 229-250 (+7.38 SD). Similar to the sigma-70 factor family. Seems expressed in stationary phase and under stress conditions in vitro (see citations below).</t>
  </si>
  <si>
    <t>Binds to sigma and blocks its ability to form an RNA polymerase holoenzyme. Regulates negatively SIGF|Rv3286c, and negatively regulated by Rv1365c|RSFA and Rv3687C|RSFB.</t>
  </si>
  <si>
    <t>Anti-sigma factor RsbW (sigma negative effector)</t>
  </si>
  <si>
    <t>Rv3287c, (MTCY71.27c), len: 145 aa. RsbW (alternate gene name: usfX), anti-sigma factor (see citations below), similar to Q49667|B1308_F3_89 from Mycobacterium leprae (75 aa), FASTA scores: opt: 308, E(): 2.5e-15, (72.2% identity in 72 aa overlap); Q9R3X8|PRS1|USHX|PRS PRS1 protein (anti-sigma factor) from Streptomyces coelicolor (137 aa), FASTA scores: opt: 184, E(): 3.7e-06, (36.8% identity in 106 aa overlap); O50231 putative sigma-B regulator from Bacillus licheniformis (160 aa), FASTA scores: opt: 122, E(): 0.13, (23.9% identity in 92 aa overlap); and P17904|RSBW_BACSU anti-sigma B factor (sigma-B negative effector RSBW) from Bacillus subtilis (160 aa), FASTA scores: opt: 108, E(): 1.3, (21.25% identity in 127 aa overlap). Equivalent to AAK47729 from Mycobacterium tuberculosis strain CDC1551 (145 aa) but longer 99 aa. Induction by heat shock, salt stress, oxidative stress, glucose limitation and oxygen limitation. N-terminus shortened since first submission (previously 242 aa). Binds ATP, GTP.</t>
  </si>
  <si>
    <t>Putative protein UsfY</t>
  </si>
  <si>
    <t>Rv3288c, (MTCY71.28c), len: 137 aa. UsfY, putative protein (see citation below). Has no significant homologues. May not be contranscribed with the usfX and sigF proteins.</t>
  </si>
  <si>
    <t>Rv3289c, (MTCY71.29c), len: 125 aa. Possible transmembrane protein, showing slight similarity to other membrane proteins or glycoproteins.</t>
  </si>
  <si>
    <t>Possibly involved in L-alpha-aminoadipic acid (L-AAA) biosynthesis. Catalyzes the transfer of the terminal amino group of L-lysine or L-ornithine to alpha-ketoglutarate [catalytic activity: L-lysine + 2-oxoglutarate = 2-aminoadipate 6-semialdehyde + L-glutamate].</t>
  </si>
  <si>
    <t>Probable L-lysine-epsilon aminotransferase Lat (L-lysine aminotransferase) (lysine 6-aminotransferase)</t>
  </si>
  <si>
    <t>Rv3290c, (MTCY71.30), len: 449 aa. Probable lat, lysine-epsilon aminotransferase, similar to Q05174|LAT_NOCLA from Nocardia lactamdurans (450 aa), FASTA scores: opt: 1702, E(): 1.1e-99, (60.35% identity in 439 aa overlap); and Q01767|Q53823|LAT_STRCL from Streptomyces clavuligerus (457 aa), FASTA scores: opt: 1676, E(): 4.9e-98, (60.15% identity in 434 aa overlap). Also some similarity to 4-aminobutyrate aminotransferase proteins (gamma-amino-N-butyrate transaminases). Belongs to class-III of pyridoxal-phosphate-dependent aminotransferases. Cofactor: pyridoxal phosphate.</t>
  </si>
  <si>
    <t>lrpA</t>
  </si>
  <si>
    <t>Probable transcriptional regulatory protein LrpA (Lrp/AsnC-family)</t>
  </si>
  <si>
    <t>Rv3291c, (MTCY71.31c), len: 150 aa. Probable lrpA, transcriptional regulator Lrp/AsnC-family, similar to other regulatory proteins e.g. Q9RKY4|SC6D7.14 from Streptomyces coelicolor (165 aa), FASTA scores: opt: 503, E(): 9.1e-26, (50.35% identity in 143 aa overlap); Q9KYP0|SCD69.13 from Streptomyces coelicolor (167 aa), FASTA scores: opt: 310, E(): 2.7e-13, (37.2% identity in 129 aa overlap); BAB50701|MLL3910 from Rhizobium loti (Mesorhizobium loti) (152 aa), FASTA scores: opt: 282, E(): 1.6e-11, (39.55% identity in 129 aa overlap); O87635|LRP_KLEAE from Klebsiella aerogenes (163 aa), FASTA scores: opt: 279, E(): 2.5e-11, (38.1% identity in 147 aa overlap); etc. Contains helix-turn-helix motif at aa 22-43 (+3.94 SD). Could belong to the Lrp/AsnC family of transcriptional regulators.</t>
  </si>
  <si>
    <t>Rv3292, (MTCY71.32), len: 415 aa. Conserved hypothetical protein, similar to P76097|YDCJ_ECOLI|B1423 hypothetical 51.0 KDA protein from Escherichia coli strain K12 (447 aa), FASTA scores: opt: 747, E(): 5.6e-39, (38.55% identity in 449 aa overlap); BAB35451|ECS2028 hypothetical 51.0 KDA protein from Escherichia coli strain O157:H7 (447 aa), FASTA scores: opt: 744, E(): 8.6e-39, (38.3% identity in 449 aa overlap); AAG56352|Z2297 protein from Escherichia coli O157:H7 EDL933 (212 aa), FASTA scores: opt: 454, E(): 4.6e-21, (41.75% identity in 206 aa overlap); and similar in part with Q49664|B1308_C1_136 from Mycobacterium leprae (71 aa), FASTA scores: opt: 305, E(): 3.2e-12, (70.0% identity in 70 aa overlap).</t>
  </si>
  <si>
    <t>pcd</t>
  </si>
  <si>
    <t>Involved in L-alpha-aminoadipic acid (L-AAA) biosynthesis (in the second step; the first step is promoted by lat enzyme.</t>
  </si>
  <si>
    <t>Probable piperideine-6-carboxilic acid dehydrogenase Pcd (piperideine-6-carboxylate dehydrogenase)</t>
  </si>
  <si>
    <t>Rv3293, (MTCY71.33), len: 494 aa. Probable pcd, piperideine-6-carboxylic acid dehydrogenase, highly similar to others e.g. O85725|PCD semialdehyde dehydrogenase from Streptomyces clavuligerus (512 aa), FASTA scores: opt: 2214, E(): 6.7e-121, (68.75% identity in 496 aa overlap) (see Alexander &amp; Jensen 1998); Q9I4U7|PA1027 probable aldehyde dehydrogenase from Pseudomonas aeruginosa (529 aa), FASTA scores: opt: 1984, E(): 1.4e-107, (64.5% identity in 493 aa overlap); BAB49892|MLL2867 aldehyde dehydrogenase from Rhizobium loti (Mesorhizobium loti) (504 aa), FASTA scores: opt: 1964, E(): 2e-106, (62.8% identity in 476 aa overlap); Q9A8Y1|CC1216 aldehyde dehydrogenase from Caulobacter crescentus (507 aa), FASTA scores: opt: 1909, E(): 3.1e-103, (59.95% identity in 497 aa overlap); O54199|PCD piperideine-6-carboxilic acid dehydrogenase from Streptomyces clavuligerus (496 aa), FASTA scores: opt: 1748, E(): 6.4e-94, (60.6% identity in 467 aa overlap); and Q9F1U8|PCD piperideine-6-carboxylate dehydrogenase from 'Flavobacterium' lutescens (510 aa), FASTA scores: opt: 1656, E(): 1.4e-88, (54.05% identity in 481 aa overlap) (see Fujii et al., 2000); etc. Contains PS00687 Aldehyde dehydrogenases glutamic acid active site. Note that ORF Rv3290c seems to encoded the putative lat enzyme. Note that previously known as aldB.</t>
  </si>
  <si>
    <t>Rv3294c, len: 269 aa. Conserved hypothetical protein, similar to several conserved hypothetical proteins from Mycobacterium tuberculosis: O07781|Rv0597c (411 aa), FASTA scores: opt: 682, E(): 3.6e-37, (44.85% identity in 243 aa overlap); O53329|Rv3179 (454 aa), FASTA scores: opt: 561, E(): 3.3e-29, (42.20% identity in 218 aa overlap); Q10849|YK08_MYCTU|Rv2008c (441 aa), FASTA scores: opt: 194, E(): 3.9e-05, (30.10% identity in 239 aa overlap). Also some similarity with proteins from other organisms. Replace previous Rv3294 on opposite strand.</t>
  </si>
  <si>
    <t>Rv3295, (MTCY71.35), len: 221 aa. Probable transcriptional regulator TetR-family, equivalent to Q9CCL4|ML0717 putative TetR-family transcriptional regulator from Mycobacterium leprae (223 aa), FASTA scores: opt: 1260, E(): 7.2e-75, (85.45% identity in 220 aa overlap). Also highly similar to other streptomyces regulators e.g. Q9RD77|SCF43.11 from Streptomyces coelicolor (205 aa), FASTA scores: opt: 442, E(): 9.8e-22, (38.6% identity in 202 aa overlap); Q9RKY8|SC6D7.09 from Streptomyces coelicolor (220 aa), FASTA scores: opt: 215, E(): 5.9e-07, (31.85% identity in 135 aa overlap); Q9L0U5|SCD35.06 from Streptomyces coelicolor (240 aa), FASTA scores: opt: 214, E(): 7.4e-07, (28.2% identity in 156 aa overlap); etc. Similar to the TetR/AcrR family of transcriptional regulators. Contains potential helix-turn-helix motif at aa 33-54 (+4.42 SD).</t>
  </si>
  <si>
    <t>lhr</t>
  </si>
  <si>
    <t>Has both ATPase and helicase activities.</t>
  </si>
  <si>
    <t>Probable ATP-dependent helicase Lhr (large helicase-related protein)</t>
  </si>
  <si>
    <t>Rv3296, (MTCY71.36), len: 1513 aa. Probable lhr, ATP-dependent helicase, similar to others e.g. P30015|LHR_ECOLI|RHLF|B1653 from Escherichia coli stain K12 (1538 aa), FASTA scores: opt: 2930, E(): 1.5e-159, (47.55% identity in 1569 aa overlap); AAG56642|LHR from Escherichia coli stain O157:H7 EDL933 (1538 aa), FASTA scores: opt: 2930, E(): 1.5e-159, (47.6% identity in 1561 aa overlap); O86821|SC7C7.16c from Streptomyces coelicolor (1690 aa), FASTA scores: opt: 2919, E(): 7e-159, (53.55% identity in 1703 aa overlap); Q9HYW9|PA3272 from Pseudomonas aeruginosa (1448 aa), FASTA scores: opt: 907, E(): 6.2e-44, (35.85% identity in 1512 aa overlap); etc. Similar to dead/DEAH box helicase family and to helicase C-terminal domain. Contains PS00017 ATP/GTP-binding site motif A and possible helix-turn-helix motif.</t>
  </si>
  <si>
    <t>nei</t>
  </si>
  <si>
    <t>Involved in damage reversal. DNA N-glycosylase with an AP lyase activity. Required for the repair of oxidative DNA damage (oxidized pyrimidines).</t>
  </si>
  <si>
    <t>Probable endonuclease VIII Nei</t>
  </si>
  <si>
    <t>Rv3297, (MTCY71.37, MT3396), len: 255 aa. Probable nei, endonuclease VIII (see citation below), similar to others e.g. O86820|END8_STRCO|NEI|SC7C7.15c from Streptomyces coelicolor (276 aa), FASTA scores: opt: 770, E(): 1.2e-42, (50.35% identity in 268 aa overlap); P50465|END8_ECOLI|NEI|B0714 from Escherichia coli strain K12 (262 aa), FASTA scores: opt: 310, E(): 6.3e-13, (28.1% identity in 267 aa overlap); AAG55037|NEI from Escherichia coli strain O157:H7 EDL933 (263 aa), FASTA scores: opt: 301, E(): 2.4e-12, (27.7% identity in 267 aa overlap); etc. Belongs to the FPG family.</t>
  </si>
  <si>
    <t>lpqC</t>
  </si>
  <si>
    <t>Possible esterase lipoprotein LpqC</t>
  </si>
  <si>
    <t>Rv3298c, (MTCY71.38c), len: 304 aa. Possible lpqC, esterase lipoprotein, equivalent to Q9CCL5|LPQC|ML0715 putative secreted hydrolase from Mycobacterium leprae (304 aa), FASTA scores: opt: 1543, E(): 1.3e-87, (71.6% identity in 303 aa overlap); and Q49658|B1308_F2_43 tubulin family protein from Mycobacterium leprae (302 aa), FASTA scores: opt: 1541, E(): 1.7e-87, (72.0% identity in 300 aa overlap). Also similar to Q9I5Z3|PA0543 hypothetical protein from Pseudomonas aeruginosa (322 aa), FASTA scores: opt: 439, E(): 8.9e-20, (32.3% identity in 319 aa overlap); Q9F2K9|SCH63.19c putative secreted protein from Streptomyces coelicolor (348 aa), FASTA scores: opt: 394, E(): 5.5e-17, (30.25% identity in 334 aa overlap); etc. And similar to O86367|LPQP|Rv0671|MTCI376.03c from Mycobacterium tuberculosis strain H37Rv (280 aa), FASTA scores: opt: 519, E(): 9.8e-25, (39.25% identity in 275 aa overlap). Probably lipoprotein, esterase membrane-bound, with 18 aa signal sequence as it contains appropriately positioned (PS00013) Prokaryotic membrane lipoprotein lipid attachment site.</t>
  </si>
  <si>
    <t>Generates sulfate and phenol from phenol sulfate [catalytic activity: a phenol sulfate + H(2)O = a phenol + sulfate].</t>
  </si>
  <si>
    <t>Probable arylsulfatase AtsB (aryl-sulfate sulphohydrolase) (sulfatase)</t>
  </si>
  <si>
    <t>Rv3299c, (MTCI418A.01c, MTCY71.39c), len: 970 aa. Probable atsB, arylsulfatase, similar to P51691|ARS_PSEAE|ATSA|PA0183 (alias CAA88421|ATSA) from Pseudomonas aeruginosa (535 aa), FASTA scores: opt: 645, E(): 5.8e-31, (32.0% identity in 550 aa overlap); Q9L4Y2|ATSA from Klebsiella pneumoniae (577 aa), FASTA scores: opt: 504, E(): 1.7e-22, (26.3% identity in 566 aa overlap); and P20713|ATSA|ARS_KLEAE (precursor) from Klebsiella pneumoniae (464 aa), FASTA scores: opt: 502, E(): 1.8e-22, (26.85% identity in 451 aa overlap). Also similar to Mycobacterium tuberculosis proteins O06776|MTI376.13c|ATSD|Rv0663 (787 aa) (43.6% identity in 796 aa overlap) and P95059|MTCY210.30|ATSA|R0711 (787 aa) (38.4% identity in 797 aa overlap). Equivalent to AAK47741 from Mycobacterium tuberculosis strain CDC1551 (992 aa) but shorter 22 aa. Contains PS00523 Sulfatases signature 1 and PS01095 Chitinases family 18 active site signature. Belongs to the sulfatase family.</t>
  </si>
  <si>
    <t>Rv3300c, (MTCI418A.02c), len: 305 aa. Conserved hypothetical protein, similar to various proteins (notably pseudoridine synthase family proteins) e.g. Q9RJ76|SCI41.08 putative ribosomal pseudouridine synthase from Streptomyces coelicolor (324 aa), FASTA scores: opt: 876, E(): 4.5e-48, (52.1% identity in 313 aa overlap); Q9I272|PA2043 hypothetical protein from Pseudomonas aeruginosa (300 aa), FASTA scores: opt: 676, E(): 1.8e-35, (42.55% identity in 268 aa overlap); Q9JZW8|NMB0867 YABO/YCEC/SFHB family protein from Neisseria meningitidis (serogroup B) (307 aa), FASTA scores: opt: 597, E(): 1.8e-30, (42.9% identity in 282 aa overlap); Q9JUY2|NMA1085 hypothetical protein from Neisseria meningitidis (serogroup A) (307 aa), FASTA scores: opt: 597, E(): 1.8e-30, (42.9% identity in 282 aa overlap); Q12362|RIB2_YEAST|RIB2|YOL066C DRAP deaminase (pseudouridine synthase family protein) from Saccharomyces cerevisiae (Baker's yeast) (591 aa), FASTA scores: opt: 338, E(): 6.9e-14, (32.95% identity in 246 aa overlap); Q9RTS2|DR1684 putative pseudouridine synthase from Deinococcus radiodurans (321 aa), FASTA scores: opt: 319, E(): 6.5e-13, (32.75% identity in 235 aa overlap); etc. Also similar to Mycobacterium tuberculosis hypothetical protein Q10786|Y04P_MYCTU|MTCY48.25c|Rv1540|MT1592 (308 aa) (28.8% identity in 299 aa overlap).</t>
  </si>
  <si>
    <t>phoY1</t>
  </si>
  <si>
    <t>Probable phosphate-transport system transcriptional regulatory protein PhoU homolog 1 PhoY1</t>
  </si>
  <si>
    <t>Rv3301c, (MTCI418A.03c), len: 221 aa. Probable phoY1, phosphate-transport system regulatory protein, highly similar to Q50047|phoY|PHOU1|PHOY1|ML2188 phosphate transport system protein PHOU homolog 1 from Mycobacterium leprae (222 aa), FASTA scores: opt: 929, E(): 7.8e-51, (61.45% identity in 218 aa overlap). Also highly similar to Q9FCE2|2SCD46.42c putative regulatory protein (fragment) from Streptomyces coelicolor (123 aa), FASTA scores: opt: 324, E(): 1.8e-13, (43.65% identity in 103 aa overlap); Q9L0R3|SCD8A.01c putative phosphate transport system regulatory protein (fragment) from Streptomyces coelicolor (139 aa), FASTA scores: opt: 309, E(): 1.7e-12, (36.7% identity in 139 aa overlap); Q52989|PHOU_RHIME phosphate transport system protein from Rhizobium meliloti (Sinorhizobium meliloti) (237 aa), FASTA scores: opt: 292, E(): 3.1e-11, (26.3% identity in 213 aa overlap); etc. And highly similar to Mycobacterium tuberculosis O53833|PHU2_MYCTU|MTV043_13c|PHOU2|PHOY2|Rv0821c|MT0843 phosphate transport system protein PHOU homolog 2 (213 aa) (63.4% identity in 213 aa overlap). Belongs to the PHOU family.</t>
  </si>
  <si>
    <t>glpD2</t>
  </si>
  <si>
    <t>Probable glycerol-3-phosphate dehydrogenase GlpD2</t>
  </si>
  <si>
    <t>Rv3302c, (MTCI418A.04c, MTV016.01c), len: 585 aa. Probable glpd2, glycerol-3-phosphate dehydrogenase, equivalent to P53435|GLPD_MYCLE|ML0713|L308_C1_179 glycerol-3-phosphate dehydrogenase from Mycobacterium leprae (585 aa), FASTA scores: opt: 3489, E(): 2.2e-198, (90.75% identity in 584 aa overlap). Also highly similar to many e.g. Q9L0I3|SCD63.06 from Streptomyces coelicolor (568 aa), FASTA scores: opt: 2203, E(): 1.6e-122, (59.95% identity in 564 aa overlap); Q9RVK8|DR1019 from Deinococcus radiodurans (522 aa), FASTA scores: opt: 949, E(): 1.4e-48, (37.0% identity in 538 aa overlap); BAB53412|MLR7270 from Rhizobium loti (Mesorhizobium loti) (505 aa), FASTA scores: opt: 861, E(): 2.2e-43, (37.3% identity in 488 aa overlap); P18158|GLPD_BACSU from B. subtilis (555 aa), FASTA scores: opt: 768, E(): 7.2e-38, (32.85% identity in 484 aa overlap); etc. Also similar to Mycobacterium tuberculosis protein Q10502|GLPD_MYCTU|MTCY427_31c|Rv2249c glycerol-3-phosphate dehydrogenase (516 aa), FASTA scores: opt: 843, E(): 2.6e-42, (36.5% identity in 515 aa overlap). Contains PS00978 FAD-dependent glycerol-3-phosphate dehydrogenase signature 2. Cofactor: FAD (by similarity). Belongs to the FAD-dependent glycerol-3-phosphate dehydrogenase family.</t>
  </si>
  <si>
    <t>Involved in energy metabolism. Can catalyze the reduction of electron acceptors such as 2,6-dimethyl-1,4-benzoquinone (DMBQ) and 5-hydroxy-1,4-napthaquinone (5-HNQ) [catalytic activity: NAD(P)H + a quinone + H+ -&gt; a quinol + NAD(P)+].</t>
  </si>
  <si>
    <t>NAD(P)H quinone reductase LpdA</t>
  </si>
  <si>
    <t>Rv3303c, (MTV016.02c), len: 493 aa. Probable lpdA, quinone reductase, similar to e.g. Q9EWV3|2SCK31.22c putative oxidoreductase from Streptomyces coelicolor (475 aa), FASTA scores: opt: 1420, E(): 2.4e-77, (54.9% identity in 471 aa overlap); Q9A7J2|CC1731 lipoamide dehydrogenase (E3 component,pyruvate dehydrogenase complex) from Caulobacter crescentus (466 aa), FASTA scores: opt: 696, E(): 3.6e-34, (29.6% identity in 463 aa overlap); Q04829|LPD|DLDH_HALVO dihydrolipoamide dehydrogenase from Halobacterium volcanii (Haloferax volcanii) (474 aa), FASTA scores: opt: 675, E(): 6.5e-33, (29.3% identity in 471 aa overlap); P50970|DLDH_ZYMMO|LPD dihydrolipoamide dehydrogenase from Zymomonas mobilis, FASTA scores: opt: 658, E(): 6.6e-32, (30.4% identity in 464 aa overlap); etc. Belongs to the pyridine nucleotide-disulfide oxidoreductases class-I. Cofactor: FAD.</t>
  </si>
  <si>
    <t>Rv3304, (MTV016.03), len: 159 aa. Conserved protein, very similar to Q9CCL6|ML0711 hypothetical protein from Mycobacterium leprae (159 aa), FASTA scores: opt: 1041, E(): 6.1e-62, (91.8% identity in 159 aa overlap); and Q49927|L308_F3_97 from M. leprae (174 aa), FASTA scores: opt: 974, E(): 1.8e-57, (91.2% identity in 149 aa overlap). Also highly similar to Q9AD81|SCK13.10c conserved hypothetical protein from Streptomyces coelicolor (145 aa), FASTA scores: opt: 615, E(): 7.8e-34, (60.55% identity in 147 aa overlap); and shows some similarity to other various hypotheticals proteins. ORF continues upstream with possible start at 2198 (equivalent to AAK47746 from Mycobacterium tuberculosis strain CDC1551 (212 aa) but shorter 53 aa).</t>
  </si>
  <si>
    <t>Function unknown; certainly hydrolyses L-amino acid.</t>
  </si>
  <si>
    <t>Possible N-acyl-L-amino acid amidohydrolase AmiA1 (N-acyl-L-amino acid aminohydrolase)</t>
  </si>
  <si>
    <t>Rv3305c, (MTV016.04c), len: 389 aa. Possible amiA1, N-acyl-L-amino acid amidohydrolase (or peptidase), similar to many proteins e.g. Q9AK43|2SCK8.09 putative peptidase from Streptomyces coelicolor (410 aa), FASTA scores: opt: 1015, E(): 3.9e-54, (50.8% identity in 374 aa overlap); Q9UZ30|PAB0873 amino acid amidohydrolase from Pyrococcus abyssi (383 aa), FASTA scores: opt: 823, E(): 1.6e-42, (38.2% identity in 369 aa overlap); O58453|PH0722 long hypothetical amino acid amidohydrolase from Pyrococcus horikoshii (388 aa), FASTA scores: opt: 815, E(): 4.8e-42, (38.75% identity in 369 aa overlap); O34980|YTNL_BACSU hypothetical 45.2 KDA protein from B. subtilis (416 aa), FASTA scores: opt: 805, E(): 2.1e-41, (37.85% identity in 367 aa overlap); Q9KCF8|BH1613 N-acyl-L-amino acid amidohydrolase from Bacillus halodurans (404 aa), FASTA scores: opt: 795, E(): 8.1e-41, (37.7% identity in 382 aa overlap); BAB50445|MLR3583 hypothetical hippurate hydrolase from Rhizobium loti (Mesorhizobium loti) (387 aa), FASTA scores: opt: 761, E(): 8.9e-39, (37.65% identity in 385 aa overlap); Q9RXH4|DR0339 putative N-acyl-L-amino acid amidohydrolase from Deinococcus radiodurans (392 aa), FASTA scores: opt: 745, E(): 8.4e-38, (36.15% identity in 379 aa overlap); etc. Contains PS00639 Eukaryotic thiol (cysteine) proteases histidine active site. Note that previously known as amiA.</t>
  </si>
  <si>
    <t>Involved in cellular metabolism, active on carbon aliphatic amides and/or on many aromatic amides [catalytic activity: a monocarboxylic acid amide + H(2)O = a monocarboxylate + NH(3)].</t>
  </si>
  <si>
    <t>Probable amidohydrolase AmiB1 (aminohydrolase)</t>
  </si>
  <si>
    <t>Rv3306c, (MTV016.05c), len: 394 aa. Probable amiB1, aminohydrolase, similar to several belonging to peptidase family M40 (and to hypothetical proteins) e.g. P54983|AMHX_BACSU amidohydrolase AMHX from Bacillus subtilis (389 aa), FASTA scores: opt: 286, E(): 9.9e-10, (26.6% identity in 351 aa overlap); P76052|ABGB_ECOLI Aminobenzoyl-glutamate utilizatio from Escherichia coli (481 aa), FASTA scores: opt: 383, E(): 2.1e-15, (30.5% identity in 328 aa overlap); P44765|YDAJ_HAEIN hypothetical protein HI0584 from Haemophilus influenzae (423 aa), FASTA scores: opt: 297, E(): 2.4e-10, (29.6% identity in 274 aa overlap). Note that previously known as amiB.</t>
  </si>
  <si>
    <t>Involved in purine nucleoside salvage. Cleavage of guanosine or inosine to respective BASES and sugar-1-phosphate molecules [catalytic activity: purine nucleoside + orthophosphate = purine + alpha-D-ribose 1-phosphate].</t>
  </si>
  <si>
    <t>Probable purine nucleoside phosphorylase DeoD (inosine phosphorylase) (PNP)</t>
  </si>
  <si>
    <t>Rv3307, (MTV016.06), len: 268 aa. Probable deoD (alternate gene name: punA), purine nucleoside phosphorylase, similar to others especially P46862|PUNA_MYCLE|DEOD_MYCLE|ML0707|L308_F2_56 from M. leprae (268 aa), FASTA scores: opt: 1373, E(): 1.5e-74, (82.05% identity in 262 aa overlap); Q9EWV2|2SCK31.24 from Streptomyces coelicolor (274 aa), FASTA scores: opt: 1026, E(): 6.4e-54, (60.5% identity in 266 aa overlap); P81989|PUNA_CELSP from Cellulomonas sp (282 aa), FASTA scores: opt: 963, E(): 3.6e-50, (58.9% identity in 270 aa overlap); Q9X1T2|TM1596 from Thermotoga maritima (265 aa), FASTA scores: opt: 584, E(): 1.1e-27, (39.55% identity in 263 aa overlap); etc. Belongs to the PNP/MTAP family 2 of phosphorylases.</t>
  </si>
  <si>
    <t>Converts D-mannose 1-phosphate to D-mannose 6-phosphate.</t>
  </si>
  <si>
    <t>Probable phosphomannomutase PmmB (phosphomannose mutase)</t>
  </si>
  <si>
    <t>Rv3308, (MTV016.07), len: 534 aa. Probable pmmB, phosphomannomutase, equivalent to Q9CCL7|PMMB|ML0706 putative phospho-sugar mutase from Mycobacterium leprae (538 aa), FASTA scores: opt: 2681, E(): 1.4e-150, (76.95% identity in 538 aa overlap). Also similar to others e.g. Q9AD82|SCK13.08c from Streptomyces coelicolor (549 aa), FASTA scores: opt: 1378, E(): 8.9e-74, (46.7% identity in 529 aa overlap); Q9ZHL4|PMM (fragment so no homology at N-terminus for this one) from Haemophilus ducreyi (443 aa), FASTA scores: opt: 935, E(): 9.6e-48, (39.4% identity in 449 aa overlap); P18159|YHXB_BACSU from Bacillus subtilis (565 aa), FASTA scores: opt: 776, E(): 2.7e-38, (31.7% identity in 574 aa overlap); etc. Contains PS00710 Phosphoglucomutase and phosphomannomutase phosphoserine signature. Belongs to the phosphohexose mutases family.</t>
  </si>
  <si>
    <t>Involved in pyrimidine salvage pathway [catalytic activity: UMP + pyrophosphate = uracil + 5-phospho-alpha-D-ribose 1-diphosphate].</t>
  </si>
  <si>
    <t>Probable uracil phosphoribosyltransferase Upp (UMP pyrophosphorylase) (uprtase) (UMP diphosphorylase)</t>
  </si>
  <si>
    <t>Rv3309c, (MTV016.08c), len: 207 aa. Probable upp, uracil phosphoribosyltransferase, identical to P94928|UPP uracil phosphoribosyltransferase from Mycobacterium bovis (207 aa). Also similar to others e.g. P36399|UPP_STRSL from Streptococcus salivarius (209 aa), FASTA scores: opt: 658, E(): 4.7e-35, (48.3% identity in 207 aa overlap); Q9A194|UPP|SPY0392 from Streptococcus pyogenes (209 aa), FASTA scores: opt:650, E(): 1.5e-34, (47.35% identity in 207 aa overlap); Q9RE01|UPP from Lactobacillus plantarum (209 aa), FASTA scores: opt: 644, E(): 3.7e-34, (46.4% identity in 207 aa overlap); etc. Belongs to the uprtase family.</t>
  </si>
  <si>
    <t>Involved in cellular metabolism: acting on ester bonds [catalytic activity: an orthophosphoric monoester + H(2)O = an alcohol + orthophosphate].</t>
  </si>
  <si>
    <t>Acid phosphatase (acid phosphomonoesterase) (phosphomonoesterase) (glycerophosphatase)</t>
  </si>
  <si>
    <t>Rv3310, (MTV016.09), sapM, len: 299 aa. Secreted acid phosphatase, with N-terminal sequence beginning with ASAL..., (see Saleh and Belisle, 2000). Similar to several fungal or bacterial acid phosphatases e.g. BAB50846|MLR4110 from Rhizobium loti (Mesorhizobium loti) (292 aa), FASTA scores: opt: 460, E(): 4.8e-22, (38.65% identity in 295 aa overlap); P34724|PHOA_ASPNG from Aspergillus niger (417 aa), FASTA scores: opt: 172, E(): 0.0013, (29.1% identity in 306 aa overlap); P08540|PHOX_KLULA from Kluyveromyces lactis (Yeast) (421 aa), FASTA scores: opt: 170, E(): 0.0018, (27.8% identity in 266 aa overlap); P37274|PHOA_PENCH from Penicillium chrysogenum (412 aa), FASTA scores: opt: 163, E(): 0.0049, (29.05% identity in 303 aa overlap); etc.</t>
  </si>
  <si>
    <t>Rv3311, (MTV016.10), len: 420 aa. Conserved protein, equivalent to Mycobacterium leprae hypothetical proteins Q9CCL8|ML0703 (423 aa), FASTA scores: opt: 2185, E(): 5.5e-120, (77.55% identity in 423 aa overlap); Q49918|L308_F2_61 (167 aa), FASTA scores: opt: 929, E(): 3.5e-47, (84.4% identity in 167 aa overlap) (similarity at C-terminus for this one); and Q49914|L308_F1_17 (166 aa), FASTA scores: opt: 900, E(): 1.7e-45, (79.0% identity in 162 aa overlap) (similarity at N-terminus for this one); Q49923|U0308N (86 aa) FASTA scores: opt: 149, E(): 0.052, (48.35% identity in 60 aa overlap); etc. Note that the Rv3311 corresponding protein in Mycobacterium leprae is similar to products of two adjacent ORFs. Also some similarity to Q9XI61|F9L1.1 hypothetical protein from Arabidopsis thaliana (Mouse-ear cress) (523 aa), FASTA scores: opt: 134, E(): 1.8, (25.1% identity in 203 aa overlap). Equivalent to AAK47753 from Mycobacterium tuberculosis strain CDC1551 (431 aa) but shorter 12 aa. A core mycobacterial gene; conserved in mycobacterial strains (See Marmiesse et al., 2004).</t>
  </si>
  <si>
    <t>Rv3312A</t>
  </si>
  <si>
    <t>Secreted protein antigen</t>
  </si>
  <si>
    <t>Rv3312A, len: 103 aa. Secreted protein antigen, described in Corixa patent as having N-terminal sequence YYWCPGQPFDPAWGP. Equivalent to AAK47756 from Mycobacterium tuberculosis strain CDC1551 (114 aa) but shorter 11 aa.</t>
  </si>
  <si>
    <t>Rv3312c, (MTV016.11), len: 308 aa. Hypothetical protein, similar to various proteins (principally hypothetical unknowns or hydrolases) e.g. Q9M9P2|T17B22.7 hypothetical protein from Arabidopsis thaliana (Mouse-ear cress) (326 aa), FASTA scores: opt: 261, E(): 2.6e-09, (27.55% identity in 323 aa overlap); Q9FWB6 putative alpha/beta hydrolase from Oryza sativa (Rice) (354 aa), FASTA scores: opt: 241, E(): 4.9e-08, (28.9% identity in 301 aa overlap) (note that Q9FWB6 correspond to Q9FWB5 putative alpha/beta hydrolase (353 aa) but longer 1 aa; and to Q9AUW9 hypothetical protein (332 aa) but longer 22 aa); Q9M382|F24B22.200 hypothetical protein from Arabidopsis thaliana (Mouse-ear cress) (342 aa), FASTA scores: opt: 222, E(): 8e-07, (27.6% identity in 319 aa overlap); Q9HWM9|PA4152 probable hydrolase from Pseudomonas aeruginosa (370 aa), FASTA scores: opt: 176, E(): 0.00071, (29.2% identity in 209 aa overlap); Q9L3R2 hydrolase from Rhizobium leguminosarum (261 aa), FASTA scores: opt: 174, E(): 0.00071, (28.9% identity in 173 aa overlap); P49323|PRXC_STRLI|CPO|CPOL non-heme chloroperoxidase from Streptomyces lividans (275 aa), FASTA scores: opt: 172, E(): 0.001, (30.9% identity in 194 aa overlap) (similarity only at N-terminus for this one); etc. Some similarity in N-terminal part to non-heme chloroperoxidases. Also similar to O05293|Rv1191|MTCI364.03 hypothetical protein from M. tuberculosis (304 aa), FASTA scores: opt: 417, E(): 3.1e-19, (32.6% identity in 279 aa overlap) (note that Rv1191 is equivalent to AAK45485 from Mycobacterium tuberculosis strain CDC1551 but shorter 14 aa, and that AAK45485 is annoted Hydrolase, alpha/beta hydrolase family).</t>
  </si>
  <si>
    <t>Catalyzes hydrolytic deamination of adenosine and generates inosine [catalytic activity: adenosine + H(2)O = inosine + NH(3) (also may act on deoxyadenosine)].</t>
  </si>
  <si>
    <t>Probable adenosine deaminase Add (adenosine aminohydrolase)</t>
  </si>
  <si>
    <t>Rv3313c, (MTV016.13), len: 365 aa. Probable add, adenosine deaminase, equivalent to Q9CCL9|add|ML0700 putative adenosine deaminase from Mycobacterium leprae (362 aa), FASTA scores: opt: 2097, E(): 1.4e-127, (88.2% identity in 356 aa overlap). Also similar to many e.g. Q9AK25|2SCK8.27 from Streptomyces coelicolor (396 aa), FASTA scores: opt: 1578, E(): 3.7e-94, (66.65% identity in 360 aa overlap); Q17747|C06G3.5 from Caenorhabditis elegans (349 aa), FASTA scores: opt: 435, E(): 1.1e-20, (29.6% identity in 348 aa overlap); P22333|ADD_ECOLI|B1623 from Escherichia coli strain K12 (333 aa), FASTA scores: opt: 380, E(): 3.7e-17, (29.4% identity in 340 aa overlap); etc. Belongs to the adenosine and AMP deaminases family.</t>
  </si>
  <si>
    <t>The enzymes which catalyze the reversible phosphorylosis of pyrimidine nucleosides are involved in the degradation of these compounds and in their utilization as carbon and energy sources, or in the rescue of pyrimidine BASES for nucleotide synthesis [catalytic activity: thymidine + phosphate = thymine + 2-deoxy-D-ribose 1-phosphate].</t>
  </si>
  <si>
    <t>Probable thymidine phosphorylase DeoA (tdrpase) (pyrimidine phosphorylase)</t>
  </si>
  <si>
    <t>Rv3314c, (MTV016.14), len: 427 aa. Probable deoA, thymidine phosporylase, highly similar to many e.g. Q9AK36|DEOA from Streptomyces coelicolor (427 aa), FASTA scores: opt: 1668, E(): 3.2e-90, (62.35% identity in 425 aa overlap); Q9CFM5|PDP from Lactococcus lactis (subsp. lactis) (Streptococcus lactis) (430 aa), FASTA scores: opt: 1031, E(): 5.5e-53, (46.45% identity in 392 aa overlap); P19971|TYPH_HUMAN|ECGF1 from Homo sapiens (Human) (482 aa), FASTA scores: opt: 957, E(): 1.3e-48, (44.45% identity in 441 aa overlap); P07650|TYPH_ECOLI|DEOA|TPP|TTG|B4382 from Escherichia coli strain K12 (440 aa), FASTA scores: opt: 847, E(): 3.2e-42, (41.55% identity in 438 aa overlap); etc. Contains PS00647 Thymidine and pyrimidine-nucleoside phosphorylases signature. Belongs to the thymidine/pyrimidine-nucleoside phosphorylases family.</t>
  </si>
  <si>
    <t>This enzyme scavenge exogenous and endogenous cytidine and 2'-deoxycytidine for UMP synthesis [catalytic activity: cytidine + H(2)O = uridine + NH(3)].</t>
  </si>
  <si>
    <t>Probable cytidine deaminase Cdd (cytidine aminohydrolase) (cytidine nucleoside deaminase)</t>
  </si>
  <si>
    <t>Rv3315c, (MTV016.15c), len: 133 aa. Probable cdd, cytidine deaminase, equivalent to Q9CBD3|CDD|ML2174 cytidine deaminase from Mycobacterium leprae (134 aa), FASTA scores: opt: 516, E(): 5.8e-28, (56.8% identity in 132 aa overlap). Also highly similar to many e.g. Q9AK37|2SCK8.15 from Streptomyces coelicolor (130 aa), FASTA scores: opt: 523, E(): 1.9e-28, (60.0% identity in 130 aa overlap); Q9KD53|CDD|BH1366 from Bacillus halodurans (132 aa), FASTA scores: opt: 305, E(): 9.2e-14, (41.55% identity in 130 aa overlap); P56389|CDD_MOUSE|CDA|CDD from Mus musculus (Mouse) (146 aa), FASTA scores: opt: 287, E(): 1.6e-12, (40.3% identity in 124 aa overlap); P19079|CDD_BACSU (136 aa), FASTA scores: opt: 270, E(): 2.1e-11, (28.6% identity in 127 aa overlap); etc. Contains PS00903 Cytidine and deoxycytidylate deaminases zinc-binding region signature. Belongs to the cytidine and deoxycytidylate deaminases family. Cofactor: zinc (by similarity).</t>
  </si>
  <si>
    <t>Involved in tricarboxylic acid cycle. Mono-heme cytochrome of the succinate dehydrogenase complex.</t>
  </si>
  <si>
    <t>Probable succinate dehydrogenase (cytochrome B-556 subunit) SdhC (succinic dehydrogenase) (fumarate reductase) (fumarate dehydrogenase) (fumaric hydrogenase)</t>
  </si>
  <si>
    <t>Rv3316, (MTV016.16), len: 112 aa. Probable sdhC, cytochrome B-556 of succinate dehydrogenase SdhC subunit , transmembrane protein, equivalent (but shorter 35 aa) to Q9CCM0|SDHC|ML0699 putative succinate dehydrogenase cytochrome B-556 subunit from Mycobacterium leprae (153 aa), FASTA scores: opt: 692, E(): 1.2e-39, (88.4% identity in 112 aa overlap). Also similar to others e.g. Q9KZ88|SC5G8.26c from Streptomyces coelicolor (126 aa), FASTA scores: opt: 484, E(): 8.3e-26, (65.65% identity in 99 aa overlap); Q9RVR8|DR0954 from Deinococcus radiodurans (118 aa), FASTA scores: opt: 195, E(): 1.7e-06, (36.8% identity in 87 aa overlap); Q9HQ63|DHSD_HALN1|SDHD|SDHC|VNG1310G from Halobacterium sp. strain NRC-1 (130 aa), FASTA scores: opt: 192, E(): 2.9e-06, (37.85% identity in 74 aa overlap); P72109|DHSD_NATPH|SDHD|SDHC from Natronomonas pharaonis (Natronobacterium pharaonis) (130 aa), FASTA scores: opt: 183, E(): 1.1e-05, (35.15% identity in 74 aa overlap); etc. Part of an enzyme complex containing four subunits: a flavoprotein, an iron-sulfur, cytochrome B-556, and an hydrophobic anchor protein. Belongs to the cytochrome B560 family.</t>
  </si>
  <si>
    <t>Involved in tricarboxylic acid cycle. Putative hydrophobic component of the succinate dehydrogenase complex. Could be required to anchor the catalytic components to the cytoplasmic membrane</t>
  </si>
  <si>
    <t>Probable succinate dehydrogenase (hydrophobic membrane anchor subunit) SdhD (succinic dehydrogenase) (fumarate reductase) (fumarate dehydrogenase) (fumaric hydrogenase)</t>
  </si>
  <si>
    <t>Rv3317, (MTV016.17), len: 144 aa. Probable sdhD, membrane anchor of succinate dehydrogenase SdhD subunit , equivalent (but shorter 19 aa) to Q49915|SDHD|ML0698|L308_F1_25 putative succinate dehydrogenase hydrophobic membrane anchor protein from Mycobacterium leprae (163 aa), FASTA scores: opt: 878, E(): 1.9e-51, (85.2% identity in 142 aa overlap). Also similar to others e.g. Q9KZ89|SC5G8.25c from Streptomyces coelicolor (160 aa), FASTA scores: opt: 553, E(): 6.6e-30, (58.85% identity in 141 aa overlap); Q9RVR9|DR0953 from Deinococcus radiodurans (125 aa), FASTA scores: opt: 251, E(): 5.5e-10, (37.15% identity in 113 aa overlap); O29573|DHSD_ARCFU|SDHD|AF0684 from Archaeoglobus fulgidus (117 aa), FASTA scores: opt: 160, E(): 0.00056, (25.95% identity in 108 aa overlap); etc. Part of an enzyme complex containing four subunits: a flavoprotein, an iron-sulfur, cytochrome B-556, and an hydrophobic anchor protein.</t>
  </si>
  <si>
    <t>Involved in tricarboxylic acid cycle. Membrane-bound FAD-containing enzyme which is responsible for succinate interconversion [catalytic activity: succinate + acceptor = fumarate + reduced acceptor].</t>
  </si>
  <si>
    <t>Probable succinate dehydrogenase (flavoprotein subunit) SdhA (succinic dehydrogenase) (fumarate reductase) (fumarate dehydrogenase) (fumaric hydrogenase)</t>
  </si>
  <si>
    <t>Rv3318, (MTV016.18), len: 590 aa. Probable sdhA, flavoprotein of succinate dehydrogenase SdhA subunit, equivalent to Q9CCM1|SDHA|ML0697 succinate dehydrogenase flavoprotein subunit from Mycobacterium leprae (584 aa), FASTA scores: opt: 3657, E(): 1.2e-217, (92.55% identity in 590 aa overlap). Also highly similar to others e.g. Q9KZ90|DHSA from Streptomyces coelicolor (584 aa), FASTA scores: opt: 2813, E(): 1.1e-165, (70.5% identity in 586 aa overlap); Q9RVS0|DR0952 from Deinococcus radiodurans (583 aa), FASTA scores: opt: 2203, E(): 4.1e-128, (57.35% identity in 593 aa overlap); P31038|DHSA_RICPR|SDHA|RP128 from Rickettsia prowazekii (596 aa), FASTA scores: opt: 1892, E(): 5.8e-109, (50.0% identity in 588 aa overlap); P10444|DHSA_ECOLI|SDHA|B0723|Z0877|ECS0748 from Escherichia coli strains K12 and O157:H7 (588 aa), FASTA scores: opt: 1844, E(): 5.2e-106, (48.75% identity in 591 aa overlap); etc. Contains PS00504 Fumarate reductase / succinate dehydrogenase FAD-binding site. Cofactor: FAD. Similar to the flavoprotein subunits of other species succinate dehydrogenase and of fumarate reductase. Part of an enzyme complex containing four subunits: a flavoprotein, an iron-sulfur, cytochrome B-556, and an hydrophobic anchor protein.</t>
  </si>
  <si>
    <t>Probable succinate dehydrogenase (iron-sulphur protein subunit) SdhB (succinic dehydrogenase) (fumarate reductase) (fumarate dehydrogenase) (fumaric hydrogenase)</t>
  </si>
  <si>
    <t>Rv3319, (MTV016.19), len: 263 aa. Probable sdhB, iron-sulphur protein succinate dehydrogenase SdhB subunit , equivalent to Q49916|SDHB|ML0696|L308_F1_28 succinate dehydrogenase iron-sulfur protein from Mycobacterium leprae (264 aa), FASTA scores: opt: 1678, E(): 4.7e-99, (89.8% identity in 264 aa overlap). Also highly similar to other e.g. Q9KZ91|DHSB from Streptomyces coelicolor (257 aa), FASTA scores: opt: 1125, E(): 4.6e-64, (64.1% identity in 262 aa overlap); Q9RVS1|DR0951 from Deinococcus radiodurans (264 aa), FASTA scores: opt: 1014, E(): 5e-57, (57.25% identity in 255 aa overlap); Q9PEF5|XF1073 from Xylella fastidiosa (261 aa), FASTA scores: opt: 681, E(): 5.8e-36, (45.1% identity in 244 aa overlap); P07014|DHSB_ECOLI|SDHB|B0724 from Escherichia coli strain K12 (238 aa), FASTA scores: opt: 657, E(): 1.8e-34, (43.75% identity in 240 aa overlap); etc. Contains PS00198 4Fe-4S ferredoxins, iron-sulfur binding region signature. Cofactor: binds three different iron-sulfur clusters: a 2FE-2S, a 3FE-4S and a 4FE-4S. The iron-sulfur centers are similar to those of 'plant-type' 2FE-2S and 'bacterial-type' 4FE-4S ferredoxins. Part of an enzyme complex containing four subunits: a flavoprotein, an iron-sulfur, cytochrome B-556, and an hydrophobic anchor protein.</t>
  </si>
  <si>
    <t>vapC44</t>
  </si>
  <si>
    <t>Possible toxin VapC44. Contains PIN domain.</t>
  </si>
  <si>
    <t>Rv3320c, (MTV016.20c), len: 142 aa. Possible vapC44, toxin, part of toxin-antitoxin (TA) operon with Rv0300, contains PIN domain, see Arcus et al. 2005. Similar to several others in Mycobacterium tuberculosis (strains H37Rv and CDC1551) e.g. P95023|Rv2530c|MTCY159.26 (139 aa), FASTA scores: opt: 292, E(): 4.8e-14, (41.5% identity in 135 aa overlap); O53219|Rv2494|MTV008.50 (141 aa), FASTA scores: opt: 287, E(): 1.1e-13, (41.6% identity in 125 aa overlap); O07760|Rv0617|MTCY19H5.04c (133 aa), FASTA scores: opt: 252, E(): 3.3e-11, (37.8% identity in 127 aa overlap); etc.</t>
  </si>
  <si>
    <t>vapB44</t>
  </si>
  <si>
    <t>Possible antitoxin VapB44</t>
  </si>
  <si>
    <t>Rv3321c, (MTV016.21c), len: 80 aa. Possible vapB44, antitoxin, part of toxin-antitoxin (TA) operon with Rv0299, see Arcus et al. 2005. Similar to several others in Mycobacterium tuberculosis (strains H37Rv and CDC1551) e.g. AAK48167|MT3800 DNA-binding protein (COPG family) from strain CDC1551 (74 aa), FASTA scores: opt: 142, E(): 0.0016, (48.85% identity in 43 aa overlap); AAK46916|MT2606 hypothetical 8.0 KDA protein from strain CDC1551 (74 aa), FASTA scores: opt: 139, E(): 0.0026, (37.2% identity in 78 aa overlap); O50456|Rv1241|MTV006.13 hypothetical 9.9 KDA protein from strain H37Rv (86 aa), FASTA scores: opt: 134, E(): 0.0066, (39.0% identity in 82 aa overlap); etc.</t>
  </si>
  <si>
    <t>Rv3322c, (MTV016.22c), len: 204 aa. Conserved hypothetical protein, showing weak similarity to proteins including several methyltransferases e.g. Q9X9V1|ORF8 putative methyltransferase from Streptomyces coelicolor (208 aa), FASTA scores: opt: 193, E(): 1e-05, (36.35% identity in 132 aa overlap); and Q9XA90|SCF43A.25c putative methyltransferase from Streptomyces coelicolor (215 aa), FASTA scores: opt: 161, E(): 0.0014, (32.05% identity in 131 aa overlap); P74712|SLR1183 hypothetical 21.3 KDA protein from Synechocystis sp. strain PCC 6803 (194 aa), FASTA scores: opt: 155, E(): 0.0032, (27.35% identity in 150 aa overlap); Q9ABW8|CC0102 rRNA methyltransferase RSMB from Caulobacter crescentus (429 aa), FASTA scores: opt: 148, E(): 0.018, (31.5% identity in 162 aa overlap); etc. Also highly similar to O05796|Rv3120|MTCY164.30 hypothetical 21.8 KDA protein from Mycobacterium tuberculosis (200 aa), FASTA scores: opt: 691, E(): 1.2e-38, (56.5% identity in 200 aa overlap); and shows weak similarity to O69667|Rv3699|MTV025.047 putative methyltransferase from Mycobacterium tuberculosis (233 aa), FASTA scores: opt: 155, E(): 0.0037, (29.15% identity in 168 aa overlap).</t>
  </si>
  <si>
    <t>Thought to be involved in molybdenum cofactor biosynthesis.</t>
  </si>
  <si>
    <t>Probable MoaD-MoaE fusion protein MoaX</t>
  </si>
  <si>
    <t>Rv3323c, (MTV016.23c), len: 221 aa. Probable moaX, MoaD-MoaE fusion protein, similar (whole or partial) to several MoaD and MoaE proteins e.g. Q9RR88|DR2607 molybdenum cofactor biosynthesis protein D/E from Deinococcus radiodurans (229 aa), FASTA scores: opt: 407, E(): 1.8e-18, (32.75% identity in 223 aa overlap); Q9K8I7|MOAE|BH3019 molybdopterin converting factor (subunit 2) from Bacillus halodurans (156 aa), FASTA scores: opt: 375, E(): 1.3e-16, (41.65% identity in 132 aa overlap); O31705|MOAE molybdopterin converting factor (subunit 2) from Bacillus subtilis (157 aa), FASTA scores: opt: 368, E(): 3.6e-16, (41.65% identity in 132 aa overlap); etc. C-terminus highly similar to O05795|MOAE_MYCTU|Rv3119|MT3201|MTCY164.29|MOAE1 putative molybdenum cofactor biosynthesis protein E from Mycobacterium tuberculosis (147 aa), FASTA scores: opt: 733, E(): 5.4e-39, (76.2% identity in 143 aa overlap); and N-terminus highly similar to O05789|MOAD1|Rv3112|MTCY164.22 putative molybdenum cofactor biosynthesis protein D from Mycobacterium tuberculosis (83 aa), FASTA scores: opt: 333, E(): 3.2e-14, (65.05% identity in 83 aa overlap).</t>
  </si>
  <si>
    <t>Rv3324A</t>
  </si>
  <si>
    <t>Probable fragment of pterin-4-alpha-carbinolamine dehydratase MOAB3 (PHS) (4-alpha-hydroxy-tetrahydropterin dehydratase) (pterin-4-a-carbinolamine dehydratase) (phenylalanine hydroxylase-stimulating protein) (PHS) (pterin carbinolamine dehydratase) (PCD)</t>
  </si>
  <si>
    <t>Rv3324A, len: 44 aa. Probable pseudogene moaB3, fragment of pterin-4-alpha-carbinolamine dehydratase, equivalent to C-terminus of MT3426|Q8VJ32 pterin-4-alpha-carbinolamine dehydratase from Mycobacterium tuberculosis strain CDC1551 (124 aa), FASTA scores: opt: 309, E(): 1.1e-20, (100.000% identity in 44 aa overlap), and C-terminus of Mb3354c|moaB3 probable pterin-4-alpha-carbinolamine dehydratase from Mycobacterium bovis (124 aa). Note that a deletion of DNA (RvD5 region) in Mycobacterium tuberculosis strain H37Rv resulted in a truncated CDS comparatively to Mycobacterium bovis or Mycobacterium tuberculosis strain CDC1551 genomes (see citations below).</t>
  </si>
  <si>
    <t>moaC3</t>
  </si>
  <si>
    <t>Rv3324c</t>
  </si>
  <si>
    <t>Thought to be involved in the biosynthesis of molybdopterin.</t>
  </si>
  <si>
    <t>Probable molybdenum cofactor biosynthesis protein C 3 MoaC3</t>
  </si>
  <si>
    <t>Rv3324c, (MTV016.24c), len: 177 aa. Probable moaC3, molybdopterin cofactor biosynthesis protein, highly similar to others e.g. Q9HX95|MOAC|PA3918 from Pseudomonas aeruginosa (160 aa), FASTA scores: opt: 567, E(): 7.5e-30, (58.35% identity in 156 aa overlap); Q9RKA8|MOAC from Streptomyces coelicolor (170 aa), FASTA scores: opt: 553, E(): 6.3e-29, (58.25% identity in 158 aa overlap); P30747|MOAC_ECOLI|CHLA3|B0783 from Escherichia coli strain K12 (160 aa), FASTA scores: opt: 516, E(): 1.5e-26, (55.95% identity in 159 aa overlap); etc. Also highly similar to O05788|MOAC1|Rv3111|MTCY164.21 putative molybdenum cofactor biosynthesis protein C from Mycobacterium tuberculosis (170 aa), FASTA scores: opt: 734, E(): 1.3e-40, (71.8% identity in 163 aa overlap); and Rv0864|MOAC2|MTV043.57 putative molybdenum cofactor biosynthesis protein (167 aa).</t>
  </si>
  <si>
    <t>Rv3325</t>
  </si>
  <si>
    <t>Involved in the transposition of the insertion sequence element IS6110.</t>
  </si>
  <si>
    <t>Rv3325, (MTV016.25), len: 108 aa. Putative Transposase for IS6110 (fragment). Identical to many other M. tuberculosis IS6110 transposase subunits. The transposase described here may be made by a frame shifting mechanism during translation that fuses Rv3325 and Rv3326, the sequence UUUUAAAG (directly upstream of Rv3326) maybe responsible for such a frameshifting event (see McAdam et al., 1990). Belongs to the transposase family 8.</t>
  </si>
  <si>
    <t>Rv3326</t>
  </si>
  <si>
    <t>Rv3326, (MTV016.26), len: 328 aa. Probable transposase for insertion element IS6110. Identical to many other M. tuberculosis IS6110 transposase subunits. The transposase described here may be made by a frame shifting mechanism during translation that fuses Rv3325 and Rv3326, the sequence UUUUAAAG (directly upstream of Rv3326) maybe responsible for such a frameshifting event (see McAdam et al., 1990). Start changed since first submission (+ 16 aa).</t>
  </si>
  <si>
    <t>Rv3327</t>
  </si>
  <si>
    <t>Involved in the transposition in the insertion sequence element IS1547.</t>
  </si>
  <si>
    <t>Probable transposase fusion protein</t>
  </si>
  <si>
    <t>Rv3327, (MTV016.27), len: 570 aa. Probable fusion protein. Indeed, N-terminal part corresponds to entire O07269 transposase of IS1547 (383 aa), and C-terminal part identical to MTCI249B.03c (210 aa). N-terminal part is identical to MTV042_7 (188 aa); C-terminal part (aa 378-570) is similar to hypothetical 20.5 kDa protein from Escherichia coli P76222|YNJA_ECOLI (182 aa), FASTA scores: opt: 292, E(): 5.3e-11, (32.6% identity in 181 aa overlap).</t>
  </si>
  <si>
    <t>Probable alternative RNA polymerase sigma factor (fragment) SigJ</t>
  </si>
  <si>
    <t>Rv3328c, (MTV016.28c), len: 312 aa. Probable sigJ, alternative RNA polymerase sigma factor (see citations below), highly similar to many e.g. Q9K3H7|2SCG18.10c from Streptomyces coelicolor (295 aa), FASTA scores: opt: 642, E(): 7.3e-31, (42.8% identity in 292 aa overlap); Q9A3D8|CC3266 from Caulobacter crescentus (291 aa), FASTA scores: opt: 607, E(): 8.4e-29, (39.8% identity in 294 aa overlap); Q9RD74|SCF43.14c from Streptomyces coelicolor (324 aa), FASTA scores: opt: 555, E(): 1.1e-25, (41.1% identity in 297 aa overlap); etc. Similar also to U00022_20 from Mycobacterium leprae; and MTCI28_22 and MSU87307_1. Also similar to O50445|SIGI|Rv1189|MTV005.25|MTCI364.01 putative RNA polymerase sigma factor from Mycobacterium tuberculosis (290 aa), FASTA scores: opt: 426, E(): 4.2e-18, (32.65% identity in 294 aa overlap). Equivalent to AAK47774 from Mycobacterium tuberculosis strain CDC1551 (282 aa) but longer 30 aa. Contains probable helix-turn-helix motif at aa 129-150 (Score 1126, +3.02 SD). Belongs to the sigma-70 factor family, ECF subfamily.</t>
  </si>
  <si>
    <t>Rv3329, (MTV016.29), len: 438 aa (start uncertain). Probable aminotransferase, similar to many e.g. O86744|SC6A9.12 from Streptomyces coelicolor (457 aa), FASTA scores: opt: 2120, E(): 5.1e-125, (70.1% identity in 438 aa overlap); Q9I6J2|PA0299 from Pseudomonas aeruginosa (456 aa), FASTA scores: opt: 983, E(): 5.7e-54, (38.1% identity in 425 aa overlap); Q53196|Y4UB_RHISN from Rhizobium sp. strain NGR234 plasmid sym pNGR234a (467 aa), FASTA scores: opt: 971, E(): 3.3e-53, (39.25% identity in 438 aa overlap); P33189|YHXA_BACSU from Bacillus subtilis (450 aa), FASTA scores: opt: 933, E(): 7.5e-51, (40.25% identity in 435 aa overlap); etc. Equivalent to AAK47775 from Mycobacterium tuberculosis strain CDC1551 (466 aa) but shorter 28 aa. Cofactor: pyridoxal phosphate. Could belong to class-III of pyridoxal-phosphate-dependent aminotransferases.</t>
  </si>
  <si>
    <t>Probable penicillin-binding protein DacB1 (D-alanyl-D-alanine carboxypeptidase) (DD-peptidase) (DD-carboxypeptidase) (PBP) (DD-transpeptidase) (serine-type D-ala-D-ala carboxypeptidase) (D-amino acid hydrolase)</t>
  </si>
  <si>
    <t>Rv3330, (MTV016.30), len: 405 aa. Probable dacB1, D-alanyl-D-alanine carboxypeptidase (penicillin-binding protein), equivalent to Mycobacterium leprae proteins Q9CCM2|ML0691 putative D-alanyl-D-alanine carboxypeptidase (411 aa), FASTA scores: opt: 2066, E(): 2.5e-102, (77.15% identity in 416 aa overlap); Q49917|L308_F1_36 (228 aa), FASTA scores: opt: 1241, E(): 7.9e-59, (78.9% identity in 232 aa overlap) (note that this protein corresponds to C-terminal part of the putative protein encoded by Rv3330, aa 174-405); and Q49921|PBPC (182 aa), FASTA scores: opt: 736, E(): 3.7e-32, (73.95% identity in 169 aa overlap) (note that this protein corresponds to N-terminal part of the putative protein encoded by Rv3330, aa 1-158); note L308_F1_36 (228 aa) and PBPC (182 aa) are two consecutive Mycobacterium leprae ORFs. Also similar to others e.g. Q9FC34|SC4G1.16c putative D-alanyl-D-alanine carboxypeptidase from Streptomyces coelicolor (413 aa), FASTA scores: opt: 572, E(): 3.4e-23, (33.75% identity in 382 aa overlap); P35150|DACB_BACSU penicillin-binding protein 5* precursor (D-alanyl-D-alanine carboxypeptidase) from Bacillus subtilis (382 aa), FASTA scores: opt: 422, E(): 2.8e-15, (31.3% identity in 249 aa overlap); Q9K8X5|DACB|BH2877 D-alanyl-D-alanine carboxypeptidase (penicillin-binding protein) from Bacillus halodurans (395 aa), FASTA scores: opt: 421, E(): 3.2e-15, (31.95% identity in 241 aa overlap); etc. Also similar to Mycobacterium tuberculosis Q10828|Rv2911|MTCY274.43 probable penicillin-binding protein (belongs to peptidase family S11; also known as the D-alanyl-D-alanine carboxypeptidase 1 family) (291 aa), FASTA scores: opt: 746, E(): 1.6e-32, (47.0% identity in 266 aa overlap). Has hydrophobic stretches at both N- and C-termini. Certainly membrane-bound protein. Belongs to peptidase family S11; also known as the D-alanyl-D-alanine carboxypeptidase 1 family. Conserved in M. tuberculosis, M. leprae, M. bovis and M. avium paratuberculosis; predicted to be essential for in vivo survival and pathogenicity (See Ribeiro-Guimaraes and Pessolani, 2007).</t>
  </si>
  <si>
    <t>Thought to be involved in transport of sugar across the membrane. Responsible for the translocation of the substrate across the membrane.</t>
  </si>
  <si>
    <t>Probable sugar-transport integral membrane protein SugI</t>
  </si>
  <si>
    <t>Rv3331, (MTV016.31), len: 502 aa (start uncertain). Probable sugI, sugar-transport integral membrane protein, possibly member of major facilitator superfamily (MFS), similar to several transporters e.g. P37021|GALP_ECOLI|B2943 galactose-proton symporter (galactose transporter) from Escherichia coli strain K12 (464 aa), FASTA scores: opt: 818, E(): 1.8e-39, (31.85% identity in 446 aa overlap); P96742|YWTG metabolite-transport-related protein from Bacillus subtilis (457 aa), FASTA scores: opt: 810, E(): 5e-39, (33.2% identity in 428 aa overlap); AAG58074|GALP (alias BAB37242|ECS3819) galactose-proton symport of transport system from Escherichia coli strain O157:H7 EDL933 (464 aa), FASTA scores: opt: 810, E(): 5.1e-39, (32.2% identity in 432 aa overlap); P46333|CSBC_BACSU|SS92BR probable metabolite transport protein from Bacillus subtilis (461 aa), FASTA scores: opt: 792, E(): 5.4e-38, (33.7% identity in 442 aa overlap); etc. Equivalent to AAK47777|MT343 from Mycobacterium tuberculosis strain CDC1551 (500 aa) but with some divergence between residues 229 and 254. Contains PS00216 Sugar transport proteins signature 1 and PS00217 Sugar transport proteins signature 2. Belongs to the sugar transporter family.</t>
  </si>
  <si>
    <t>Involved in N-acetyl glucosamine utilization pathway [catalytic activity: N-acetyl-D-glucosamine 6-phosphate + H(2)O = D-glucosamine 6-phosphate + acetate].</t>
  </si>
  <si>
    <t>Probable N-acetylglucosamine-6-phosphate deacetylase NagA (GlcNAc 6-P deacetylase)</t>
  </si>
  <si>
    <t>Rv3332, (MTV016.32), len: 383 aa. Probable nagA, N-acetylglucosamine-6-phosphate deacetylase, similar to many e.g. Q9KXV7|SCD95A.17c putative deacetylase from Streptomyces coelicolor (381 aa), FASTA scores: opt: 1090, E(): 1.6e-55, (47.8% identity in 385 aa overlap); Q9PDB4|XF1465 N-acetylglucosamine-6-phosphate deacetylase from Xylella fastidiosa (386 aa), FASTA scores: opt: 667, E(): 3.5e-31, (38.3% identity in 394 aa overlap); Q9AAZ9|CC0443 N-acetylglucosamine-6-phosphate deacetylase from Caulobacter crescentus (378 aa), FASTA scores: opt: 661, E(): 7.5e-31, (38.9% identity in 383 aa overlap); O34450||NAGA_BACSU N-acetylglucosamine-6-phosphate deacetylase from Bacillus subtilis (396 aa), FASTA scores: opt: 571, E(): 1.2e-25, (32.45% identity in 376 aa overlap); etc. Equivalent to AAK47778 from Mycobacterium tuberculosis strain CDC1551 (346 aa) but longer 37 aa. Belongs to the NagA family.</t>
  </si>
  <si>
    <t>Rv3333c</t>
  </si>
  <si>
    <t>Hypothetical proline rich protein</t>
  </si>
  <si>
    <t>Rv3333c, (MTV016.33c), len: 281 aa. Hypothetical unknown pro-rich protein. Equivalent to AAK47780 hypothetical protein from Mycobacterium tuberculosis strain CDC1551 (265 aa) but longer 16 aa. Predicted to be an outer membrane protein (See Song et al., 2008).</t>
  </si>
  <si>
    <t>Rv3334</t>
  </si>
  <si>
    <t>Involved in a transcriptional mechanism.</t>
  </si>
  <si>
    <t>Probable transcriptional regulatory protein (probably MerR-family)</t>
  </si>
  <si>
    <t>Rv3334, (MTV016.34), len: 146 aa. Probable transcriptional regulator, similar to many regulatory proteins (notably mercury resistance operon regulators) e.g. Q9HXV1|PA3689 probable transcriptional regulator MerR family from Pseudomonas aeruginosa (156 aa), FASTA scores: opt: 275, E(): 1.6e-11, (35.95% identity in 139 aa overlap); Q9AKR6|PBRR lead resistance operon regulator from Ralstonia metallidurans strain CH34 (plasmid pMOL30) (145 aa), FASTA scores: opt: 267, E(): 5.2e-11, (35.8% identity in 134 aa overlap); P95838|MERR mercuric resistance operon regulator from Synechococcus sp. strain PCC 7942 (Anacystis nidulans R2) (144 aa), FASTA scores: opt: 266, E(): 6e-11, (31.35% identity in 118 aa overlap); P22853|MERR_BACSR mercuric resistance operon regulator from Bacillus sp. strain RC607 (132 aa), FASTA scores: opt: 262, E(): 1e-10, (34.6% identity in 130 aa overlap); etc. Contains probable helix-turn-helix motif at aa 1-22 (Score 1478, +4.22 SD). Seems to belong to the MerR family of transcriptional regulators.</t>
  </si>
  <si>
    <t>Rv3335c, (MTV016.35c), len: 289 aa. Probable conserved integral membrane protein, equivalent to Q49909|ML0687 putative membrane protein U0308AA from Mycobacterium leprae (313 aa), FASTA scores: opt: 1299, E(): 8.9e-75, (68.75% identity in 288 aa overlap). Also similar to other hypothetical bacterial proteins e.g. BAB37825|ECS4402 from Escherichia coli strain O157:H7 (alias P37642|YHJD_ECOLI|B3522 strain K12) (337 aa), FASTA scores: opt: 591, E(): 4.2e-30, (35.15% identity in 273 aa overlap); P45417|YHJD_ERWCH from Erwinia chrysanthemi (328 aa), FASTA scores: opt: 500, E(): 2.2e-24, (34.9% identity in 275 aa overlap); Q9KZA0|SC5G8.14 putative integral membrane protein from Streptomyces coelicolor (321 aa), FASTA scores: opt: 321, E(): 4.3e-13, (27.3% identity in 271 aa overlap); etc.</t>
  </si>
  <si>
    <t>Involved in translation mechanism [catalytic activity: ATP + L-tryptophan + tRNA(TRP) = AMP + pyrophosphate + L-tryptophanyl-tRNA(TRP)].</t>
  </si>
  <si>
    <t>Probable tryptophanyl-tRNA synthetase TrpS (tryptophan--tRNA ligase) (TRPRS) (tryptophan translase)</t>
  </si>
  <si>
    <t>Rv3336c, (MTV016.36c), len: 336 aa. Probable trpS, tryptophanyl-tRNA synthetase, equivalent to Q49901|SYW_MYCLE|TRPS|ML0686|L308_C1_147 tryptophanyl-tRNA synthetase from Mycobacterium leprae (343 aa), FASTA scores: opt: 1859, E(): 4.8e-107, (83.75% identity in 339 aa overlap). Also similar to many e.g. Q9KZA7|TRPS2 from Streptomyces coelicolor (339 aa), FASTA scores: opt: 1359, E(): 2.6e-76, (60.3% identity in 335 aa overlap); Q9EYY6|TRPS from Klebsiella aerogenes (334 aa), FASTA scores: opt: 1077, E(): 5.5e-59, (52.15% identity in 328 aa overlap); P00954|SYW_ECOLI|TRPS|B3384 from Escherichia coli strain K12 (334 aa), FASTA scores: opt: 1074, E(): 8.3e-59, (51.85% identity in 328 aa overlap); etc. Contains PS00178 Aminoacyl-transfer RNA synthetases class-I signature. Belongs to class-I aminoacyl-tRNA synthetase family.</t>
  </si>
  <si>
    <t>Rv3337</t>
  </si>
  <si>
    <t>Rv3337, (MTV016.37), len: 128 aa. Conserved hypothetical protein, equivalent to N-terminus of Q49926|ML0685 TPEA (putative hydrolase) from Mycobacterium leprae (303 aa), FASTA scores: opt: 362, E(): 5.7e-17, (74.3% identity in 70 aa overlap). Also weak similarity in N-terminus to Q98JT7|BAB49078|MLR1789 probable epoxide hydrolase from Rhizobium loti (Mesorhizobium loti) (300 aa), FASTA scores: opt: 122, E(): 0.74, (31.95% identity in 97 aa overlap). Homology suggests this ORF should be in frame with the following ORF MTV016.38 but no sequence error could be found. Short distance to start of trpS suggests region may not be protein-coding. C-terminus extended since first submission (+47 aa).</t>
  </si>
  <si>
    <t>Rv3338, (MTV016.38), len: 214 aa. Hypothetical protein, equivalent to C-termini of Q49926|ML0685 TPEA (putative hydrolase) from Mycobacterium leprae (303 aa), FASTA scores: opt: 984, E(): 2.6e-56, (65.4% identity in 214 aa overlap); and O32873|MLCB1779.02 hypothetical 31.8 KDA protein (similar to alpha/beta hydrolase fold) from Mycobacterium leprae (292 aa), FASTA scores: opt: 984, E(): 2.5e-56, (65.4% identity in 214 aa overlap). Also similar to C-termini of several hypothetical proteins (generally hydrolases) e.g. Q9K3H6|2SCG18.11 putative hydrolase from Streptomyces coelicolor (316 aa), FASTA scores: opt: 213, E(): 1.4e-06, (29.75% identity in 185 aa overlap). Homology suggests that this ORF should be in frame with the previous ORF MTV016.37 but no sequence error could be found.</t>
  </si>
  <si>
    <t>Involved in the KREBS cycle [catalytic activity: isocitrate + NADP(+) = 2-oxoglutarate + CO(2) + NADPH].</t>
  </si>
  <si>
    <t>Probable isocitrate dehydrogenase [NADP] Icd1 (oxalosuccinate decarboxylase) (IDH) (NADP+-specific ICDH) (IDP)</t>
  </si>
  <si>
    <t>Rv3339c, (MTV016.39c), len: 409 aa. Probable icd1, isocitrate dehydrogenase NADP-dependent, highly similar to many e.g. Q9A5C8|CC2522 from Caulobacter crescentus (403 aa), FASTA scores: opt: 1972, E(): 4.6e-115, (72.45% identity in 403 aa overlap); AAF73472|ICD from Rhizobium meliloti (404 aa), FASTA scores: opt: 1968, E(): 8.1e-115, (73.2% identity in 403 aa overlap); P50215|IDH_SPHYA from Sphingomonas yanoikuyae (406 aa), FASTA scores: opt: 1964, E(): 1.4e-114, (71.45% identity in 403 aa overlap); etc. Contains PS00470 Isocitrate and isopropylmalate dehydrogenases signature. Belongs to the isocitrate and isopropylmalate dehydrogenases family. Note that in H37Rv, Rv0066c is named icd2 and Rv3339c is icd1 while in CDC1551 and Erdman strains, Rv0066c is icd1 and Rv3339c is icd2.</t>
  </si>
  <si>
    <t>Transforms O-acetylhomoserine into L-methionine [catalytic activity: O-acetyl-L-homoserine + methanethiol = L-methionine + acetate].</t>
  </si>
  <si>
    <t>Probable O-acetylhomoserine sulfhydrylase MetC (homocysteine synthase) (O-acetylhomoserine (thiol)-lyase) (OAH sulfhydrylase) (O-acetyl-L-homoserine sulfhydrylase)</t>
  </si>
  <si>
    <t>Rv3340, (MTV016.40), len: 449 aa. Probable metC, O-acetyl-L-homoserine sulfhydrylase, highly similar to many e.g. Q9K9P2|BH2603 O-acetylhomoserine sulfhydrylase from Bacillus halodurans (430 aa), FASTA scores: opt: 1716, E(): 3.3e-97, (60.45% identity in 425 aa overlap); Q9HUE4|METY|PA5025 homocysteine synthase from Pseudomonas aeruginosa (425 aa), FASTA scores: opt: 1517, E(): 4.4e-85, (56.95% identity in 425 aa overlap); Q9WZY4|TM0882 O-acetylhomoserine sulfhydrylase from Thermotoga maritima (430 aa), FASTA scores: opt: 1488, E(): 2.6e-83, (55.75% identity in 418 aa overlap); BAB54344|MLR8465 O-acetylhomoserine sulfhydrylase from Rhizobium loti (Mesorhizobium loti) (426 aa), FASTA scores: opt: 1445, E(): 1.1e-80, (53.2% identity in 419 aa overlap); P50125|CYSD_EMENI O-acetylhomoserine (thiol)-lyase from Emericella nidulans (Aspergillus nidulans) (437 aa), FASTA scores: opt: 1442, E(): 1.7e-80, (53.7% identity in 430 aa overlap); etc. Contains PS00868 Cys/Met metabolism enzymes pyridoxal-phosphate attachment site. Cofactor: pyridoxal phosphate. Belongs to the trans-sulfuration enzymes family.</t>
  </si>
  <si>
    <t>metA</t>
  </si>
  <si>
    <t>Catalyzes acylation of L-homoserine. Involved in biosynthesis of methionine; HTA variant; first step [catalytic activity: acetyl-CoA + L-homoserine = CoA + O-acetyl-L-homoserine].</t>
  </si>
  <si>
    <t>Probable homoserine O-acetyltransferase MetA (homoserine O-trans-acetylase) (homoserine transacetylase) (HTA)</t>
  </si>
  <si>
    <t>Rv3341, (MTV016.41), len: 379 aa. Probable metA, homoserine o-acetyltransferase (see citation below), equivalent to O32874|METX_MYCLE|meta|ML0682|MLCB1779.11 homoserine O-acetyltransferase from Mycobacterium leprae (382 aa), FASTA scores: opt: 2263, E(): 9.2e-129, (85.0% identity in 380 aa overlap). Also highly similar to many e.g. O68640|METX_CORGL|meta from Corynebacterium glutamicum (Brevibacterium flavum) (379 aa), FASTA scores: opt: 1135, E(): 5.9e-61, (48.5% identity in 371 aa overlap); Q9AAS1|CC0525 from Caulobacter crescentus (382 aa), FASTA scores: opt: 860, E(): 2e-44, (40.5% identity in 363 aa overlap); P94891|METX_LEPME from Leptospira meyeri (379 aa), FASTA scores: opt: 787, E(): 4.9e-40, (38.2% identity in 385 aa overlap); etc. Belongs to the ab hydrolase family, HTA subfamily.</t>
  </si>
  <si>
    <t>Rv3342, (MTV016.42), len: 243 aa. Possible methyltransferase, similar to various proteins e.g. Q9I5X8|PA0558 hypothetical protein from Pseudomonas aeruginosa (255 aa), FASTA scores: opt: 496, E(): 4.4e-24, (39.85% identity in 236 aa overlap); Q9XBC9|CZA382.22c putative rRNA methylase from Amycolatopsis orientalis (259 aa), FASTA scores: opt: 473, E(): 1.2e-22, (42.45% identity in 245 aa overlap); Q9UTA8|SPAC25B8.10 putative methyltransferase from Schizosaccharomyces pombe (Fission yeast) (256 aa), FASTA scores: opt: 470, E(): 1.9e-22, (35.7% identity in 238 aa overlap); and Q9UTA9|SPAC25B8.09 putative methyltransferase from Schizosaccharomyces pombe (Fission yeast) (251 aa), FASTA scores: opt: 418, E(): 3.4e-19, (31.2% identity in 237 aa overlap); etc. Start uncertain. Belongs to the methyltransferase superfamily.</t>
  </si>
  <si>
    <t>PPE family protein PPE54</t>
  </si>
  <si>
    <t>Rv3343c, (MTV016.43c), len: 2523 aa. PPE54, Member of the Mycobacterium tuberculosis PPE family, MPTR subgroup of Gly-, Asn-rich proteins. Most similar to O50379|Rv3350c|MTV004.07c|MTV004_5 from Mycobacterium tuberculosis strain H37Rv (3716 aa), FASTA scores: opt: 4672, E(): 4e-211, (44.2% identity in 3174 aa overlap); and also similar to MTV004_3, MTCY63_9, MTY13E10_17, MTY13E10_16, MTCY180_1, MTV050_1, MTCY3C7_23, MTV014_3, MTCY63_10; etc.</t>
  </si>
  <si>
    <t>PE_PGRS49</t>
  </si>
  <si>
    <t>Rv3344c</t>
  </si>
  <si>
    <t>PE-PGRS family protein PE_PGRS49</t>
  </si>
  <si>
    <t>Rv3344c, (MTV016.44c), len: 484 aa. PE_PGRS49, Member of the Mycobacterium tuberculosis PE family, PGRS subfamily of gly-, ala-rich proteins (see Brennan and Delogu, 2002). Appears to be a gene fragment, should be in-frame with following ORF, MTV016.45c, frameshift required around 49595 but could not be found on checking BAC and cosmid clones. Similar to many from Mycobacterium tuberculosis strains H37Rv and CDC1551 e.g. O53557|Rv3512|MTV023.19 (1079 aa), FASTA scores: opt: 1595, E(): 1.8e-54, (52.0% identity in 544 aa overlap).</t>
  </si>
  <si>
    <t>PE_PGRS50</t>
  </si>
  <si>
    <t>Rv3345c</t>
  </si>
  <si>
    <t>PE-PGRS family protein PE_PGRS50</t>
  </si>
  <si>
    <t>Rv3345c, (MTV004.01c-MTV016.45c), len: 1538 aa. PE_PGRS50, Member of the Mycobacterium tuberculosis PE family, PGRS subfamily of gly-rich proteins (see Brennan and Delogu, 2002). Similar to AAK47791 from strain CDC1551 but with some big gaps (after residues 501 and 1419; and for AAK47791 after residue 991). Similar to many from Mycobacterium tuberculosis strains H37Rv and CDC1551.</t>
  </si>
  <si>
    <t>Rv3346c</t>
  </si>
  <si>
    <t>Rv3346c, (MTV004.02c), len: 85 aa. Conserved transmembrane protein, highly similar to mycobacterium hypothetical proteins O50384|Rv3355c|MTV004.12c from strain H37Rv (97 aa), FASTA scores: opt: 413, E(): 4.6e-23, (85.55% identity in 97 aa overlap); O32878|MLCB1779.16c|ML0675 from Mycobacterium leprae (91 aa), FASTA scores: opt: 349, E(): 1.7e-18, (67.35% identity in 95 aa overlap). Contains possible membrane spanning regions.</t>
  </si>
  <si>
    <t>PPE55</t>
  </si>
  <si>
    <t>PPE family protein PPE55</t>
  </si>
  <si>
    <t>Rv3347c, (MTV004.03c), len: 3157 aa. PPE55, Member of the Mycobacterium tuberculosis PPE family, Gly-, Ala-, Asn-rich protein. Similar to many from Mycobacterium tuberculosis strains H37Rv and CDC1551, e.g. O50379|Rv3350c|MTV004.07c (3716 aa), FASTA scores: opt: 6497, E(): 0, (61.65% identity in 3756 aa overlap); and other upstream ORFs MTV004_5, MTY13E10_15, MTCY28_16, MTCY63_9, MTY13E10_17, MTCY180_1; etc. Predicted possible vaccine candidate (See Zvi et al., 2008).</t>
  </si>
  <si>
    <t>Rv3348</t>
  </si>
  <si>
    <t>Possibly involved in the transposition of the insertion sequence IS1608'.</t>
  </si>
  <si>
    <t>Rv3348, (MTV004.04), len: 163 aa. Probable transposase, partially similar to several insertion elements e.g. P19834|YI11_STRCL insertion element IS116 hypothetical 44.8 KDA protein (similar to IS900 of Mycobacterium paratuberculosis) from Streptomyces clavuligerus (399 aa), FASTA scores: opt: 146, E(): 0.016, (29.1% identity in 158 aa overlap).</t>
  </si>
  <si>
    <t>Possibly involved in the transposition of the insertion sequence IS1561'.</t>
  </si>
  <si>
    <t>Rv3349c, (MTV004.05c), len: 246 aa. Probable transposase pseudogene fragment, similar to part of Q50911|U10634 IS204 putative transposase from nocardia asteroides (377 aa), FASTA scores: opt: 288, E(): 8.3e-11, (48.5% identity in 97 aa overlap); and others.</t>
  </si>
  <si>
    <t>PPE56</t>
  </si>
  <si>
    <t>Rv3350c</t>
  </si>
  <si>
    <t>PPE family protein PPE56</t>
  </si>
  <si>
    <t>Rv3350c, (MTV004.07c), len: 3716 aa. PPE56, Member of the Mycobacterium tuberculosis PPE family of Gly-, Ala-, Asn-rich proteins, similar to many Mycobacterium tuberculosis proteins from strains H37Rv and CDC1551, e.g. O50378|Rv3347c|MTV004.03c (3157 aa), FASTA scores: opt: 6497, E(): 0, (61.65% identity in 3756 aa overlap); MTCY28_16, MTV050_2, MTY13E10_17, MTCY63_10, MTCY180_1, MTCY63_9, MTV050_1, MTV014_3, MTY13E10_15; etc.</t>
  </si>
  <si>
    <t>Rv3351c</t>
  </si>
  <si>
    <t>Rv3351c, (MTV004.08c), len: 264 aa. Hypothetical protein, highly similar to C-terminal region (aa 292-479) of O53608|Rv0063|MTV030.06 oxidoreductase from Mycobacterium tuberculosis (479 aa), FASTA scores: opt: 699, E(): 1.7e-36, (54.75% identity in 190 aa overlap). Shows some similarity to Q9KYD6|SCD72A.20 putative lipoprotein (fragment) from Streptomyces coelicolor (403 aa), FASTA scores: opt: 192, E(): 9.1e-05, (27.9% identity in 154 aa overlap); and P71091|YGAK hypothetical 54.4 KDA protein from Bacillus subtilis (480 aa), FASTA scores: opt: 174, E(): 0.0014, (26.5% identity in 166 aa overlap). Note that the two upstream ORFs Rv3352c and Rv3353c also show similarity to Rv0063 (MTV030_7). Sequence was checked but no errors found. Predicted to be an outer membrane protein (See Song et al., 2008).</t>
  </si>
  <si>
    <t>Rv3352c</t>
  </si>
  <si>
    <t>Rv3352c, (MTV004.09c), len: 123 aa. Possible oxidoreductase, similar to part of several oxidoreductases (and hypothetical proteins) from diverse organisms e.g. Q9KYD6|SCD72A.20 putative lipoprotein (fragment) from Streptomyces coelicolor (403 aa), FASTA scores: opt: 348, E(): 7.9e-15, (51.0% identity in 102 aa overlap); BAB53081|MLR6875 probable oxidoreductase from Rhizobium loti (Mesorhizobium loti) (479 aa), FASTA scores: opt: 262, E(): 2.3e-09, (53.85% identity in 78 aa overlap); O94206|OX1 oxidoreductase from Claviceps purpurea (Ergot fungus) (483 aa), FASTA scores: opt: 245, E(): 2.7e-08, (42.6% identity in 115 aa overlap); Q9KHK2|ENCM putative FAD-dependent oxygenase ENCM from Streptomyces maritimus (464 aa), FASTA scores: opt: 238, E(): 7.2e-08, (43.95% identity in 91 aa overlap); etc. Also highly similar to part of O53608|Rv0063|MTV030.06 oxidoreductase (479 aa), FASTA scores: opt: 599, E(): 1.6e-30, (71.55% identity in 123 aa overlap); and to other Mycobacterium tuberculosis proteins e.g. Rv3353c and Rv3351c. All show similarity to a family of oxidoreductases in Mycobacterium tuberculosis, suggesting that frameshift mutations may have occurred. Sequence has been checked but no errors were found.</t>
  </si>
  <si>
    <t>Rv3353c</t>
  </si>
  <si>
    <t>Rv3353c, (MTV004.10c), len: 86 aa. Hypothetical protein, showing some similarity to Q9X5Q4|MITR MITR protein from Streptomyces lavendulae (514 aa), FASTA scores: opt: 134, E(): 0.09, (29.5% identity in 78 aa overlap); and weak to Q49720|B1549_C3_218 from Mycobacterium leprae (222 aa), FASTA scores: opt: 99, E(): 8.8, (32.9% identity in 76 aa overlap). But highly similar to N-terminal part of O53608|Rv0063|MTV030.06 oxidoreductase from Mycobacterium tuberculosis (479 aa), FASTA scores: opt: 305, E(): 4.9e-13, (52.9% identity in 87 aa overlap); and some similarity can be found with Rv3352c and Rv3351c. All show similarity to a family of oxidoreductases in Mycobacterium tuberculosis, suggesting that frameshift mutations may have occurred. Sequence has been checked but no errors were found. Start changed since original submission.</t>
  </si>
  <si>
    <t>Rv3354</t>
  </si>
  <si>
    <t>Rv3354, (MTV004.11), len: 129 aa. Conserved hypothetical protein, equivalent (but shorter 29 aa) to Q9CCM4|ML0676 hypothetical protein from Mycobacterium leprae (158 aa), FASTA scores: opt: 467, E(): 3.3e-21, (55.9% identity in 127 aa overlaps). Highly similar to O33192|LPRJ|Rv1690|MTCI125.12 hypothetical protein from Mycobacterium tuberculosis (127 aa), FASTA scores: opt: 329, E(): 4.7e-13, (46.95% identity in 115 aa overlap); and also similar to other Mycobacterium tuberculosis hypothetical proteins e.g. O07222|Rv1810|MTCY16F9.04c (118 aa), FASTA scores: opt: 195, E(): 4.2e-05, (37.15% identity in 113 aa overlap); MTCI125_11, MTCY16F9_4, MTV049_25. A core mycobacterial gene; conserved in mycobacterial strains (See Marmiesse et al., 2004).</t>
  </si>
  <si>
    <t>Rv3355c</t>
  </si>
  <si>
    <t>Rv3355c, (MTV004.12c), len: 97 aa. Probable integral membrane protein, equivalent to O32878|MLCB1779.16c|ML0675 hypothetical 9.6 KDA protein from Mycobacterium leprae (91 aa), FASTA scores: opt: 439, E(): 3.9e-23, (78.9% identity in 90 aa overlap). Identical, but with a gap, to O50377|Rv3346c|MTV004.02c hypothetical 8.9 KDA protein from Mycobacterium tuberculosis (85 aa), FASTA scores: opt: 413, E(): 2.1e-21, (85.55% identity in 97 aa overlap). Also some similarity to other proteins e.g. Q9K3J5|SC2A6.10 putative integral membrane protein from Streptomyces coelicolor (178 aa), FASTA scores: opt: 147, E(): 0.003, (31.25% identity in 80 aa overlap).</t>
  </si>
  <si>
    <t>Necessary for the biosynthesis of purines, thymydylate, methionine, histidine, pantothenate, and formyl tRNA-met [catalytic activity: 5,10-methylenetetrahydrofolate + NADP(+) = 5,10-methenyltetrahydrofolate + NADPH] [catalytic activity: 5,10-methenyltetrahydrofolate + H(2)O = 10-formyltetrahydrofolate].</t>
  </si>
  <si>
    <t>Probable bifunctional protein FolD: methylenetetrahydrofolate dehydrogenase + methenyltetrahydrofolate cyclohydrolase</t>
  </si>
  <si>
    <t>Rv3356c, (MTV004.13c), len: 281 aa. Probable folD, bifunctional enzyme include methylenetetrahydrofolate dehydrogenase and methenyltetrahydrofolate cyclohydrolase , equivalent to O32879|fold|ML0674 methylenetetrahydrofolate dehydrogenase (putative methylenetetrahydrofolate dehydrogenase/methenyltetrahydrofolate cyclohydrolase) from Mycobacterium leprae (282 aa), FASTA scores: opt: 1624, E(): 1.2e-93, (86.45% identity in 281 aa overlap). Also similar to many others e.g. Q9K3J6|fold from Streptomyces coelicolor (284 aa), FASTA scores: opt: 1223, E(): 9.5e-69, (66.65% identity in 279 aa overlap); Q9K966|fold from Bacillus halodurans (279 aa), FASTA scores: opt: 886, E(): 7.7e-48, (47.15% identity in 280 aa overlap); P54382|FOLD_BACSU from Bacillus subtilis (283 aa), FASTA scores: opt: 820, E(): 9.7e-44, (45.7% identity in 280 aa overlap); P51696|FOLD_PHOPO from Photobacterium phosphoreum (285 aa), FASTA scores: opt: 778, E(): 4e-41, (44.9% identity in 283 aa overlap); P24186|FOLD_ECOLI|ads|B0529 from Escherichia coli (287 aa), FASTA scores: opt: 741, E(): 0,44.4, (44.4% identity in 277 aa overlap); etc. Also highly similar to MLCB1779_9 from Mycobacterium leprae cosmid B1779 (282 aa) (86.5% identity in 281 aa overlap). Similar to other dehydrogenase/cyclohydrolase enzymes or domains.</t>
  </si>
  <si>
    <t>relJ</t>
  </si>
  <si>
    <t>Rv3357</t>
  </si>
  <si>
    <t>Antitoxin RelJ</t>
  </si>
  <si>
    <t>Rv3357, (MTV004.14), len: 91 aa. RelJ, antitoxin, part of toxin-antitoxin (TA) operon with Rv3358 (See Cherny et al., 2004; Pandey and Gerdes, 2005), highly similar to other hypothetical proteins e.g. Q9Z4V7|YU1E_STRCO (alias CAC37261|SCBAC17D6.02) ORFU1E (belongs to the PHD/YEFM family) from Streptomyces coelicolor (87 aa), FASTA scores: opt: 344, E(): 1.9e-17, (62.05% identity in 87 aa overlap); P46147|YEFM_ECOLI|B2017 from Escherichia coli strain K12 (83 aa), FASTA scores: opt: 215, E(): 1.6e-08, (50.0% identity in 72 aa overlap); BAB58570|SAV2408 from Staphylococcus aureus subsp. aureus Mu50 (83 aa), FASTA scores: opt: 161, E(): 8.8e-05, (39.95% identity in 77 aa overlap); Q9Z5W8 putative PHD protein from Francisella novicid (85 aa), FASTA scores: opt: 143, E(): 0.0016, (28.9% identity in 83 aa overlap); etc. Also similar to Rv1247c|MTV006.19c (89 aa) (36.9% identity in 84 aa overlap). Seems to belong to the PHD/YEFM family.</t>
  </si>
  <si>
    <t>relK</t>
  </si>
  <si>
    <t>Rv3358</t>
  </si>
  <si>
    <t>Toxin RelK</t>
  </si>
  <si>
    <t>Rv3358, (MTV004.15), len: 85 aa. RelK, toxin, part of toxin-antitoxin (TA) operon with Rv3357 (See Cherny et al., 2004; Pandey and Gerdes, 2005), highly similar to other hypohetical proteins e.g. Q9Z4V8|SCBAC17D6.03 from Streptomyces coelicolor (84 aa), FASTA scores: opt: 393, E(): 1.1e-21, (59.75% identity in 82 aa overlap); P56605|YOEB_ECOLI from Escherichia coli (84 aa), FASTA scores: opt: 305, E(): 2.2e-15, (49.35% identity in 77 aa overlap); Q9Z5W7 putative doc protein from Francisella novicida (68 aa), FASTA scores: opt: 253, E(): 9.6e-12, (51.6% identity in 62 aa overlap); BAB58569|SAV2407 from Staphylococcus aureus subsp. aureus Mu50 (88 aa), FASTA scores: opt: 250, E(): 2e-11, (40.5% identity in 84 aa overlap); etc.</t>
  </si>
  <si>
    <t>Rv3359, (MTV004.16), len: 396 aa. Possible oxidoreductase, similar to N-terminal part of various proteins (hypothetical unknowns or oxidoreductases) e.g. Q9ZB94 hypothetical 69.3 KDA protein from Rhodococcus erythropolis (649 aa), FASTA scores: opt: 509, E(): 3e-24, (30.0% identity in 380 aa overlap); O29991|AF0248 NADH-dependent flavin oxidoreductase from Archaeoglobus fulgidus (378 aa), FASTA scores: opt: 478, E(): 1.6e-22, (32.45% identity in 379 aa overlap); Q9HUH9|PA4986 probable oxidoreductase from Pseudomonas aeruginosa (648 aa), FASTA scores: opt: 412, E(): 3.3e-18, (30.45% identity in 384 aa overlap); Q9KCT8|BH1481 NADH oxidase from Bacillus halodurans (338 aa), FASTA scores: opt: 404, E(): 6.1e-18, (30.2% identity in 275 aa overlap); etc. Some weak similarity to Mycobacterium leprae MLCB1779_10.</t>
  </si>
  <si>
    <t>Rv3360, (MTV004.17), len: 122 aa. Hypothetical protein, highly similar to the N-terminus of O65934|Rv1747|MTCY28.10|MTCY04C12.31 probable ABC-transporter ATP-binding protein from Mycobacterium tuberculosis (865 aa), FASTA scores: opt: 480, E(): 4.7e-25, (61.0% identity in 118 aa overlap); and some similarity with the N-terminus of P96214|Rv3863|MTCY01A6.05c hypothetical 41.1 KDA protein from Mycobacterium tuberculosis (392 aa), FASTA scores: opt: 138, E(): 0.033, (31.95% identity in 97 aa overlap). Some weak similarity with the N-terminus of other hypothetical proteins e.g. P73823|CYAA|SLR1991 adenylate cyclase from Synechocystis sp. strain PCC 6803 (337 aa), FASTA scores: opt: 127, E(): 0.16, (28.55% identity in 112 aa overlap).</t>
  </si>
  <si>
    <t>Rv3361c, (MTV004.18c), len: 183 aa. Conserved protein, with some similarity to various proteins e.g. P74221|YB52_SYNY3|SLR1152 hypothetical 36.2 KDA protein SLR (contains 5 pentapeptide repeat domains) from Synechocystis sp. strain PCC 6803 (331 aa), FASTA scores: opt: 252, E(): 3.9e-10, (30.55% identity in 167 aa overlap); Q9SE95 FH protein interacting protein FIP2 from Arabidopsis thaliana (Mouse-ear cress) (298 aa), FASTA scores: opt: 207, E(): 4.4e-07, (30.35% identity in 168 aa overlap); Q9A735|CC1891 pentapeptide repeat family protein from Caulobacter crescentus (250 aa), FASTA scores: opt: 181, E(): 2.3e-05, (24.05% identity in 187 aa overlap); etc.</t>
  </si>
  <si>
    <t>Probable ATP/GTP-binding protein</t>
  </si>
  <si>
    <t>Rv3362c, (MTV004.19c), len: 193 aa. Probable ATP/GTP-binding protein, similar to others from Streptomyces coelicolor e.g. O86519|SC1C2.18c (174 aa), FASTA scores: opt: 731, E(): 9.8e-41, (66.85% identity in 169 aa overlap); Q9XAE1|SC6G9.41c (191 aa), FASTA scores: opt: 730, E(): 1.2e-40, (63.55% identity in 173 aa overlap); Q9L235|SC1A2.06 (184 aa), FASTA scores: opt: 650, E(): 1.9e-35, (55.95% identity in 177 aa overlap); Q9RJ74|SCI41.10c (176 aa), FASTA scores: opt: 618, E(): 2.3e-33, (55.9% identity in 161 aa overlap); etc. Contains PS00017 ATP/GTP-binding site motif A (P-loop).</t>
  </si>
  <si>
    <t>Rv3363c, (MTV004.20c), len: 122 aa. Conserved hypothetical protein, similar to others from Streptomyces coelicolor e.g. O86523|SC1C2.23c (132 aa), FASTA scores: opt: 236, E(): 9e-09, (38.5% identity in 122 aa overlap); O86520|SC1C2.19c (190 aa), FASTA scores: opt: 231, E(): 2.7e-08, (41.0% identity in 122 aa overlap); Q9X834|SC9B1.14c (119 aa), FASTA scores: opt: 188, E(): 1.1e-05, (37.5% identity in 120 aa overlap); Q9ADJ4|SCBAC14E8.05 (113 aa), FASTA scores: opt: 167, E(): 0.00025, (33.05% identity in 109 aa overlap); etc.</t>
  </si>
  <si>
    <t>Rv3364c</t>
  </si>
  <si>
    <t>Rv3364c, (MTV004.21c), len: 130 aa. Conserved protein, highly similar to others from Streptomyces coelicolor e.g. O86524|SC1C2.24c (137 aa), FASTA scores: opt: 466, E(): 1.3e-22, (58.6% identity in 116 aa overlap); O86521|SC1C2.20c (140 aa), FASTA scores: opt: 445, E(): 2.7e-21, (56.9% identity in 116 aa overlap); Q9KZI6|SCG8A.13c (145 aa), FASTA scores: opt: 341, E(): 9.5e-15, (51.3% identity in 113 aa overlap); etc.</t>
  </si>
  <si>
    <t>Rv3365c, (MTV004.22c), len: 876 aa. Conserved protein, similar to various proteins from Streptomyces coelicolor e.g. O86525|SC1C2.25c hypothetical 139.7 KDA protein (similar to other prokaryotic sensory transduction histidine kinases) (1329 aa), FASTA scores: opt: 879, E(): 5.4e-32, (29.9% identity in 924 aa overlap) (similarity in N-terminal part for this one); O86522|SC1C2.21c hypothetical 119.9 KDA protein (similar to other prokaryotic sensory transduction histidine kinases) (1111 aa), FASTA scores: opt: 855, E(): 5.6e-31, (28.9% identity in 892 aa overlap) (similarity in N-terminal part for this one); Q9KZI5|SCG8A.14c putative membrane protein (862 aa), FASTA scores: opt: 791, E(): 3.3e-28, (30.8% identity in 828 aa overlap); Q9KZN0|SC1A8A.22c (943 aa), FASTA scores: opt: 660, E(): 2.5e-22, (27.65% identity in 893 aa overlap); etc. Similar in part to two consecutive Mycobacterium leprae hypothetical ORFs, probably representing a pseudogene: O07701|MLCL383.27 (118 aa), FASTA scores: opt: 430, E(): 1e-12, (58.25% identity in 115 aa overlap); and O07700|MLCL383.26 (111 aa), FASTA scores: opt: 271, E(): 1.3e-05, (50.4% identity in 121 aa overlap). Contains PS00142 Neutral zinc metallopeptidases, zinc-binding region signature.</t>
  </si>
  <si>
    <t>spoU</t>
  </si>
  <si>
    <t>Rv3366</t>
  </si>
  <si>
    <t>Probable tRNA/rRNA methylase SpoU (tRNA/rRNA methyltransferase)</t>
  </si>
  <si>
    <t>Rv3366, (MTV004.23), len: 154 aa. Probable spoU, tRNA/rRNA methylase, equivalent to Q9CCU7|ML0419 putative tRNA/rRNA methyltransferase from Mycobacterium leprae (158 aa), FASTA scores: opt: 861, E(): 1.2e-50, (83.75% identity in 154 aa overlap); and O07698|MLCL383.24c rRNA methylase from Mycobacterium leprae (169 aa), FASTA scores: opt: 861, E(): 1.3e-50, (83.75% identity in 154 aa overlap). Also highly similar to many members of the spoU family of rRNA methylases e.g. Q9K199|NMB0268 RNA methyltransferase (TRMH family) from Neisseria meningitidis (serogroup B) (154 aa), FASTA scores: opt: 534, E(): 7.6e-29, (50.0% identity in 154 aa overlap); and Q9JSM8|NMA2218 from Neisseria meningitidis (serogroup A) (154 aa), FASTA scores: opt: 526, E(): 2.6e-28, (49.35% identity in 154 aa overlap); Q9HU57|PA5127 from Pseudomonas aeruginosa (153 aa), FASTA scores: opt: 531, E(): 1.2e-28, (52.95% identity in 151 aa overlap); P33899|YIBK_ECOLI|B3606 from Escherichia coli strain K12 (157 aa), FASTA scores: opt: 511, E(): 2.6e-27, (49.35% identity in 154 aa overlap); etc. Belongs to the RNA methyltransferase TrmH family.</t>
  </si>
  <si>
    <t>PE-PGRS family protein PE_PGRS51</t>
  </si>
  <si>
    <t>Rv3367, (MTV004.25), len: 588 aa. PE_PGRS51, Member of the Mycobacterium tuberculosis PE family, PGRS subfamily of gly-rich proteins (see Brennan &amp; Delogu 2002). Similar to many from Mycobacterium tuberculosis strains H37Rv and CDC1551 e.g. O50415|Rv3388|MTV004.46 (731 aa), FASTA scores: opt: 1999, E(): 7.2e-72, (55.0% identity in 620 aa overlap); and MTV004_44, MTV043_65, MTV006_15, MTCY63_2, MTCY21B4_13, MTV023_21, MTV008_43, MTCY24A1_4, MTV023_15; etc. Equivalent to AAK47814 from Mycobacterium tuberculosis strain CDC1551 (628 aa) but shorter 37 aa.</t>
  </si>
  <si>
    <t>Rv3368c, (MTV004.26c), len: 214 aa. Possible oxidoreductase, equivalent to O07697|MLCL383.23|ML0418 hypothetical 23.6 KDA protein (putative oxidoreductase) from Mycobacterium leprae (210 aa), FASTA scores: opt: 1215, E(): 1.5e-74, (81.4% identity in 210 aa overlap). Also similar to O30106|AF0131 putative NAD(P)H-flavin oxidoreductase from Archaeoglobus fulgidus (194 aa), FASTA scores: opt: 139, E(): 0.028, (29.0% identity in 207 aa overlap); Q60049|NOX_THETH NADH dehydrogenase from Thermus aquaticus (subsp. thermophilus) (205 aa), FASTA scores: opt: 169, E(): 0.00028, (28.3% identity in 212 aa overlap); and shows some similarity to other hypothetical proteins (unknowns or oxidoreductases).</t>
  </si>
  <si>
    <t>Rv3369, (MTV004.27), len: 144 aa. Conserved protein. C-terminus is similar to N-terminus of O07696|MLCL383.22c hypothetical 14.7 KDA protein from Mycobacterium leprae (131 aa), FASTA scores: opt: 174, E(): 6e-05, (67.55% identity in 37 aa overlap). Also some slight similarity to Q9EWU1|3SC5B7.08c from Streptomyces coelicolor (153 aa), FASTA scores: opt: 125, E(): 0.13, (31.05% identity in 116 aa overlap).</t>
  </si>
  <si>
    <t>DNA polymerase III is a complex, multichain enzyme responsible for most of the replicative synthesis in bacteria. The alpha chain is the DNA polymerase. [catalytic activity: N deoxynucleoside triphosphate = N pyrophosphate + DNA(N)].</t>
  </si>
  <si>
    <t>Probable DNA polymerase III (alpha chain) DnaE2 (DNA nucleotidyltransferase)</t>
  </si>
  <si>
    <t>Rv3370c, (MTV004.28c), len: 1079 aa. Probable dnaE2, DNA polymerase III, alpha chain (see citations below), similar to many e.g. BAB51086|MLR4428 from Rhizobium loti (Mesorhizobium loti) (1118 aa), FASTA scores: opt: 1103, E(): 8.9e-59, (37.65% identity in 1075 aa overlap); Q9S291|SCI11.28c from Streptomyces coelicolor (1185 aa), FASTA scores: opt: 937, E(): 1e-48, (33.4% identity in 1090 aa overlap); O67125|DP3A_AQUAE|DNAE|AQ_1008 from Aquifex aeolicus (1161 aa), FASTA scores: opt: 895, E(): 3.4e-46, (29.9% identity in 1071 aa overlap); O51526|DP3A_BORBU from Borrelia burgdorferi (Lyme disease spirochete) (1147 aa), FASTA scores: opt: 835, E(): 1.4e-42, (30.05% identity in 888 aa overlap); etc. Equivalent to AAK47817 from Mycobacterium tuberculosis strain CDC1551 (1098 aa) but shorter 19 aa. Also similar to Mycobacterium tuberculosis DP3A_MYCTU|MTCY48.18c|dnaE1 (29.6% identity in 1110 aa overlap). Belongs to DNA polymerase type-C family, DNAE subfamily.</t>
  </si>
  <si>
    <t>Rv3371, (MTV004.29), len: 446 aa. Possible triacylglycerol synthase (See Daniel et al., 2004), similar to many Mycobacterium tuberculosis (strains H37Rv and CDC1551) hypothetical proteins e.g. O07035|YV30_MYCTU|Rv3130c|MTCY03A2.28|MTCY164.41c (463 aa), FASTA scores: opt: 556, E(): 7.7e-28, (44.95% identity in 447 aa overlap); MTY20B11_9, MTCY28_26, MTV013_8, MTCY21B4_43, MTCY493_29; etc. Also similar to O07692|MLCL383_9|MLCL383.18c hypothetical 14.1 KDA protein from Mycobacterium leprae (129 aa), FASTA scores: opt: 293, E(): 1.3e-11, (47.85% identity in 117 aa overlap).</t>
  </si>
  <si>
    <t>Involved in osmoregulatory trehalose biosynthesis. Mycobacteria can produce trehalose from glucose 6-phosphate and UDP-glucose (the OtsA-OtsB pathway) from glycogen-like alpha(1--&gt;4)-linked glucose polymers (the TreY-TreZ pathway) and from maltose (the TreS pathway) [catalytic activity: trehalose 6-phosphate + H(2)O = trehalose + orthophosphate].</t>
  </si>
  <si>
    <t>Trehalose 6-phosphate phosphatase OtsB2 (trehalose-phosphatase) (TPP)</t>
  </si>
  <si>
    <t>Rv3372, (MTV004.30), len: 391 aa. otsB2, trehalose-6-phosphate phosphatase, equivalent to Q49734|OTSB2|OTSP|B1620_F1_1|MLCL383.17c putative trehalose-phosphatase from Mycobacterium leprae (429 aa), FASTA scores: opt: 1675, E(): 2.4e-91, (67.05% identity in 425 aa overlap). Also weakly similar to several trehalose phosphatases e.g. Q9C8B3|F10O5.8 from Arabidopsis thaliana (Mouse-ear cress) (366 aa), FASTA scores: opt: 432, E(): 3.1e-18, (36.65% identity in 281 aa overlap); O27788|MTH1760 from Methanobacterium thermoautotrophicum (264 aa), FASTA scores: opt: 347, E(): 2.5e-13, (30.75% identity in 221 aa overlap); Q9FWQ2 from Oryza sativa (Rice) (382 aa), FASTA scores: opt: 338, E(): 1.1e-12, (32.5% identity in 320 aa overlap); etc. Also similar to part of Mycobacterium tuberculosis Q10850|YK06_MYCTU|Rv2006|MT2062|MTCY39.11c (1327 aa), FASTA scores: opt: 1192, E(): 1.6e-62, (56.65% identity in 339 aa overlap).</t>
  </si>
  <si>
    <t>Probable enoyl-CoA hydratase EchA18 (enoyl hydrase) (unsaturated acyl-CoA hydratase) (crotonase)</t>
  </si>
  <si>
    <t>Rv3373, (MTV004.31), len: 213 aa. Probable echA18, enoyl-CoA hydratase, similar to others e.g. P97087|CRT from Clostridium thermosaccharolyticum (Thermoanaerobacterium thermosaccharolyticum) (259 aa), FASTA scores: opt: 423, E(): 3.4e-20, (37.95% identity in 174 aa overlap); Q9X7Q4|SC5F2A.31c from Streptomyces coelicolor (257 aa), FASTA scores: opt: 399, E(): 1.2e-18, (45.05% identity in 171 aa overlap); BAB52005|MLL5584 from Rhizobium loti (Mesorhizobium loti) (257 aa), FASTA scores: opt: 385, E(): 9.6e-18, (41.95% identity in 174 aa overlap); etc. Also some similarity to 3-hydroxybutyryl-CoA dehydratases e.g. P52046|CRT_CLOAB from Clostridium acetobutylicum (261 aa), FASTA scores: opt: 414, E(): 1.3e-19, (38.3% identity in 175 aa overlap). And similar to other hydratases from Mycobacterium tuberculosis e.g. O53418|ECH8_MYCTU|Rv1070c|MT1100|MTV017.23c probable enoyl-CoA hydratase (257 aa), FASTA scores: opt: 365, E(): 1.9e-16, (39.1% identity in 174 aa overlap). Belongs to the enoyl-CoA hydratase/isomerase family. Note that this homology extends across the stop codon and directly into the next ORF MTV004.29, suggesting a possible readthrough of the TGA stop codon.</t>
  </si>
  <si>
    <t>echA18.1</t>
  </si>
  <si>
    <t>Rv3374</t>
  </si>
  <si>
    <t>Probable enoyl-CoA hydratase (fragment) EchA18.1 (enoyl hydrase) (unsaturated acyl-CoA hydratase) (crotonase)</t>
  </si>
  <si>
    <t>Rv3374, (MTV004.32), len: 82 aa. Probable echA18.1, enoyl-CoA hydratase C-terminus, similar to the C-terminus of several enoyl-CoA hydratases e.g. Q9I5I4|PA0745 from Pseudomonas aeruginosa (272 aa), FASTA scores: opt: 123, E(): 0.13, (34.55% identity in 81 aa overlap); P97087|CRT from Clostridium thermosaccharolyticum (Thermoanaerobacterium thermosaccharolyticum) (259 aa), FASTA scores: opt: 115, E(): 0.45, (32.95% identity in 82 aa overlap); Q9I002|PA2841 from Pseudomonas aeruginosa (263 aa), FASTA scores: opt: 108, E(): 1.4, (30.95% identity in 84 aa overlap); etc. Also some similarity to C-terminus of O29956|AF0285 3-hydroxyacyl-CoA dehydrogenase from Archaeoglobus fulgidus (658 aa), FASTA scores: opt: 116, E(): 0.81, (34.15% identity in 82 aa overlap); and other enzymes. And similar to other hydratases from Mycobacterium tuberculosis e.g. O53418|ECH8_MYCTU|Rv1070c|MT1100|MTV017.23c probable enoyl-CoA hydratase (257 aa), FASTA scores: opt: 111, E(): 0.83, (36.05% identity in 86 aa overlap). This homology extends across the upstream TGA stop codon into the upstream ORF MTV004.28, suggesting possible readthrough of the previous stop codon. Note that previously known as echA18'.</t>
  </si>
  <si>
    <t>Involved in cellular metabolism [catalytic activity: a monocarboxylic acid amide + H(2)O = a monocarboxylate + NH(3)].</t>
  </si>
  <si>
    <t>Probable amidase AmiD (acylamidase) (acylase)</t>
  </si>
  <si>
    <t>Rv3375, (MTV004.33), len: 475 aa. Probable amiD, amidase, similar to various amidases e.g. Q53116|AMDA enantiomerase-selective amidase from Rhodococcus sp. (462 aa), FASTA scores: opt: 1036, E(): 1.6e-54, (38.6% identity in 464 aa overlap); Q9ZHK8|PZAA nicotinamidase/pyrazinamidase from Mycobacterium smegmatis (468 aa), FASTA scores: opt: 930, E(): 3.4e-48, (36.3% identity in 463 aa overlap); Q9A551|CC2613 pyrazinamidase/nicotinamidase from Caulobacter crescentus (464 aa), FASTA scores: opt: 841, E(): 7.1e-43, (39.45% identity in 469 aa overlap); O69768|AMID_PSEPU amidase from Pseudomonas putida (466 aa), FASTA scores: opt: 800, E(): 2e-40, (33.6% identity in 467 aa overlap); O28325|YJ54_ARCFU|AF1954 putative amidase from Archaeoglobus fulgidu (453 aa), FASTA scores: opt: 669, E(): 1.3e-32, (30.4% identity in 467 aa overlap); etc. Also some similarity to AMIB2|Rv1263|MT1301|MTCY50.19c putative amidase from Mycobacterium tuberculosis (462 aa), (31.5% identity in 466 aa overlap). Seems belong to the amidase family.</t>
  </si>
  <si>
    <t>Rv3376, (MTV004.34), len: 217 aa. Hypothetical protein, similar to various bacterial proteins (notably hydrolases) e.g. Q9RUP0|DR1344 hydrolase from Deinococcus radiodurans (222 aa), FASTA scores: opt: 348, E(): 1.8e-15, (36.75% identity in 215 aa overlap); Q9RXA1|DR0414 hydrolase (CBBY/CBBZ/GPH/YIEH family) from Deinococcus radiodurans (155 aa), FASTA scores: opt: 233, E(): 3.5e-08, (36.4% identity in 151 aa overlap); Q9X0Q9|TM1177 conserved hypothetical protein from Thermotoga maritima (225 aa), FASTA scores: opt: 231, E(): 6.6e-08, (27.6% identity in 221 aa overlap); Q9ABI3|CC0244 hydrolase, haloacid dehalogenase-like from Caulobacter crescentus (213 aa), FASTA scores: opt: 213, E(): 9.1e-07, (28.95% identity in 221 aa overlap); BAB38231|ECS4808 putative phosphatase from Escherichia coli strain O157:H7 (206 aa), FASTA scores: opt: 210, E(): 1.4e-06, (26.95% identity in 193 aa overlap); etc. This region is a possible MT-complex-specific genomic island (See Becq et al., 2007).</t>
  </si>
  <si>
    <t>Produces halimadienyl diphosphate (tuberculosinyl diphosphate) from geranylgeranyl diphosphate (GGPP) [catalytic activity: geranylgeranyl diphosphate = halima-5(6),13-DIEN-15-YL diphosphate]</t>
  </si>
  <si>
    <t>Halimadienyl diphosphate synthase</t>
  </si>
  <si>
    <t>Rv3377c, (MTV004.35c), len: 501 aa. Halimadienyl diphosphate synthase; similarity with various proteins, notably cyclases involved in steroid biosynthesis in plants and bacteria e.g. BAB52679|MLR6369 from Rhizobium loti (Mesorhizobium loti) (516 aa), FASTA scores: opt: 533, E(): 5.6e-27, (30.45% identity in 522 aa overlap); Q9ZTN8 copalyl diphosphate synthase 1 from Cucurbita maxima (Pumpkin) (Winter squash) (823 aa), FASTA scores: opt: 484, E(): 1.2e-23, (28.35% identity in 388 aa overlap); Q38710|AC22 abietadiene cyclase from Abies grandis (868 aa), FASTA scores: opt: 382, E(): 5.2e-17, (25.55% identity in 462 aa overlap); Q41771|AN1 kaurene synthase a from Zea mays (Maize) (823 aa), FASTA scores: opt: 377, E(): 1.1e-16, (29.75% identity in 390 aa overlap); Q9AJE4 diterpene cyclase-1 from Kitasatospora griseola (Streptomyces griseolosporeus) (499 aa), FASTA scores: opt: 336, E(): 3.2e-14, (27.5% identity in 513 aa overlap); Q9SAU6 E-alpha-bisabolene synthase (fragment) from Abies grandis (782 aa), FASTA scores: opt: 317, E(): 7.8e-13, (25.25% identity in 479 aa overlap); etc. Note that this and the upstream ORF MTV004.36c have a significantly lower GC bias than the rest of the genome. This region is a possible MT-complex-specific genomic island (See Becq et al., 2007). Cofactor: Mg2+.</t>
  </si>
  <si>
    <t>Produces isotuberculosinol (nosyberkol) from halimadienyl diphosphate. Production of tuberculosinol has also been shown by some.</t>
  </si>
  <si>
    <t>Diterpene synthase</t>
  </si>
  <si>
    <t>Rv3378c, (MTV004.36c), len: 296 aa. Diterpene synthase. Note that this ORF and the downstream ORF MTV004.35c have a significantly lower GC bias than the rest of the genome. This region is a possible MT-complex-specific genomic island (See Becq et al., 2007). Cofactor: Mg2+.</t>
  </si>
  <si>
    <t>Catalyzes the acyloin condensation reaction between C atoms 2 and 3 of pyruvate and glyceraldehyde 3-phosphate to yield 1-deoxy-D-xylulose-5-phosphate (DXP). Possibly involved in deoxyxylulose-5-phosphate pathway (DXP) of isoprenoid biosynthesis (at the first step), and biosynthetic pathway to thiamine andpyridoxol (at the first step).</t>
  </si>
  <si>
    <t>Probable 1-deoxy-D-xylulose 5-phosphate synthase Dxs2 (1-deoxyxylulose-5-phosphate synthase) (DXP synthase) (DXPS)</t>
  </si>
  <si>
    <t>Rv3379c, (MTV004.37c), len: 536 aa. Probable dxs2, 1-deoxy-D-xylulose 5-phosphate synthase, similar to many e.g. Q9F1V2|DXS from Kitasatospora griseola (Streptomyces griseolosporeus) (649 aa), FASTA scores: opt: 1274, E(): 5.4e-71, (50.9% identity in 570 aa overlap); Q9X7W3|DXS_STRCO|SC6A5.17 from Streptomyces coelicolor (656 aa), FASTA scores: opt: 1248, E(): 2.2e-69, (50.55% identity in 568 aa overlap); Q9RBN6|DXS_STRC1 from Streptomyces sp. strain CL190 (631 aa), FASTA scores: opt: 1237, E(): 1e-68, (49.1% identity in 570 aa overlap); Q50000|DXS_MYCLE|TKTB|ML1038 from Mycobacterium leprae (643 aa), FASTA scores: opt: 1215, E(): 2.4e-67, (46.75% identity in 571 aa overlap); Q9R6S7|DXS_SYNLE from Synechococcus leopoliensis (636 aa), FASTA scores: opt: 849, E(): 8.9e-45, (38.55% identity in 550 aa overlap); etc. Also similar to O07184|DXS_MYCTU|Rv2682c|MT2756|MTCY05A6.03c from Mycobacterium tuberculosis (638 aa), FASTA scores: opt: 1226, E(): 4.9e-68, (48.9% identity in 558 aa overlap). Belongs to the transketolase family, DXS subfamily. Cofactor: thiamine pyrophosphate (by similarity). Note that the N-terminus of this putative protein appears to have been interrupted by the adjacent IS6110 element.</t>
  </si>
  <si>
    <t>Rv3380c</t>
  </si>
  <si>
    <t>Rv3380c, (MTV004.38c), len: 328 aa. Probable transposase subunit for IS6110. Identical to many other M. tuberculosis IS6110 transposase subunits. The transposase described here may be made by a frame shifting mechanism during translation that fuses Rv3380c and Rv3381c, the sequence UUUUAAAG (directly upstream of Rv3380c) maybe responsible for such a frameshifting event (see McAdam et al., 1990). Start changed since first submission (+ 34 aa).</t>
  </si>
  <si>
    <t>Rv3381c</t>
  </si>
  <si>
    <t>Rv3381c, (MTV004.39c), len: 108 aa. Putative Transposase for IS6110 (fragment). Identical to many other M. tuberculosis IS6110 transposase subunits. The transposase described here may be made by a frame shifting mechanism during translation that fuses Rv3380c and Rv3381c, the sequence UUUUAAAG (directly upstream of Rv3380c) maybe responsible for such a frameshifting event (see McAdam et al., 1990).</t>
  </si>
  <si>
    <t>Unknown. Possibly involved in drug/antibiotic tolerance. In other organisms, LYTB product is involved in penicillin tolerance and control of the stringent response.</t>
  </si>
  <si>
    <t>Probable LYTB-related protein LytB1</t>
  </si>
  <si>
    <t>Rv3382c, (MTV004.40c), len: 329 aa. Probable lytB1, lytB-related protein, highly similar to many e.g. Q9HVM7|LYTB_PSEAE|PA4557 from Pseudomonas aeruginosa (314 aa), FASTA scores: opt: 1048, E(): 2e-55, (53.2% identity in 314 aa overlap); Q9JR39|LYTB|NMA0624|NMB1831 from Neisseria meningitidis (serogroup a and B) (322 aa), FASTA scores: opt: 1041, E(): 5.4e-55, (52.25% identity in 312 aa overlap); P22565|LYTB_ECOLI|B0029 from Escherichia coli strain K12 (316 aa), FASTA scores: opt: 1013, E(): 2.5e-53, (51.45% identity in 311 aa overlap) (for more information about lytB protein, see citation below); Q9X781|LYTB_MYCLE|LYTB2|ML1938|MLCB1222.06c from Mycobacterium leprae (332 aa), FASTA scores: opt: 979, E(): 2.8e-51, (51.3% identity in 312 aa overlap); etc. Also similar to Q9PAS9|XF2416 drug tolerance protein from Xylella fastidiosa (316 aa), FASTA scores: opt: 1043, E(): 4.1e-55, (53.65% identity in 315 aa overlap). And similar to O53458|Rv1110|LYTB2|MTV017.63 from Mycobacterium tuberculosis (335 aa), FASTA scores: opt: 975, E(): 4.9e-51, (51.3% identity in 312 aa overlap). Belongs to the LytB family.</t>
  </si>
  <si>
    <t>Involved in biosynthesis of membrane ether-linked lipids. Catalyzes the trans-addition of the three molecules of IPP onto DMAPP to form geranylgeranyl pyrophosphate which is a precursor of the ether-linked lipids. Catalyze the consecutive condensation of homoallylic diphosphate of isopentenyl diphosphates (IPP, C5) with allylic diphosphates to synthesize prenyl diphosphates of various chain lengths.</t>
  </si>
  <si>
    <t>Possible polyprenyl synthetase IdsB (polyprenyl transferase) (polyprenyl diphosphate synthase)</t>
  </si>
  <si>
    <t>Rv3383c, (MTV004.41c), len: 350 aa. Possible idsB, polyprenyl transferase (polyprenyl diphosphate synthase) , similar to many prenyltransferases involved in lipid biosynthesis e.g. Q9RGW1|GTR geranyl transferase from Streptomyces coelicolor (386 aa), FASTA scores: opt: 908, E(): 3.7e-50, (48.8/% identity in 334 aa overlap); Q9KWG0|GGDPS geranyl geranyl diphosphate synthase from Kitasatospora griseola (Streptomyces griseolosporeus) (348 aa), FASTA scores: opt: 801, E(): 2e-43, (41.5% identity in 347 aa overlap); Q9X7V8|SC6A5.12 putative polyprenyl synthetase from Streptomyces coelicolor (378 aa), FASTA scores: opt: 779, E(): 5.3e-42, (44.45% identity in 324 aa overlap); Q9S5E9 farnesyl, geranylgeranyl, geranylfarnesyl, hexaprenyl, heptaprenyl diphosphate synthase (self-HEPPS) from Synechococcus elongatus (324 aa), FASTA scores: opt: 563, E(): 2.3e-28, (39.85% identity in 241 aa overlap) (see citation below); O26156|IDSA_METTH|MTH50 bifunctional short chain isoprenyl diphosphate synthase [includes: farnesyl pyrophosphate synthetase (FPP synthetase) (dimethylallyltransferase) and geranyltranstransferase] from Methanobacterium thermoautotrophicum (325 aa), FASTA scores: opt: 540, E(): 6.5e-27, (35.75% identity in 319 aa overlap); P95999|GGPP_SULSO|GDS|GDS-1|SSO0061|C05010|C05_049 geranylgeranyl pyrophosphate synthetase (GGPP synthetase) (GGPS) [includes: dimethylallyltransferase and geranyltranstransferase and farnesyltranstransferase] from Sulfolobus solfataricus (332 aa), FASTA scores: opt: 511, E(): 4.5e-25 (36.9% identity in 244 aa overlap); etc. Also similar to Q50727|GGPP_MYCTU|Rv3398c|MT3506|MTCY78.30 probable multifunctional geranylgeranyl pyrophosphate synthetase [includes: dimethylallyltransferase; geranyltranstransferase; farnesyltranstransferase] from Mycobacterium tuberculosis (359 aa), FASTA scores: opt: 687, E(): 3.4e-36, (39.1% identity in 325 aa overlap). Contains PS00723 Polyprenyl synthetases signature 1. Belongs to the FPP/GGPP synthetases family.</t>
  </si>
  <si>
    <t>vapC46</t>
  </si>
  <si>
    <t>Possible toxin VapC46. Contains PIN domain.</t>
  </si>
  <si>
    <t>Rv3384c, (MTV004.42c), len: 130 aa. Possible vapC46, toxin, part of toxin-antitoxin (TA) operon with Rv3385c, contains PIN domain, see Arcus et al. 2005. Similar to others in Mycobacterium tuberculosis e.g. P95252|Rv1962c|MTCY09F9.02 (135 aa), FASTA scores: opt: 266, E(): 1.6e-10, (43.1% identity in 130 aa overlap); and Q50717|YY08_MYCTU|Rv3408|MTCY78.20c (136 aa), FASTA scores: opt: 243, E(): 4.8e-09, (35.1% identity in 131 aa overlap).</t>
  </si>
  <si>
    <t>vapB46</t>
  </si>
  <si>
    <t>Possible antitoxin VapB46</t>
  </si>
  <si>
    <t>Rv3385c, (MTV004.43c), len: 102 aa. Possible vapB46, antitoxin, part of toxin-antitoxin (TA) operon with Rv3386c, see Arcus et al. 2005. Similar to others in Mycobacterium tuberculosis hypothetical proteins e.g. Q50718|Y09M_MYCTU|MTCY78.21c|Rv3407|MT3515 (99 aa), FASTA scores: opt: 155, E(): 0.001, (41.05% identity in 78 aa overlap); O07782|Rv0596c|MTCY19H5.26 (85 aa), FASTA scores: opt: 136, E(): 0.016, (39.45% identity in 71 aa overlap); P96916|Rv0626|MTCY20H10.07 (86 aa), FASTA scores: opt: 130, E(): 0.04, (51.2% identity in 41 aa overlap); etc. Also similar to prevent host death (PHD) proteins e.g. CAA66834|PHD from Escherichia coli (73 aa), FASTA scores: opt: 113, E(): 0.45, (39.4% identity in 66 aa overlap); and Q06253|PHD_BPP1 from Bacteriophage P1 (73 aa), FASTA scores: opt: 113, E(): 0.45, (39.4% identity in 66 aa overlap).</t>
  </si>
  <si>
    <t>Involved in the transposition of the insertion sequence IS1560.</t>
  </si>
  <si>
    <t>Rv3386, (MTV004.44), len: 234 aa. Possible transposase, showing very weak similarity to several is element transposases. Highly similar (but shorter) to P963659|MTCY10G2_13|Rv1036c from Mycobacterium tuberculosis (112 aa), FASTA scores: opt: 507, E(): 8.3e-25, (83.9% identity in 87 aa overlap).</t>
  </si>
  <si>
    <t>Rv3387</t>
  </si>
  <si>
    <t>Rv3387, (MTV004.45), len: 225 aa. Possible transposase, showing very weak similarity to other is element proteins, and similar to various hypothetical proteins.</t>
  </si>
  <si>
    <t>PE-PGRS family protein PE_PGRS52</t>
  </si>
  <si>
    <t>Rv3388, (MTV004.46), len: 731 aa. PE_PGRS52, Member of the M. tuberculosis PE family, PGRS subfamily of gly-rich proteins (see citation below), similar to many PE-family proteins from Mycobacterium tuberculosis strains H37Rv and CDC1551 e.g. O53553|YZ08_MYCTU|RV3508|MTV023.15 (1901 aa), FASTA scores: opt: 2380, E(): 3.6e-87, (53.8% identity in 773 aa overlap); and MTV023_21, MTV023_18, MTV023_14, MTV039_16, MTCY441_4. Predicted to be an outer membrane protein (See Song et al., 2008).</t>
  </si>
  <si>
    <t>htdY</t>
  </si>
  <si>
    <t>Probable 3-hydroxyacyl-thioester dehydratase HtdY</t>
  </si>
  <si>
    <t>Rv3389c, (MTV004.47c), len: 290 aa. Probable htdY, 3-hydroxyacyl-thioester dehydratase (See Gurvitz et al., 2009), shows structural similarity to six others in Mycobacterium tuberculosis (see Castell et al., 2005) especially Rv3538. Also shows similarity to members of short-chain dehydrogenases/reductases (SDR) family e.g. Q9L009|SCC30.12c putative dehydrogenase from Streptomyces coelicolor (333 aa), FASTA scores: opt: 602, E(): 2.7e-30, (40.35% identity in 305 aa overlap); Q19058|E04F6.3 hydratase-dehydrogenase-epimerase from Caenorhabditis elegans (298 aa), FASTA scores: opt: 573, E(): 1.6e-28, (41.0% identity in 266 aa overlap); Q9LBK1|PHAJ2|PA1018 (R)-specific enoyl-CoA hydratase from Pseudomonas aeruginosa (288 aa), FASTA scores: opt: 601, E(): 2.7e-30, (40.5% identity in 294 aa overlap).</t>
  </si>
  <si>
    <t>Probable conserved lipoprotein LpqD</t>
  </si>
  <si>
    <t>Rv3390, (MTV004.48), len: 236 aa. Probable lpqD, a conserved lipoprotein with some similarity to various bacterial proteins e.g. Q9F3Q7|SC10F4.03 putative isomerase from Streptomyces coelicolor (224 aa), FASTA scores: opt: 416, E(): 2.5e-18, (33.0% identity in 197 aa overlap); Q9ZAX0|PGM 2,3-PDG dependent phosphoglycerate mutase from Amycolatopsis methanolica (205 aa), FASTA scores: opt: 314, E(): 3.7e-12, (28.55% identity in 203 aa overlap); P73454|SLR1748 hypothetical 24.2 KDA protein from Synechocystis sp. strain PCC 6803 (214 aa), FASTA scores: opt: 201, E(): 2.8e-05, (23.8% identity in 189 aa overlap); etc. Also similar to Mycobacterium tuberculosis hypothetical proteins e.g. O53817|Rv0754|MTV041.28 PGRS-family protein (584 aa), FASTA scores: opt: 219, E(): 5.1e-06, (39.8% identity in 226 aa overlap). Contains signal sequence and appropriately positioned PS00013 Prokaryotic membrane lipoprotein lipid attachment site.</t>
  </si>
  <si>
    <t>Possible multi-functional enzyme with acyl-CoA-reductase activity AcrA1</t>
  </si>
  <si>
    <t>Rv3391, (MTV004.49), len: 650 aa. Possible acrA1, multi functional protein with fatty acyl-CoA reductase activity in C-terminal part. Indeed C-terminal part highly similar to P94129|ACR1 fatty acyl-CoA reductase from Acinetobacter calcoaceticus (295 aa), FASTA scores: opt: 767, E(): 1.4e-36, (45.4% identity in 260 aa overlap); and similar to other oxidoreductases dehydrogenases/reductases e.g. Q9Y3A1 CGI-93 protein (similarity with SDR family) from Homo sapiens (Human) (291 aa), FASTA scores: opt: 363, E(): 1.5e-13, (38.65% identity in 194 aa overlap); Q9L146|SC6D11.09 putative oxidoreductase (similarity with SDR family) from Streptomyces coelicolor (343 aa), FASTA scores: opt: 346, E(): 1.6e-12, (30.4% identity in 283 aa overlap); Q9HSR4|YUSZ1|VNG0115G oxidoreductase from Halobacterium sp. strain NRC-1 (260 aa), FASTA scores: opt: 338, E(): 3.7e-12, (33.85% identity in 248 aa overlap); etc. C-terminus also similar to Mycobacterium tuberculosis proteins Q10783|YF43_MYCTU|Rv1543|MTCY48.22c putative oxidoreductase (341 aa), FASTA scores: opt: 787, E(): 1.2e-37, (39.8% identity in 319 aa overlap); O06413|Rv0547c|MTCY25D10.26c hypothetical 31.8 KDA protein (294 aa), FASTA scores: opt: 565, E(): 4.7e-25, (36.8% identity in 242 aa overlap); O53398|Rv1050|MTV017.03 oxidoreductase (SDR family) (301 aa), FASTA scores: opt: 436, E(): 1.1e-17, (32.2% identity in 292 aa overlap). N-terminus (aa 1-320) is similar to P37693|HETM_ANASP polyketide synthase hetM from Anabaena sp. (506 aa), FASTA scores: opt: 188, E(): 1.3e-07, (27.7% identity in 361 aa overlap); so certainly a multi-domain enzyme. Seems to belong to the short-chain dehydrogenases/reductases (SDR) family. Note that this ORF corresponds to the gene ORF2|Q11197 (see Yuan et al., 1995), but longer 266 aa, due to use of a more upstream start site.</t>
  </si>
  <si>
    <t>Has cyclopropane function. Transfers a methylene group from S-adenosyl-L-methionine to the cis double bond of an unsaturated fatty acid chain resulting in the replacement of the double bond with a methylene bridge. Mycolic acids, which represent the major constituent of mycobacterial cell wall complex, act as substrates [catalytic activity: S-adenosyl-L-methionine + phospholipidolefinic fatty acid = S-adenosyl-L-homocysteine + phospholipid cyclopropane fatty acid].</t>
  </si>
  <si>
    <t>Cyclopropane-fatty-acyl-phospholipid synthase 1 CmaA1 (cyclopropane fatty acid synthase) (CFA synthase) (cyclopropane mycolic acid synthase 1)</t>
  </si>
  <si>
    <t>Rv3392c, (MTV004.50), len: 287 aa. CmaA1, cyclopropane mycolic acid synthase 1, characterized in 1995 as CFA1_MYCTU|Q11195|CMAA1|CMA1 cyclopropane-fatty-acyl-phospholipid synthase 1 (see citations below). Highly similar to Mycobacterium tuberculosis proteins MTCY20H10.23c (58.7% identity in 286 aa overlap); MTCY20H10.24c (68.6% identity); MTCY20H10.25c (73.5% identity); MTCY20H10.26c (57.0% identity); and MTCY20G9.30c (55.7% identity). Also highly similar to Q9CBK3|MMAA4|ML1903 methyl mycolic acid synthases from Mycobacterium leprae (298 aa), FASTA scores: opt: 1098, E(): 1e-63, (57.0% identity in 286 aa overlap). Equivalent to AAK44898|MT0672 from Mycobacterium tuberculosis strain CDC1551 (317 aa) but shorter 30 aa and with some differences in residues between the proteins.</t>
  </si>
  <si>
    <t>Involved in purine salvage. Catalyzes the hydrolysis of all of the commonly occurring purine and pyrimidine nucleosides into ribose and the associated base, and could have a preference for inosine and uridine as substrates [catalytic activity: a N-D-ribosylpurine + H(2)O = a purine + D- ribose].</t>
  </si>
  <si>
    <t>Probable nucleoside hydrolase IunH (purine nucleosidase)</t>
  </si>
  <si>
    <t>Rv3393, (MTV004.51), len: 308 aa. Probable iunH, nucleoside hydrolase, similar to others e.g. Q9RXB2|DR0403 from Deinococcus radiodurans (314 aa), FASTA scores: opt: 497, E(): 6e-24, (34.3% identity in 312 aa overlap); Q27546|IUNH_CRIFA from Crithidia fasciculata (314 aa), FASTA scores: opt: 475, E(): 1.4e-22, (31.45% identity in 318 aa overlap); Q9CK67|IUNH from Pasteurella multocida (310 aa), FASTA scores: opt: 464, E(): 6.9e-22, (30.9% identity in 314 aa overlap); Q9A549|CC2615 from Caulobacter crescentus (323 aa), FASTA scores: opt: 464, E(): 7.2e-22, (37.85% identity in 280 aa overlap); etc. Note that also similar to BAB34113|ECS0690 (alias AAG54985|YBEK) putative tRNA synthetase from Escherichia coli strain O157:H7 (311 aa), FASTA scores: opt: 483, E(): 4.5e-23, (33.0% identity in 315 aa overlap). The active site histidine is conserved.</t>
  </si>
  <si>
    <t>Rv3394c</t>
  </si>
  <si>
    <t>Rv3394c, (MTV004.52c), len: 527 aa. Hypothetical protein, with some similarity to various bacterial proteins e.g. BAB51085|MLR4427 hypothetical protein from Rhizobium loti (Mesorhizobium loti) (545 aa), FASTA scores: opt: 267, E(): 2.8e-08, (26.5% identity in 509 aa overlap); BAB48362|MLR0866 DNA damage inducible protein P from Rhizobium loti (Mesorhizobium loti) (438 aa), FASTA scores: opt: 245, E(): 4.6e-07, (25.5% identity in 290 aa overlap); Q9S292|SCI11.27c hypothetical protein from Streptomyces coelicolor (322 aa), FASTA scores: opt: 202, E(): 0.00012, (28.5% identity in 323 aa overlap); etc. Also similarity with P95102|DINP|RV3056|MTCY22D7.25c hypothetical protein from Mycobacterium tuberculosis (346 aa), FASTA scores: opt: 211, E(): 3.9e-05, (26.45% identity in 306 aa overlap). Equivalent to AAK47838 from Mycobacterium tuberculosis strain CDC1551 (492 aa) but longer 35 aa.</t>
  </si>
  <si>
    <t>Rv3395A, len: 208 aa. Probable membrane protein, with potential transmembrane stretches from aa 7..25 and 55..77. Weak similarity to Q9F2P3|SCE41.16C putative lipoprotein from Streptomyces coelicolor (258 aa), FASTA scores: opt: 107, E(): 7.4, (34.05% identity in 94 aa overlap).</t>
  </si>
  <si>
    <t>Rv3395c, (MTCY78.33), len: 204 aa. Conserved hypothetical protein, with some similarity with RECA proteins (recombinases A) e.g. P16238|RECA_THIFE from Thiobacillus ferrooxidans (346 aa), FASTA scores: opt: 131, E(): 1.1, (31.45% identity in 140 aa overlap); Q59560|RECA_MYCSM from Mycobacterium smegmatis (349 aa), FASTA scores: opt: 121, E(): 4.4, (30.25% identity in 129 aa overlap); etc. Note that shortened since first submission to avoid overlap with Rv3395A. Equivalent to AAK47839 from Mycobacterium tuberculosis strain CDC1551 (227 aa) but shorter 23 aa.</t>
  </si>
  <si>
    <t>Involved in GMP biosynthesis [catalytic activity: ATP + xanthosine 5'-phosphate + L-glutamine + H(2)O = AMP + pyrophosphate + GMP + L-glutamate].</t>
  </si>
  <si>
    <t>Probable GMP synthase [glutamine-hydrolyzing] GuaA (glutamine amidotransferase) (GMP synthetase)</t>
  </si>
  <si>
    <t>Rv3396c, (MTCY78.32), len: 525 aa. Probable guaA, gmp synthase (see citation below), equivalent to P46810|GUAA_MYCLE|ML0395|B1620_C2_205 GMP synthase [glutamine-hydrolyzing] from Mycobacterium leprae (529 aa), FASTA scores: opt: 2992, E(): 8.5e-168, (86.85% identity in 525 aa overlap). Also highly similar to others e.g. O52831|GUAA_CORAM from Corynebacterium ammoniagenes (Brevibacterium ammoniagenes) (524 aa), FASTA scores: opt: 2636, E(): 5.9e-147, (76.2% identity in 521 aa overlap); Q9L0H2|GUAA_STRCO from Streptomyces coelicolor (526 aa), FASTA scores: opt: 2451, E(): 4.1e-136, (71.55% identity in 513 aa overlap); Q9KF78|GUAA_BACHD from Bacillus Halodurans (513 aa), FASTA scores: opt: 1819, E(): 4.1e-99, (52.55% identity in 510 aa overlap); etc. Contains PS00442 Glutamine amidotransferases class-I active site. Belongs to the type-1 glutamine amidotransferase family in the N-terminal section. And belongs to the GMP synthase family in the C-terminal section.</t>
  </si>
  <si>
    <t>Involved in carotenoid biosynthesis and in astaxanthin biosynthetic pathway. Catalyses the reaction from prephytoene diphosphate to phytoene [catalytic activity 1: 2 geranylgeranyl diphosphate = pyrophosphate + prephytoene diphosphate] [catalytic activity 2: prephytoene diphosphate = pyrophosphate + phytoene].</t>
  </si>
  <si>
    <t>Probable phytoene synthase PhyA</t>
  </si>
  <si>
    <t>Rv3397c, (MTCY78.31), len: 302 aa. Probable phyA (alternate gene name: crtB), phytoene synthase, similar to many others e.g. Q9X7V5|SC6A5.09 from Streptomyces coelicolor (312 aa), FASTA scores: opt: 791, E(): 2.8e-43, (48.25% identity in 286 aa overlap); Q9RW07|DR0862 from Deinococcus radiodurans (325 aa), FASTA scores: opt: 482, E(): 1.5e-23, (35.25% identity in 292 aa overlap); Q9JRU9|NMB1168|NMB1130 from Neisseria meningitidis (serogroup B) (290 aa), FASTA scores: opt: 446, E(): 2.8e-21, (34.25% identity in 260 aa overlap); P37272|PSY_CAPAN from Capsicum annuum (Bell pepper) (419 aa), FASTA scores: opt: 431, E(): 3.4e-20, (33.0% identity in 288 aa overlap); etc. Also similar to Q9JUF5|NMA1339 putative poly-isoprenyl transferase from Neisseria meningitidis (serogroup A) (290 aa), FASTA scores: opt: 450, E(): 1.6e-21, (34.6% identity in 260 aa overlap). And similar to crtB|O05424 phytoene synthase from Mycobacterium marinum (319 aa), blastp scores: 113, E= 6e-24, Identities = 89/283 (31%) (see citation below). Contains PS01045 Squalene and phytoene synthases signature 2. Belongs to the phytoene/squalene synthetase family.</t>
  </si>
  <si>
    <t>Involved in the biosynthesis of membrane ether-linked lipids. Catalyzes the trans-addition of the three molecules of IPP onto DMAPP to form geranylgeranyl pyrophosphate which is a precursor of the ether-linked lipids [catalytic ACTIVITY1: dimethylallyl diphosphate + isopentenyl diphosphate = diphosphate + geranyl diphosphate] [catalytic ACTIVITY2: geranyl diphosphate + isopentenyl diphosphate = diphosphate + trans,trans-farnesyl diphosphate] [catalytic ACTIVITY3: trans-trans-farnesyl diphosphate + isopentenyl diphosphate = diphosphate + geranylgeranyl diphosphate]</t>
  </si>
  <si>
    <t>Probable multifunctional geranylgeranyl pyrophosphate synthetase IdsA1 (GGPP synthetase) (ggppsase) (geranylgeranyl diphosphate synthase): dimethylallyltransferase (prenyltransferase) (geranyl-diphosphate synthase) + geranyltranstransferase (farnesyl-diphosphate synthase) (farnesyl-pyrophosphate synthetase) (farnesyl diphosphate synthetase) (FPP synthetase) + farnesyltranstransferase (geranylgeranyl-diphosphate synthase)</t>
  </si>
  <si>
    <t>Rv3398c, (MTCY78.30), len: 359 aa. Probable idsA1, geranylgeranyl pyrophosphate synthetase (GGPP synthetase) including: dimethylallyltransferase , geranyltranstransferase, and farnesyltranstransferase. Most similar to AE000797_3|O26156|Q53479 bifunctional short chain isoprenyl diphosphate synthase from Methanobacterium thermoautotrop (325 aa), FASTA scores: opt: 605, E(): 0, (37.1% identity in 329 aa overlap); homology suggests ATG at 30121 or TTG at 30145 to be the initiation codon. Contains PS00444 Polyprenyl synthetases signature 2. Belongs to the FPP/GGPP synthetases family; belongs to a family that groups together FPP synthetase, GGPP synthetase and hexaprenyl pyrophosphate synthetase. Note that previously known as idsA.</t>
  </si>
  <si>
    <t>Rv3399, (MTCY78.29c), len: 348 aa. Possible S-adenosylmethionine-dependent methyltransferase (see Grana et al., 2007), similar to other Mycobacterium tuberculosis (strains H37Rv and CDC1551) hypothetical proteins e.g. P95074|Rv0726c|MTCY210.45c (367 aa), FASTA scores: opt: 1188, E(): 7.7e-69, (60.05% identity in 308 aa overlap); MTCY31.21c (38.0% identity in 308 aa overlap), MTV041_5, MTCY4C12_14, MTY13D12_21, MTV043_22, MTCY210_44, MTCI5_19, MTCI5_20, MTV035_9, MTCY180_22, MTCY31_23, MTY13D12_1, MTCY180_29; etc.</t>
  </si>
  <si>
    <t>Rv3400, (MTCY78.28c), len: 262 aa. Probable hydrolase, strongly equivalent to Q49741|YY00_MYCLE|ML0393|B1620_F3_119 hypothetical 28.6 KDA protein from Mycobacterium leprae (261 aa), FASTA scores: opt: 1293, E(): 2.2e-71, (74.45% identity in 262 aa overlap). Similar to several various proteins (notably hydrolases) e.g. Q9L2I7|SCF42.32 putative hydrolase from Streptomyces coelicolor (246 aa), FASTA scores: opt: 888, E(): 7.7e-47, (56.35% identity in 245 aa overlap); Q9EX06|2SCG38.13 putative hydrolase from Streptomyces coelicolor (238 aa), FASTA scores: opt: 195, E(): 8.1e-05, (29.5% identity in 234 aa overlap); Q9I5X4|PA0562 probable hydrolase from Pseudomonas aeruginosa (224 aa), FASTA scores: opt: 190, E(): 0.00015, (27.8% identity in 248 aa overlap); O06995|PGMB_BACSU|YVDM putative beta-phosphoglucomutase from Bacillus subtilis (226 aa), FASTA scores: opt: 190, E(): 0.00016, (33.9% identity in 245 aa overlap); etc. Also similar to Mycobacterium tuberculosis hypothetical protein Q10850|YK06_MYCTU|Rv2006|MT2062|MTCY39.11c (1327 aa), FASTA scores: opt: 413, E(): 2e-17, (34.9% identity in 238 aa overlap). Interestingly, note that Rv3400 and Rv3401 are similar to beginning and end of Q10850|YK06_MYCTU|Rv2006|MT2062|MTCY39.11c with approx. 270 aa missing from the middle.</t>
  </si>
  <si>
    <t>Function unknown; probably enzyme involved in cellular metabolism.</t>
  </si>
  <si>
    <t>Rv3401, (MTCY78.27c), len: 786 aa. Conserved protein, may be an hydrolase or a transferase, equivalent to Q49736|ML0392|B1620_F1_30 hypothetical 88.1 KDA protein from Mycobacterium leprae (792 aa), FASTA scores: opt: 4820, E(): 0, (91.45% identity in 782 aa overlap). Also highly similar to Q9L2I8|SCF42.31c putative glycosyl transferase from Streptomyces coelicolor (792 aa), FASTA scores: opt: 3060, E(): 2.9e-179, (59.25% identity in 785 aa overlap); and similar to others e.g. Q9K109|NMB0390 maltose phosphorylase from Neisseria meningitidis (serogroup B) (752 aa), FASTA scores: opt: 980, E(): 3.5e-52, (29.2% identity in 774 aa overlap); Q9JSW8|MAPA|NMA2098 putative maltose phosphorylase from Neisseria meningitidis (serogroup A) (752 aa), FASTA scores: opt: 956, E(): 1e-50, (28.4% identity in 764 aa overlap); O06993|YVDK_BACSU hypothetical 88.3 KDA protein (belongs to family 65 of glycosyl hydrolases) from Bacillus subtilis (757 aa), FASTA scores: opt: 926, E(): 6.9e-49, (28.5% identity in 754 aa overlap); Q9CF04|MAPA maltosephosphorylase from Lactococcus lactis (subsp. lactis) (Streptococcus lactis) (751 aa), FASTA scores: opt: 907, E(): 1e-47, (26.95% identity in 753 aa overlap); P77154|YCJT_ECOLI|B1316 hypothetical 84.9 KDA protein (belongs to family 65 of glycosyl hydrolases) from Escherichia coli strain K12 (755 aa), FASTA scores: opt: 392, E(): 2.9e-16, (27.5% identity in 774 aa overlap); etc. Also similar to Mycobacterium tuberculosis hypothetical protein Q10850|YK06_MYCTU|Rv2006|MT2062|MTCY39.11c (1327 aa), (27.2% identity in 802 aa overlap); note that Rv3400 and Rv3401 are similar to beginning and end of Q10850|YK06_MYCTU|Rv2006|MT2062|MTCY39.11c with approx. 270 aa missing from the middle.</t>
  </si>
  <si>
    <t>Function unknown; thought to be involved in cell process.</t>
  </si>
  <si>
    <t>Rv3402c, (MTCY78.26), len: 412 aa. Conserved hypothetical protein, probably involved in cell process, similar to various proteins generally involved in extracellular compounds (lipopolysaccharide O-antigen) biosynthesis e.g. O68392|RFBE perosamine synthetase from Brucella melitensis (367 aa), FASTA scores: opt: 420, E(): 1.2e-19, (26.15% identity in 375 aa overlap); Q9L6C1 3,4-dehydratase-like protein from Streptomyces antibioticus (393 aa), FASTA scores: opt: 419, E(): 1.5e-19, (30.65% identity in 385 aa overlap); Q9RR26|OLENI dehydratase from Streptomyces antibioticus (393 aa), FASTA scores: opt: 416, E(): 2.3e-19, (30.65% identity in 385 aa overlap); O33942 eryciv protein from Saccharopolyspora erythraea (Streptomyces erythraeus) (401 aa), FASTA scores: opt: 410, E(): 5.6e-19, (31.75% identity in 362 aa overlap); Q9UZI4|ASPB-LIKE1|PAB0774 aspartate aminotransferase (ASPB-LIKE1) from Pyrococcus abyssi (366 aa), FASTA scores: opt: 402, E(): 1.7e-18, (27.05% identity in 377 aa overlap); O88001|WLBC putative amino-sugar biosynthesis protein from Bordetella bronchiseptica (Alcaligenes bronchisepticus) (366 aa), FASTA scores: opt: 394, E(): 5.6e-18, (26.8% identity in 347 aa overlap); Q45378|BPLC DNA for lipopolysaccharide biosynthesis from Bordetella pertussis (366 aa), FASTA scores: opt: 393, E(): 6.5e-18, (26.8% identity in 347 aa overlap); etc.</t>
  </si>
  <si>
    <t>Rv3403c, (MTCY78.25), len: 533 aa. Hypothetical unknown protein, but some weak similarity to Q9KJP2 hypothetical 54.9 KDA protein from Myxococcus xanthus (504 aa), FASTA scores: opt: 157, E(): 0.011, (24.1% identity in 548 aa overlap).</t>
  </si>
  <si>
    <t>Rv3404c, (MTCY78.24), len: 234 aa. Conserved hypothetical protein, some similarity to several methionyl-tRNA formyltransferases e.g. BAB51418|MLL4854 from Rhizobium loti (Mesorhizobium loti) (317 aa), FASTA scores: opt: 210, E(): 1.7e-06, (27.55% identity in 178 aa overlap); P94463|FMT_BACSU from Bacillus subtilis (317 aa), FASTA scores: opt: 199 ,E(): 8.8e-06, (28.25% identity in 177 aa overlap); O51091||FMT_BORBU|BB0064 from Borrelia burgdorferi (Lyme disease spirochete) (312 aa), FASTA scores: opt: 187, E(): 5.2e-05, (30.2% identity in 192 aa overlap); etc.</t>
  </si>
  <si>
    <t>May be involved in transcriptional mechanism.</t>
  </si>
  <si>
    <t>Rv3405c, (MTCY78.23), len: 188 aa. Possible transcriptional regulator, showing weak similarity to other bacterial regulatory proteins e.g. Q9KE70|BH0987 from Bacillus halodurans (203 aa), FASTA scores: opt: 168, E(): 0.0016, (34.8% identity in 92 aa overlap); Q9A5F7|CC2493 Caulobacter crescentus (204 aa), FASTA scores: opt: 160, E(): 0.0051, (32.6% identity in 89 aa overlap); Q9RDR0|SC4A7.02 from Streptomyces coelicolor (227 aa), FASTA scores: opt: 159, E(): 0.0064, (37.0% identity in 189 aa overlap); etc. Also some similarity to hypothetical Mycobacterium tuberculosis regulatory proteins e.g. O05858|Rv3208|MTCY07D11.18c, MTCI125_6, MTCY7D11_18, MTCY10G2_30; etc. Contains potential helix-turn-helix motif from aa 39-60 (+2.97 SD).</t>
  </si>
  <si>
    <t>Rv3406</t>
  </si>
  <si>
    <t>Rv3406, (MTCY78.22c), len: 295 aa. Probable dioxygenase, highly similar to Q9WWU|ATSK putative alpha-ketoglutarate dependent dioxygenase from Pseudomonas putida (301 aa), FASTA scores: opt: 994, E(): 3.9e-57, (53.7% identity in 283 aa overlap); Q9I6U1|PA0193 hypothetical protein from Pseudomonas aeruginosa (300 aa), FASTA scores: opt: 1024, E(): 4.4e-59, (53.65% identity in 287 aa overlap); Q9HX81|TAUD|PA3935 taurine dioxygenase from Pseudomonas aeruginosa (277 aa), FASTA scores: opt: 599, E(): 1.4e-31, (39.35% identity in 277 aa overlap); and similar to other dioxygenases e.g. AAG54718|TAUD (alias BAB33845|ECS0422) taurine dioxygenase 2-oxoglutarate-dependent from Escherichia coli strain O157:H7 (283 aa), FASTA scores: opt: 595, E(): 2.5e-31, (38.1% identity in 281 aa overlap); etc. Belongs to the TfdA family of dioxygenases.</t>
  </si>
  <si>
    <t>vapB47</t>
  </si>
  <si>
    <t>Possible antitoxin VapB47</t>
  </si>
  <si>
    <t>Rv3407, (MTCY78.21c), len: 99 aa. Possible vapB47, antitoxin, part of toxin-antitoxin (TA) operon with Rv3408, see Arcus et al. 2005. Similar to others in Mycobacterium tuberculosis strains H37Rv and CDC1551 e.g. AAK46285|MT2013 (90 aa), FASTA scores: opt: 160, E(): 0.00021, (37.1% identity in 89 aa overlap); O50412|Rv3385c|MTV004.43c (102 aa), FASTA scores: opt: 155, E(): 0.00051, (41.05% identity in 78 aa overlap), MTCY19H5.26, MTCY20H10.07, MTI376.09c, MTCY427.21, etc.</t>
  </si>
  <si>
    <t>vapC47</t>
  </si>
  <si>
    <t>Possible toxin VapC47. Contains PIN domain.</t>
  </si>
  <si>
    <t>Rv3408, (MTCY78.20c), len: 136 aa. Possible vapC47, toxin, part of toxin-antitoxin (TA) operon with Rv3407, contains PIN domain, see Arcus et al. 2005. Similar to others in Mycobacterium tuberculosis strains H37Rv and CDC1551 e.g. O50411|Rv3384c|MTV004.42c (130 aa), FASTA scores: opt: 243, E(): 1.7e-09, (35.1% identity in 131 aa overlap); P95252|Rv1962c|MTCY09F9.02 (135 aa), FASTA scores: opt: 191, E(): 5e-06, (35.5% identity in 138 aa overlap), etc.</t>
  </si>
  <si>
    <t>Involved in cholesterol metabolism [catalytic activity: cholesterol + O(2) = cholest-4-en-3-one + H(2)O(2)].</t>
  </si>
  <si>
    <t>Cholesterol oxidase ChoD (cholesterol-O2 oxidoreductase)</t>
  </si>
  <si>
    <t>Rv3409c, (MTCY78.19), len: 578 aa. ChoD, cholesterol oxidase, equivalent to Q9CCV1|CHOD|ML0389 (alias Q59530|CHOD|B1620_C3_240) putative cholesterol oxidase from Mycobacterium leprae (569 aa), FASTA scores: opt: 3510, E(): 3.8e-198, (88.6% identity in 569 aa overlap). Belongs to the GMC oxidoreductases family. Cofactor: FAD flavoprotein. Contains PS00017 ATP/GTP-binding site motif A.</t>
  </si>
  <si>
    <t>Catalyses the first reaction unique to GMP biosynthesis [catalytic activity: inosine 5'-phosphate + NAD(+) + H(2)O = xanthosine 5'-phosphate + NADH].</t>
  </si>
  <si>
    <t>Probable inosine-5'-monophosphate dehydrogenase GuaB3 (imp dehydrogenase) (inosinic acid dehydrogenase) (inosinate dehydrogenase) (imp oxidoreductase) (inosine-5'-monophosphate oxidoreductase) (IMPDH) (IMPD)</t>
  </si>
  <si>
    <t>Rv3410c, (MTCY78.18), len: 375 aa. Probable guaB3, inosine-5'-monophosphate (imp) dehydrogenase, equivalent to Q49721|YY10_MYCLE|ML0388|B1620_C2_193 hypothetical 38.9 KDA protein from Mycobacterium leprae (375 aa), FASTA scores: opt: 2182, E(): 9.5e-122, (90.6% identity in 373 aa overlap). Highly similar to Q9RHY9 GUAB ORF genes for imp dehydrogenase, hypothetical protein from Corynebacterium ammoniagenes (Brevibacterium ammoniagenes) (376 aa), FASTA scores: opt: 1490, E(): 7.6e-81, (61.0% identity in 382 aa overlap); Q9L0I6|SCD63.03 putative inosine-5'-monophosphate dehydrogenase from Streptomyces coelicolor (374 aa), FASTA scores: opt: 1275, E(): 3.8e-68, (52.95% identity in 372 aa overlap); P73853|GUAB|SLR1722 imp dehydrogenase subunit from Synechocystis sp. strain PCC 6803 (387 aa), FASTA scores: opt: 882, E(): 6.7e-45, (41.3% identity in 373 aa overlap); and similar to other inosine-5'-monophosphate dehydrogenases e.g. P44334|IMDH_HAEIN|GUAB|HI0221 from Haemophilus influenzae (488 aa), FASTA scores: opt: 267, E(): 1.8e-08, (34.25% identity in 216 aa overlap); etc. Also highly similar to the C-terminus of Q50753|GUAA/B homology to Mycobacterium leprae GUAA (fragment) from Mycobacterium tuberculosis (130 aa), FASTA scores: opt: 506, E(): 4.6e-23, (85.05% identity in 87 aa overlap). Similar to other eukaryotic and prokaryotic IMPDH and to GMP reductase.</t>
  </si>
  <si>
    <t>Probable inosine-5'-monophosphate dehydrogenase GuaB2 (imp dehydrogenase) (inosinic acid dehydrogenase) (inosinate dehydrogenase) (imp oxidoreductase) (inosine-5'-monophosphate oxidoreductase) (IMPDH) (IMPD)</t>
  </si>
  <si>
    <t>Rv3411c, (MTCY78.17), len: 529 aa. Probable guaB2, inosine-5'-monophosphate (imp) dehydrogenase, equivalent to Q49729|IMDH_MYCLE|GUAB|ML0387|B1620_C3_238 inosine-5'-monophosphate dehydrogenase from Mycobacterium leprae (529 aa), FASTA scores: opt: 3154, E(): 4.4e-165, (92.45% identity in 529 aa overlap). Highly similar to other inosine-5'-monophosphate dehydrogenases e.g. Q9RHZ0|GUAB from Corynebacterium ammoniagenes (Brevibacterium ammoniagenes) (506 aa), FASTA scores: opt: 2284, E(): 1.5e-117, (67.9% identity in 505 aa overlap); Q9L0I7|SCD63.02 from Streptomyces coelicolor (501 aa), FASTA scores: opt: 2178, E(): 9e-112, (67.2% identity in 491 aa overlap); O67820|IMDH_AQUAE|GUAB|AQ_2023 from Aquifex aeolicus (490 aa), FASTA scores: opt: 1820, E(): 3.2e-92, (58.1% identity in 487 aa overlap); etc. Also similar to Q50716|YY10_MYCTU|Rv3410c|MT3518|MTCY78.18 hypothetical 38.9 KDA protein from Mycobacterium tuberculosis (38.6% identity in 158 aa overlap). Contains PS00487 imp dehydrogenase / GMP reductase signature. Similar to other eukaryotic and prokaryotic IMPDH and to GMP reductase.</t>
  </si>
  <si>
    <t>Rv3412, (MTCY78.16c), len: 136 aa. Hypothetical protein, strongly similar to Q49742|YY12_MYCLE|ML0386|B1620_F3_131 hypothetical 15.3 KDA protein from Mycobacterium leprae (137 aa), FASTA scores: opt: 933, E(): 6.3e-52, (93.4% identity in 136 aa overlap). A core mycobacterial gene; conserved in mycobacterial strains (See Marmiesse et al., 2004).</t>
  </si>
  <si>
    <t>Unknown alanine and proline rich protein</t>
  </si>
  <si>
    <t>Rv3413c, (MTCY78.16), len: 299 aa. Unknown ala-, pro-rich protein.</t>
  </si>
  <si>
    <t>Probable alternative RNA polymerase sigma-D factor SigD</t>
  </si>
  <si>
    <t>Rv3414c, (MTCY78.15), len: 212 aa. Probable sigD, alternative RNA polymerase sigma-D factor (see citations below), similar to others (notably from Streptomyces coelicolor) e.g. Q9L0I8|SCD63.01 from Streptomyces coelicolor (195 aa), FASTA scores: opt: 533, E(): 9.6e-28, (47.25% identity in 182 aa overlap); Q9FDS3|ADSA from Streptomyces griseus (258 aa), FASTA scores: opt: 223, E(): 1.8e-07, (28.95% identity in 183 aa overlap); BAB48649|MLL1224 from Rhizobium loti (Mesorhizobium loti) (187 aa), FASTA scores: opt: 202, E(): 3.2e-06, (30.4% identity in 194 aa overlap); P38133|RPOE_STRCO|SIGE|SCE94.07 from Streptomyces coelicolor (176 aa), FASTA scores: opt: 200, E(): 4.1e-06, (35.25% identity in 156 aa overlap); P37978|CNRH_ALCEU from Alcaligenes eutrophus (Ralstonia eutropha), FASTA scores: opt: 197, E(): 6.9e-06, (30.35% identity in 191 aa overlap); etc. C-terminus strongly similar to N-terminal part of Q49727|S1620B|B1620_C3_233 hypothetical 6.2 KDA protein from Mycobacterium leprae (59 aa), FASTA scores: opt: 217, E(): 1.3e-07, (90.25% identity in 41 aa overlap). Belongs to the sigma-70 factor family.</t>
  </si>
  <si>
    <t>Rv3415c</t>
  </si>
  <si>
    <t>Rv3415c, (MTCY78.14), len: 275 aa. Conserved hypothetical protein, equivalent to Q9CCV3|ML0383 hypothetical protein from Mycobacterium leprae (281 aa), FASTA scores: opt: 1278, E(): 4.2e-71, (73.5% identity in 279 aa overlap). Also some similarity with P71677|RIBD_MYCTU|RIBG|Rv1409|MT1453|MTCY21B4.26 riboflavin biosynthesis protein R (339 aa), FASTA scores: opt: 143, E(): 0.13, (28.25% identity in 184 aa overlap). A core mycobacterial gene; conserved in mycobacterial strains (See Marmiesse et al., 2004).</t>
  </si>
  <si>
    <t>Involved in transcriptional mechanism (growth phase-dependent).</t>
  </si>
  <si>
    <t>Transcriptional regulatory protein WhiB-like WhiB3. Contains [4FE-4S] cluster.</t>
  </si>
  <si>
    <t>Rv3416, (MTCY78.13c), len: 102 aa. WhiB3 (alternate gene name: whmB), WhiB-like regulatory protein (see citations below), similar to WhiB paralogue of Streptomyces coelicolor, wblE gene product (85 aa). Equivalent to Q49871|WHIB3|WHIB|ML0382|B229_F1_2|B1620_F3_137 probable transcription factor WHIB3 from Mycobacterium leprae (102 aa), FASTA scores: opt: 657, E(): 7.9e-39, (86.25% identity in 102 aa overlap). Also highly similar to Q9Z6E9|WHIB3 from Mycobacterium smegmatis (96 aa), FASTA scores: opt: 604, E(): 3.5e-35, (80.4% identity in 102 aa overlap); and O88103|WHID|SC6G4.45c|WBLB from Streptomyces coelicolor (112 aa), FASTA scores: opt: 437, E(): 1.4e-23, (62.5% identity in 96 aa overlap). Also similar to O05847|WHIB1|Rv3219|MTCY07D11.07c from Mycobacterium tuberculosis (84 aa), FASTA scores: opt: 215, E(): 2.5e-08, (44.45% identity in 81 aa overlap). Note that primer extension analysis revealed three transcriptional start sites and that expression from the three potential promoters is growth phase-dependent (see Mulder et al., 1999). Moreover, the transcription of this CDS seems to be activated in macrophages (see Ramakrishnan et al., 2000). [4Fe-4S] cluster is degraded by oxygen and reacts with no (See Singh et al., 2007).</t>
  </si>
  <si>
    <t>groEL1</t>
  </si>
  <si>
    <t>60 kDa chaperonin 1 GroEL1 (protein CPN60-1) (GroEL protein 1)</t>
  </si>
  <si>
    <t>Rv3417c, (MTCY78.12), len: 539 aa. GroEL1 (alternate genbe name: cpn60_1), 60 kDa chaperonin 1 (protein cpn60 1) (see citations below), equivalent to P37578|CH61_MYCLE|B1620_C3_228|GROL1|GROEL1|GROEL-1|GROE1|ML0381|B229_ 60 KDA chaperonin 1 from Mycobacterium leprae (537 aa), FASTA scores: opt: 2846, E(): 1.5e-154, (82.95% identity in 539 aa overlap). Also highly similar to others e.g. Q00767|CH61_STRAL|GROL1|GROEL1 from Streptomyces albus G (539 aa), FASTA scores: opt: 2130, E(): 8.1e-114, (61.9% identity in 541 aa overlap); P40171|CH61_STRCO|GROL1|GROEL1|SC6G4.40 from Streptomyces coelicolor (540 aa), FASTA scores: opt: 2119, E(): 3.4e-113, (61.8% identity in 542 aa overlap); etc. Also similar to P06806|CH62_MYCTU|Q48931|Rv0440|MTV037.04|GROL2|GROEL2|GROEL-2|HSP65 (62.2% identity in 527 aa overlap). Contains PS00017 ATP/GTP-binding site motif A, PS00296 Chaperonins cpn60 signature. Belongs to the chaperonin (HSP60) family.</t>
  </si>
  <si>
    <t>Binds to CPN60 in the presence of mg-ATP and suppresses the ATPase activity of the latter.</t>
  </si>
  <si>
    <t>10 kDa chaperonin GroES (protein CPN10) (protein GroES) (BCG-a heat shock protein) (10 kDa antigen)</t>
  </si>
  <si>
    <t>Rv3418c, (MTCY78.11), len: 100 aa. GroES (alternate gene names: cpn10, mpt57), 10 kDa chaperonin (protein cpn10) (see citations below), equivalent to P24301|CH10_MYCLE|MOPB|GROES|CHPA|ML0380|B1620_C3_227|B229_C3_247 from Mycobacterium leprae (99 aa), FASTA scores: opt: 568, E(): 2.1e-31, (89.9% identity in 99 aa overlap). And also strongly identical to others e.g. O86017|CH10_MYCAV|MOPB|GROES from Mycobacterium avium and Mycobacterium paratuberculosis (99 aa), FASTA scores: opt: 611, E(): 2.9e-34, (96.95% identity in 99 aa overlap); P15020|CH10_MYCBO|MOPB|GROES from Mycobacterium bovis (99 aa), FASTA scores: opt: 596, E(): 2.9e-33, (98.95% identity in 94 aa overlap); P40172|CH10_STRCO|GROES|SC6G4.39 from Streptomyces coelicolor and Streptomyces lividans (102 aa), FASTA scores: opt: 480, E(): 1.6e-25, (76.75% identity in 99 aa overlap); etc. Also identical to MSG10KAG_1, MT10KAG_1, MTBCGA_1. Contains PS00681 Chaperonins cpn10 signature. Belongs to the GROES chaperonin family.</t>
  </si>
  <si>
    <t>Hydrolysis of O-sialoglycoproteins; cleaves 31-ARG-|-asp-32 bond in glycophorin A. Does not cleave unglycosylated proteins, desialylated glycoproteins or glycoproteins that are only N-glycosylated. Could be a metalloprotease.</t>
  </si>
  <si>
    <t>Probable O-sialoglycoprotein endopeptidase Gcp (glycoprotease)</t>
  </si>
  <si>
    <t>Rv3419c, (MTCY78.10), len: 344 aa. Probable gcp, glycoprotease, equivalent to P37969|GCP_MYCLE|GCP|ML0379|U229E|U1620c|B229_C3_246|B1620_C3_226 probable glycoprotease from Mycobacterium leprae (351 aa), FASTA scores: opt: 1898, E(): 2.4e-101, (86.1% identity in 345 aa overlap). Highly similar to others e.g. O86793|GCP_STRCO|GCP|SC6G4.30 from Streptomyces coelicolor (374 aa), FASTA scores: opt: 1282, E(): 4.1e-66, (60.45% identity in 344 aa overlap); Q9WXZ2|TM0145 from Thermotoga maritima (327 aa), FASTA scores: opt: 867, E(): 1.9e-42, (45.4% identity in 337 aa overlap); P05852|GCP_ECOLI|B3064 from Escherichia coli strain K12 (337 aa), FASTA scores: opt: 838, E(): 9e-41, (46.55% identity in 346 aa overlap); etc. Shows some similarity to Q50707|YY21_MYCTU|Rv3421c|MTCY78.08 (33.9% identity in 127 aa overlap). Contains PS01016 Glycoprotease family signature. Belongs to peptidase family M22; also known as the glycoprotease family. Conserved in M. tuberculosis, M. leprae, M. bovis and M. avium paratuberculosis; predicted to be essential for in vivo survival and pathogenicity (See Ribeiro-Guimaraes and Pessolani, 2007).</t>
  </si>
  <si>
    <t>Acetylates the N-terminal alanine of ribosomal protein S18 [catalytic activity: acetyl-CoA + ribosomal-protein L-alanine = CoA + ribosomal-protein N-acetyl-L-alanine].</t>
  </si>
  <si>
    <t>Ribosomal-protein-alanine acetyltransferase RimI (acetylating enzyme for N-terminal of ribosomal protein S18)</t>
  </si>
  <si>
    <t>Rv3420c, (MTCY78.09), len: 158 aa. Probable rimI, ribosomal-protein-alanine acetyltransferase, contains GNAT (Gcn5-related N-acetyltransferase) domain. See Vetting et al. 2005. Equivalent to C-terminal part of Q49857|YY21_MYCLE|ML0378|B229_C1_170 hypothetical 38.0 KDA protein from Mycobacterium leprae (359 aa), FASTA scores: opt: 772, E(): 2.7e-44, (72.1% identity in 154 aa overlap). Similar notably to ribosomal-protein-alanine acetyltransferases e.g. Q9AC11|CC0058 from Caulobacter crescentus (150 aa), FASTA scores: opt: 223, E(): 4.9e-08, (37.5% identity in 136 aa overlap); Q9KFD4|BH0547 from Bacillus halodurans (151 aa), FASTA scores: opt: 222, E(): 5.8e-08, (35.2% identity in 142 aa overlap); Q9PG61|XF0441 from Xylella fastidiosa (156 aa), FASTA scores: opt: 207, E(): 5.9e-07, (32.2% identity in 149 aa overlap); Q9HVB7|RIMI|PA4678 from Pseudomonas aeruginosa (150 aa), FASTA scores: opt: 203, E(): 1.1e-06, (32.45% identity in 151 aa overlap); P09453|RIMI_ECOLI|B4373 from Escherichia coli strain K12 (148 aa), FASTA scores: opt: 196, E(): 3.1e-06, (33.55% identity in 149 aa overlap); etc. Belongs to the acetyltransferase family, RIMI subfamily.</t>
  </si>
  <si>
    <t>Rv3421c, (MTCY78.08), len: 211 aa. Conserved hypothetical protein, equivalent to Q49857|YY21_MYCLE|ML0378|B229_C1_170 hypothetical 38.0 KDA protein from Mycobacterium leprae (359 aa), FASTA scores: opt: 1000, E(): 1.8e-50, (75.6% identity in 205 aa overlap). Also similar to other hypothetical bacterial proteins e.g. O86791|SC6G4.28 from Streptomyces coelicolor (217 aa), FASTA scores: opt: 453, E(): 3.3e-19, (48.1% identity in 212 aa overlap); Q9AC10|CC0059 (glycoprotease family protein) from Caulobacter crescentus (211 aa), FASTA scores: opt: 248, E(): 2e-07, (34.3% identity in 210 aa overlap); Q9KQK9|VC1989 from Vibrio cholerae (237 aa), FASTA scores: opt: 238, E(): 8.2e-07, (28.85% identity in 208 aa overlap); BAB51966|Mlr5530 from Rhizobium loti (Mesorhizobium loti) (225 aa), FASTA scores: opt: 237, E(): 9e-07, (35.0% identity in 220 aa overlap); etc. Some similarity to upstream Q50709|GCP_MYCTU|Rv3419c|MT3528|MTCY78.10 from Mycobacterium tuberculosis (344 aa), (33.9% identity in 127 aa overlap).</t>
  </si>
  <si>
    <t>Rv3422c, (MTCY78.07), len: 168 aa. Conserved hypothetical protein, equivalent to Q49864|YY22_MYCLE|ML0377|U229F|B229_C2_205 hypothetical 17.6 KDA protein from Mycobacterium leprae (161 aa), FASTA scores: opt: 752, E(): 8.3e-38, (77.4% identity in 146 aa overlap). Also similar to other hypothetical bacterial proteins e.g. O86788|YJEE_STRCO|SC6G4.25 from Streptomyces coelicolor (148 aa), FASTA scores: opt: 377, E(): 1.2e-15, (50.85% identity in 120 aa overlap); Q9X1W7|TM1632 from Thermotoga maritima (161 aa), FASTA scores: opt: 247, E(): 6.2e-08, (39.4% identity in 137 aa overlap); Q9RRY1|DR2351 from Deinococcus radiodurans (148 aa), FASTA scores: opt: 236, E(): 2.6e-07, (38.6% identity in 127 aa overlap); etc. Contains PS00017 ATP /GTP-binding site motif A.</t>
  </si>
  <si>
    <t>Provides the D-alanine required for cell wall biosynthesis. Transforms L-alanine to D-alanine [catalytic activity: L-alanine = D-alanine]</t>
  </si>
  <si>
    <t>Alanine racemase Alr</t>
  </si>
  <si>
    <t>Rv3423c, (MTCY78.06), len: 408 aa. Alr, alanine racemase, equivalent to P38056|ALR_MYCLE|ML0375|B229_C3_243 alanine racemase from Mycobacterium leprae (388 aa), FASTA scores: opt: 2160, E(): 2.3e-124, (84.35% identity in 384 aa overlap). Also highly similar to other alanine racemases e.g. Q9L888|ALR_MYCAV from Mycobacterium avium (391 aa), FASTA scores: opt: 2103, E(): 6.8e-121, (83.6% identity in 384 aa overlap); P94967|ALR_MYCSM from Mycobacterium smegmatis (389 aa), FASTA scores: opt: 1721, E(): 1.3e-97, (67.25% identity in 385 aa overlap); O86786|ALR_STRCO|SC6G4.23 from Streptomyces coelicolor (391 aa), FASTA scores: opt: 1041, E(): 3.7e-56, (47.65% identity in 380 aa overlap); etc. Contains Pfam entry PF00842 Alanine racemase. Belongs to the alanine racemase family.</t>
  </si>
  <si>
    <t>Rv3424c, (MTCY78.05), len: 120 aa. Hypothetical unknown protein.</t>
  </si>
  <si>
    <t>PPE family protein PPE57</t>
  </si>
  <si>
    <t>Rv3425, (MTCY78.04c), len: 176 aa. PPE57, Member of the M. tuberculosis PPE family, similar to many e.g. O06246|Rv3429|MTCY77.01 (178 aa), FASTA scores: opt: 781, E(): 7e-44, (69.9% identity in 176 aa overlap); and downstream Q50702|YY26_MYCTU|Rv3426|MTCY78.03c (232 aa), FASTA scores: opt: 517, E(): 1.2e-26, (68.0% identity in 125 aa overlap); MTV049_11, MTCY428_16, MTV049_22, MTV049_30, MTCY261_4; etc.</t>
  </si>
  <si>
    <t>PPE58</t>
  </si>
  <si>
    <t>Rv3426</t>
  </si>
  <si>
    <t>PPE family protein PPE58</t>
  </si>
  <si>
    <t>Rv3426, (MTCY78.03c), len: 232 aa. PPE58, Member of the M. tuberculosis PPE family, similar to many e.g. the downstream O06246|Rv3429|MTCY77.01 (178 aa), FASTA scores: opt: 555, E(): 6.5e-26, (72.0% identity in 125 aa overlap); and upstream Q50703|YY25_MYCTU|Rv3425|MTCY78.04c (176 aa), FASTA scores: opt: 517, E(): 1.1e-23, (68.0% identity in 125 aa overlap); MTV049_30, MTCY3C7_24, MTCY428_16, MTCY3A2_22; etc.</t>
  </si>
  <si>
    <t>Rv3427c</t>
  </si>
  <si>
    <t>Involved in the transposition of the insertion sequence IS1532.</t>
  </si>
  <si>
    <t>Rv3427c, (MTCY78.02), len: 251 aa. Possible transposase, similar to other e.g. Q9APG8|ORF2 putative transposase subunit 2 from Pseudomonas putida (251 aa), FASTA scores: opt: 479, E(): 1.8e-21, (34.85% identity in 238 aa overlap). Contains PS00017 ATP/GTP-binding site motif A.</t>
  </si>
  <si>
    <t>Rv3428c</t>
  </si>
  <si>
    <t>Rv3428c, (MTCY78.01, len: 410 aa. Possible transposase insertion sequence, similar to others e.g. Q9APG9|ORF1 from Pseudomonas putida (509 aa), FASTA scores: opt: 578, E(): 1.1e-29, (32.45% identity in 376 aa overlap); P55379|Y4BL_RHISN from Rhizobium sp. strain NGR234 (516 aa), FASTA scores: opt: 665, E(): 2.7e-35, (35.3% identity in 391 aa overlap); etc.</t>
  </si>
  <si>
    <t>PPE59</t>
  </si>
  <si>
    <t>Rv3429</t>
  </si>
  <si>
    <t>PPE family protein PPE59</t>
  </si>
  <si>
    <t>Rv3429, (MTCY77.01), len: 178 aa. PPE59, Member of the M. tuberculosis PPE family, similar to many e.g. the upstream Q50703|YY25_MYCTU|Rv3425|MTCY78.04c (176 aa), FASTA scores: opt: 781, E(): 1.9e-44, (69.9% identity in 176 aa overlap); and Q50702|YY26_MYCTU|Rv3426|MTCY78.03c (232 aa), FASTA scores: opt: 555, E(): 1.7e-29, (72.0% identity in 125 aa overlap) (but diverges at 3' end); etc.</t>
  </si>
  <si>
    <t>Involved in the transposition of the insertion sequence IS1540.</t>
  </si>
  <si>
    <t>Rv3430c, (MTCY77.02c), len: 387 aa. Possible IS1540 transposase, similar to several e.g. Q49592 transposase from Mycobacterium intracellulare (340 aa), FASTA scores: opt: 1377, E(): 1.6e-81, (64.2% identity in 338 aa overlap); similarity is lost at C-terminus due to possible frameshift after aa 297.</t>
  </si>
  <si>
    <t>Rv3431c</t>
  </si>
  <si>
    <t>Involved in the transposition of the insertion sequence IS1552</t>
  </si>
  <si>
    <t>Rv3431c, (MTCY77.03c), len: 281 aa. Possible truncated transposase for IS1552, similar to, but shorter than other transposases e.g. P72303 from Rhodococcus opacus (418 aa), FASTA scores: opt: 1509, E(): 1.2e-91, (80.95% identity in 278 aa overlap); Q9AKV5 from Mycobacterium paratuberculosis (395 aa), FASTA scores: opt: 1115, E(): 7.8e-66, (63.45% identity in 268 aa overlap); etc.</t>
  </si>
  <si>
    <t>Catalyzes the production of GABA [catalytic activity: L-glutamate = 4-aminobutanoate + CO(2)].</t>
  </si>
  <si>
    <t>Probable glutamate decarboxylase GadB</t>
  </si>
  <si>
    <t>Rv3432c, (MTCY77.04c), len: 460 aa. Probable gadB, glutamate decarboxylase, similar to many e.g. P73043|gad|SLL1641 from Synechocystis sp. strain PCC 6803 (467 aa), FASTA scores: opt: 1684, E(): 6.2e-99, (55.35% identity in 457 aa overlap); Q9X8J5|SCE9.23 from Streptomyces coelicolor (475 aa), FASTA scores: opt: 1650, E(): 8.9e-97, (57.4% identity in 446 aa overlap); Q9AQU4|gad from Oryza sativa (Rice) (501 aa), FASTA scores: opt: 1498, E(): 3.7e-87, (51.6% identity in 432 aa overlap); Q07346|DCE_PETHY from Petunia hybrida (Petunia) (500 aa), FASTA scores: opt: 1485, E(): 2.5e-86, (51.15% identity in 437 aa overlap); etc. Belongs to group II decarboxylases (DDC, gad, HDC and TYRDC).</t>
  </si>
  <si>
    <t>Rv3433c</t>
  </si>
  <si>
    <t>Rv3433c, (MTCY77.05), len: 473 aa. Conserved protein, member of YKL151c/yjeF family, equivalent to P37391|YY33_MYCLE|ML0373|U229G|B229_C2_201 hypothetical 47.2 KDA protein from Mycobacterium leprae (473 aa), FASTA scores: opt: 2650, E(): 5e-136, (84.55% identity in 473 aa overlap). Also similar to other hypothetical bacterial proteins e.g. Q9X3W3 from Zymomonas mobilis (484 aa), FASTA scores: opt: 700, E(): 1.2e-30, (33.7% identity in 484 aa overlap); O86783|SC6G4.20c from Streptomyces coelicolor (485 aa), FASTA scores: opt: 563, E(): 3.2e-23, (48.45% identity in 489 aa overlap); Q9LC81 from Arthrobacter sp. Q36 (313 aa), FASTA scores: opt: 553, E(): 7.9e-23, (44.2% identity in 303 aa overlap); etc. Contains Pfam match to entry PF01256 hypothetical UPFOO31 family signature and PF03853 YjeF-related protein N-terminus. Belongs to the UPF0031 family.</t>
  </si>
  <si>
    <t>Rv3434c, (MTCY77.06c), len: 237 aa. Possible conserved transmembrane protein, showing some similarity with Q9CGH7|YLDB hypothetical protein from Lactococcus lactis (subsp. lactis) (Streptococcus lactis) (258 aa), FASTA scores: opt: 248, E(): 1.6e-09, (28.8% identity in 198 aa overlap); and P94983|Rv1648|MTCY06H11.13 from Mycobacterium tuberculosis (268 aa), FASTA scores: opt: 205, E(): 1.2e-06, (31.45% identity in 194 aa overlap).</t>
  </si>
  <si>
    <t>Rv3435c, (MTCY77.07c), len: 284 aa. Probable conserved transmembrane protein, showing some similarity with P95061|Rv0713|MTCY210.32 hypothetical 33.9 KDA protein from Mycobacterium tuberculosis (313 aa), FASTA scores: opt: 557, E(): 1.3e-26, (35.8% identity in 282 aa overlap); and O32991|MLCB2492.12 from Mycobacterium leprae (95 aa), FASTA scores: opt: 150, E(): 0.022, (35.3% identity in 85 aa overlap). Equivalent to AAK47881 from Mycobacterium tuberculosis strain CDC1551 (312 aa) but shorter 28 aa.</t>
  </si>
  <si>
    <t>Catalyzes the first step in hexosamine metabolism, converting fructose-6P into glucosamine-6P using glutamine as a nitrogen source [catalytic activity: L-glutamine + D-fructose 6-phosphate = L-glutamate + D-glucosamine 6-phosphate].</t>
  </si>
  <si>
    <t>Probable glucosamine--fructose-6-phosphate aminotransferase [isomerizing] GlmS (hexosephosphate aminotransferase) (D-fructose-6-phosphate amidotransferase) (GFAT) (L-glutamine-D-fructose-6-phosphate amidotransferase) (glucosamine-6-phosphate synthase)</t>
  </si>
  <si>
    <t>Rv3436c, (MTCY77.08c), len: 624 aa. Probable glmS, glucosamine--fructose-6-phosphate aminotransferase, equivalent to P40831|GLMS_MYCLE|ML0371|B229_C3_238 glucosamine--fructose-6-phosphate aminotransferase [isomerizing] from Mycobacterium leprae (623 aa), FASTA scores: opt: 3584, E(): 4.7e-214, (89.3% identity in 627 aa overlap). Also highly similar to others e.g. O68956|GLMS_MYCSM from Mycobacterium smegmatis (627 aa), FASTA scores: opt: 3517, E(): 6.5e-210, (87.25% identity in 627 aa overlap); O86781|GLMS_STRCO|SC6G4.18 from Streptomyces coelicolor (614 aa), FASTA scores: opt: 2364, E(): 1.3e-138, (64.95% identity in 625 aa overlap); Q9K1P9|NMB0031 from Neisseria meningitidis (serogroup B) and Q9JWN9|GLMS|NMA0276 from Neisseria meningitidis (serogroup A) (612 aa), FASTA scores: opt: 1445, E(): 8.4e-82, (43.55% identity in 627 aa overlap); etc. Belongs to the type-2 gatase domain in the N-terminal section. Belongs to the sis family, GLMS subfamily, in the C-terminal section.</t>
  </si>
  <si>
    <t>Rv3437, (MTCY77.09), len: 158 aa. Questionable ORF. Possible conserved transmenbrane protein, C-terminus similar to N-terminal part of O06345|Rv3482c|MTCY13E12.35c hypothetical 28.5 KDA protein from Mycobacterium tuberculosis (260 aa), FASTA scores: opt: 140, E(): 0.1, (58.8% identity in 34 aa overlap); and Q9XAN5|SC4C6.05c putative membrane protein from Streptomyces (347 aa), coelicolor FASTA scores: opt: 112, E(): 6.8, (50.0% identity in 32 aa overlap).</t>
  </si>
  <si>
    <t>Rv3438, (MTCY77.10), len: 280 aa. Conserved protein, equivalent to Q9CCV6|ML0370 hypothetical protein from Mycobacterium leprae (289 aa), FASTA scores: opt: 1491, E(): 9.2e-81, (79.85% identity in 283 aa overlap); and highly similar (but shorter 41 aa) to Q49872|B229_F1_20 hypothetical 34.0 KDA protein from Mycobacterium leprae (324 aa), FASTA scores: opt: 1491, E(): 1e-80, (79.85% identity in 283 aa overlap). Shows some similarity to Q9KIU3|LIPA lipase from plasmid pAH114 uncultured bacterium (281 aa), FASTA scores: opt: 168, E(): 0.0081, (29.3% identity in 140 aa overlap). A core mycobacterial gene; conserved in mycobacterial strains (See Marmiesse et al., 2004).</t>
  </si>
  <si>
    <t>Conserved hypothetical alanine and proline rich protein</t>
  </si>
  <si>
    <t>Rv3439c, (MTCY77.11c), len: 467 aa. Conserved hypothetical ala-, pro-rich protein, similar in part to N-terminal part of Q49853|B229_C1_154 hypothetical 11.2 KDA protein from Mycobacterium leprae (103 aa), FASTA scores: opt: 265, E(): 0.0013, (51.1% identity in 90 aa overlap).</t>
  </si>
  <si>
    <t>Rv3440c, (MTCY77.12c), len: 103 aa. Hypothetical unknown protein.</t>
  </si>
  <si>
    <t>mrsA</t>
  </si>
  <si>
    <t>Probable phospho-sugar mutase / MrsA protein homolog</t>
  </si>
  <si>
    <t>Rv3441c, (MTCY77.13c), len: 448 aa. Probable mrsA, phosphoglucomutase or phosphomannomutase, equivalent to Q49869|URED|B229_C3_234 MRSA protein homolog from Mycobacterium leprae (463 aa), FASTA scores: opt: 2449, E(): 6.3e-135, (87.65% identity in 445 aa overlap); and highly similar (but longer 178 aa) to Q49862|UREC|B229_C2_192 putative urease operon UREC protein from Mycobacterium leprae (288 aa), FASTA scores: opt: 1442, E(): 1.3e-76, (86.5% identity in 267 aa overlap). Highly similar to phospho-sugar mutases e.g. Q53876|SC6G4.14 putative phospho-sugar mutase (similar to phosphomannomutases) from Streptomyces coelicolor (452 aa), FASTA scores: opt: 1710, E(): 5e-92, (60.45% identity in 450 aa overlap); Q9KG46|BH0267 phosphoglucosamine mutase from Bacillus halodurans (447 aa), FASTA scores: opt: 1351, E(): 3.5e-71, (48.4% identity in 444 aa overlap); BAB58323|GLMM phosphoglucosamine-mutase from Staphylococcus aureus subsp. aureus Mu50 (451 aa) and Q99QR5|GLMM(FEMD)|SA1965 phosphoglucosamine-mutase from Staphylococcus aureus subsp. aureus N315. (451 aa), FASTA scores: opt: 1315, E(): 4.3e-69, (48.45% identity in 446 aa overlap); P95685|FEMD|GLMM phosphoglucosamine-mutase (451 aa), FASTA scores: opt: 1310, E(): 8.5e-69, (48.2% identity in 446 aa overlap); P95575|MRSA_PSESY MRSA protein homolog from Pseudomonas syringae (pv. syringae) (447 aa), FASTA scores: opt: 1143, E(): 4.2e-59, (42.75% identity in 447 aa overlap); etc. Contains PS00710 Phosphoglucomutase and phosphomannomutase phosphoserine signature. Belongs to the phosphohexose mutases family.</t>
  </si>
  <si>
    <t>Involved in translation mechanism. This protein is one of the assembly proteins of the 50S ribosomal subunit.</t>
  </si>
  <si>
    <t>30S ribosomal protein S9 RpsI</t>
  </si>
  <si>
    <t>Rv3442c, (MTCY77.14c), len: 151 aa. rpsI, 30S ribosomal protein S9, equivalent to P40828|RS9_MYCLE|ML0365|B229_C2_191 30S ribosomal protein S9 (153 aa), FASTA scores: opt: 800, E(): 2.1e-42, (83.85% identity in 155 aa overlap). Also highly similar to others e.g. Q53875|RS9_STRCO|SC6G4.13 from Streptomyces coelicolor (170 aa), FASTA scores: opt: 533, E(): 5.7e-26, (60.75% identity in 135 aa overlap); Q9KGD4|RPSI|BH0169 (BS10) from Bacillus halodurans (130 aa), FASTA scores: opt: 469, E(): 3.8e-22, (58.65% identity in 121 aa overlap); Q9CDG7|RPSI from Lactococcus lactis (subsp. lactis) (Streptococcus lactis) (130 aa), FASTA scores: opt: 451, E(): 4.9e-21, (58.65% identity in 121 aa overlap); P07842|RS9_BACST|RPSI from Bacillus stearothermophilus (129 aa), FASTA scores: opt: 448, E(): 7.4e-21, (54.55% identity in 121 aa overlap); etc. Contains PS00360 Ribosomal protein S9 signature. Belongs to the S9P family of ribosomal proteins.</t>
  </si>
  <si>
    <t>Involved in translation mechanism. This protein is one of the early assembly proteins of the 50S ribosomal subunit.</t>
  </si>
  <si>
    <t>50S ribosomal protein L13 RplM</t>
  </si>
  <si>
    <t>Rv3443c, (MTCY77.15c), len: 147 aa. rplM, 50S ribosomal protein L13, equivalent to P38014|RL13_MYCLE|RPLM|ML0364|B229_C3_232 from Mycobacterium leprae (147 aa), FASTA scores: opt: 917, E(): 7.5e-53, (91.15% identity in 147 aa overlap). Also highly similar to others e.g. Q53874|RL13_STRCO|RPLM|SC6G4.12 from Streptomyces coelicolor (147 aa), FASTA scores: opt: 668, E(): 1.1e-36, (65.5% identity in 145 aa overlap); Q9X1G5|RL13_THEMA|RPLM|TM1454 from Thermotoga maritima (149 aa), FASTA scores: opt: 536, E(): 4.4e-28, (53.65% identity in 136 aa overlap); O67722|RL13_AQUAE|RPLM|AQ_1877 from Aquifex aeolicus (144 aa), FASTA scores: opt: 529, E(): 1.2e-27, (53.2% identity in 141 aa overlap); etc. Belongs to the L13P family of ribosomal proteins.</t>
  </si>
  <si>
    <t>Putative ESAT-6 like protein EsxT</t>
  </si>
  <si>
    <t>Rv3444c, (MTCY77.16c), len: 100 aa. EsxT, ESAT-6 like protein (see citation below), equivalent to Q9CCV7|ML0363 possible secreted protein from Mycobacterium leprae (104 aa), FASTA scores: opt: 362, E(): 1.1e-18, (71.25% identity in 73 aa overlap). C-terminal part highly similar to Q49852|B229_C1_150 hypothetical 5.3 KDA protein from Mycobacterium leprae (49 aa), FASTA scores: opt: 227, E(): 1.4e-09, (68.9% identity in 45 aa overlap). Seems to belong to the ESAT6 family.</t>
  </si>
  <si>
    <t>esxU</t>
  </si>
  <si>
    <t>Rv3445c</t>
  </si>
  <si>
    <t>ESAT-6 like protein EsxU</t>
  </si>
  <si>
    <t>Rv3445c, (MTCY77.17c), len: 105 aa. EsxU, ESAT-6 like protein (see citations below), showing weak similarity to O30373|VCD|PA2257 pyoverdine biosynthesis protein from Pseudomonas aeruginosa (215 aa), FASTA scores: opt: 103, E(): 5.6, (32.35% identity in 133 aa overlap). Seems to belong to the ESAT6 family. Start changed since first submission (-20 aa).</t>
  </si>
  <si>
    <t>Rv3446c</t>
  </si>
  <si>
    <t>Hypothetical alanine and valine rich protein</t>
  </si>
  <si>
    <t>Rv3446c, (MTCY77.18c), len: 404 aa. Hypothetical unknown ala-, val-rich protein.</t>
  </si>
  <si>
    <t>eccC4</t>
  </si>
  <si>
    <t>Unknown, but could hydrolyse ATP/GTP.</t>
  </si>
  <si>
    <t>ESX conserved component EccC4. ESX-4 type VII secretion system protein. Probable membrane protein.</t>
  </si>
  <si>
    <t>Rv3447c, (MTCY77.19c), len: 1236 aa. EccC4, esx conserved component, ESX-4 type VII secretion system protein, probable membrane protein, similar to various bacterial proteins e.g. O86653|SC3C3.20c ATP/GTP binding protein from Streptomyces coelicolor (1321 aa), FASTA scores: opt: 1186, E(): 1.9e-60, (42.9% identity in 1312 aa overlap); Q9L0T6|SCD35.15c from Streptomyces coelicolor (1525 aa), FASTA scores: opt: 932, E(): 9.2e-46, (27.2% identity in 1374 aa overlap); Q9CD30|ML2535 hypothetical protein from Mycobacterium leprae (1329 aa), FASTA scores: opt: 910, E(): 1.5e-44, (34.4% identity in 1319 aa overlap); Q9KE81|BH0975 hypothetical protein from Bacillus halodurans (1489 aa), FASTA scores: opt: 805, E(): 1.9e-38, (25.85% identity in 1292 aa overlap); etc. The C-terminal region is similar to Q9CDD7|ML0052 (alias O33086|MLCB628.15c) hypothetical protein from Mycobacterium leprae (597 aa), FASTA scores: opt: 850, E(): 2.3e-41, (35.2% identity in 588 aa overlap); and O6973|Rv3871|MTV027.06 hypothetical protein from Mycobacterium tuberculosis (591 aa), FASTA scores: opt: 845, E(): 4.3e-41, (35.3% identity in 586 aa overlap). N-terminal part shows similarity with hypothetical proteins from Mycobacterium tuberculosis e.g. O69735|Rv3870|MTV027.05 (747 aa), FASTA scores: opt: 761, E(): 3.6e-36, (38.2% identity in 746 aa overlap). Equivalent to AAK47893 from Mycobacterium tuberculosis strain CDC1551 (1200 aa) but longer 36 aa. Contains three of PS00017 ATP/GTP-binding site motif A (P-loop).</t>
  </si>
  <si>
    <t>eccD4</t>
  </si>
  <si>
    <t>Unknown. Possibly involved in transport across the membrane.</t>
  </si>
  <si>
    <t>ESX conserved component EccD4. ESX-4 type VII secretion system protein. Probable integral membrane protein.</t>
  </si>
  <si>
    <t>Rv3448, (MTCY77.20), len: 467 aa. EccD4, esx conserved component, ESX-4 type VII secretion system protein, probable integral membrane protein, showing some similarity with Q9CD35|ML2529 from Mycobacterium leprae (485 aa), FASTA scores: opt: 371, E(): 3.6e-14, (27.25% identity in 481 aa overlap); and two proteins from Mycobacterium tuberculosis O86362|Rv0290|MTV035.18 (472 aa), FASTA scores: opt: 429, E(): 1.6e-17, (28.6% identity in 479 aa overlap); and O05457|Rv3887c|MTCY15F10.25 (509 aa), FASTA scores: opt: 203, E(): 0.00019, (25.6% identity in 492 aa overlap). Contains PS00402 Binding-protein-dependent transport systems inner membrane comp signature.</t>
  </si>
  <si>
    <t>mycP4</t>
  </si>
  <si>
    <t>Probable membrane-anchored mycosin MycP4 (serine protease) (subtilisin-like protease) (subtilase-like) (mycosin-4)</t>
  </si>
  <si>
    <t>Rv3449, (MTCY13E12.02), len: 455 aa. Probable mycP4, membrane-anchored serine protease (mycosin) (see citation below), similar to hypothetical unknowns or proteases from Mycobacterium tuberculosis strains H37Rv and CDC1551 e.g. AAK48366|MT3998 subtilase family protein from Mycobacterium tuberculosis strain CDC1551 (411 aa), FASTA scores: opt: 747, E(): 3.5e-33, (45.65% identity in 416 aa overlap); O05461|Rv3883c|MTCY15F10.29 membrane-anchored mycosin MYCP1 (446 aa), FASTA scores: opt: 747, E(): 3.8e-33, (45.45% identity in 451 aa overlap); O53695|Rv0291|MTV035.19 probable membrane-anchored mycosin MYCP2 (461 aa), FASTA scores: opt: 660, E(): 1.9e-28, (44.0% identity in 457 aa overlap); etc. And similar to hypothetical proteases from Mycobacterium leprae e.g. O33076|MLCB628.04|ML0041 hypothetical 45.7 KDA protein (probable secreted protease) (446 aa), FASTA scores: opt: 683, E(): 1.1e-29, (43.8% identity in 450 aa overlap); Q9CD36|ML2528 putative protease (475 aa), FASTA scores: opt: 608, E(): 1.3e-25, (43.0% identity in 451 aa overlap); Q9CBV3|ML1538 possible protease (567 aa), FASTA scores: opt: 389, E(): 9.7e-14, (33.8% identity in 562 aa overlap); etc. Also some similarity to other proteases from several organisms e.g. O31788|APRX alkaline serine protease from Bacillus subtilis (442 aa), FASTA scores: opt: 296, E(): 8.3e-09, (29.4% identity in 313 aa overlap); O86650|SC3C3.17c putative secreted serine protease from Streptomyces coelicolor (450 aa), FASTA scores: opt: 279, E(): 7e-08, (33.55% identity in 343 aa overlap); Q9KBJ7|APRX|BH193 intracellular alkaline serine protease from Bacillus halodurans (444 aa), FASTA scores: opt: 257, E(): 1.1e-06, (28.65% identity in 335 aa overlap); O86642|SC3C3.08 serine protease from Streptomyces coelicolor (413 aa), FASTA scores: opt: 243, E(): 5.7e-06, (38.25% identity in 387 aa overlap); etc. Has putative signal peptide at N-terminus and hydrophobic stretch at C-terminus. Contains three signatures typical of subtilase family: aspartic acid active site (PS00136), histidine active site (PS00137), and serine active site (PS00138). Belongs to peptidase family S8 (also known as the subtilase family), pyrolysin subfamily.</t>
  </si>
  <si>
    <t>eccB4</t>
  </si>
  <si>
    <t>ESX conserved component EccB4. ESX-4 type VII secretion system protein. Probable membrane protein.</t>
  </si>
  <si>
    <t>Rv3450c, (MTCY13E12.03c), len: 470 aa. EccB4, esx conserved component, ESX-4 type VII secretion system protein, probable membrane protein (possible membrane spanning region near N-terminus). Similar to hypothetical unknowns proteins from Mycobacterium leprae e.g. O33088|MLCB628.17C|ML0054 hypothetical 51.9 KDA protein (putative membrane protein)(481 aa), FASTA scores: opt: 708, E(): 6.4e-32, (32.9% identity in 480 aa overlap); Q9CD29|ML2536 (552 aa), FASTA scores: opt: 394, E(): 1.7e-14, (33.6% identity in 503 aa overlap); etc. Also similar to other proteins from Mycobacterium tuberculosis (strains H37Rv and CDC1551) e.g. O69734|Rv3869|MTV027.04 (480 aa), FASTA scores: opt: 717, E(): 2e-32, (32.55% identity in 479 aa overlap); O05449|Rv3895c|MTCY15F10.17 (495 aa), FASTA scores: opt: 670, E(): 8.3e-30, (36.4% identity in 475 aa overlap); O5368|Rv0283|MTV035.11 (538 aa), FASTA scores: opt: 467, E(): 1.5e-18, (36.3% identity in 493 aa overlap); etc.</t>
  </si>
  <si>
    <t>Probable cutinase precursor Cut3</t>
  </si>
  <si>
    <t>Rv3451, (MTCY13E12.04), len: 262 aa. Probable cut3, cutinase precursor, similar to others e.g. Q9KK87 from Mycobacterium avium (220 aa), FASTA scores: opt: 540, E(): 3.5e-24, (43.4% identity in 219 aa overlap); Q00298|CUTI_BOTCI|CUTA from Botrytis cinerea (Botryotinia fuckeliana) (202 aa), FASTA scores: opt: 214, E(): 2e-05, (31.45% identity in 210 aa overlap); Q9Y7G8 from Pyrenopeziza brassicae (203 aa), FASTA scores: opt: 203, E(): 8.5e-05, (31.05% identity in 190 aa overlap); P29292|CUTI_ASCRA from Ascochyta rabiei (223 aa), FASTA scores: opt: 155, E(): 0.054, (31.65% identity in 120 aa overlap). Similar to other proteins from Mycobacterium tuberculosis e.g. the downstream ORF O06319|Rv3452|MTCY13E12.05 hypothetical 23.1 KDA protein (226 aa), FASTA scores: opt: 775, E(): 1e-37, (58.65% identity in 220 aa overlap); Q50664|CUT2_MYCTU|Rv2301|MT2358|MTCY339.08c probable cutinase precursor (219 aa), FASTA scores: opt: 565, E(): 1.3e-25, (44.85% identity in 223 aa overlap); Q10837|CUT1_MYCTU|Rv1984c|MT2037|MTCY39.35 probable cutinase precursor (217 aa), FASTA scores: opt: 489, E(): 3e-21, (47.05% identity in 221 aa overlap); etc. Equivalent to AAK47897 from Mycobacterium tuberculosis strain CDC1551 (247 aa) but longer 15 aa. Contains cutinase, serine active site motif (PS00155). Belongs to the cutinase family. Alternative start possible at 3733. Start changed since first submission (+15 aa).</t>
  </si>
  <si>
    <t>Hydrolysis of cutin (a polyester that forms the structure of plant cuticle). Shown to have esterase and phospholipase activity.</t>
  </si>
  <si>
    <t>Probable cutinase precursor Cut4</t>
  </si>
  <si>
    <t>Rv3452, (MTCY13E12.05), len: 226 aa. Probable cut4, cutinase precursor, similar to other e.g. Q9KK87 from Mycobacterium avium (220 aa), FASTA scores: opt: 522, E(): 7.3e-24, (46.6% identity in 221 aa overlap); P30272|CUTI_MAGGR|CUT1 from Magnaporthe grisea (Rice blast fungus) (Pyricularia grisea) (228 aa), FASTA scores: opt: 205, E(): 3.8e-05, (29.25% identity in 164 aa overlap); Q00298|CUTI_BOTCI|CUTA from Botrytis cinerea (Botryotinia fuckeliana) (202 aa), FASTA scores: opt: 204, E(): 3.9e-05, (33.5% identity in 209 aa overlap); etc. Similar to other proteins from Mycobacterium tuberculosis e.g. upstream ORF O06318|CUT3_MYCTU|Rv3451|MT3557|MTCY13E12.04 probable cutinase precursor (247 aa), FASTA scores: opt: 773, E(): 1.3e-38, (59.35% identity in 209 aa overlap); Q50664|CUT2_MYCTU|Rv2301|MT2358|MTCY339.08c probable cutinase precursor (219 aa), FASTA scores: opt: 704, E(): 1.3e-34, (53.4% identity in 219 aa overlap); etc. Contains PS00155 Cutinase, serine active site. Belongs to the cutinase family. Alternative start possible at 4553 in cSCY13E12 but no RBS.</t>
  </si>
  <si>
    <t>Rv3453</t>
  </si>
  <si>
    <t>Rv3453, (MTCY13E12.06), len: 110 aa. Possible conserved transmembrane protein, showing weak similarity with other proteins e.g. Q9F6C3 putative ABC transporter from Propionibacterium thoenii (424 aa), FASTA scores: opt: 104, E(): 6.8, (40.6% identity in 69 aa overlap).</t>
  </si>
  <si>
    <t>Rv3454, (MTCY13E12.07), len: 422 aa. Probable conserved integral membrane protein, showing some similarity to various proteins (generally transporters) e.g. Q9I5C8|PA0811 probable MFS transporter from Pseudomonas aeruginosa (415 aa), FASTA scores: opt: 145, E(): 0.13, (28.2% identity in 188 aa overlap); Q01266|YHYC_PSESN hypothetical protein in HYUC 3'region (ORF 5) (fragment) from Pseudomonas sp. strain NS671 (245 aa), FASTA scores: opt: 130, E(): 0.75, (24.65% identity in 134 aa overlap); Q9I242|PA2073 probable transporter (membrane subunit) from Pseudomonas aeruginosa (476 aa), FASTA scores: opt: 125, E(): 2.5, (24.6% identity in 252 aa overlap); etc. Equivalent to AAK47900 from Mycobacterium tuberculosis strain CDC1551 (562 aa) but shorter 140 aa. Contains PS00013 Prokaryotic membrane lipoprotein lipid attachment site.</t>
  </si>
  <si>
    <t>Formation of pseudouridine at positions 38, 39 and 40 in the anticodon stem and loop of transfer RNAS [catalytic activity: uracil + D-ribose 5-phosphate = pseudouridine 5'-phosphate + H(2)O].</t>
  </si>
  <si>
    <t>Probable tRNA pseudouridine synthase a TruA (pseudouridylate synthase I) (pseudouridine synthase I) (uracil hydrolyase)</t>
  </si>
  <si>
    <t>Rv3455c, (MTCY13E12.08c), len: 256 aa. Probable truA, pseudouridine synthase A, equivalent to Q9X796|TRUA_MYCLE|ML1955|MLCB1222.25c tRNA pseudouridine synthase a from Mycobacterium leprae (249 aa), FASTA scores: opt: 1345, E(): 3.2e-80, (77.25% identity in 246 aa overlap). Also highly similar to others e.g. O86776|TRUA_STRCO|SC6G4.09 from Streptomyces coelicolor (284 aa), FASTA scores: opt: 595, E(): 1.7e-31, (49.8% identity in 259 aa overlap); Q9RS37|DR2290 from Deinococcus radiodurans (280 aa), FASTA scores: opt: 383, E(): 1e-17, (41.2% identity in 216 aa overlap); Q9PJT0|TRUA_CHLMU|TC0748 from Chlamydia muridarum (267 aa), FASTA scores: opt: 334, E(): 1.5e-14, (37.65% identity in 231 aa overlap); P07649|TRUA_ECOLI|hist|ASUC|LEUK|B2318 from Escherichia coli strain K12 (270 aa), FASTA scores: opt: 315, E(): 2.5e-13, (33.35% identity in 240 aa overlap); etc. Belongs to the TruA family of pseudouridine synthases.</t>
  </si>
  <si>
    <t>50S ribosomal protein L17 RplQ</t>
  </si>
  <si>
    <t>Rv3456c, (MTCY13E12.09c), len: 180 aa. rplQ, 50S ribosomal protein L17, equivalent to Q9X797|RL17_MYCLE|ML1956|MLCB1222.26c 50S ribosomal protein L17 from Mycobacterium leprae (170 aa), FASTA scores: opt: 874, E(): 9.5e-45, (81.85% identity in 171 aa overlap). Also highly similar to other e.g. O86775|RL17_STRCO|SC6G4.08 from Streptomyces coelicolor (168 aa), FASTA scores: opt: 609, E(): 3.7e-29, (60.0% identity in 170 aa overlap); BAB47931|MLR0326 from Rhizobium loti (Mesorhizobium loti) (143 aa), FASTA scores: opt: 404, E(): 3.7e-17, (49.65% identity in 139 aa overlap); Q9Z9H5|RL17_THETH|RPLQ from Thermus aquaticus (subsp. thermophilus) (118 aa), FASTA scores: opt: 366, E(): 5.5e-15, (53.15% identity in 111 aa overlap); P02416|RL17_ECOLI|RPLQ|B3294 from Escherichia coli strain K12 (127 aa), FASTA scores: opt: 347, E(): 7.6e-14, (50.4% identity in 119 aa overlap); etc. Belongs to the L17P family of ribosomal proteins.</t>
  </si>
  <si>
    <t>DNA-dependent RNA polymerase catalyzes the transcription of DNA into RNA using the four ribonucleoside triphosphates as substrates. The amino-terminal portion is involved in the assembly of core RNAP, whereas the C-terminal is involved in interaction with transcriptional regulators [catalytic activity: N nucleoside triphosphate = N pyrophosphate + RNA(N)].</t>
  </si>
  <si>
    <t>Probable DNA-directed RNA polymerase (alpha chain) RpoA (transcriptase alpha chain) (RNA polymerase alpha subunit) (DNA-directed RNA nucleotidyltransferase)</t>
  </si>
  <si>
    <t>Rv3457c, (MTCY13E12.10c), len: 347 aa. Probable rpoA, alpha chain of RNA polymerase, equivalent to Q9X798|RPOA_MYCLE|ML1957|MLCB1222.27c DNA-directed RNA polymerase alpha from Mycobacterium leprae (347 aa), FASTA scores: opt: 2139, E(): 1.3e-123, (95.65% identity in 347 aa overlap). Also highly similar to others e.g. P72404|RPOA_STRCO|C6G4.07 from Streptomyces coelicolor (340 aa), FASTA scores: opt: 1672, E(): 4.7e-95, (75.55% identity in 348 aa overlap); Q9X4V6|RPOA_STRGT from Streptomyces granaticolor (340 aa), FASTA scores: opt: 1671, E(): 5.4e-95, (75.55% identity in 348 aa overlap); P20429|RPOA_BACSU from Bacillus subtilis (314 aa), FASTA scores: opt: 939, E(): 3e-50, (48.9% identity in 311 aa overlap); etc. Contains (PS00017) ATP/GTP-binding site motif A (P-loop). Belongs to the RNA polymerase alpha chain family.</t>
  </si>
  <si>
    <t>This protein binds directly to 16S ribosomal RNA.</t>
  </si>
  <si>
    <t>30S ribosomal protein S4 RpsD</t>
  </si>
  <si>
    <t>Rv3458c, (MTCY13E12.11c), len: 201 aa. rpsD, 30S ribosomal protein S4, equivalent to Q9X799|RS4_MYCLE|RPSD|ML1958|MLCB1222.28c 30S ribosomal protein S4 from Mycobacterium leprae (201 aa), FASTA scores: opt: 1271, E(): 2.2e-73, (93.5% identity in 201 aa overlap); and P45811|RS4_MYCBO|RPSD from Mycobacterium bovis (131 aa), FASTA scores: opt: 867, E(): 4.9e-48, (100.0% identity in 130 aa overlap). Also highly similar to others e.g. P81288|RS4_BACST|RPSD from Bacillus stearothermophilus (198 aa), FASTA scores: opt: 665, E(): 4e-35, (52.25% identity in 201 aa overlap); Q9K7Z8|RPSD|BH3209 from Bacillus halodurans (200 aa), FASTA scores: opt: 626, E(): 1.2e-32, (48.75% identity in 203 aa overlap); Q9X1I3|RS4_THEMA|RPSD|TM1473 from Thermotoga maritima (209 aa), FASTA scores: opt: 591, E(): 2e-30, (45.0% identity in 209 aa overlap); etc. Contains ribosomal protein S4 signature (PS00632) and ATP/GTP binding site motif A (PS00017). Belongs to the S4P family of ribosomal proteins.</t>
  </si>
  <si>
    <t>S11 plays an essential role for the selection of the correct tRNA in protein biosynthesis. It is located on the large lobe of the small subunit.</t>
  </si>
  <si>
    <t>30S ribosomal protein S11 RpsK</t>
  </si>
  <si>
    <t>Rv3459c, (MTCY13E12.12c), len: 139 aa. rpsK, 30S ribosomal protein S11, equivalent to Q9X7A0|RS11_MYCLE|RPSK|ML1959|MLCB1222.29c 30S ribosomal protein S11 from Mycobacterium leprae (138 aa), FASTA scores: opt: 819, E(): 7.6e-44, (89.95% identity in 139 aa overlap); and P45812|RS11_MYCBO 30S ribosomal protein S11 from Mycobacterium bovis (139 aa), FASTA scores: opt: 867, E(): 8.4e-47, (94.25% identity in 139 aa overlap). Also highly similar to others e.g. P72403|RS11_STRCO|SC6G4.06 from Streptomyces coelicolor (134 aa), FASTA scores: opt: 729, E(): 2.6e-38, (79.85% identity in 139 aa overlap); O50633|RS11_BACHD|RPSK|BH0161 from Bacillus halodurans (129 aa), FASTA scores: opt: 618, E(): 1.7e-31, (70.3% identity in 128 aa overlap); P04969|RS11_BACSU|RPSK from Bacillus subtilis (131 aa), FASTA scores: opt: 601, E(): 2e-30, (69.0% identity in 129 aa overlap); etc. Contains ribosomal protein S11 signature (PS00054). Belongs to the S11P family of ribosomal proteins.</t>
  </si>
  <si>
    <t>Involved in the binding of fMet-tRNA and, hence, in the initiation of translation.</t>
  </si>
  <si>
    <t>30S ribosomal protein S13 RpsM</t>
  </si>
  <si>
    <t>Rv3460c, (MTCY13E12.13c), len: 124 aa. rpsM, 30S ribosomal protein S13, equivalent to Q9X7A1|RS13_MYCLE|RPSM|ML1960|MLCB1222.30c 30S ribosomal protein S13 from Mycobacterium leprae (124 aa), FASTA scores: opt: 762, E(): 1.5e-43, (92.75% identity in 124 aa overlap); and P45813|RS13_MYCBO|RPSM from Mycobacterium bovis (123 aa), FASTA scores: opt: 727, E(): 3e-41, (98.25% identity in 114 aa overlap). Also highly similar to others e.g. O86773|RS13_STRCO|SC6G4.05 from Streptomyces coelicolor (126 aa), FASTA scores: opt: 631, E(): 6.2e-35, (73.75% identity in 122 aa overlap); Q9RA65|RPS13 from Thermus aquaticus (subsp. thermophilus) (126 aa), FASTA scores: opt: 552, E(): 9.8e-30, (62.6% identity in 123 aa overlap); P20282|RS13_BACSU|RPSM from Bacillus subtilis (120 aa), FASTA scores: opt: 533, E(): 1.7e-28, (64245% identity in 121 aa overlap); etc. Contains ribosomal protein S13 signature (PS00646). Belongs to the S13P family of ribosomal proteins.</t>
  </si>
  <si>
    <t>rpmJ</t>
  </si>
  <si>
    <t>Rv3461c</t>
  </si>
  <si>
    <t>50S ribosomal protein L36 RpmJ</t>
  </si>
  <si>
    <t>Rv3461c, (MTCY13E12.14c), len: 37 aa. rpmJ, 50S ribosomal protein L36, equivalent to P45810|RL36_MYCBO|RPMJ from Mycobacterium bovis (37 aa); and Q9X7A2|RL36_MYCLE|RPMJ|ML1961|MLCB1222.31c 50S ribosomal protein L36 from Mycobacterium leprae (37 aa), FASTA scores: opt: 241, E(): 9.7e-14, (86.5% identity in 37 aa overlap). Also highly similar to others e.g. O86772|RL36_STRCO|SC6G4.04 from Streptomyces coelicolor (37 aa), FASTA scores: opt: 233, E(): 4.5e-13, (83.8% identity in 37 aa overlap); P07841|RL36_BACST|RPMJ from Bacillus stearothermophilus (37 aa), FASTA scores: opt: 214, E(): 1.6e-11, (72.95% identity in 37 aa overlap); P12230|RK36_SPIOL|RPL36 from Spinacia oleracea (Spinach) (37 aa), FASTA scores: opt: 211, E(): 2.9e-11, (70.25% identity in 37 aa overlap); etc. Contains PS00828 Ribosomal protein L36 signature. Belongs to the L36P family of ribosomal proteins.</t>
  </si>
  <si>
    <t>No specific function has so far been attributed to this initiation factor; however, it seems to stimulate more or less all the activities of the other two initiation factors, if-2 and if-3.</t>
  </si>
  <si>
    <t>Probable translation initiation factor if-1 InfA</t>
  </si>
  <si>
    <t>Rv3462c, (MTCY13E12.15c), len: 73 aa. Probable infA, initiation factor if-1, equivalent to P45957|ML1962|INFA translation initiation factor if-1 from Mycobacterium bovis (72 aa) and Mycobacterium leprae (72 aa), FASTA scores: opt: 472, E(): 6.6e-28, (100.0% identity in 72 aa overlap). Also highly similar to others e.g. O54209|IF1_STRCO|INFA|SC6G4.03 from Streptomyces coelicolor (73 aa), FASTA scores: opt: 424, E(): 2e-24, (84.95% identity in 73 aa overlap); O50630|IF1_BACHD|INFA|BH0158 from Bacillus halodurans (71 aa), FASTA scores: opt: 388, E(): 8.1e-22, (77.8% identity in 72 aa overlap); Q9XD14|IF1_LEPIN|INFA from Leptospira interrogans (71 aa), FASTA scores: opt: 376, E(): 6e-21, (80.0% identity in 70 aa overlap); etc. Contains 1 'S1 motif' domain. Belongs to the if-1 family.</t>
  </si>
  <si>
    <t>Rv3463, (MTCY13E12.16), len: 285 aa. Conserved protein, similar to Q9RDA2|SCE20.23 hypothetical 31.4 KDA protein from Streptomyces coelicolor (290 aa), FASTA scores: opt: 770, E(): 2.2e-41, (48.6% identity in 247 aa overlap); and Q9X7Y1|SC6A5.35 putative oxidoreductase from Streptomyces coelicolor (341 aa), (see blastp results), FASTA scores: opt: 119, E(): 2.9, (24.1% identity in 274 aa overlap).</t>
  </si>
  <si>
    <t>rmlB</t>
  </si>
  <si>
    <t>Involved in dTDP-L-rhamnose biosynthesis [catalytic activity: dTDP-glucose = dTDP-4-dehydro-6-deoxy-D-glucose + H(2)O].</t>
  </si>
  <si>
    <t>dTDP-glucose 4,6-dehydratase RmlB</t>
  </si>
  <si>
    <t>Rv3464, (MTCY13E12.17), len: 331 aa. RmlB (alternate gene name: rfbB), dTDP-glucose-4,6-dehydratase (see citations below), nearly identical to Q50556|RMLB rhamnose biosynthesis protein from Mycobacterium tuberculosis (329 aa) (previously rfbB, now known as rmlB). Equivalent to Q9CBH7|RMLB|ML1964 dTDP-glucose 4,6-dehydratase (alias Q9X7A3|RMLB putative dTDP-(glucose or rhamnose)-4,6-dehydratase (331 aa)) from Mycobacterium leprae (333 aa), FASTA scores: opt: 1925, E(): 1.9e-112, (84.0% identity in 331 aa overlap). Also highly similar to others e.g. Q9UZH2|RFBB|PAB0785 from Pyrococcus abyssi (333 aa), FASTA scores: opt: 1115, E(): 4.2e-62, (51.55% identity in 322 aa overlap); O27817|MTH1789 from Methanobacterium thermoautotrophicum (336 aa), FASTA scores: opt: 1104, E(): 2.1e-61, (51.65% identity in 331 aa overlap); BAB60064|TVG0950610 from Thermoplasma volcanium (318 aa), FASTA scores: opt: 1102, E(): 2.6e-61, (49.65% identity in 310 aa overlap); etc. Also related to P72050|MTCY13D12.18|RV3784 hypothetical 36.3 KDA protein (similar to galactowaldenases from eukaryotic and prokaryotic origin) from Mycobacterium tuberculosis (326 aa), FASTA scores: E(): 1.4e-26, (33.8% identity in 320 aa overlap).</t>
  </si>
  <si>
    <t>Involved in dTDP-L-rhamnose biosynthesis, within the O antigen biosynthesis pathway of lipopolysaccharide biosynthesis: conversion of dTDP-4-keto-6-deoxy-D-glucose to dTDP-4-keto-rhamnose [catalytic activity: dTDP-4-dehydro-6-deoxy-D-glucose = dTDP-4-dehydro-6-deoxy-L-mannose].</t>
  </si>
  <si>
    <t>dTDP-4-dehydrorhamnose 3,5-epimerase RmlC (dTDP-4-keto-6-deoxyglucose 3,5-epimerase) (dTDP-L-rhamnose synthetase) (thymidine diphospho-4-keto-rhamnose 3,5-epimerase)</t>
  </si>
  <si>
    <t>Rv3465, (MTCY13E12.18), len: 202 aa. RmlC (alternate gene name: rfbC), dTDP-4-dehydrorhamnose 3,5-epimerase (see citations below), nearly identical to O33170|RMLC RMLC protein from Mycobacterium tuberculosis (203 aa), FASTA scores: opt: 1171, E(): 2.6e-71, (89.5% identity in 200 aa overlap) (previously known as rfbC). Equivalent to Q9X7A4|RMLC|ML1965 putative dTDP-4-dehydrorhamnose 3,5-epimerase from Mycobacterium leprae (202 aa), FASTA scores: opt: 1072, E(): 1.1e-64, (75.4% identity in 199 aa overlap). Also highly similar to others e.g. Q9F8S7|CUMY from Streptomyces rishiriensis (198 aa), FASTA scores: opt: 671, E(): 7e-38, (51.3% identity in 193 aa overlap); Q9L6C5 from Streptomyces antibioticus (202 aa), FASTA scores: opt: 665, E(): 1.8e-37, (49.25% identity in 197 aa overlap); P29783|STRM_STRGR from Streptomyces griseus (200 aa), FASTA scores: opt: 608, E(): 1.2e-33, (49.25% identity in 201 aa overlap); Q54265|STRM from Streptomyces glaucescens (200 aa), FASTA scores: opt: 603, E(): 2.5e-33, (46.7% identity in 197 aa overlap); etc. Also highly similar to Q9S4D4|TYLJ putative NDP-hexose 3-epimerase from Streptomyces fradiae (205 aa), FASTA scores: opt: 625, E(): 8.6e-35, (45.9% identity in 194 aa overlap).</t>
  </si>
  <si>
    <t>Rv3466</t>
  </si>
  <si>
    <t>Rv3466, (MTCY13E12.19), len: 222 aa. Conserved hypothetical ORF in REP13E12 repeat, but extending 5' of repeat. Has segment of identity to other REP13E12 ORF's e.g. MTCY336.16, MTCI65.15c, MTCY09F9.19, cMTCY251.14c. This region is a possible MT-complex-specific genomic island (See Becq et al., 2007).</t>
  </si>
  <si>
    <t>Rv3467, (MTCY13E12.20), len: 317 aa. Conserved hypothetical ORF in REP13E12 repeat, identical to ORF's from other REP13E12 copies e.g. MTCY251.13c, MTCI65.15c, MTCY09F9.19, cMTCY336.17. Also identical to Mycobacterium bovis Q50655 hypothetical 34.6 kDa protein (317 aa) in identical repeat.</t>
  </si>
  <si>
    <t>Possibly involved in dTDP-L-rhamnose biosynthesis [catalytic activity: dTDP-glucose = dTDP-4-dehydro-6-deoxy-D-glucose + H(2)O].</t>
  </si>
  <si>
    <t>Possible dTDP-glucose 4,6-dehydratase</t>
  </si>
  <si>
    <t>Rv3468c, (MTCY13E12.21c), len: 364 aa. Possible dTDP-glucose-4,6-dehydratase, but experimental study shown that the purified protein didn't have dTDP-glucose dehydratase (rmlB) activity (see Ma et al., 2001). Similar to others e.g. O08246|MTME from Streptomyces argillaceus (331 aa), FASTA scores: opt: 238, E(): 1.2e-07, (29.65% identity in 344 aa overlap); Q9LFG7|F4P12_220 from Arabidopsis thaliana (Mouse-ear cress) (433 aa), FASTA scores: opt: 237, E(): 1.8e-07, (27.25% identity in 308 aa overlap); Q9LZI2|F26K9_260 from Arabidopsis thaliana (Mouse-ear cress) (445 aa), FASTA scores: opt: 225, E(): 1e-06, (25.95% identity in 335 aa overlap); etc. Also similar to various enzymes and hypothetical unknowns proteins e.g. BAB48655|MLL1234 UDP-glucose 4-epimerase from Rhizobium loti (Mesorhizobium loti) (307 aa), FASTA scores: opt: 757, E(): 4.6e-40, (43.4% identity in 302 aa overlap). First start taken, alternative at 17080 in cSCYY13E12 suggested by similarity. Note that previously known as rmlB3 (see Ma et al., 2001).</t>
  </si>
  <si>
    <t>Involved in aromatic hydrocarbons degradation [catalytic activity: 4-hydroxy-2-oxovalerate = pyruvate + acetaldehyde].</t>
  </si>
  <si>
    <t>Probable 4-hydroxy-2-oxovalerate aldolase MhpE (HOA)</t>
  </si>
  <si>
    <t>Rv3469c, (MTCY13E12.22c), len: 336 aa. Probable mhpE, 4-hydroxy-2-oxovalerate aldolase, similar to others (principally from Pseudomonas species) e.g. Q99PZ1|SCP1.301|SCP1.53c from Streptomyces coelicolor (338 aa), FASTA scores: opt: 615, E(): 7.9e-31, (37.65% identity in 332 aa overlap); Q9X9Q0|NIKB NIKB protein (see Bruntner et al., 1999) from Streptomyces tendae (357 aa), FASTA scores: opt: 571, E(): 4.4e-28, (34.5% identity in 339 aa overlap); P51014|BPHF_PSES1 from Pseudomonas sp. strain KKS102 (352 aa), FASTA scores: opt: 549, E(): 9.9e-27, (31.2% identity in 314 aa overlap); Q51983|CMTG_PSEPU from Pseudomonas putida (350 aa), FASTA scores: opt: 543, E(): 2.3e-26, (30.7% identity in 319 aa overlap); P51020|MHPE_ECOLI|MHPF|B0352 from Escherichia coli strain K12 (337 aa), FASTA scores: opt: 517, E(): 9.1e-25, (31.75% identity in 312 aa overlap); etc. Also similar to P71867|MTCY03C7.22|Rv3534c hypothetical 36.4 KDA protein from Mycobacterium tuberculosis (346 aa), FASTA scores: E(): 7.5e-24, (31.9% identity in 310 aa overlap).</t>
  </si>
  <si>
    <t>Probable acetolactate synthase (large subunit) IlvB2 (AHAS) (acetohydroxy-acid synthase large subunit) (ALS)</t>
  </si>
  <si>
    <t>Rv3470c, (MTCY13E12.23c), len: 552 aa. Probable ilvB2, acetolactate synthase large subunit, similar to others e.g. P73913|ILVG|SLR2088 from Synechocystis sp. strain PCC 6803 (621 aa), FASTA scores: opt: 779, E(): 4.5e-39, (30.7% identity in 567 aa overlap); O78518|ILVB_GUITH from Guillardia theta (Cryptomonas phi) (575 aa), FASTA scores: opt: 742, E(): 6.9e-37, (28.8% identity in 566 aa overlap); Q59950|ILVX from Spirulina platensis (612 aa), FASTA scores: opt: 715, E(): 3e-35, (28.45% identity in 569 aa overlap); etc. Contains thiamine pyrophosphate enzymes signature (PS00187).</t>
  </si>
  <si>
    <t>Rv3471c</t>
  </si>
  <si>
    <t>Rv3471c, (MTCY13E12.24c), len: 177 aa. Conserved hypothetical protein, similar to Q59013|MJ1618 hypothetical protein from Methanococcus jannaschii (125 aa), FASTA scores: opt: 262, E(): 1.2e-09, (39.05% identity in 105 aa overlap); and O26452|MTH352 conserved protein from Methanobacterium thermoautotrophicum (131 aa), FASTA scores: opt: 222, E(): 3.8e-07, (35.05% identity in 117 aa overlap). Equivalent to AAK47934 from Mycobacterium tuberculosis strain CDC1551 (184 aa) but shorter 7 aa.</t>
  </si>
  <si>
    <t>Rv3472, (MTCY13E12.25), len: 168 aa. Conserved protein, showing some similarity to other proteins e.g. Q9ZAT9|DPSH daunorubicin biosynthesis enzyme from Streptomyces peucetius (194 aa), FASTA scores: opt: 181, E(): 6.8e-05, (30.7% identity in 127 aa overlap); Q53879 DAUH/E from Streptomyces sp. C5 (151 aa), FASTA scores: opt: 168, E(): 0.00038, (29.25% identity in 127 aa overlap); and Q9L4U3|AKNV from Streptomyces galilaeus (144 aa), FASTA scores: opt: 122, E(): 0.36, (31.25% identity in 129 aa overlap).</t>
  </si>
  <si>
    <t>bpoA</t>
  </si>
  <si>
    <t>Rv3473c</t>
  </si>
  <si>
    <t>Possible peroxidase BpoA (non-haem peroxidase)</t>
  </si>
  <si>
    <t>Rv3473c, (MTCY13E12.26c), len: 261 aa. Possible bpoA, peroxidase (non-haem peroxidase), similar to various enzymes or hypothetical unknown proteins e.g. O85849 hypothetical 26.2 KDA protein from Sphingomonas aromaticivorans (247 aa), FASTA scores: opt: 684, E(): 4.9e-34, (43.8% identity in 242 aa overlap); AAK45412|MT1155 hydrolase, alpha/beta hydrolase fold family from Mycobacterium tuberculosis strain CDC1551 (311 aa), FASTA scores: opt: 675, E(): 2e-33, (39.45% identity in 256 aa overlap); Q9K3V0|SCD10.27 putative hydrolase from Streptomyces coelicolor (352 aa), FASTA scores: opt: 248, E(): 9.7e-08, (26.05% identity in 261 aa overlap); P29715|BPA2_STRAU|BPOA2 non-haem bromoperoxidase (bromide peroxidase) (277 aa), FASTA scores: opt: 237, E(): 3.6e-07, (29.45% identity in 265 aa overlap); O31168|PRXC_STRAU|CPO|CPOT non-heme chloroperoxidase (278 aa), FASTA scores: opt: 236, E(): 4.2e-07, (29.45% identity in 265 aa overlap); AAK62388|T5L19.180 lipase-like protein from Arabidopsis thaliana (Mouse-ear cress) (350 aa), FASTA scores: opt: 236, E(): 5.1e-07, (26.65% identity in 274 aa overlap); etc. Also similar to O06575|BPOB|Rv1123c|MTCY22G8.12c hypothetical 32.5 KDA protein from Mycobacterium tuberculosis (302 aa), FASTA scores: opt: 675, E(): 2e-33, (39.45% identity in 256 aa overlap). Equivalent to AAK47936 from Mycobacterium tuberculosis strain CDC1551 (294 aa) but shorter 33 aa. May have been inactivated or truncated by neighbouring IS6110.</t>
  </si>
  <si>
    <t>Rv3474</t>
  </si>
  <si>
    <t>Possible transposase for insertion element IS6110 (fragment)</t>
  </si>
  <si>
    <t>Rv3474, (MTCY13E12.27), len: 108 aa. Probable transposase subunit for IS6110. Identical to many other M. tuberculosis IS6110 transposase subunits. The transposase described here may be made by a frame shifting mechanism during translation that fuses Rv3474 and Rv3475, the sequence UUUUAAAG (directly upstream of Rv3475) maybe responsible for such a frameshifting event (see McAdam et al., 1990). Belongs to the transposase family 8.</t>
  </si>
  <si>
    <t>Rv3475</t>
  </si>
  <si>
    <t>Possible transposase for insertion element IS6110 [second part]</t>
  </si>
  <si>
    <t>Rv3475, (MTCY13E12.28), len: 328 aa. Probable transposase subunit for IS6110. Identical to many other M. tuberculosis IS6110 transposase subunits. The transposase described here may be made by a frame shifting mechanism during translation that fuses Rv3474 and Rv3475, the sequence UUUUAAAG (directly upstream of Rv3475) maybe responsible for such a frameshifting event (see McAdam et al., 1990). Start changed since first submission (- 18 aa).</t>
  </si>
  <si>
    <t>Involved in active transport of dicarboxylic acid across the membrane. Responsible for the translocation of the substrate across the membrane.</t>
  </si>
  <si>
    <t>Probable dicarboxylic acid transport integral membrane protein KgtP (dicarboxylate transporter)</t>
  </si>
  <si>
    <t>Rv3476c, (MTCY13E12.29c), len: 449 aa. Probable kgtP, dicarboxylate-transport integral membrane protein, possibly member of major facilitator superfamily (MFS), highly similar to others e.g. Q9HT43|PA5530 from Pseudomonas aeruginosa (435 aa), FASTA scores: opt: 1209, E(): 2.3e-68, (47.05% identity in 425 aa overlap); Q9I6Q9|PCAT|PA0229 from Pseudomonas aeruginosa (432 aa), FASTA scores: opt: 1131, E(): 1.8e-63, (40.4% identity in 438 aa overlap); Q9WWZ2 from Pseudomonas putida (429 aa), FASTA scores: opt: 1090, E(): 6.5e-61, (41.2% identity in 425 aa overlap); P17448|KGTP_ECOLI|WITA|B2587 from Escherichia coli strain K12 (432 aa), FASTA scores: opt: 1083, E(): 1.8e-60, (40.05% identity in 422 aa overlap); etc. Also similar to O05301|MTCI364.12|Rv1200 hypothetical 44.6 KDA protein from Mycobacterium tuberculosis (425 aa), FASTA scores: E(): 5.2e-25, (28.5% identity in 382 aa overlap). Contains sugar transport protein signatures 1 and 2 (PS00216, PS00217). Belongs to the sugar transporter family.</t>
  </si>
  <si>
    <t>PE31</t>
  </si>
  <si>
    <t>PE family protein PE31</t>
  </si>
  <si>
    <t>Rv3477, (MTCY13E12.30), len: 98 aa. PE31, Member of the Mycobacterium tuberculosis PE family (see Brennan &amp; Delogu 2002), similar to O53941|Rv1791|MTV049.13 (99 aa), FASTA scores: opt: 373, E(): 4.3e-18, (64.65% identity in 99 aa overlap); MTCI364.07; MTCY21C12.10c; MTCY1A11.25c; MTC1A11.04; MTCY359.33; etc.</t>
  </si>
  <si>
    <t>PE family protein PPE60</t>
  </si>
  <si>
    <t>Rv3478, (MTCY13E12.31), len: 393 aa. PPE60 (alternate gene name: mtb39c). Member of the M. tuberculosis PPE family, highly similar to others e.g. Q11031|YD61_MYCTU|Rv1361c|MT1406|MTCY02B10.25c (396 aa), FASTA scores: opt: 2165, E(): 1.1e-109, (85.35% identity in 396 aa overlap); MTCI364.08; MTCY10G2.10; MTCY03A2.22c; MTCY274.23c; MTCY164.34c; MTCY98.0029c; etc. Note that expression of Rv3478 was demonstrated in lysates by immunodetection (see Dillon et al., 1999).</t>
  </si>
  <si>
    <t>Rv3479, (MTCY13E12.32), len: 1021 aa. Possible transmembrane protein, with hydrophobic stretches at C-terminus. Start changed since first submission (-54 aa). Alternative nucleotide at position 3896340 (T-&gt;G; L174R) has been observed.</t>
  </si>
  <si>
    <t>Rv3480c, (MTCY13E12.33c), len: 497 aa. Possible triacylglycerol synthase (See Daniel et al., 2004), similar to many from Mycobacterium tuberculosis strains H37Rv and CDC1551 e.g. O69701|Y1D4_MYCTU|Rv3734c|MT3839|MTV025.082c (454 aa), FASTA scores: opt: 520, E(): 2e-23, (39.95% identity in 488 aa overlap); Q10554|Y895_MYCTU|Rv0895|MTCY31.23 (505 aa), FASTA scores: opt: 434, E(): 2.7e-18, (34.2% identity in 497 aa overlap); AAK45165|MT0919 (520 aa), FASTA scores: opt: 434, E(): 2.7e-18, (34.2% identity in 497 aa overlap); etc. Also similar to Q9X7A8|MLCB1610.05|ML1244 conserved membrane protein from Mycobacterium leprae (491 aa), FASTA scores: opt: 272, E(): 1e-08, (28.85% identity in 485 aa overlap); and Q9RIU8|CM11.13c hypothetical 47.1 KDA protein from Streptomyces coelicolor (446 aa), FASTA scores: opt: 254, E(): 1.1e-07, (30.4% identity in 497 aa overlap). Seems to belong to the UPF0089 family.</t>
  </si>
  <si>
    <t>Rv3481c, (MTCY13E12.34c), len: 229 aa. Probable integral membrane protein. No real similarity with others.</t>
  </si>
  <si>
    <t>Rv3482c, (MTCY13E12.35c), len: 260 aa. Probable conserved membrane protein. N-terminal region shares some similarity with N-terminus of O88067|SCI35.32c putative membrane protein from Streptomyces coelicolor (319 aa), FASTA scores: opt: 155, E(): 0.023, (54.55% identity in 33 aa overlap); and with C-terminus of O06254|Rv3437|MTCY77.09 hypothetical 17.9 KDA protein from Mycobacterium tuberculosis strain H37Rv (alias AAK47883|MT3542.1 from strain CDC1551) (158 aa), FASTA scores: opt: 140, E(): 0.11, (58.8% identity in 34 aa overlap). Some similarity to others e.g. Q9XAN5|SC4C6.05c putative membrane protein from Streptomyces coelicolor (347 aa), FASTA scores: opt: 131, E(): 0.75, (29.4% identity in 221 aa overlap). First start taken.</t>
  </si>
  <si>
    <t>Rv3483c, (MTCY13E12.36c), len: 220 aa. Possible exported protein, similar to Q9CC94|ML1099 putative lipoprotein from Mycobacterium leprae (202 aa), FASTA scores: opt: 276, E(): 1.4e-08, (33.1% identity in 148 aa overlap). Also showing similarity with Mycobacterium tuberculosis proteins Q11065|LPRE_MYCTU|LPRE|Rv1252c|MT1291|MTCY50.30. putative lipoprotein precursor (202 aa), FASTA scores: opt: 276, E(): 1.4e-08, (29.5% identity in 200 aa overlap); O53445|Rv1097c|MTV017.50c hypothetical 29.9 KDA protein (293 aa), FASTA scores: opt: 161, E(): 0.047, (25.4% identity in 118 aa overlap); P71882|LPPP_MYCTU|Rv2330c|MT2392|MTCY3G12.04 putative lipoprotein precursor (175 aa), FASTA scores: opt: 146, E(): 0.21, (28.25% identity in 184 aa overlap); and O06170|Rv2507|MTCY07A7.13 hypothetical 28.5 KDA protein (273 aa), FASTA scores: opt: 148, E(): 0.23, (25.15% identity in 191 aa overlap). Contains possible N-terminal signal sequence</t>
  </si>
  <si>
    <t>Possible conserved protein CpsA</t>
  </si>
  <si>
    <t>Rv3484, (MTCY13E12.37), len: 512 aa. Possible cpsA, hypothetical protein, equivalent to Q50160|CPSA|ML2247 hypothetical protein CPSA from Mycobacterium leprae (516 aa), FASTA scores: opt: 2557, E(): 1.6e-143, (74.9% identity in 518 aa overlap); and with good similarity to Q9CCK9|ML0750 hypothetical protein from Mycobacterium leprae (489 aa), FASTA scores: opt: 855, E(): 4.6e-43, (34.45% identity in 502 aa overlap). Also similar (or with similarity) to hypothetical proteins from Mycobacterium tuberculosis: P96872|Rv3267|MTCY71.07 (498 aa), FASTA scores: opt: 928, E(): 2.3e-47, (37.35% identity in 498 aa overlap); and O53834|Rv0822c|MTV043.14c (684 aa), FASTA scores: opt: 425, E(): 1.5e-17, (26.15% identity in 524 aa overlap). Shows also similarity with various bacterial proteins e.g. Q9KZK0|SCE34.26 conserved hypothetical protein from Streptomyces coelicolor (507 aa), FASTA scores: opt: 329, E(): 5.3e-12, (28.85% identity in 478 aa overlap); Q9K4E6|2SC6G5.02 conserved hypothetical protein, possible membrane protein, from Streptomyces coelicolor (382 aa), FASTA scores: opt: 305, E(): 1.1e-10, (29.8% identity in 386 aa overlap); O69850|SC1C3.08c putative transcriptional regulator from Streptomyces coelicolor (366 aa), FASTA scores: opt: 304, E(): 1.2e-10, (29.6% identity in 395 aa overlap); Q9KZK3|SCE34.23 putative transcriptional regulator from Streptomyces coelicolor (396 aa), FASTA scores: opt: 296, E(): 3.8e-10, (31.25% identity in 349 aa overlap); AAK43602|CPSA CPSA protein from Streptococcus agalactiae (485 aa), FASTA scores: opt: 250, E(): 2.4e-07, (30.25% identity in 162 aa overlap); etc. Predicted to be an outer membrane protein (See Song et al., 2008).</t>
  </si>
  <si>
    <t>Function unknown; supposed to be involved in cellular metabolism.</t>
  </si>
  <si>
    <t>Rv3485c, (MTCY13E12.38c), len: 314 aa. Probable short-chain dehydrogenase/reductase, similar, but longer 41 aa, to P71824|Rv0769|MTCY369.14 putative short-chain type dehydrogenase/reductase CY369.14 from Mycobacterium tuberculosis (248 aa), FASTA scores: opt: 462, E(): 1.8e-19, (34.0% identity in 253 aa overlap). Also similar to various dehydrogenases e.g. P25529|HDHA_ECOLI|HSDH|B1619 NAD-dependent 7 alpha-hydroxysteroid dehydrogenase (SDR family) from Escherichia coli strain K12 (alias BAB35750|ECS2327 or AAG56608|HDHA for strain O157:H7) (255 aa), FASTA scores: opt: 462, E(): 1.8e-19, (34.7% identity in 248 aa overlap); Q9FD15|RUBG putative reductase (SDR family) from Streptomyces collinus (249 aa), FASTA scores: opt: 446, E(): 1.5e-18, (36.1% identity in 255 aa overlap); BAB51974|MLL5540 putative dehydrogenase from Rhizobium loti (Mesorhizobium loti) (253 aa), FASTA scores: opt: 442, E(): 2.5e-18, (36.25% identity in 251 aa overlap); Q08632|SDR1_PICAB short-chain type dehydrogenase/reductase (SDR family) from Picea abies (Norway spruce) (Picea excelsa) (271 aa), FASTA scores: opt: 441, E(): 3.1e-18, (32.3% identity in 260 aa overlap); Q9A326|CC3380 2-deoxy-D-gluconate 3-dehydrogenase from Caulobacter crescentus (260 aa), FASTA scores: opt: 436, E(): 5.7e-18, (32.8% identity in 253 aa overlap); Q16698|DECR_HUMAN 2,4-dienoyl-CoA reductase, mitochondrial precursor from Homo sapiens (Human) (335 aa), FASTA scores: opt: 430, E(): 1.5e-17, (30.4% identity in 306 aa overlap); etc. Contains short-chain alcohol dehydrogenase family signature (PS00061). Belongs to the short-chain dehydrogenases/reductases family (SDR).</t>
  </si>
  <si>
    <t>Rv3486, (MTCY13E12.39), len: 149 aa. Conserved protein, similar to Q9RC47|YFID|BH3304 hypothetical protein from Bacillus halodurans (129 aa), FASTA scores: opt: 186, E(): 2.1e-05, (40.0% identity in 95 aa overlap); and Q9KKT1|VCA1019 hypothetical protein from Vibrio cholerae (148 aa), FASTA scores: opt: 128, E(): 0.15, (35.25% identity in 139 aa overlap). Some similarity to other proteins e.g. P54720|YFID_BACSU hypothetical protein from Bacillus subtilis (134 aa), FASTA scores: opt: 165, E(): 0.00052, (31.75% identity in 126 aa overlap). Equivalent to AAK47949 from Mycobacterium tuberculosis strain CDC1551 (163 aa) but shorter 14 aa.</t>
  </si>
  <si>
    <t>Probable esterase/lipase LipF</t>
  </si>
  <si>
    <t>Rv3487c, (MTCY13E12.41c), len: 277 aa. Probable lipF, esterase/lipase (see citation below), highly similar, but shorter 50 aa, to O53424|LIPU|Rv1076|MTV017.29 putative esterase/lipase from Mycobacterium tuberculosis (297 aa), FASTA scores: opt: 1229, E(): 3.3e-71, (76.4% identity in 246 aa overlap); and similar to other putative lipases from Mycobacterium tuberculosis e.g. P71759|LIPK|RV2385|MTCY253.36c (306 aa), FASTA scores: opt: 468, E(): 1.2e-22, (36.2% identity in 254 aa overlap). Equivalent, but shorter 79 aa, to Q9ZBM4|MLCB1450.08|ML0314 putative hydrolase (putative esterase) from Mycobacterium leprae (335 aa), FASTA scores: opt: 1225, E(): 6.6e-71, (73.6% identity in 250 aa overlap). Also similar to esterases and lipases of around 300 aa e.g. Q44087|est esterase precursor from Acinetobacter lwoffii (303 aa), FASTA scores: opt: 428, E(): 4.3e-20, (31.85% identity in 251 aa overlap); P18773|EST_ACICA esterase from Acinetobacter calcoaceticus (303 aa), FASTA scores: opt: 420, E(): 1.4e-19, (31.5% identity in 251 aa overlap); Q9KIU1 esterase from uncultured bacterium Plasmid pAH116 (308 aa), FASTA scores: opt: 405, E(): 1.3e-18, (35.1% identity in 242 aa overlap); Q9X8J4|SCE9.22 putative esterase from Streptomyces coelicolor (266 aa), FASTA scores: opt: 390, E(): 1e-17, (35.85% identity in 237 aa overlap); etc. Equivalent to AAK47950 from Mycobacterium tuberculosis strain CDC1551 (327 aa) but shorter 50 aa.</t>
  </si>
  <si>
    <t>Rv3488, (MTCY13E12.41), len: 107 aa. Hypothetical protein, similar to various bacterial proteins e.g. O28730|AF1542 conserved hypothetical protein from Archaeoglobus fulgidus (101 aa), FASTA scores: opt: 321, E(): 6.4e-15, (50.55% identity in 87 aa overlap); O50207 SQ1_IV (fragment) from Rhodococcus erythropolis (59 aa), FASTA scores: opt: 298, E(): 1.4e-13, (71.2% identity in 59 aa overlap); Q9KFB0|BH0575 BH0575 protein from Bacillus halodurans (102 aa), FASTA scores: opt: 294, E(): 4.1e-13, (43.15% identity in 95 aa overlap); etc. Also similar to Mycobacterium tuberculosis P71704|Rv0047c|MTCY21D4.10c (180 aa) (37.8% identity in 82 aa overlap).</t>
  </si>
  <si>
    <t>Rv3489, (MTCY13E12.42), len: 54 aa. Unknown protein. No similarity with other proteins.</t>
  </si>
  <si>
    <t>Involved in osmoregulatory trehalose biosynthesis. Mycobacteria can produce trehalose from glucose 6-phosphate and UDP-glucose (the OtsA-OtsB pathway) from glycogen-like alpha(1--&gt;4)-linked glucose polymers (the TreY-TreZ pathway) and from maltose (the TreS pathway) [catalytic activity: UDP-glucose + D-glucose 6-phosphate = UDP + alpha,alpha-trehalose 6-phosphate].</t>
  </si>
  <si>
    <t>Alpha, alpha-trehalose-phosphate synthase [UDP-forming] OtsA (trehalose-6-phosphate synthase) (UDP-glucose-glucosephosphate glucosyltransferase) (trehalosephosphate-UDP glucosyltransferase) (trehalose-6-phosphate synthetase) (trehalose-phosphate synthase) (trehalose-phosphate synthetase) (transglucosylase) (trehalosephosphate-UDP glucosyl transferase)</t>
  </si>
  <si>
    <t>Rv3490, (MTCY13E12.43), len: 500 aa. otsA, alpha, alpha-trehalose-phosphate synthase (see citations below), equivalent to Q50167|OTSA|ML2254 probable trehalose-phosphate synthase from Mycobacterium leprae (498 aa), FASTA scores: opt: 2706, E(): 1.6e-166, (80.3% identity in 497 aa overlap). Also similar to others e.g. Q92410|TPS1_CANAL from Candida albicans (Yeast) (478 aa), FASTA scores: opt: 895, E(): 4.9e-50, (37.15% identity in 479 aa overlap); Q00764|TPS1_YEASTTPS1|CIF1|BYP1|FDP1|GGS1|GLC6|YBR126c|YBR0922 from Saccharomyces cerevisiae (Baker's yeast) (495 aa), FASTA scores: opt: 847, E(): 6.2e-47, (36.1% identity in 490 aa overlap); BAB48232|MLL0691 from Rhizobium loti (Mesorhizobium loti) (520 aa), FASTA scores: opt: 884, E(): 2.7e-49, (36.2% identity in 478 aa overlap); etc. Equivalent to AAK47953 from Mycobacterium tuberculosis strain CDC1551 (478 aa) but longer 22 aa.</t>
  </si>
  <si>
    <t>Rv3491, (MTCY13E12.44), len: 192 aa. Unknown protein. No significant homology with other proteins.</t>
  </si>
  <si>
    <t>Conserved hypothetical Mce associated protein</t>
  </si>
  <si>
    <t>Rv3492c, (MTCY13E12.45c), len: 160 aa. Conserved hypothetical Mce-associated protein, showing some similarity to hypothetical Mycobacterium tuberculosis proteins e.g. O53974|Rv1973|MTV051.11 (near Mce operon 3) (160 aa), FASTA scores: opt: 214, E(): 2.6e-07, (25.3% identity in 154 aa overlap); and Q11032|YD62_MYCTU|Rv1362c|MT1407|MTCY02B10.26c (220 aa), FASTA scores: opt: 187, E(): 2e-05, (23.4% identity in 154 aa overlap). Contains lipocalin signature at C-terminus (PS00213). Predicted to be an outer membrane protein (See Song et al., 2008).</t>
  </si>
  <si>
    <t>Conserved hypothetical Mce associated alanine and valine rich protein</t>
  </si>
  <si>
    <t>Rv3493c, (MTCY13E12.46c), len: 242 aa. Conserved hypothetical Mce-associated ala-, val-rich protein, showing weak similarity to O07422|Z97050|Rv0178|MTCI28.18 hypothetical 25.9 KDA protein (near Mce operon1) from Mycobacterium tuberculosis (244 aa), FASTA scores: opt: 163, E(): 0.046, (24.65% identity in 211 aa overlap).</t>
  </si>
  <si>
    <t>Unknown, but thought to be involved in host cell invasion. Predicted to be involved in lipid catabolism.</t>
  </si>
  <si>
    <t>Mce-family protein Mce4F</t>
  </si>
  <si>
    <t>Rv3494c, (MTV023.01c), len: 564 aa. Mce4F; belongs to 24-membered Mycobacterium tuberculosis Mce protein family (see citations below), similar to Mycobacterium tuberculosis proteins O07418|Rv0174|MTCI28.14|mce1F (515 aa); O07784|Rv0594|MTCY19H5.28c|mce2F (516 aa); and O53972|Rv1971|MTV051.09|mce3F (437 aa). Also similar to others e.g. Q9CD09|MCE1F|ML2594 putative secreted protein from Mycobacterium leprae (516 aa), FASTA scores: opt: 1040, E(): 3.6e-31, (35.9% identity in 529 aa overlap); Q9F361|SC8A2.02c putative secreted protein from Streptomyces coelicolor (433 aa), FASTA scores: opt: 570, E(): 3.7e-14, (30.8% identity in 458 aa overlap); etc. Has hydrophobic stretch, possibly a signal peptide at the N-terminus. Predicted to be an outer membrane protein (See Song et al., 2008).</t>
  </si>
  <si>
    <t>Possible Mce-family lipoprotein LprN (Mce-family lipoprotein Mce4E)</t>
  </si>
  <si>
    <t>Rv3495c, (MTV023.02c), len: 384 aa. Possible lprN (alternate gene name: mce4E), lipoprotein which belongs to 24-membered Mycobacterium tuberculosis Mce protein family (see citations below), highly similar to Mycobacterium tuberculosis proteins O07417|LPRK|Rv0173|MTCI28.13|mce1E (390 aa); O07785|LPRL|Rv0593|MTCY19H5.29|mce2E (402 aa); and O53971|LPRM|Rv1970|MTV051.08|mce3E (377 aa). Also similar to others e.g. Q9F360|SC8A2.03c putative secreted protein from Streptomyces coelicolor (413 aa), FASTA scores: opt: 656, E(): 2.2e-32, (37.55% identity in 317 aa overlap); Q9CD10|LPRK|ML2593 putative lipoprotein from Mycobacterium leprae (392 aa), FASTA scores: opt: 616, E(): 5.5e-30, (28.95% identity in 373 aa overlap); etc. Contains possible signal sequence and appropriately positioned PS00013 Prokaryotic membrane lipoprotein lipid attachment site.</t>
  </si>
  <si>
    <t>Mce-family protein Mce4D</t>
  </si>
  <si>
    <t>Rv3496c, (MTV023.03c), len: 451 aa. Mce4D; belongs to 24-membered Mycobacterium tuberculosis Mce protein family (see citations below), highly similar to Mycobacterium tuberculosis proteins O07416|Rv0172|MTCI28.12|mce1D (530 aa); O07786|Rv0592|MTCY19H5.30c|mce2D (508 aa); and O53970|Rv1969|MTV051.07|mce3D (423 aa). Also similar to others e.g. Q9CD11|MCE1D|ML2592 putative secreted protein from Mycobacterium leprae (531 aa), FASTA scores: opt: 837, E(): 2.6e-34, (34.55% identity in 446 aa overlap); Q9F359|SC8A2.04c putative secreted protein from Streptomyces coelicolor (337 aa), FASTA scores: opt: 606, E(): 4.9e-23, (32.35% identity in 300 aa overlap); etc. Hydrophobic region at N-terminus. Predicted to be an outer membrane protein (See Song et al., 2008).</t>
  </si>
  <si>
    <t>Mce-family protein Mce4C</t>
  </si>
  <si>
    <t>Rv3497c, (MTV023.04c), len: 357 aa. Mce4C; belongs to 24-membered Mycobacterium tuberculosis Mce protein family (see citations below), highly similar to Mycobacterium tuberculosis proteins O07415|R0171|MTCI28.11|mce1C (515 aa); O07787|Rv0591|MTCY19H5.31|mce2C (481 aa); and O53969|Rv1968|MTV051.06|mce3C (410 aa). Also similar to others e.g. Q9F358|SC8A2.05c putative secreted protein from Streptomyces coelicolor (351 aa), FASTA scores: opt: 658, E(): 1.1e-30, (33.95% identity in 318 aa overlap); Q9CD12|MCE1C|ML2591 putative secreted protein from Mycobacterium leprae (519 aa), FASTA scores: opt: 555, E(): 1.2e-24, (28.35% identity in 328 aa overlap); etc. Hydrophobic region at N-terminus. Predicted to be an outer membrane protein (See Song et al., 2008).</t>
  </si>
  <si>
    <t>Mce-family protein Mce4B</t>
  </si>
  <si>
    <t>Rv3498c, (MTV023.05c), len: 350 aa. Mce4B; belongs to 24-membered Mycobacterium tuberculosis Mce protein family (see citations below), highly similar to Mycobacterium tuberculosis proteins O07414|Rv0170|MTCI28.10|mce1B (346 aa); O07788|Rv0590|MTCY19H5.32c|mce2B (275 aa); and O53968|Rv1967|MTV051.05|mce3B (342 aa). Also similar to others e.g. Q9CD13|MCE1B|ML2590 putative secreted protein from Mycobacterium leprae (346 aa), FASTA scores: opt: 803, E(): 6.1e-41, (41.05% identity in 346 aa overlap); Q9F357|SC8A2.06c putative secreted protein from Streptomyces coelicolor (354 aa), FASTA scores: opt: 624, E(): 3.4e-30, (32.55% identity in 338 aa overlap); etc. Hydrophobic region at N-terminus. Predicted to be an outer membrane protein (See Song et al., 2008).</t>
  </si>
  <si>
    <t>Mce-family protein Mce4A</t>
  </si>
  <si>
    <t>Rv3499c, (MTV023.06c), len: 400 aa. Mce4A; belongs to 24-membered Mycobacterium tuberculosis Mce protein family (see citations below), highly similar to Mycobacterium tuberculosis proteins P72013|MCE1|Rv0169|MTCI28.09|mce1A (454 aa); O07789|MCE2|Rv0589|MTCY19H5.33c|mce2A (404 aa); and O53967|MCE3|Rv1966|MTV051.04|mce3A (425 aa). Also similar to others e.g. Q9F356|SC8A2.07c putative secreted protein from Streptomyces coelicolor (418 aa), FASTA scores: opt: 619, E(): 7.8e-30, (32.4% identity in 352 aa overlap); Q9S4U5|MCE1 mycobacterial cell entry protein from Mycobacterium bovis BCG (454 aa), FASTA scores: opt: 529, E(): 2.1e-24, (30.35% identity in 448 aa overlap); Q9CD14|MCE1A|ML2589 from Mycobacterium leprae (441 aa), FASTA scores: opt: 515, E(): 1.4e-23, (28.35% identity in 430 aa overlap); etc. Contains a possible N-terminal signal sequence. Note that previously known as mce4. Predicted to be an outer membrane protein (See Song et al., 2008).</t>
  </si>
  <si>
    <t>Unknown. Predicted to be involved in lipid catabolism.</t>
  </si>
  <si>
    <t>Conserved integral membrane protein YrbE4B. Possible ABC transporter.</t>
  </si>
  <si>
    <t>Rv3500c, (MTV023.07c), len: 280 aa. YrbE4B, conserved integral membrane protein, part of mce4 operon and member of YrbE family (see citations below), highly similar to Mycobacterium tuberculosis proteins O07413|Rv0168|MTCI28.08|yrbE1B (289 aa); O07790|Rv0588|MTCY19H5.34|yrbE2B (295 aa); and O53966|Rv1965|MTV051.03|yrbE3B (271 aa). Also highly similar to conserved hypothetical integral membrane proteins of the P45030|YRBE_HAEIN (261 aa) type, e.g. Q9CD15|YRBE1B|ML2588 from Mycobacterium leprae (289 aa), FASTA scores: opt: 973, E(): 1.5e-50, (50.2% identity in 269 aa overlap); P45030|YRBE_HAEIN|HI1086 from Haemophilus influenzae (261 aa), FASTA scores: opt: 270, E(): 6e-11, (25.4% identity in 264 aa overlap); etc.</t>
  </si>
  <si>
    <t>Conserved integral membrane protein YrbE4A. Possible ABC transporter.</t>
  </si>
  <si>
    <t>Rv3501c, (MTV023.08c), len: 254 aa. YrbE4A, conserved integral membrane protein, part of mce4 operon and member of YrbE family (see citations below), highly similar to Mycobacterium tuberculosis proteins O07412|Rv0167|MTCI28.07|yrbE1A (265 aa); O07791|Rv0587|MTCY19H5.35|yrbE2A (265 aa); and O53965|Rv1964|MTV051.02|yrbE3A (265 aa). Also highly similar to conserved hypothetical integral membrane proteins of the P45030|YRBE_HAEIN (261 aa) type, e.g. Q9CD16|YRBE1A|ML2587 from Mycobacterium leprae (267 aa), FASTA scores: opt: 1059, E(): 1e-57, (64.75% identity in 247 aa overlap); P45030|YRBE_HAEIN|HI1086 from Haemophilus influenzae (261 aa), FASTA scores: opt: 313, E(): 3e-14, (25.7% identity in 241 aa overlap); etc.</t>
  </si>
  <si>
    <t>Function unknown; supposed involvement in cellular metabolism. Predicted to be involved in lipid catabolism.</t>
  </si>
  <si>
    <t>Probable short-chain type dehydrogenase/reductase. Possible 17-beta-hydroxysteroid dehydrogenase.</t>
  </si>
  <si>
    <t>Rv3502c, (MTV023.09c), len: 317 aa (start uncertain). Probable short-chain dehydrogenase/reductase , similar to Mycobacterium tuberculosis proteins P71853|Rv3548c|MTCY03C7.08 hypothetical 31.1 KDA protein (304 aa), FASTA scores: opt: 739, E(): 6.2e-35, (45.15% identity in 310 aa overlap); and Q11020|YD50_MYCTU|FABG2|Rv1350|MT1393|MTCY02B10.14 putative oxidoreductase (247 aa), FASTA scores: opt: 475, E(): 5.1e-20, (40.15% identity in 254 aa overlap). Also similar to various dehydrogenases e.g. Q9I4V1|PA1023 probable short-chain dehydrogenase from Pseudomonas aeruginosa (305 aa), FASTA scores: opt: 535, E(): 2.3e-23, (37.1% identity in 302 aa overlap); Q9UVH9|FOX2 FOX2 protein (SDR family) (1015 aa), FASTA scores: opt: 487, E(): 3.2e-20, (38.4% identity in 276 aa overlap); P22414|FOX2_CANTR peroxisomal hydratase-dehydrogenase, D-3-hydroxyacyl CoA dehydrogenase (SDR family) from Candida tropicalis (Yeast) (906 aa) FASTA scores: opt: 481, E(): 6.4e-20, (38.0% identity in 250 aa overlap); P50171|DHB8_MOUSE|HSD17B8|HKE6|H2-KE6 estradiol 17 beta-dehydrogenase 8 from Mus musculus (Mouse) (260 aa) FASTA scores: opt: 459, E(): 4.3e-19, (39.75% identity in 259 aa overlap); CAC41362|BKR1 3-oxyacyl-[acyl-carrier protein] reductase (fragment) from Brassica napus (Rape) (317 aa), FASTA scores: opt: 447, E(): 2.4e-18, (39.2% identity in 255 aa overlap); etc. Contains PS00061 Short-chain dehydrogenases/reductases family signature. Belongs to the short-chain dehydrogenases/reductases (SDR) family.</t>
  </si>
  <si>
    <t>fdxD</t>
  </si>
  <si>
    <t>Rv3503c</t>
  </si>
  <si>
    <t>Probable ferredoxin FdxD</t>
  </si>
  <si>
    <t>Rv3503c, (MTV023.10c), len: 63 aa. Probable fdxD, ferredoxin, equivalent to Q9R6Z5|B229_C3_226 hypothetical 9.3 KDA protein from Mycobacterium leprae (83 aa) FASTA scores: opt: 276, E(): 1.8e-13, (75.9% identity in 54 aa overlap). Also similar to several e.g. Q9R6Z5|PHDC from Nocardioides sp. strain KP7 (69 aa), FASTA scores: opt: 177, E(): 2.1e-06, (43.35% identity in 60 aa overlap); Q9X4X8|DITA3 dioxygenase DITA ferredoxin component from Pseudomonas abietaniphila (78 aa), FASTA scores: opt: 166, E(): 1.4e-05, (36.2% identity in 58 aa overlap); P00203|FER_MOOTH from Moorella thermoacetica (Clostridium thermoaceticum) (63 aa), FASTA scores: opt: 157, E(): 5.4e-05, (36.65% identity in 60 aa overlap); P18325|FER2_STRGO|SUBB from Streptomyces griseolus (64 aa) FASTA scores: opt: 157, E(): 5.5e-05, (39.35% identity in 61 aa overlap); etc. Belongs to the bacterial type ferredoxin family.</t>
  </si>
  <si>
    <t>Probable acyl-CoA dehydrogenase FadE26</t>
  </si>
  <si>
    <t>Rv3504, (MTV023.11), len: 400 aa. Probable fadE26, acyl-CoA dehydrogenase, similar to other acyl-CoA dehydrogenases from Mycobacterium tuberculosis e.g. P71858|FADE29|Rv3543c|MTCY03C7.13 (387 aa) FASTA scores: opt: 1031, E(): 7.5e-59, (46.25% identity in 402 aa overlap); and P95280|FADE17|Rv1934c|MTCY09F9.30 (409 aa), FASTA scores: opt: 617, E(): 3.1e-32, (32.6% identity in 423 aa overlap); etc. Also similar to others e.g. Q9A6G3|CC2131 from Caulobacter crescentus (403 aa) FASTA scores: opt: 710, E(): 3.2e-38, (33.4% identity in 413 aa overlap); Q9I4V2|PA1022 from Pseudomonas aeruginosa (381 aa), FASTA scores: opt: 522, E(): 3.7e-26, (34.1% identity in 358 aa overlap); Q9RJX2|SCF37.29c from Streptomyces coelicolor (393 aa), FASTA scores: opt: 509, E(): 2.6e-25, (34.45% identity in 363 aa overlap); etc. Could belong to the acyl-CoA dehydrogenases family.</t>
  </si>
  <si>
    <t>Probable acyl-CoA dehydrogenase FadE27</t>
  </si>
  <si>
    <t>Rv3505, (MTV023.12), len: 373 aa. Probable fadE27, acyl-CoA dehydrogenase, similar to other acyl-CoA dehydrogenases from Mycobacterium tuberculosis e.g. P71857|FADE28|Rv3544c|MTCY03C7.12 (339 aa) FASTA scores: opt: 497, E(): 1.8e-22, (30.3% identity in 343 aa overlap); and P95281|FADE18|Rv1933c|MTCY09F9.31 (363 aa) FASTA scores: opt: 421, E(): 6.4e-18, (32.35% identity in 334 aa overlap). Also similar to other e.g. Q9A5G8|CC2479 from Caulobacter crescentus (344 aa), FASTA scores: opt: 425, E(): 3.5e-18, (30.75% identity in 351 aa overlap); Q9RJX3|SCF37.28c from Streptomyces coelicolor (362 aa) FASTA scores: opt: 317, E(): 1e-11, (32.8% identity in 372 aa overlap); Q9L8Q3|PDTORFO from Pseudomonas stutzeri (Pseudomonas perfectomarina) (513 aa), FASTA scores: opt: 301, E(): 1.2e-10, (25.9% identity in 394 aa overlap); etc. Could belong to the acyl-CoA dehydrogenases family.</t>
  </si>
  <si>
    <t>Fatty-acid-CoA synthetase FadD17 (fatty-acid-CoA synthase) (fatty-acid-CoA ligase)</t>
  </si>
  <si>
    <t>Rv3506, (MTV023.13), len: 502 aa. fadD17, fatty-acid-CoA synthetase (ligase), similar to P72007|FADD1|RV1750c|MTCY28.13c|MTCY04C12.34 from Mycobacterium tuberculosis (532 aa), FASTA scores: opt: 666, E(): 9.8e-32, (52.05% identity in 488 aa overlap). Also similar to various ligases/synthetases e.g. Q9EY88|FCS feruloyl-CoA synthetase from Amycolatopsis sp. HR167 (491 aa), FASTA scores: opt: 490, E(): 2.1e-21, (30.3% identity in 462 aa overlap); BAB33463|ECS0040 (alias AAG54340|CAIC) probable crotonobetaine/carnitine-CoA ligase from Escherichia coli strain O157:H7 (522 aa), FASTA scores: opt: 478, E(): 1.1e-20, (28.5% identity in 347 aa overlap); Q9KHL1|ENCH putative acyl-CoA ligase from Streptomyces maritimus (535 aa), FASTA scores: opt: 477, E(): 1.3e-20, (28.7% identity in 453 aa overlap); Q50017|XCLC|ML1051 acyl-CoA synthase from Mycobacterium leprae (476 aa), FASTA scores: opt: 472, E(): 2.3e-20, (31.35% identity in 469 aa overlap); P31552|CAIC_ECOLI|B0037 from Escherichia coli strain K12 (522 aa), FASTA scores: opt: 467, E(): 4.8e-20, (28.75% identity in 348 aa overlap); Q9KBC2|BH2006 from Bacillus halodurans long-chain acyl-CoA synthetase (ligase) (513 aa), FASTA scores: opt: 462, E(): 9.4e-20, (27.65% identity in 463 aa overlap); etc. Contains PS00455 Putative AMP-binding domain signature.</t>
  </si>
  <si>
    <t>PE-PGRS family protein PE_PGRS53</t>
  </si>
  <si>
    <t>Rv3507, (MTV023.14), len: 1381 aa. PE_PGRS53, Member of the Mycobacterium tuberculosis PE protein family, PGRS subfamily of gly-rich proteins (see citation below), similar to others from Mycobacterium tuberculosis strains H37Rv and CDC1551 e.g. O06810|Rv1450c|MTCY493.04 (1329 aa), FASTA scores: opt: 2173, E(): 1.4e-135, (51.15% identity in 1412 aa overlap). Equivalent to AAK47970 from Mycobacterium tuberculosis strain CDC1551 (1384 aa) but with some minor differences between the proteins. Contains two PS00583 pfkB family of carbohydrate kinases signatures 1.</t>
  </si>
  <si>
    <t>PE_PGRS54</t>
  </si>
  <si>
    <t>Rv3508</t>
  </si>
  <si>
    <t>PE-PGRS family protein PE_PGRS54</t>
  </si>
  <si>
    <t>Rv3508, (MTV023.15), len: 1901 aa. PE_PGRS54, Member of the Mycobacterium tuberculosis PE family, PGRS subfamily of gly-rich proteins (see Brennan &amp; Delogu 2002), similar to others from Mycobacterium tuberculosis strains H37Rv and CDC1551 e.g. downstream O53559|Rv3514|MTV023.21 (1489 aa), FASTA scores: opt: 6598, E(): 0, (71.05% identity in 1533 aa overlap). Equivalent to AAK47971 from Mycobacterium tuberculosis strain CDC1551 (1384 aa) but shorter 13 aa and with some minor differences between the proteins. Contains five PS00583 pfkB family of carbohydrate kinases signatures 1.</t>
  </si>
  <si>
    <t>Could be involved in valine and isoleucine biosynthesis (at the first step) [catalytic activity: 2-acetolactate + CO(2) = 2 pyruvate].</t>
  </si>
  <si>
    <t>Probable acetohydroxyacid synthase IlvX (acetolactate synthase)</t>
  </si>
  <si>
    <t>Rv3509c, (MTV023.16), len: 515 aa. Probable ilvX, acetohydroxyacid synthase, equivalent to Mycobacterium leprae protein described as Acetolactate synthase I, valine sensitive, large subunit Q49865|ILVX|ILVI1|B229_C3_222 (515 aa), FASTA scores: opt: 2762, E(): 8.8e-145, (82.9% identity in 515 aa overlap). Also similar to various enzymes (principally acetohydroxyacid/acetolactate synthases) e.g. Q9AB41|CC0393 thiamine-pyrophosphate-requiring enzyme from Caulobacter crescentus (512 aa), FASTA scores: opt: 1572, E(): 2.8e-79, (50.95% identity in 514 aa overlap); BAB50432|MLL3567 acetolactate synthase I from Rhizobium loti (Mesorhizobium loti) (517 aa), FASTA scores: opt: 1440, E(): 5.2e-72, (47.9% identity in 548 aa overlap); P20906|MDLC_PSEPU benzoylformate decarboxylase from Pseudomonas putida (528 aa), FASTA scores: opt: 356, E(): 2.5e-12, (28.1% identity in 530 aa overlap); Q9L123|SC6D11.33c putative decarboxylase from Streptomyces coelicolor (526 aa), FASTA scores: opt: 325, E(): 1.3e-10, (33.2% identity in 530 aa overlap); Q9RDF9|SCC57A.40c putative acetolactate synthase from Streptomyces coelicolor (564 aa), FASTA scores: opt: 304, E(): 1.9e-09, (28.55% identity in 550 aa overlap); P94783 valine-sensitive acetohydroxy acid synthase from Citrobacter freundii (561 aa), FASTA scores: opt: 278, E(): 5.1e-08, (25.8% identity in 550 aa overlap); Q42767|AHAS acetohydroxyacid synthase from Gossypium hirsutum (Upland cotton) (659 aa), FASTA scores: opt: 278, E(): 5.8e-08, (26.15% identity in 558 aa overlap); etc. Note that other Mycobacterium tuberculosis proteins, e.g. O53250|MTV012.17c|ILVB_MYCTU|Rv3003c|MT3083|MTV012.17c, show better similarity to Acetolactate synthase I. Similar to other enzymes which require TPP. Cofactor: thiamin pyrophosphate (by similarity).</t>
  </si>
  <si>
    <t>Rv3510c, (MTV023.17), len: 278 aa. Conserved protein, similar to Q50662|Rv2303c|MTCY339.06 hypothetical 34.6 KDA protein from Mycobacterium tuberculosis (307 aa), FASTA scores: opt: 416, E(): 1.2e-19, (35.7% identity in 255 aa overlap). Middle of the putative protein highly similar to N-terminal end of Q49860|B229_C2_182 hypothetical 11.0 KDA protein from Mycobacterium leprae (95 aa), FASTA scores: opt: 304, E(): 7.9e-13, (83.65% identity in 55 aa overlap). Also some similarity with other bacterial proteins e.g. P95886 ORF C02006 from Sulfolobus solfataricus (269 aa), FASTA scores: opt: 293, E(): 9.6e-12, (31.3% identity in 198 aa overlap); Q9XDF3|NONC NONC protein from Streptomyces griseus subsp. griseus (317 aa), FASTA scores: opt: 270, E(): 3.4e-10, (29.95% identity in 227 aa overlap); Q54229|NONR macrotetrolide antibiotic-resistance protein from Streptomyces griseus (347 aa), FASTA scores: opt: 270, E(): 3.6e-10, (29.95% identity in 227 aa overlap); etc.</t>
  </si>
  <si>
    <t>PE_PGRS55</t>
  </si>
  <si>
    <t>Rv3511</t>
  </si>
  <si>
    <t>PE-PGRS family protein PE_PGRS55</t>
  </si>
  <si>
    <t>Rv3511, (MTV023.18), len: 714 aa. PE_PGRS55, Member of the Mycobacterium tuberculosis PE family, PGRS subfamily of gly-rich proteins (see Brennan and Delogu, 2002), similar to others from Mycobacterium tuberculosis strains H37Rv and CDC1551 e.g. AAK47974|MT3615.3 (1217 aa) FASTA scores: opt: 2563, E(): 1.5e-94, (59.65% identity in 773 aa overlap); and upstream O53553|Rv3508|MTV023.15 (1901 aa), FASTA scores: opt: 2455, E(): 3.9e-90, (60.4% identity in 737 aa overlap); etc. Contains PS00583 pfkB family of carbohydrate kinases signature 1.</t>
  </si>
  <si>
    <t>PE_PGRS56</t>
  </si>
  <si>
    <t>Rv3512</t>
  </si>
  <si>
    <t>PE-PGRS family protein PE_PGRS56</t>
  </si>
  <si>
    <t>Rv3512, (MTV023.19), len: 1079 aa. PE_PGRS56, Member of the Mycobacterium tuberculosis PE family, PGRS subfamily of gly-rich proteins (see citation below), similar to others from Mycobacterium tuberculosis strains H37Rv and CDC1551 e.g. AAK47974|MT3615.3 (1217 aa) FASTA scores: opt: 3688, E(): 4.5e-130, (53.95% identity in 1136 aa overlap); and downstream O53559|Rv3514|MTV023.21 (1489 aa), FASTA scores: opt: 3611, E(): 3.6e-127, (53.15% identity in 1195 aa overlap); etc. Frameshifted PGRS protein, could be continuation of upstream MTV023.18, but no error could be found.</t>
  </si>
  <si>
    <t>Probable fatty-acid-CoA ligase FadD18 (fragment) (fatty-acid-CoA synthetase) (fatty-acid-CoA synthase)</t>
  </si>
  <si>
    <t>Rv3513c, (MTV023.20c), len: 218 aa (Start uncertain). Probable fadD18, fatty-acid-CoA synthetase (C-terminal fragment), almost identical to C-terminal end of downstream O53560|FADD19|Rv3515c|MTV023.22c, probably result of partial gene duplication. Also similar at the C-terminus to other fatty-acid-CoA synthetases e.g. Q9EXL2|FADD from Streptomyces griseus (540 aa), FASTA scores: opt: 586, E(): 1.2e-28, (52.45% identity in 185 aa overlap); AAB87139|MIG medium chain acyl-CoA synthetase precursor from Mycobacterium avium (550 aa), FASTA scores: opt: 506, E(): 9.5e-24, (50.0% identity in 150 aa overlap); Q9A7C3|CC1801 putative 4-coumarate--CoA ligase from Caulobacter crescentus (561 aa), FASTA scores: opt: 430, E(): 4.4e-19, (45.75% identity in 153 aa overlap); Q9KDT0|BH1131 acid-CoA ligase from Bacillus halodurans (546 aa), FASTA scores: opt: 338, E(): 1.9e-13, (38.05% identity in 142 aa overlap); Q9RTR4|DR1692 long-chain fatty acid--CoA ligase from Deinococcus radiodurans (584 aa), FASTA scores: opt: 331, E(): 5.3e-13, (35.15% identity in 145 aa overlap); etc.</t>
  </si>
  <si>
    <t>PE_PGRS57</t>
  </si>
  <si>
    <t>Rv3514</t>
  </si>
  <si>
    <t>PE-PGRS family protein PE_PGRS57</t>
  </si>
  <si>
    <t>Rv3514, (MTV023.21), len: 1489 aa. PE_PGRS57, Member of the Mycobacterium tuberculosis PE family, PGRS subfamily of gly-rich proteins (see citation below), similar to others from Mycobacterium tuberculosis strains H37Rv and CDC1551 e.g. AAK47971 (1715 aa) FASTA scores: opt: 6940, E(): 0, (67.0% identity in 1713 aa overlap); and upstream O53553|YZ08_MYCTU|Rv3508|MTV023.15 (1901 aa), FASTA scores: opt: 6598,E(): 0, (71.05% identity in 1533 aa overlap). Contains two PS00583 pfkB family of carbohydrate kinases signatures 1.</t>
  </si>
  <si>
    <t>Fatty-acid-CoA ligase FadD19 (fatty-acid-CoA synthetase) (fatty-acid-CoA synthase)</t>
  </si>
  <si>
    <t>Rv3515c, (MTV023.22c), len: 548 aa. fadD19, fatty-acid-CoA synthetase, similar (or with similarity) to many e.g. Q9EXL2|FADD FADD protein from Streptomyces griseus (540 aa), FASTA scores: opt: 1449, E(): 1.5e-81, (46.0% identity in 535 aa overlap); AAB87139|MIG medium chain acyl-CoA synthetase precursor from Mycobacterium avium (550 aa), FASTA scores: opt: 1226, E(): 7.6e-68, (40.7% identity in 543 aa overlap); Q9A7C3|CC1801 putative 4-coumarate--CoA ligase from Caulobacter crescentus (561 aa), FASTA scores: opt: 979, E(): 1.2e-52, (34.05% identity in 531 aa overlap); O28502|AF1772 long-chain-fatty-acid--CoA ligase (FADD-7) from Archaeoglobus fulgidus (569 aa), FASTA scores: opt: 560, E(): 6.9e-27, (29.3% identity in 543 aa overlap); Q9A8N2|CC1321 long-chain-fatty-acid--CoA ligase from Caulobacter crescentus (583 aa), FASTA scores: opt: 544, E(): 6.7e-26, (27.2% identity in 518 aa overlap); P29212|LCFA_ECOLI|FADD|OLDD|B1805 long-chain-fatty-acid--CoA ligase from Escherichia coli strain K12 (561 aa), FASTA scores: opt: 460, E(): 4e-22, (26.3% identity in 567 aa overlap); etc. Contains PS00455 Putative AMP-binding domain signature. Note that upstream MTV023.20c|Rv3513c|fadD18 is identical to C-terminal part of FADD19|Rv3515c|MTV023.22c (probably result of partial gene duplication).</t>
  </si>
  <si>
    <t>Possible enoyl-CoA hydratase EchA19 (enoyl hydrase) (unsaturated acyl-CoA hydratase) (crotonase)</t>
  </si>
  <si>
    <t>Rv3516, (MTV023.23), len: 263 aa. Possible echA19, enoyl-CoA hydratase, similar to other e.g. Q9ZHG2|ECHA1 from Rhodococcus fascians (275 aa) FASTA scores: opt: 613, E(): 6.4e-32, (45.15% identity in 259 aa overlap); P76082|PAAF_ECOLI|B1393 from Escherichia coli strain K12 (255 aa), FASTA scores: opt: 523, E(): 3.3e-26, (33.6% identity in 256 aa overlap); Q9I393|PA1629 from Pseudomonas aeruginosa (261 aa), FASTA scores: opt: 475, E(): 3.8e-23, (36.85% identity in 247 aa overlap); etc. Also similar to many carnitine racemases eg BAB52369|MLL6015 from Rhizobium loti (Mesorhizobium loti) (257 aa), FASTA scores: opt: 546, E(): 1.1e-27, (36.65% identity in 251 aa overlap). Similar to several putative enoyl-CoA hydratases from Mycobacterium tuberculosis, e.g. P96404|ECHA1|Rv0222|MTCY08D5.17 (262 aa), FASTA scores: opt: 630, E(): 5.1e-33, (44.5% identity in 254 aa overlap); and O53783|ECHA5|Rv0675|MTV040.03 (263 aa) FASTA scores: opt: 499, E(): 1.1e-24, (40.5% identity in 252 aa overlap). Could belong to the enoyl-CoA hydratase/isomerase family.</t>
  </si>
  <si>
    <t>Rv3517, (MTV023.24), len: 279 aa. Hypothetical protein, similar to several hypothetical mycobacterial proteins e.g. P71763|Rv1482c|MTCY277.03c from Mycobacterium tuberculosis strain H37Rv (339 aa) (alias AAK45794|MT1529 from Mycobacterium tuberculosis strain CDC1551 (292 aa) but longer) FASTA scores: opt: 1040, E(): 3.7e-60, (59.0% identity in 273 aa overlap); O07396|MAV346 from Mycobacterium avium (346 aa) FASTA scores: opt: 1018, E(): 1e-58, (57.2% identity in 278 aa overlap); O53421|Rv1073|MTV017.26 from Mycobacterium tuberculosis strain H37Rv (283 aa), FASTA scores: opt: 903, E(): 2.4e-51, (48.0% identity in 277 aa overlap); Q50134|U650AG|MLCB57.67c from Mycobacterium leprae (75 aa) FASTA scores: opt: 158, E(): 0.0015, (41.8% identity in 55 aa overlap); etc.</t>
  </si>
  <si>
    <t>cyp142</t>
  </si>
  <si>
    <t>Probable cytochrome P450 monooxygenase 142 Cyp142</t>
  </si>
  <si>
    <t>Rv3518c, (MTV023.25c), len: 398 aa. Probable cyp142, cytochrome P450 monoxygenase, member of Cytochrome P450 family and similar to many e.g. Q9L465|CYP162A1|NIKQ from Streptomyces tendae (396 aa) FASTA scores: opt: 798, E(): 2e-43, (36.7% identity in 403 aa overlap); P33271|CPXK_SACER|CYP107B1 from Saccharopolyspora erythraea (Streptomyces erythraeus) (405 aa), FASTA scores: opt: 725, E(): 9.1e-39, (37.1% identity in 407 aa overlap); Q9X8Q3|CYP107P1|SCH10.14c from Streptomyces coelicolor (411 aa), FASTA scores: opt: 691, E(): 1.3e-36, (37.2% identity in 317 aa overlap); etc. Also similar to Q50696|C124_MYCTU|CYP124|Rv2266|MT2328|MTCY339.44c from Mycobacterium tuberculosis strain H37Rv (428 aa) FASTA scores: opt: 692, E(): 1.2e-36, (36.8% identity in 402 aa overlap). Equivalent to AAK47979 from Mycobacterium tuberculosis strain CDC1551 (372 aa) but longer 26 aa. Contains PS00086 Cytochrome P450 cysteine heme-iron ligand signature. Belongs to the cytochrome P450 family.</t>
  </si>
  <si>
    <t>Rv3519, (MTV023.26), len: 236 aa (start uncertain). Unknown protein. The C-terminal end is highly similar to N-terminal end of AAK47980|MT3620 hypothetical 7.8 KDA protein from Mycobacterium tuberculosis strain CDC1551 (73 aa), FASTA scores: opt: 279, E(): 9.4e-12, (95.65% identity in 46 aa overlap).</t>
  </si>
  <si>
    <t>Possible coenzyme F420-dependent oxidoreductase</t>
  </si>
  <si>
    <t>Rv3520c, (MTV023.27c), len: 347 aa. Possible coenzyme F420-dependent oxidoreductase, equivalent to Q9CCV8|ML0348 possible coenzyme F420-dependent oxidoreductase from Mycobacterium leprae (350 aa), FASTA scores: opt: 2029, E(): 9.1e-120, (86.85% identity in 342 aa overlap). Similar to many coenzyme F420-dependent enzymes (and other proteins) e.g. Q9AD98|SCI52.11c putative ATP/GTP-binding protein from Streptomyces coelicolor (351 aa), FASTA scores: opt: 859, E(): 1.6e-46, (41.9% identity in 346 aa overlap); Q9X7Y1|SC6A5.35 putative oxidoreductase from Streptomyces coelicolor (341 aa), FASTA scores: opt: 800, E(): 7.9e-43, (38.95% identity in 339 aa overlap); Q9ZA30|GRA-ORF29 putative FMN-dependent monooxygenase from Streptomyces violaceoruber (343 aa), FASTA scores: opt: 354, E(): 6.7e-15, (34.2% identity in 336 aa overlap); Q49598|mer coenzyme F420-dependent N5,N10-methylenetetrahydromethanopterin reductase from Methanopyrus kandleri (349 aa), FASTA scores: opt: 283, E(): 1.9e-10, (26.75% identity in 329 aa overlap); Q58929|mer|MJ1534 F420-dependent methylenetetrahydromethanopterin reductase from Methanococcus jannaschii (331 aa), FASTA scores: opt: 227, E(): 5.8e-07, (26.35% identity in 334 aa overlap); O27784|MTH1752 coenzyme F420-dependent N5,N10-methylene tetrahydromethanopterin reductase from Methanobacterium thermoautotrophicum (321 aa), FASTA scores: opt: 207, E(): 1e-05, (27.4% identity in 336 aa overlap); etc. Also similar to Q11030|YD60_MYCTU|Rv1360|MT1405|MTCY02B10.24 hypothetical 37.3 KDA protein from Mycobacterium tuberculosis (340 aa), FASTA scores: opt: 313, E(): 2.5e-12, (28.0% identity in 311 aa overlap).</t>
  </si>
  <si>
    <t>Rv3521, (MTV023.28), len: 303 aa. Conserved hypothetical protein, similar to (although longer than) other conserved hypothetical proteins e.g. O29296|AF0966 from Archaeoglobus fulgidus (176 aa), FASTA scores: opt: 286, E(): 5.4e-11, (31.15% identity in 170 aa overlap); O30036|AF0203 from Archaeoglobus fulgidus (149 aa) FASTA scores: opt: 259, E(): 2.3e-09, (33.8% identity in 142 aa overlap); O29297|AF0965 from Archaeoglobus fulgidus (154 aa), FASTA scores: opt: 241, E(): 3.2e-08, (31.4% identity in 137 aa overlap); Q9Y995|APE2390 from Aeropyrum pernix (157 aa), FASTA scores: opt: 204, E(): 6.8e-06, (27.45% identity in 153 aa overlap); BAB60424|TVG1322512 from Thermoplasma volcanium (164 aa), FASTA scores: opt: 183, E(): 0.00015, (29.75% identity in 148 aa overlap); etc. Equivalent to AAK47982 from Mycobacterium tuberculosis strain CDC1551 (334 aa) but shorter 31 aa.</t>
  </si>
  <si>
    <t>ltp4</t>
  </si>
  <si>
    <t>Function unknown; probably involved in lipid metabolism.</t>
  </si>
  <si>
    <t>Possible lipid transfer protein or keto acyl-CoA thiolase Ltp4</t>
  </si>
  <si>
    <t>Rv3522, (MTV023.29), len: 354 aa. Possible ltp4, lipid carrier protein or keto acyl-CoA thiolase, similar to several e.g. O30103|AF0134 3-ketoacyl-CoA thiolase (ACAB-4) from Archaeoglobus fulgidus (398 aa) FASTA scores: opt: 352, E(): 5.3e-15, (30.45% identity in 381 aa overlap); O29295|AF0967 3-ketoacyl-CoA thiolase (ACAB-9) from Archaeoglobus fulgidus (400 aa) FASTA scores: opt: 312, E(): 1.8e-12, (28.05% identity in 367 aa overlap); O29294|AF0968 3-ketoacyl-CoA thiolase (ACAB-10) from Archaeoglobus fulgidus (388 aa), FASTA scores: opt: 293, E(): 2.9e-11, (25.9% identity in 309 aa overlap); O58409|PH0676 long hypothetical nonspecific lipid-transfer protein (acethyl CoA synthetase) from Pyrococcus horikoshii (389 aa), FASTA scores: opt: 292, E(): 3.3e-11, (25.8% identity in 368 aa overlap); Q9Y9A3|APE2382 long hypothetical non specific lipid-transfer protein from Aeropyrum pernix (360 aa) FASTA scores: opt: 270, E(): 7.8e-10, (27.25% identity in 363 aa overlap); Q9YDI4|APE0929 long hypothetical nonspecific lipid-transfer protein from Aeropyrum pernix (400 aa), FASTA scores: opt: 258, E(): 4.9e-09, (26.45% identity in 306 aa overlap); etc. Contains PS00017 ATP/GTP-binding site motif A (P-loop).</t>
  </si>
  <si>
    <t>ltp3</t>
  </si>
  <si>
    <t>Probable lipid carrier protein or keto acyl-CoA thiolase Ltp3</t>
  </si>
  <si>
    <t>Rv3523, (MTCY03C7.33c), len: 394 aa. Probable ltp3, lipid carrier protein or keto acyl-CoA thiolase, similar to several e.g. O30037|AF0202 3-ketoacyl-CoA thiolase (ACAB-6) from Archaeoglobus fulgidus (380 aa) FASTA scores: opt: 782, E(): 1.7e-40, (38.35% identity in 386 aa overlap); Q9Y9A1|APE2384 long hypothetical non specific lipid-transfer protein (acethyl CoA synthetase) from Aeropyrum pernix (394 aa), FASTA scores: opt: 626, E(): 5.9e-31, (35.75% identity in 386 aa overlap); BAB59210|TVG0067506 lipid transfer protein from Thermoplasma volcanium (390 aa), FASTA scores: opt: 591, E(): 8.1e-29, (34.35% identity in 384 aa overlap); Q9YDI4|APE0929 long hypothetical nonspecific lipid-transfer protein from Aeropyrum pernix (400 aa) FASTA scores: opt: 588, E(): 1.3e-28, (31.6% identity in 408 aa overlap); O30104|AF0133 3-ketoacyl-CoA thiolase (ACAB-3) from Archaeoglobus fulgidus (411 aa) FASTA scores: opt: 583, E(): 2.6e-28, (39.8% identity in 412 aa overlap); O29811|AF0438 3-ketoacyl-CoA thiolase (ACAB-8) from Archaeoglobus fulgidus (387 aa), FASTA scores: opt: 574, E(): 8.8e-28, (30.95% identity in 388 aa overlap); etc.</t>
  </si>
  <si>
    <t>Rv3524, (MTCY03C7.32c), len: 343 aa. Probable conserved membrane protein, showing some similarity to C-terminal part of putative Mycobacterium tuberculosis proteins O05871|P95308|PKND_MYCTU|Rv0931c|MT0958|MTCY08C9.08 serine-threonine protein kinase PknD (664 aa) FASTA scores: opt: 727, E(): 8.3e-36, (45.3% identity in 298 aa overlap); O53893|Rv0980c|MTV044.08c PGRS-family protein (457 aa), FASTA scores: opt: 208, E(): 4.4e-05, (33.75% identity in 166 aa overlap); and O53891|Rv0978c|MTV044.06c PGRS-family protein (331 aa) FASTA scores: opt: 153, E(): 0.062, (30.75% identity in 117 aa overlap). Contains PS00237 G-protein coupled receptors signature.</t>
  </si>
  <si>
    <t>Possible siderophore-binding protein</t>
  </si>
  <si>
    <t>Rv3525c, (MTCY3C7.31), len: 174 aa. Possible siderophore-binding protein, similar to ferripyochelin binding proteins (and related) e.g. Q9RSN5|DR2089 ferripyochelin-binding protein from Deinococcus radiodurans (240 aa), FASTA scores: opt: 472, E(): 3.3e-21, (46.9% identity in 162 aa overlap); O59257|PH1591 long hypothetical ferripyochelin binding protein from Pyrococcus horikoshii (173 aa), FASTA scores: opt: 431, E(): 6.7e-19, (40.0% identity in 170 aa overlap); Q9V158|FBP|PAB0393 ferripyochelin binding protein from Pyrococcus abyssi (173 aa), FASTA scores: opt: 429, E(): 8.9e-19, (39.4% identity in 170 aa overlap); BAB47820|MLR0180 ferripyochelin binding protein-like from Rhizobium loti (Mesorhizobium loti) (175 aa), FASTA scores: opt: 415, E(): 6.1e-18, (42.55% identity in 141 aa overlap); etc.</t>
  </si>
  <si>
    <t>kshA</t>
  </si>
  <si>
    <t>Predicted to be involved in lipid catabolism</t>
  </si>
  <si>
    <t>Oxygenase component of 3-ketosteroid-9-alpha-hydroxylase KshA</t>
  </si>
  <si>
    <t>Rv3526, (MTCY03C7.30c), len: 386 aa. kshA, oxygenase component of 3-ketosteroid-9-alpha-hydroxylase, highly similar, except in C-terminus (also longer 69 aa), to O69348|ORF12 protein (function unknown) from Rhodococcus erythropolis (316 aa) FASTA scores: opt: 1137, E(): 6.9e-65, (59.6% identity in 250 aa overlap). Also some similarity with several aminopyrrolnitrin oxidases (PRND proteins, involved in the pathway for pyrrolnitrin biosynthesis, a secondary metabolite derived from tryptophan which has strong anti-fungal activity) e.g. Q9RPG0|PRND from Myxococcus fulvus (379 aa), FASTA scores: opt: 322, E(): 4.4e-13, (25.85% identity in 352 aa overlap); Q9RPG4|PRND from Burkholderia cepacia (Pseudomonas cepacia) (373 aa) FASTA scores: opt: 306, E(): 4.5e-12, (25.2% identity in 373 aa overlap); P95483|PRND from Pseudomonas fluorescens (363 aa), FASTA scores: opt: 305, E(): 5.1e-12, (25.0% identity in 372 aa overlap); etc. And also some similarity to other putative enzymes like dioxygenases, oxidases, vanillate O-demethyl oxygenase, etc.</t>
  </si>
  <si>
    <t>Rv3527</t>
  </si>
  <si>
    <t>Rv3527, (MTCY03C7.29c), len: 149 aa. Hypothetical unknown protein.</t>
  </si>
  <si>
    <t>Rv3528c, (MTCY03C7.28), len: 237 aa. Unknown protein. This region is a possible MT-complex-specific genomic island (See Becq et al., 2007).</t>
  </si>
  <si>
    <t>Rv3529c, (MTCY03C7.27), len: 384 aa. Conserved hypothetical protein, showing some similarity to Q50695|YM67_MYCTU|Rv2267c|MT2329|MTCY339.43 hypothetical 46.1 KDA protein from Mycobacterium tuberculosis (388 aa) FASTA scores: opt: 261, E(): 1.6e-09, (27.25% identity in 253 aa overlap).</t>
  </si>
  <si>
    <t>Rv3530c, (MTCY03C7.26), len: 260 aa. Possible oxidoreductase, similar to various oxidoreductases and hypothetical proteins e.g. BAB53258|Q987E5|MLL7083 probable oxidoreductase from Rhizobium loti (Mesorhizobium loti) (258 aa), FASTA scores: opt: 405, E(): 5.3e-18, (33.45% identity in 263 aa overlap); Q9VNF3|CG12171 hypothetical protein from Drosophila melanogaster (Fruit fly) (257 aa), FASTA scores: opt: 404, E(): 6.1e-18, (32.8% identity in 256 aa overlap); Q9A3X5|CC3076 oxidoreductase (short-chain dehydrogenase/reductase family) from Caulobacter crescentus (254 aa), FASTA scores: opt: 400, E(): 1.1e-17, (31.0% identity in 255 aa overlap); BAB50080|MLR3115 dehydrogenase from Rhizobium loti (Mesorhizobium loti) (259 aa), FASTA scores: opt: 393, E(): 3e-17, (31.9% identity in 254 aa overlap); Q9F5J1|SIM-NJ1|SIMD2 putative 3-keto-acyl-reductase from Streptomyces antibioticus (273 aa), FASTA scores: opt: 388, E(): 6.3e-17, (31.6% identity in 250 aa overlap); etc.</t>
  </si>
  <si>
    <t>Rv3531c, (MTCY03C7.25), len: 375 aa. Hypothetical unknown protein.</t>
  </si>
  <si>
    <t>PPE family protein PPE61</t>
  </si>
  <si>
    <t>Rv3532, (MTCY03C7.24c), len: 406 aa. PPE61, Member of the Mycobacterium tuberculosis PPE protein family, similar to many, e.g. O53956|Rv1807|MTV049.29 (403 aa), FASTA scores: opt: 954, E(): 1.1e-43, (44.1% identity in 417 aa overlap)</t>
  </si>
  <si>
    <t>PPE62</t>
  </si>
  <si>
    <t>Rv3533c</t>
  </si>
  <si>
    <t>PPE family protein PPE62</t>
  </si>
  <si>
    <t>Rv3533c, (MTCY03C7.23), len: 582 aa. PPE62, Member of the Mycobacterium tuberculosis PPE protein family, similar to many, e.g. O53309|Rv3159c|MTV014.03c (590 aa) FASTA scores: opt: 2289, E(): 2.3e-95, (63.5% identity in 600 aa overlap). Predicted to be an outer membrane protein (See Song et al., 2008).</t>
  </si>
  <si>
    <t>hsaF</t>
  </si>
  <si>
    <t>Supposed involvement in one, or several, catabolic pathways [catalytic activity: 4-hydroxy-2-oxovalerate = pyruvate + acetaldehyde]. Predicted to be involved in lipid catabolism.</t>
  </si>
  <si>
    <t>Probable 4-hydroxy-2-oxovalerate aldolase (HOA)</t>
  </si>
  <si>
    <t>Rv3534c, (MTCY03C7.22), len: 346 aa. Probable hsaF, 4-hydroxy-2-oxovalerate aldolase, highly similar to others e.g. P51015|BPHI_PSESP from Pseudomonas sp. strain LB400 (346 aa), FASTA scores: opt: 1150, E(): 2.3e-61, (51.35% identity in 331 aa overlap); Q52040|BPHX3 from Pseudomonas pseudoalcaligenes (346 aa), FASTA scores: opt: 1147, E(): 3.5e-61, (51.35% identity in 331 aa overlap); P51017|NAHM_PSEPU from Pseudomonas putida (346 aa), FASTA scores: opt: 1145, E(): 4.7e-61, (50.9% identity in 330 aa overlap) (see citation below); P51020|MHPE_ECOLI|MHPF|B0352 from Escherichia coli strain K12 (337 aa), FASTA scores: opt: 1133, E(): 2.4e-60, (52.0% identity in 327 aa overlap); O24833|ATDG from Acinetobacter sp (340 aa), FASTA scores: opt: 1132, E(): 2.7e-60, (50.45% identity in 331 aa overlap); etc. Note that also highly similar to Q9ZI56|NAHM 2-oxo-4-hydroxypentanoate aldolase from Pseudomonas stutzeri (Pseudomonas perfectomarina) (346 aa) FASTA scores: opt: 1168, E(): 2e-62, (51.05% identity in 331 aa overlap) (see citation below).</t>
  </si>
  <si>
    <t>hsaG</t>
  </si>
  <si>
    <t>Supposed involvement in one, or several, catabolic pathways [catalytic activity: acetaldehyde + CoA + NAD(+) = acetyl-CoA + NADH]. Predicted to be involved in lipid catabolism.</t>
  </si>
  <si>
    <t>Probable acetaldehyde dehydrogenase (acetaldehyde dehydrogenase [acetylating])</t>
  </si>
  <si>
    <t>Rv3535c, (MTCY03C7.21), len: 303 aa. Probable hsaG, acetaldehyde dehydrogenase, highly similar to many e.g. BAB62056|TDNI from Pseudomonas putida (302 aa), FASTA scores: opt: 1159, E(): 1.5e-62, (60.45% identity in 301 aa overlap); Q9ZI57|NAHO from Pseudomonas stutzeri (Pseudomonas perfectomarina) (307 aa) FASTA scores: opt: 1151, E(): 4.6e-62, (59.55% identity in 299 aa overlap); Q9F9I4|CDOI from Comamonas sp. JS765 (302 aa) FASTA scores: opt: 1136, E(): 3.6e-61, (60.15% identity in 301 aa overlap); Q51962|NAHO from Pseudomonas putida (307 aa), FASTA scores: opt: 1133, E(): 5.6e-61, (58.55% identity in 299 aa overlap) (see citation below); P77580|MHPF_ECOLI|MHPF|MHPE|B0351 from Escherichia coli strain K12 (316 aa), FASTA scores: opt: 1040, E(): 2.2e-55, (56.85% identity in 306 aa overlap); etc.</t>
  </si>
  <si>
    <t>hsaE</t>
  </si>
  <si>
    <t>Function unknown; probably involved in cellular metabolism. Predicted to be involved in lipid catabolism.</t>
  </si>
  <si>
    <t>Probable hydratase</t>
  </si>
  <si>
    <t>Rv3536c, (MTCY03C7.20), len: 261 aa. Probable hsaE, hydratase, 2-oxo-hepta-3-ene-1,7-dioate hydratase or 2-keto-4-pentenoate hydratase. Indeed, highly similar to many 2-oxo-hepta-3-ene-1,7-dioate hydratases e.g. Q9CKS2|HPAH|PM1534 from Pasteurella multocida (267 aa) FASTA scores: opt: 743, E(): 1.5e-39, (45.5% identity in 266 aa overlap) Q9RZ31|DRA0122 from Deinococcus radiodurans (268 aa), FASTA scores: opt: 709, E(): 2e-37, (45.5% identity in 266 aa overlap); Q9HWQ4|HPCG|PA4127 from Pseudomonas aeruginosa (267 aa), FASTA scores: opt: 703, E(): 4.8e-37, (45.1% identity in 266 aa overlap); Q46982|HPAH|HPCG from Escherichia colis strain ATCC 11105 (267 aa), FASTA scores: opt: 679, E(): 1.6e-35, (41.35% identity in 266 aa overlap); etc. But also highly similar to many 2-keto-4-pentenoate hydratases (2-hydroxypentadienoic acidhydratases) e.g. Q9LAF7|PHED from Bacillus thermoglucosidasius (258 aa), FASTA scores: opt: 698, E(): 9.7e-37, (42.45% identity in 252 aa overlap); Q52442|BPHH from Pseudomonas sp (260 aa) FASTA scores: opt: 675, E(): 2.7e-35, (41.4% identity in 251 aa overlap); P77608|MHPD_ECOLI|B0350 from Escherichia coli strain K12 (269 aa), FASTA scores: opt: 674, E(): 3.2e-35, (42.75% identity in 255 aa overlap); Q52038|BPHX1 from Pseudomonas pseudoalcaligenes (260 aa), FASTA scores: opt: 663, E(): 1.5e-34, (40.6% identity in 251 aa overlap); etc.</t>
  </si>
  <si>
    <t>kstD</t>
  </si>
  <si>
    <t>Rv3537, (MTCY03C7.19c), len: 563 aa. Probable kstD, dehydrogenase, similar to many dehydrogenases or hypothetical proteins e.g. Q9I1M6|PA2243 hypothetical protein from Pseudomonas aeruginosa (577 aa), FASTA scores: opt: 984, E(): 1.2e-48, (34.75% identity in 573 aa overlap); Q06401|3O1D_COMTE 3-oxosteroid 1-dehydrogenase from Comamonas testosteroni (Pseudomonas testosteroni) (573 aa), FASTA scores: opt: 955, E(): 5.5e-47, (33.05% identity in 590 aa overlap); Q9RA02|KSTD1 3-ketosteroid dehydrogenase from Rhodococcus erythropolis (510 aa), FASTA scores: opt: 631, E(): 1.4e-28, (39.15% identity in 557 aa overlap); P77815|KSDD 3-ketosteroid-1-dehydrogenase from Nocardioides simplex (Arthrobacter simplex) (515 aa), FASTA scores: opt: 469, E(): 2.4e-19, (35.45% identity in 564 aa overlap); etc.</t>
  </si>
  <si>
    <t>Rv3538</t>
  </si>
  <si>
    <t>Unknown; probably involved in cellular metabolism. Predicted to be involved in lipid catabolism.</t>
  </si>
  <si>
    <t>Probable dehydrogenase. Possible 2-enoyl acyl-CoA hydratase.</t>
  </si>
  <si>
    <t>Rv3538, (MTCY03C7.18c), len: 286 aa. Probable double hotdog R-specific hydratase, substrate unknown, shows structural similarity to six others in Mycobacterium tuberculosis (see Castell et al (2005) below) especially Rv3389. Probable dehydrogenase, similar to Q9L009|SCC30.12c putative dehydrogenase from Streptomyces coelicolor (333 aa), FASTA scores: opt: 842, E(): 3.6e-44, (48.4% identity in 285 aa overlap); and similar to C-terminal part of other (principally estradiol 17 beta-dehydrogenases/17-beta-hydroxysteroid dehydrogenases) e.g. P70540 peroxisomal multifunctional enzyme type II (SDR family) from Rattus norvegicus (Rat) (735 aa) FASTA scores: opt: 622, E(): 1.9e-30, (37.45% identity in 283 aa overlap); or P70523|MPF-2 multifunctional protein 2 (SDR family) (beta-oxidation protein displaying 2-enoyl-CoA hydratase and D-3-hydroxyacyl-CoA dehydrogenase activity) from Rattus norvegicus (Rat) (734 aa), FASTA scores: opt: 616, E(): 4.3e-30, (37.1% identity in 283 aa overlap); P51659|DHB4_HUMAN|HSD17B4|EDH17B4 estradiol 17 beta-dehydrogenase from Homo sapiens (Human) (736 aa), FASTA scores: opt: 614, E(): 5.7e-30, (35.9% identity in 284 aa overlap); P97852|DHB4_RAT|HSD17B4|EDH17B4 estradiol 17 beta-dehydrogenase from Rattus norvegicus (Rat) (735 aa) FASTA scores: opt: 613, E(): 6.6e-30, (37.1% identity in 283 aa overlap); Q9DBM3|HSD17B4 estradiol 17 beta-dehydrogenase from Mus musculus (Mouse) (735 aa) FASTA scores: opt: 611, E(): 8.7e-30, (36.5% identity in 285 aa overlap); etc. Also similar to Q11198|Rv3389c|MTV004.47c hypothetical 30.3 KDA protein from Mycobacterium tuberculosis (290 aa), FASTA scores: opt: 609, E(): 5.3e-30, (39.65% identity in 285 aa overlap). Note that previously known as ufaA2.</t>
  </si>
  <si>
    <t>PPE family protein PPE63</t>
  </si>
  <si>
    <t>Rv3539, (MTCY03C7.17c), len: 479 aa. PPE63, Member of the Mycobacterium tuberculosis PPE protein family, similar to many e.g. O53949|Rv1800|MTV049.22 (655 aa), FASTA scores: opt: 914, E(): 7.3e-47, (37.55% identity in 490 aa overlap); etc.</t>
  </si>
  <si>
    <t>Function unknown, supposed involvement in lipid metabolism.</t>
  </si>
  <si>
    <t>Probable lipid transfer protein or keto acyl-CoA thiolase Ltp2</t>
  </si>
  <si>
    <t>Rv3540c, (MTCY03C7.16), len: 386 aa. Probable ltp2, lipid-transfer protein or keto acyl-CoA thiolase, similar to several e.g. Q9X4X2|DITF DITF protein (hypothetical protein, similar to non-specific lipid-transfer protein and 3-ketoacyl-CoA thiolase) from Pseudomonas abietaniphila (397 aa), FASTA scores: opt: 665, E(): 5.3e-34, (33.4% identity in 392 aa overlap); O30255|AF2416 3-ketoacyl-CoA thiolase (ACAB-12) from Archaeoglobus fulgidus (384 aa), FASTA scores: opt: 496, E(): 1.6e-23, (30.35% identity in 389 aa overlap); O28978|AF1291 3-ketoacyl-CoA thiolase (ACAB-11) from Archaeoglobus fulgidus (392 aa), FASTA scores: opt: 494, E(): 2.2e-23, (30.6% identity in 379 aa overlap); O26884|MTH793 lipid-transfer protein (sterol or nonspecific) from Methanobacterium thermoautotrophicum (383 aa), FASTA scores: opt: 487, E(): 5.9e-23, (30.4% identity in 388 aa overlap); etc.</t>
  </si>
  <si>
    <t>Rv3541c</t>
  </si>
  <si>
    <t>Rv3541c, (MTCY03C7.15), len: 129 aa. Conserved protein, showing some similarity to Q9CBJ7|ML1909 hypothetical protein from Mycobacterium leprae (142 aa) FASTA scores: opt: 110, E(): 1.2, (27.95% identity in 118 aa overlap); and other (see also blastp results) e.g. Q9L0M3|SCD82.08 hypothetical 15.2 KDA protein from Streptomyces coelicolor (142 aa), FASTA scores: opt: 127, E(): 0.086, (27.65% identity in 123 aa overlap). Contains PS00075 Dihydrofolate reductase signature.</t>
  </si>
  <si>
    <t>Rv3542c, (MTCY03C7.14), len: 311 aa. Hypothetical protein, showing some similarity to other e.g. Q58947|MJ1552 from Methanococcus jannaschii (141 aa) FASTA scores: opt: 177, E(): 0.00065, (46.65% identity in 60 aa overlap); BAB59276|TVG0142586 from Thermoplasma volcanium (135 aa), FASTA scores: opt: 175, E(): 0.00083, (35.65% identity in 87 aa overlap); Q9HI85|TA1457 from Thermoplasma acidophilum (135 aa), FASTA scores: opt: 162, E(): 0.0052, (31.8% identity in 107 aa overlap); etc.</t>
  </si>
  <si>
    <t>Probable acyl-CoA dehydrogenase FadE29</t>
  </si>
  <si>
    <t>Rv3543c, (MTCY03C7.13), len: 387 aa. Probable fadE29, acyl-CoA dehydrogenase, similar to many e.g. Q9A8P3|CC1310 from Caulobacter crescentus (404 aa), FASTA scores: opt: 624, E(): 9.4e-32, (32.75% identity in 400 aa overlap); Q9I4V2|PA1022 from Pseudomonas aeruginosa (381 aa), FASTA scores: opt: 550, E(): 3.9e-27, (33.7% identity in 350 aa overlap); O28976|AF1293 from Archaeoglobus fulgidus (384 aa), FASTA scores: opt: 529, E(): 8.1e-26, (30.0% identity in 393 aa overlap); etc. Also similar to other from Mycobacterium tuberculosis e.g. O53549|FADE26|Rv3504|MTV023.11 (400 aa), FASTA scores: opt: 1031, E(): 2.8e-57, (46.0% identity in 402 aa overlap). Could belong to the acyl-CoA dehydrogenases family.</t>
  </si>
  <si>
    <t>Probable acyl-CoA dehydrogenase FadE28</t>
  </si>
  <si>
    <t>Rv3544c, (MTCY03C7.12), len: 339 aa. Probable fadE28, acyl-CoA dehydrogenase, similar to many e.g. Q9RJX3|SCF37.28c from Streptomyces coelicolor (362 aa), FASTA scores: opt: 334, E(): 5.1e-13, (27.65% identity in 329 aa overlap); Q9A5G8|CC2479 from Caulobacter crescentus (344 aa), FASTA scores: opt: 278, E(): 1.2e-09, (26.95% identity in 319 aa overlap); O29813|AF0436 from Archaeoglobus fulgidus (382 aa) FASTA scores: opt: 205, E(): 3.5e-05, (24.75% identity in 384 aa overlap); etc. Also similar to other from Mycobacterium tuberculosis e.g. O53550|FADE27|Rv3505|MTV023.12 (373 aa) FASTA scores: opt: 497, E(): 7e-23, (30.3% identity in 343 aa overlap); and to P46703|ACDP_MYCLE|FADE25|ACD|ML0737|B1308_F1_34 probable acyl-CoA dehydrogenase from Mycobacterium leprae (389 aa) FASTA scores: opt: 165, E(): 0.0012, (25.2% identity in 345 aa overlap). Could belong to the acyl-CoA dehydrogenases family.</t>
  </si>
  <si>
    <t>Probable cytochrome P450 125 Cyp125</t>
  </si>
  <si>
    <t>Rv3545c, (MT3649, MTCY03C7.11), len: 433 aa. Probable cyp125, cytochrome P-450, similar to others e.g. Q59723|LINC|CYP111 from Pseudomonas incognita (406 aa), FASTA scores: opt: 831, E(): 8e-45, (34.75% identity in 406 aa overlap); Q9X8Q3|CYP107P1|SCH10.14c from Streptomyces coelicolor (411 aa), FASTA scores: opt: 694, E(): 3.3e-36, (32.35% identity in 417 aa overlap); Q9L465|CYP162A1|NIKQ from Streptomyces tendae (396 aa) FASTA scores: opt: 664, E(): 2.5e-34, (34.15% identity in 413 aa overlap); O08469|CPXY_BACSU|CYPA|CYP107J1 from Bacillus subtilis (410 aa), FASTA scores: opt: 579, E(): 5.6e-29, (30.05% identity in 366 aa overlap); etc. Also similar to other from Mycobacterium tuberculosis e.g. Q50696|CYP124|Rv2266|MT2328|MTCY339.44c (428 aa) FASTA scores: opt: 1040, E(): 6.1e-58, (40.75% identity in 432 aa overlap). Belongs to the cytochrome P450 family.</t>
  </si>
  <si>
    <t>Probable acetyl-CoA acetyltransferase FadA5 (acetoacetyl-CoA thiolase)</t>
  </si>
  <si>
    <t>Rv3546, (MTCY03C7.10c), len: 391 aa. Probable fadA5, acetyl-CoA acetyltransferase, similar to many e.g. Q9AA29|CC0779 from Caulobacter crescentus (390 aa), FASTA scores: opt: 999, E(): 7.1e-54, (43.5% identity in 400 aa overlap); Q9K783|BH3487 from Bacillus halodurans (393 aa), FASTA scores: opt: 843, E(): 2.6e-44, (37.45% identity in 398 aa overlap); Q9RRK9|DR2480 from Deinococcus radiodurans (399 aa), FASTA scores: opt: 826, E(): 2.8e-43, (38.15% identity in 396 aa overlap); P45369|THIL_CHRVI|PHBA from Chromatium vinosum (394 aa) FASTA scores: opt: 790, E(): 4.5e-41, (39.4% identity in 401 aa overlap); etc. Contains PS00737 Thiolases signature 2. Belongs to the thiolase family.</t>
  </si>
  <si>
    <t>ddn</t>
  </si>
  <si>
    <t>Function unknown. Converts bicyclic nitroimidazole drug candidate pa-824 to three metabolites, generating NO.</t>
  </si>
  <si>
    <t>Deazaflavin-dependent nitroreductase Ddn</t>
  </si>
  <si>
    <t>Rv3547, (MTCY03C7.09c), len: 151 aa. Ddn, deazaflavin-dependent nitroreducatse (See Singh et al., 2008). Similar to hypothetical proteins e.g. O85698|3SCF60.07 from Streptomyces lividans and Streptomyces coelicolor (149 aa), FASTA scores: opt: 353, E(): 6.3e-17, (42.55% identity in 134 aa overlap); Q9WX21|SCE68.11 from Streptomyces coelicolor (305 aa) FASTA scores: opt: 290, E(): 2.1e-12, (38.5% identity in 122 aa overlap) (similarity in N-terminus for this protein); BAB52932|Q988L5|MLL6688 from Rhizobium loti (Mesorhizobium loti) (148 aa), FASTA scores: opt: 105, E(): 3, (26.75% identity in 86 aa overlap). Also similar to mycobacterial hypothetical proteins e.g. Q9ZH81 from Mycobacterium paratuberculosis (144 aa), FASTA scores: opt: 366, E(): 8.2e-18, (43.9% identity in 123 aa overlap); and Q10772|YF58_MYCTU|Rv1558|MT1609|MTCY48.07c from Mycobacterium tuberculosis (148 aa), FASTA scores: opt: 330, E(): 2.2e-15, (39.75% identity in 151 aa overlap); etc. Predicted to be an outer membrane protein (See Song et al., 2008).</t>
  </si>
  <si>
    <t>Function unknown; supposed involvement in cellular metabolism.</t>
  </si>
  <si>
    <t>Rv3548c, (MTCY03C7.08), len: 304 aa. Probable short-chain dehydrogenase/reductase, highly similar to various dehydrogenases/reductases (generally belonging to the SDR family) e.g. Q9I4V1|PA1023 from Pseudomonas aeruginosa (305 aa), FASTA scores: opt: 446, E(): 1.7e-17, (43.75% identity in 256 aa overlap); Q9A6K0|CC2093 from Caulobacter crescentus (301 aa) FASTA scores: opt: 437, E(): 5.3e-17, (42.8% identity in 257 aa overlap); Q9HYH8|PA3427 from Pseudomonas aeruginosa (303 aa), FASTA scores: opt: 399, E(): 6.5e-15, (45.5% identity in 257 aa overlap); Q9VXJ0|CG3415 from Drosophila melanogaster (Fruit fly) (598 aa), FASTA scores: opt: 402, E(): 7.5e-15, (40.7% identity in 285 aa overlap); etc. Also highly similar to O53547|Rv3502c|MTV023.09c putative short-chain type dehydrogenase/reductase from (317 aa) FASTA scores: opt: 739, E(): 1.6e-33, (45.15% identity in 310 aa overlap); and other proteins from Mycobacterium tuberculosis. Contains PS00061 Short-chain alcohol dehydrogenase family signature. Belongs to the short-chain dehydrogenases/reductases (SDR) family.</t>
  </si>
  <si>
    <t>Rv3549c, (MTCY03C7.07), len: 259 aa. Probable short-chain dehydrogenase/reductase, similar to various dehydrogenases/reductases (generally belong to the SDR family) e.g. Q9UKU3 from Homo sapiens (Human) (270 aa), FASTA scores: opt: 451, E(): 4.8e-21, (38.05% identity in 247 aa overlap); Q9S274|SCI28.09c from Streptomyces coelicolor (234 aa), FASTA scores: opt: 439, E(): 2.4e-20, (36.8% identity in 231 aa overlap); Q9PFI6|XF0671 from Xylella fastidiosa (247 aa), FASTA scores: opt: 437, E(): 3.4e-20, (37.7% identity in 252 aa overlap); etc. Also highly similar to O33308|FABG5|Rv2766c|MTV002.31c alcohol dehydrogenase (SDR family) from Mycobacterium tuberculosis (260 aa), FASTA scores: opt: 504, E(): 2.3e-24, (38.5% identity in 244 aa overlap). Contains PS00061 Short-chain alcohol dehydrogenase family signature. Belongs to the short-chain dehydrogenases/reductases (SDR) family.</t>
  </si>
  <si>
    <t>Probable enoyl-CoA hydratase EchA20 (enoyl hydrase) (unsaturated acyl-CoA hydratase) (crotonase)</t>
  </si>
  <si>
    <t>Rv3550, (MTCY03C7.06c), len: 247 aa. Probable echA20, enoyl-CoA hydratase, similar to others e.g. Q9A7B0|CC1814 from Caulobacter crescentus (275 aa), FASTA scores: opt: 488, E(): 3.5e-24, (36.4% identity in 239 aa overlap); O84978|PHAA from Pseudomonas putida (293 aa), FASTA scores: opt: 383, E(): 2e-17, (33.85% identity in 254 aa overlap); BAB48479|Q98LI4|MLL1009 from Rhizobium loti (Mesorhizobium loti) (258 aa), FASTA scores: opt: 378, E(): 3.8e-17, (21.45% identity in 231 aa overlap); etc. Could belong to the enoyl-CoA hydratase/isomerase family.</t>
  </si>
  <si>
    <t>Function unknown. Probable subunit of a CoA-transferase composed of Rv3551|MTCY03C7.05c and Rv3552|MTCY03C7.03c.</t>
  </si>
  <si>
    <t>Possible CoA-transferase (alpha subunit)</t>
  </si>
  <si>
    <t>Rv3551, (MTCY03C7.05c), len: 292 aa. Possible CoA-transferase, alpha subunit, similar in part to other CoA-transferases e.g. Q59111|GCTA_ACIFE|GCTA glutaconate CoA-transferase subunit A (GCT large subunit) from Acidaminococcus fermentans (319 aa) FASTA scores: opt: 247, E(): 6.3e-09, (27.35% identity in 307 aa overlap); Q9XD83|PCAI from Streptomyces sp. 2065 (251 aa), FASTA scores: opt: 222, E(): 2.3e-07, (27.55% identity in 243 aa overlap); BAB50895|MLL4183 from Rhizobium loti (Mesorhizobium loti) (285 aa), FASTA scores: opt: 206, E(): 2.8e-06, (27.4% identity in 281 aa overlap); etc. Also some similarity with O06167|SCOA_MYCTU|RVv504c|MT2579|MTCY07A7.10c probable succinyl-CoA:3-ketoacid-coenzyme A transferase subunit A from Mycobacterium tuberculosis (248 aa), FASTA scores: opt: 210, E(): 1.4e-06, (25.5% identity in 247 aa overlap). Belongs to the glutaconate CoA-transferase subunit A family. Note that this putative protein may combine with the putative protein encoded by the downstream ORF Rv3552 to form a CoA-transferase that comprises two subunits.</t>
  </si>
  <si>
    <t>Possible CoA-transferase (beta subunit)</t>
  </si>
  <si>
    <t>Rv3552, (MTCY03C7.03c), len: 250 aa. Possible CoA-transferase, beta subunit, similar in part to other CoA-transferases e.g. Q9I6R1|PA0227 from Pseudomonas aeruginosa (260 aa), FASTA scores: opt: 233, E(): 8.6e-08, (24.8% identity in 238 aa overlap); BAB50894|MLL4181 from Rhizobium loti (Mesorhizobium loti) (264 aa), FASTA scores: opt: 210, E(): 2.6e-06, (24.15% identity in 203 aa overlap); and AAK41345|Q97Z51|GCTB from Sulfolobus solfataricus (245 aa), FASTA scores: opt: 122, E(): 1.1, (25.5% identity in 243 aa overlap). Possibly belongs to the glutaconate CoA-transferase subunit B family. Note that this putative protein may combine with the putative protein encoded by the upstream ORF Rv3551 to form a CoA-transferase that comprises two subunits.</t>
  </si>
  <si>
    <t>Rv3553, (MTCY03C7.02c), len: 355 aa. Possible oxidoreductase, highly similar (except in C-terminus) to Q9A327|CC3379 hypothetical protein from Caulobacter crescentus (321 aa), FASTA scores: opt: 639, E(): 4.6e-29, (46.35% identity in 248 aa overlap); and Q9WZQ7|TM0800 conserved hypothetical protein from Thermotoga maritima (314 aa), FASTA scores: opt: 622, E(): 4.1e-28, (37.95% identity in 340 aa overlap). Also similar to two trans-2-enoyl-ACP reductases; Q99YD4|FABK|SPY1751 from Streptococcus pyogenes (323 aa), FASTA scores: opt: 604, E(): 4.4e-27, (33.25% identity in 346 aa overlap); and Q9FBC5|FABK from Streptococcus pneumoniae (324 aa), FASTA scores: opt: 553, E(): 3.3e-24, (32.1% identity in 346 aa overlap); and similar with several 2-nitropropane dioxygenases, e.g. Q9F7P8 from uncultured proteobacterium EBAC31A08 (322 aa), FASTA scores: opt: 505, E(): 1.7e-21, (33.6% identity in 348 aa overlap); Q9FMG0 (alias AAK44141) from Arabidopsis thaliana (Mouse-ear cress) (333 aa), FASTA scores: opt: 489, E(): 1.4e-20, (33.15% identity in 341 aa overlap); O28109|AF2173 (NCD2) from Archaeoglobus fulgidus (274 aa), FASTA scores: opt: 456, E(): 8.9e-19, (36.3% identity in 237 aa overlap); etc.</t>
  </si>
  <si>
    <t>Function unknown; C-terminus probably involved in electron transfer in one or several metabolic reactions.</t>
  </si>
  <si>
    <t>Possible electron transfer protein FdxB</t>
  </si>
  <si>
    <t>Rv3554, (MTCY06G11.01, MTCY03C7.01c), len: 685 aa. Possible fdxB, two-domain protein, with ferredoxin reductase electron transfer component in C-terminal part and unknown function in N-terminal part. Indeed, N-terminal end is similar to O85832 hypothetical 36.1 KDA protein from Sphingomonas aromaticivorans strain F199 (catabolic plasmid pNL1) (309 aa), FASTA scores: opt: 615, E(): 2.5e-30, (33.1% identity in 311 aa overlap); and P73428|SLL1468 hypothetical 36.2 KDA protein from Synechocystis sp. strain PCC 6803 (312 aa), FASTA scores: opt: 317, E(): 4.5e-12, (30.2% identity in 268 aa overlap). And C-terminal end is similar to Q9F9U6|PAAE protein involved in aerobic phenylacetate metabolism from Azoarcus evansii (360 aa), FASTA scores: opt: 935, E(): 7e-50, (43.85% identity in 351 aa overlap); CAC44653|PAAE|SCBAC17A6.08 putative phenylacetic acid degradation NADH oxidoreductase from Streptomyces coelicolor (368 aa), FASTA scores: opt: 93, E(): 9.5e-50, (41.95% identity in 372 aa overlap); Q9FA57|PACI ferredoxin from Azoarcus evansii (360 aa), FASTA scores: opt: 925, E(): 2.9e-49, (43.3% identity in 351 aa overlap); P76081|PAAE_ECOLI|B1392 probable phenylacetic acid degradation NADH oxidoreductase from Escherichia coli strains K12 and W (356 aa), FASTA scores: opt: 910, E(): 2.4e-48, (43.05% identity in 353 aa overlap); Q9APJ6|PAAE electron transfer protein (fragment) from Hyphomicrobium chloromethanicum (241 aa), FASTA scores: opt: 404, E(): 1.7e-17, (35.45% identity in 234 aa overlap); BAB51608|MLL5100 ferredoxin from Rhizobium loti (Mesorhizobium loti) (365 aa), FASTA scores: opt: 316, E(): 5.8e-12, (28.95% identity in 349 aa overlap); etc. C-terminus also similar to P96853|Rv3571|MTCY06G11.18 putative electron transfer protein from Mycobacterium tuberculosis (358 aa), FASTA scores: opt: 450, E(): 3.6e-20, (32.95% identity in 358 aa overlap). Contains PS00197 2Fe-2S ferredoxins, iron-sulfur binding region signature. Belongs to the 2FE2S plant-type ferredoxin family. Cofactor: binds a 2FE-2S cluster (by similarity).</t>
  </si>
  <si>
    <t>Rv3555c, (MTCY06G11.02c), len: 289 aa. Conserved protein, highly similar to others from Mycobacterium tuberculosis e.g. O53562|AL022022|Rv3517|MTV023.24 (279 aa), FASTA scores: opt: 874, E(): 8.3e-48, (49.45% identity in 275 aa overlap); P71763|Rv1482c|MTCY277.03c (339 aa), FASTA scores: opt: 755, E(): 3e-40, (45.75% identity in 260 aa overlap); O69681|Rv3714c|MTV025.062c (296 aa), FASTA scores: opt: 733, E(): 6.4e-39, (44.1% identity in 281 aa overlap); etc. Also highly similar to other mycobacterial hypothetical proteins e.g. O07396|MAV346 from Mycobacterium avium (346 aa), FASTA scores: opt: 714, E(): 1.1e-37, (44.6% identity in 260 aa overlap); and Q50134|U650AG|MLCB57.67c from Mycobacterium leprae (75 aa), FASTA scores: opt: 130, E(): 0.17, (35.1% identity in 57 aa overlap) (only partial homology with this protein). Shows some similarity to P52392|NHSR_STRAS putative nosiheptide resistance regulatory protein (ORF699) from Streptomyces actuosus (233 aa), FASTA scores: opt: 120, E(): 1.9, (25.25% identity in 194 aa overlap).</t>
  </si>
  <si>
    <t>Probable acetyl-CoA acetyltransferase FadA6 (acetoacetyl-CoA thiolase)</t>
  </si>
  <si>
    <t>Rv3556c, (MTCY06G11.03), len: 386 aa. Probable fadA6, acetyl-CoA acetyltransferase, similar to many e.g. Q9K409|2SCG61.06c from Streptomyces coelicolor (389 aa), FASTA scores: opt: 1091, E(): 2.9e-58, (48.1% identity in 399 aa overlap); Q9AAT4|CC0510 from Caulobacter crescentus (391 aa), FASTA scores: opt: 902, E(): 6.6e-47, (40.25% identity in 395 aa overlap); P45359|THL_CLOAB from Clostridium acetobutylicum (392 aa), FASTA scores: opt: 872, E(): 4.2e-45, (37.9% identity in 396 aa overlap); Q9I2A8|ATOB|PA2001 from Pseudomonas aeruginosa (393 aa), FASTA scores: opt: 872, E(): 4.2e-45, (41.3% identity in 397 aa overlap); etc. Contains PS00737 Thiolases signature 2. Belongs to the thiolase family.</t>
  </si>
  <si>
    <t>Transcriptional regulatory protein (probably TetR-family)</t>
  </si>
  <si>
    <t>Rv3557c, (MTCY06G11.04c), len: 200 aa. Transcriptional regulator, TetR family, similar to other e.g. Q9RRV9|DR2376 from Deinococcus radiodurans (197 aa) FASTA scores: opt: 326, E(): 2.3e-14, (31.2% identity in 189 aa overlap); Q9HZW2|PA2885 from Pseudomonas aeruginosa (198 aa), FASTA scores: opt: 308, E(): 3.5e-13, (31.55% identity in 187 aa overlap); Q9RFR4 from Pseudomonas fluorescens (207 aa), FASTA scores: opt: 291, E(): 4.7e-12, (29.75% identity in 195 aa overlap); Q9K8P5|BH2958 from Bacillus halodurans (215 aa), FASTA scores: opt: 271, E(): 9.9e-11, (23.95% identity in 192 aa overlap); etc. Also similar to proteins from Mycobacterium tuberculosis e.g. O53641|Rv0158|MTV032.01 (214 aa), FASTA scores: opt: 232, E(): 3.5e-08, (25.5% identity in 192 aa overlap); and O06169|Rv2506|MTCY07A7.12 (215 aa), FASTA scores: opt: 215, E(): 4.5e-07, (35.15% identity in 148 aa overlap); etc. Seems to belong to the TetR/AcrR family of transcriptional regulators.</t>
  </si>
  <si>
    <t>PPE family protein PPE64</t>
  </si>
  <si>
    <t>Rv3558, (MTCY06G11.05), len: 552 aa. PPE64, Member of the Mycobacterium tuberculosis PPE family of glycine-rich proteins, similar to many e.g. P71868|Rv3533c|MTCY03C7.23 (582 aa), FASTA scores: opt: 1908, E(): 1.7e-83, (58.5% identity in 583 aa overlap). Predicted to be an outer membrane protein (See Song et al., 2008).</t>
  </si>
  <si>
    <t>Rv3559c, (MTCY06G11.06c), len: 262 aa. Probable oxidoreductase, similar to various oxidoreductases e.g. Q9F5J1|SIM-NJ1|SIMD2 putative 3-keto-acyl-reductase (SDR family) from Streptomyces antibioticus (273 aa), FASTA scores: opt: 510, E(): 2.8e-24, (40.15% identity in 249 aa overlap);Q9L2C9|SC7A8.29 putative dehydrogenase from Streptomyces coelicolor (255 aa), FASTA scores: opt: 500, E(): 1.1e-23, (41.4% identity in 239 aa overlap); Q9HQ41|FABG|VNG1341G 3-oxoacyl-[acyl-carrier-protein] reductase from Halobacterium sp. strain NRC-1 (255 aa) FASTA scores: opt: 500, E(): 1.1e-23, (40.0% identity in 250 aa overlap); etc. Also similar to oxidoreductases from Mycobacterium tuberculosis eg Q11020|YD50_MYCTU|FABG2|Rv1350|MT1393|MTCY02B10.14 putative oxidoreductase (247 aa), FASTA scores: opt: 497, E(): 1.6e-23, (39.2% identity in 245 aa overlap).</t>
  </si>
  <si>
    <t>Probable acyl-CoA dehydrogenase FadE30</t>
  </si>
  <si>
    <t>Rv3560c, (MTCY06G11.07c), len: 385 aa. Probable fadE30, acyl-CoA dehydrogenase, similar to many e.g. Q9I4V2|PA1022 from Pseudomonas aeruginosa (381 aa), FASTA scores: opt: 845, E(): 1.6e-47, (39.2% identity in 388 aa overlap); Q9A5G9|CC2478 from Caulobacter crescentus (407 aa), FASTA scores: opt: 734, E(): 2.8e-40, (35.5% identity in 386 aa overlap); Q9RJX2|SCF37.29c from Streptomyces coelicolor (393 aa), FASTA scores: opt: 656, E(): 3.2e-35, (37.9% identity in 351 aa overlap); etc. Also similar to acyl-CoA dehydrogenases from Mycobacterium tuberculosis e.g. P95280|FADE17|Rv1934c|MTCY09F9.30 (409 aa), FASTA scores: opt: 939, E(): 1.4e-53, (43.8% identity in 404 aa overlap). Could belong to the acyl-CoA dehydrogenases family.</t>
  </si>
  <si>
    <t>Probable fatty-acid-CoA ligase FadD3 (fatty-acid-CoA synthetase) (fatty-acid-CoA synthase)</t>
  </si>
  <si>
    <t>Rv3561, (MTCY06G11.08), len: 507 aa. Probable fadD3, fatty-acid-CoA synthetase, similar to many substrate-CoA symthetases/ligases e.g. Q9KBC2|BH2006 long-chain acyl-CoA synthetase from Bacillus halodurans (513 aa), FASTA scores: opt: 821, E(): 1.6e-43, (32.9% identity in 517 aa overlap); Q9EY88|FCS feruloyl-CoA synthetase from Amycolatopsis sp. HR167 (491 aa) FASTA scores: opt: 767, E(): 3.5e-40, (37.65% identity in 502 aa overlap); Q9ZIP5|MATB malonyl CoA synthetase from Rhizobium leguminosarum (504 aa), FASTA scores: opt: 758, E(): 1.3e-39, (33.7% identity in 472 aa overlap); Q9CD27|FADD2|ML2546 acyl-CoA synthase from Mycobacterium leprae (548 aa), FASTA scores: opt: 700, E(): 5.6e-36, (31.85% identity in 515 aa overlap); P29212|LCFA_ECOLI|FADD|OLDD|B1805 long-chain-fatty-acid--CoA ligase from Escherichia coli strain K12 (561 aa), FASTA scores: opt: 532, E(): 6.3e-28, (30.0% identity in 533 aa overlap); etc. Also similar to other from Mycobacterium tuberculosis eg O53306|FADD13|Rv3089|MTV013.10 (503 aa), FASTA scores: opt: 819, E(): 2.1e-43, (35.1% identity in 490 aa overlap). Contains PS00455 Putative AMP-binding domain signature.</t>
  </si>
  <si>
    <t>Probable acyl-CoA dehydrogenase FadE31</t>
  </si>
  <si>
    <t>Rv3562, (MTCY06G11.09), len: 377 aa. Probable fadE31, acyl-CoA dehydrogenase, similar to many e.g. Q9RJX2|SCF37.29c from Streptomyces coelicolor (393 aa), FASTA scores: opt: 657, E(): 1.7e-34, (36.45% identity in 351 aa overlap); Q9A5G9|CC2478 from Caulobacter crescentus (407 aa), FASTA scores: opt: 653, E(): 3.2e-34, (33.95% identity in 392 aa overlap); Q9EX72|MLHC from Rhodococcus erythropolis (324 aa) FASTA scores: opt: 631, E(): 6.5e-33, (36.95% identity in 330 aa overlap); P45867|ACDA_BACSU|ACD from Bacillus subtilis (379 aa), FASTA scores: opt: 347, E(): 1e-15, (28.6% identity in 385 aa overlap); etc. Also similar to other from Mycobacterium tuberculosis e.g. P96842|FADE30|Rv3560c|MTCY06G11.07c (385 aa), FASTA scores: opt: 843, E(): 2.3e-46, (38.95% identity in 380 aa overlap). Could belong to the acyl-CoA dehydrogenases family.</t>
  </si>
  <si>
    <t>Probable acyl-CoA dehydrogenase FadE32</t>
  </si>
  <si>
    <t>Rv3563, (MTCY06G11.10), len: 319 aa. Probable fadE32, acyl-CoA dehydrogenase, similar to many e.g. Q9I4V4|PA1020 from Pseudomonas aeruginosa (370 aa), FASTA scores: opt: 347, E(): 7.6e-14, (35.15% identity in 333 aa overlap); Q9RJX3|SCF37.28c from Streptomyces coelicolor (362 aa), FASTA scores: opt: 300, E(): 5.3e-11, (32.4% identity in 349 aa overlap); Q9A5G8|CC2479 from Caulobacter crescentus (344 aa), FASTA scores: opt: 285, E(): 4.1e-10, (30.4% identity in 329 aa overlap); P45857|ACDB_BACSU|MMGC from Bacillus subtilis (379 aa), FASTA scores: opt: 230, E(): 1.1e-07, (25.5% identity in 357 aa overlap); etc. Also similar to other from Mycobacterium tuberculosis eg P96846|FADE33|Rv3564|MTCY06G11.11 (318 aa), FASTA scores: opt: 478, E(): 7.6e-22, (32.9% identity in 292 aa overlap). Could belong to the acyl-CoA dehydrogenases family.</t>
  </si>
  <si>
    <t>fadE33</t>
  </si>
  <si>
    <t>Rv3564</t>
  </si>
  <si>
    <t>Probable acyl-CoA dehydrogenase FadE33</t>
  </si>
  <si>
    <t>Rv3564, (MTCY06G11.11), len: 318 aa. Probable fadE33, acyl-CoA dehydrogenase, similar to others e.g. Q9A5G8|CC2479 from Caulobacter crescentus (344 aa), FASTA scores: opt: 373, E(): 1.9e-15, (34.3% identity in 338 aa overlap); Q9I4V4|PA1020 from Pseudomonas aeruginosa (370 aa), FASTA scores: opt: 277, E(): 1.4e-09, (31.95% identity in 335 aa overlap); Q9X7Y6|SC6A5.40c from Streptomyces coelicolor (395 aa), FASTA scores: opt: 273, E(): 2.5e-09, (30.1% identity in 352 aa overlap); P45857|ACDB_BACSU|MMGC from Bacillus subtilis (379 aa), FASTA scores: opt: 478, E(): 7.9e-22, (32.9% identity in 292 aa overlap); etc. Also similar to others from Mycobacterium tuberculosis e.g. P96845|FADE32|Rv3563|MTCY06G11.10 (319 aa), FASTA scores: opt: 478, E(): 7.9e-22, (32.9% identity in 292 aa overlap). Could belong to the acyl-CoA dehydrogenases family.</t>
  </si>
  <si>
    <t>Thought to be involved in glutamate biosynthesis [catalytic activity: L-aspartate + 2-oxoglutarate = oxaloacetate + L-glutamate].</t>
  </si>
  <si>
    <t>Possible aspartate aminotransferase AspB (transaminase A) (ASPAT) (glutamic--oxaloacetic transaminase) (glutamic--aspartic transaminase)</t>
  </si>
  <si>
    <t>Rv3565, (MTCY06G11.12), len: 388 aa. Possible aspB, aspartate aminotransferase, similar to many e.g. Q9A5J2|CC2455 aminotransferase class I from Caulobacter crescentus (381 aa), FASTA scores: opt: 1112, E(): 1e-61, (45.85% identity in 384 aa overlap); Q9HV76|PA4722 probable aminotransferase from Pseudomonas aeruginosa (390 aa), FASTA scores: opt: 863, E(): 3.1e-46, (37.2% identity in 390 aa overlap); Q9RWP3|DR0623 aspartate aminotransferase from Deinococcus radiodurans (388 aa), FASTA scores: opt: 713, E(): 6.3e-37, (35.5% identity in 383 aa overlap); Q9HQK2|ASPC2|VNG1121G aspartate aminotransferase from Halobacterium sp. strain NRC-1 (391 aa), FASTA scores: opt: 710, E(): 9.8e-37, (34.45% identity in 380 aa overlap); O33822|AAT_THEAQ|ASPC aspartate aminotransferase from Thermus aquaticus (383 aa), FASTA scores: opt: 695, E(): 8.2e-36, (35.1% identity in 376 aa overlap); etc. Contains PS00105 Aminotransferases class-I pyridoxal-phosphate attachment site. Belongs to class-I of pyridoxal-phosphate-dependent aminotransferases. Cofactor: pyridoxal phosphate (by similarity).</t>
  </si>
  <si>
    <t>Rv3566A</t>
  </si>
  <si>
    <t>Rv3566A, len: 88 aa. Hypothetical unknown protein.</t>
  </si>
  <si>
    <t>Could have a role in acetylating, and hence inactivating, the antitubercular drug isoniazid [catalytic activity: acetyl-CoA + arylamine = CoA + N-acetylarylamine].</t>
  </si>
  <si>
    <t>Arylamine N-acetyltransferase Nat (arylamine acetylase)</t>
  </si>
  <si>
    <t>Rv3566c, (MT3671, MTCY06G11.13c), len: 283 aa. Nat (alternate gene name: nhoA), arylamine N-acetyltransferase (see citations below), highly similar to O86309|NAT_MYCSM arylamine N-acetyltransferase from Mycobacterium smegmatis (see citation below) (275 aa), FASTA scores: opt: 1114, E(): 3e-66, (60.95% identity in 274 aa overlap). Also highly similar to others e.g. Q98D42|BAB51429|MLR4870 from Rhizobium loti (Mesorhizobium loti) (278 aa), FASTA scores: opt: 697, E(): 1.1e-38, (44.1% identity in 272 aa overlap); P77567|NHOA_ECOLI|B1463 from Escherichia coli strain K12 (281 aa), FASTA scores: opt: 537, E(): 4.4e-28, (38.85% identity in 273 aa overlap); Q00267|NHOA_SALTY from Salmonella typhimurium (281 aa), FASTA scores: opt: 507, E(): 4.3e-26, (34.8% identity in 273 aa overlap); etc. Belongs to the arylamine N-acetyltransferase family. Note that previously known as nhoA (332 aa) and that nucleotide 4007874 has been changed since first submission (G deleted).</t>
  </si>
  <si>
    <t>hsaB</t>
  </si>
  <si>
    <t>Rv3567c</t>
  </si>
  <si>
    <t>Possible oxidoreductase. Possible 3-hydroxy-9,10-seconandrost-1,3,5(10)-triene-9,17-dione hydroxylase.</t>
  </si>
  <si>
    <t>Rv3567c, (MTCY06G11.14c), len: 187 aa. Possible hsaB, oxidoreductase, similar to various oxidoreductases and hypothetical proteins e.g. O69360 ORF61 protein from Rhodococcus erythropolis (194 aa) FASTA scores: opt: 974, E(): 3e-59, (77.05% identity in 183 aa overlap); Q9JN75|MMYF putative oxidoreductase from Streptomyces coelicolor (174 aa), FASTA scores: opt: 451, E(): 1e-23, (43.65% identity in 158 aa overlap); P54990|NTAB_CHEHE|NMOB nitrilotriacetate monooxygenase component B from Chelatobacter heintzii (322 aa), FASTA scores: opt: 409, E(): 1.3e-20, (38.3% identity in 167 aa overlap)Chelatobacter heintzii; AAK62356 putative NADH:FMN oxidoreductase from Burkholderia sp. DBT1 (177 aa), FASTA scores: opt: 360, E(): 1.6e-17, (36.15% identity in 155 aa overlap).</t>
  </si>
  <si>
    <t>hsaC</t>
  </si>
  <si>
    <t>Catalyzes the extradiol cleavage of 3,4-dihydroxy-9,10-seconandrost-1,3,5(10)-triene-9,17-dione (3,4-DHSA)</t>
  </si>
  <si>
    <t>3,4-DHSA dioxygenase</t>
  </si>
  <si>
    <t>Rv3568c, (MTCY06G11.15c), len: 300 aa. HsaC, highly similar to e.g. Q9KWQ5|BPHC5 from Rhodococcus sp. RHA1 (300 aa), FASTA scores: opt: 1715, E(): 3.8e-103, (82.15% identity in 297 aa overlap); O50479|EDOB from Rhodococcus rhodochrous (300 aa) FASTA scores: opt: 1714, E(): 4.4e-103, (82.5% identity in 297 aa overlap); O69359|BPHC6 from Rhodococcus erythropolis (300 aa), FASTA scores: opt: 1647, E(): 9.1e-99, (78.25% identity in 299 aa overlap); Q9RBT2|BPHC1 from Pseudomonas sp. SY5 (301 aa) Pseudomonas sp. SY5 (298 aa) FASTA scores: opt: 767, E(): 3.9e-42, (42.8% identity in 299 aa overlap); P47228|BPHC_BURCE from Burkholderia cepacia (Pseudomonas cepacia) (297 aa), FASTA scores: opt: 670, E(): 6.8e-36, (40.55% identity in 296 aa overlap); etc. Contains PS00082 Extradiol ring-cleavage dioxygenases signature. Belongs to the extradiol ring-cleavage dioxygenase family.</t>
  </si>
  <si>
    <t>hsaD</t>
  </si>
  <si>
    <t>Catalyzes the hydrolysis of 4,5-9,10-diseco-3-hydroxy-5,9,17-trioxoandrosta-1(10),2-diene-4-OIC acid (4,9-DHSA)</t>
  </si>
  <si>
    <t>4,9-DHSA hydrolase</t>
  </si>
  <si>
    <t>Rv3569c, (MTCY06G11.16c), len: 291 aa. HsaD, highly similar to e.g. Q9KWQ6|BPHD2 from Rhodococcus sp. RHA1 (292 aa), FASTA scores: opt: 1468, E(): 1.3e-85, (75.5% identity in 294 aa overlap); Q52036 from Pseudomonas putida (286 aa), FASTA scores: opt: 785, E(): 1.9e-42, (45.1% identity in 295 aa overlap); Q52011|BPHD from Pseudomonas pseudoalcaligenes (286 aa), FASTA scores: opt: 774, E(): 9.3e-42, (44.05% identity in 295 aa overlap); P47229|BPHD_BURCE from Burkholderia cepacia (Pseudomonas cepacia) (286 aa) FASTA scores: opt: 772, E(): 1.2e-41, (44.5% identity in 295 aa overlap); etc. Contains PS00017 ATP/GTP-binding site motif A. Similar to alpha/beta hydrolase fold.</t>
  </si>
  <si>
    <t>hsaA</t>
  </si>
  <si>
    <t>Rv3570c, (MTCY06G11.17c), len: 394 aa. Possible hsaA, oxidoreductase, most similar to hydroxylases and oxygenases (and also some similarity to acyl-CoA dehydrogenases) e.g. O69349 hydroxylase from Rhodococcus erythropolis (393 aa), FASTA scores: opt: 958, E(): 1.1e-53, (39.95% identity in 383 aa overlap); P26698|PIGM_RHOSO pigment protein from Rhodococcus sp. strain ATCC 21145 (387 aa), FASTA scores: opt: 665, E(): 5.4e-35, (32.2% identity in 382 aa overlap); Q9ZGA9|LANZ5 oxygenase homolog from Streptomyces cyanogenus (397 aa) FASTA scores: opt: 588, E(): 4.5e-30, (30.55% identity in 386 aa overlap); Q9F0J3|NCNH hydroxylase from Streptomyces arenae (405 aa), FASTA scores: opt: 580, E(): 1.5e-29, (31.25% identity in 336 aa overlap); O69789|BPFA indole dioxygenase from Rhodococcus opacus (399 aa), FASTA scores: opt: 558, E(): 3.7e-28, (31.8% identity in 387 aa overlap); etc.</t>
  </si>
  <si>
    <t>kshB</t>
  </si>
  <si>
    <t>Reductase component of 3-ketosteroid-9-alpha-hydroxylase KshB</t>
  </si>
  <si>
    <t>Rv3571, (MTCY06G11.18), len: 358 aa. kshB, reductase component of 3-ketosteroid-9-alpha-hydroxylase, similar to several e.g. Q44253|ATDA5 aniline dioxygenase reductase component from Acinetobacter sp (336 aa) FASTA scores: opt: 748, E(): 1.5e-38, (34.95% identity in 346 aa overlap); P95533|TDNB electron transfer protein from Pseudomonas putida (337 aa), FASTA scores: opt: 723, E(): 5.2e-37, (36.35% identity in 341 aa overlap); AAK65059|SMA0752 possible dioxygenase reductase subunit from Rhizobium meliloti (Sinorhizobium meliloti) (353 aa) FASTA scores: opt: 495, E(): 4.9e-23, (31.9% identity in 345 aa overlap); P76081|PAAE_ECOLI|B1392 probable phenylacetic acid degradation NADH oxidoreductase (356 aa), FASTA scores: opt: 364, E(): 5.1e-15, (34.45% identity in 357 aa overlap); Q9L131|HMPA flavohemoprotein from Streptomyces coelicolor (398 aa), FASTA scores: opt: 352, E(): 3e-14, (32.8% identity in 247 aa overlap); etc. Contains PS00197 2Fe-2S ferredoxins, iron-sulfur binding region signature. Note that it has been shown hmp transcription increased at early stationary phase and is lower at late stationary phase and during exponential growth. Note that previously known as hmp.</t>
  </si>
  <si>
    <t>Rv3572, (MTCY06G11.19), len: 176 aa. Unknown protein. Predicted to be an outer membrane protein (See Song et al., 2008).</t>
  </si>
  <si>
    <t>Probable acyl-CoA dehydrogenase FadE34</t>
  </si>
  <si>
    <t>Rv3573c, (MTCY06G11.20c), len: 711 aa. Probable fadE34, acyl-CoA dehydrogenase, similar to others, especially in C-terminal half, e.g. Q9RJX2|SCF37.29c from Streptomyces coelicolor (393 aa) FASTA scores: opt: 780, E(): 2.8e-39, (44.1% identity in 347 aa overlap); Q9A6N8|CC2049 from Caulobacter crescentus (401 aa), FASTA scores: opt: 705, E(): 8.7e-35, (41.5% identity in 342 aa overlap); Q9EX72|MLHC from Rhodococcus erythropolis (324 aa), FASTA scores: opt: 673, E(): 6.1e-33, (42.05% identity in 283 aa overlap); P41367|ACDM_PIG|ACADM from Sus scrofa (Pig)(421 aa) FASTA scores: opt: 325, E(): 4.9e- 13, (28.5% identity in 368 aa overlap); etc. Also similar to others from Mycobacterium tuberculosis e.g. P95097|FADE22|Rv3061c|MTCY22D7.20 (721 aa), FASTA scores: opt: 1635, E(): 2.7e-90, (42.65% identity in 729 aa overlap). Could belong to the acyl-CoA dehydrogenases family.</t>
  </si>
  <si>
    <t>kstR</t>
  </si>
  <si>
    <t>Rv3574</t>
  </si>
  <si>
    <t>Involved in transcriptional mechanism. Predicted to control regulon involved in lipid metabolism</t>
  </si>
  <si>
    <t>Transcriptional regulatory protein KstR (probably TetR-family)</t>
  </si>
  <si>
    <t>Rv3574, (MTCY06G11.21), len: 199 aa. Probable kstR, transcriptional regulator TetR family, similar to others e.g. Q9KXK1|SCC53.10 from Streptomyces coelicolor (250 aa) FASTA scores: opt: 492, E(): 4.8e-25, (44.8% identity in 183 aa overlap); Q9RA03|KSTR from Rhodococcus erythropolis (208 aa), FASTA scores: opt: 294, E(): 3.1e-12, (28.9% identity in 187 aa overlap); BAB54261|MLR7895 from Rhizobium loti (Mesorhizobium loti) (193 aa), FASTA scores: opt: 166, E(): 0.00062, (32.05% identity in 78 aa overlap); P17446|BETI_ECOLI|B0313 from Escherichia coli strain K12 (195 aa), FASTA scores: opt: 142, E(): 0.0034, (25. 6% identity in 168 aa overlap); etc. Equivalent to AAK48038 from Mycobacterium tuberculosis strain CDC1551 (243 aa) but shorter 44 aa. Contains possible helix-turn-helix motif from aa 37-58 (+3.70 SD). Possibly belongs to the TetR/AcrR family of transcriptional regulators.</t>
  </si>
  <si>
    <t>Transcriptional regulatory protein (probably LacI-family)</t>
  </si>
  <si>
    <t>Rv3575c, (MTCY06G11.22c), len: 359 aa. Probable transcriptional regulator belonging to lacI family, similar to others e.g. BAB53947|MLL8376 from Rhizobium loti (Mesorhizobium loti) (358 aa), FASTA scores: opt: 707, E(): 2.6e-35, (35.5% identity in 355 aa overlap); Q9RRI9|DR2501 from Deinococcus radiodurans (359 aa) FASTA scores: opt: 544, E(): 1.6e-25, (40.35% identity in 347 aa overlap); Q9RL31|SCF51A.34 from Streptomyces coelicolor (347 aa), FASTA scores: opt: 307, E(): 2.9e-11, (30.0% identity in 330 aa overlap); O87590|CELR_THEFU from Thermomonospora fusca (340 aa), FASTA scores: opt: 280, E(): 1.2e-09, (32.3% identity in 353 aa overlap); P21867|RAFR_ECOLI from Escherichia coli (335 aa) FASTA scores: opt: 241, E(): 2.6e-07, (27.15% identity in 269 aa overlap); etc. Equivalent to AAK48039 from Mycobacterium tuberculosis strain CDC1551 (404 aa) but shorter 45 aa. Contains possible helix-turn-helix motif, at aa 9-30 (+5.86 SD). Could belong to the LacI family of transcriptional regulators.</t>
  </si>
  <si>
    <t>Possible conserved lipoprotein LppH</t>
  </si>
  <si>
    <t>Rv3576, (MTCY06G11.23), len: 237 aa. Possible lppH, conserved lipoprotein, similar in part with proteins from Mycobacterium tuberculosis; C-terminus of Q11053|PKNH_MYCTU|PKNH|Rv1266c|MT1304|MTCY50.16 probable serine/threonine-protein kinase (626 aa) FASTA scores: opt: 396, E(): 6.5e-19, (36.0% identity in 200 aa overlap); and with P71740|LPPR|Rv2403c|MTCY253.17 probable lipoprotein protein (251 aa), FASTA scores: opt: 134, E(): 0.087, (22.7% identity in 207 aa overlap). Contains PS00013 Prokaryotic membrane lipoprotein lipid attachment site. Note that previously known as pknM.</t>
  </si>
  <si>
    <t>Rv3577, (MTCY06G11.24), len: 288 aa (other start sites possible upstream; equivalent to AAK48041 from Mycobacterium tuberculosis strain CDC1551 (379 aa) but shorter 91 aa). Hypothetical protein, showing some similarity to Q9RI88|SCJ11.16c hypothetical 37.9 KDA protein from Streptomyces coelicolor (349 aa) FASTA scores: opt: 285, E(): 1.5e-10, (27.45% identity in 266 aa overlap).</t>
  </si>
  <si>
    <t>Thought to be involved in transport of arsenic across the membrane (export): arsenic resistance by an export mechanism. Form the channel of an arsenite pump responsible for the translocation of the substrate across the membrane.</t>
  </si>
  <si>
    <t>Possible arsenical pump integral membrane protein ArsB2</t>
  </si>
  <si>
    <t>Rv3578, (MTCY06G11.25), len: 413 aa. Possible arsB2, arsenical pump integral membrane protein, similar to many e.g. Q9I1J6|ARSB|PA2278 from Pseudomonas aeruginosa (427 aa), FASTA scores: opt: 375, E(): 3.1e-15, (32.15% identity in 429 aa overlap); Q9K8K7|ARSB|BH2999 from Bacillus halodurans (436 aa), FASTA scores: opt: 360, E(): 2.5e-14, (28.7% identity in 432 aa overlap); P52146|ARB2_ECOLI from Escherichia coli (plasmid R46) (429 aa), FASTA scores: opt: 345, E(): 2e-13, (29.8% identity in 426 aa overlap); etc. Also highly similar to Q9KYM0|SC9H11.21c probable membrane efflux protein from Streptomyces coelicolor (446 aa), FASTA scores: opt: 730, E(): 1.7e-36, (53.95% identity in 443 aa overlap). Seems to belong to the ARS family.</t>
  </si>
  <si>
    <t>Possible tRNA/rRNA methyltransferase</t>
  </si>
  <si>
    <t>Rv3579c, (MTCY06G11.26c), len: 322 aa. Possible tRNA/rRNA methyltransferase, equivalent, but longer 31 aa, to Q9CCW4|ML0324 putative methyltransferase from Mycobacterium leprae (278 aa), FASTA scores: opt: 1517, E(): 3.4e-79, (83.75% identity in 277 aa overlap). Also highly similar to Q9L0Q5|SCD8A.09 from Streptomyces coelicolor (314 aa), FASTA scores: opt: 937, E(): 3.4e-46, (56.75% identity in 319 aa overlap); and similar to others e.g. Q06753|YACO_BACSU from Bacillus subtilis (249 aa), FASTA scores: opt: 616, E(): 4.9e-28, (41.05% identity in 246 aa overlap); Q9KGF2|BH0113 from Bacillus halodurans (249 aa), FASTA scores: opt: 596, E(): 6.7e-27, (38.5% identity in 244 aa overlap); P74328|Y955_SYNY3|SLR0955 from Synechocystis sp. strain PCC 6803 (384 aa), FASTA scores: opt: 585, E(): 4e-26, (35.85% identity in 304 aa overlap); P39290|YJFH_ECOLI|B4180 from Escherichia coli strain K12 (243 aa), FASTA scores: opt: 521, E(): 1.2e-22, (38.1% identity in 244 aa overlap); etc. Equivalent to AAK48043 from Mycobacterium tuberculosis strain CDC1551 (253 aa) but longer 69 aa. Possibly belongs to the RNA methyltransferase TrmH family.</t>
  </si>
  <si>
    <t>cysS1</t>
  </si>
  <si>
    <t>Involved in translation [catalytic activity: ATP + L-cysteine + tRNA(CYS) = AMP + pyrophosphate + L-cysteinyl-tRNA(CYS)].</t>
  </si>
  <si>
    <t>Cysteinyl-tRNA synthetase 1 CysS1 (cysteine--tRNA ligase 1) (CYSRS 1) (cysteine translase)</t>
  </si>
  <si>
    <t>Rv3580c, (MTCY06G11.27c), len: 469 aa. Probable cysS1, cysteinyl-tRNA synthetase, equivalent to P57990|SYC1_MYCLE|CYSS1|CYSS|ML0323 cysteinyl-tRNA synthetase 1 from Mycobacterium leprae (473 aa) FASTA scores: opt: 2825, E(): 3.4e-172, (86.5% identity in 467 aa overlap). Also similar to many e.g. Q9L0Q6|SCD8A.08 from Streptomyces coelicolor (613 aa), FASTA scores: opt: 1834, E(): 4.7e-109, (57.5% identity in 461 aa overlap); Q9I2U7|CYSS|PA1795 from Pseudomonas aeruginosa (460 aa) FASTA scores: opt: 1197, E(): 1.2e-68, (41.65% identity in 468 aa overlap); P21888|SYC_ECOLI P21888|CYSS|B0526 from Escherichia coli strain K12 (461 aa), FASTA scores: opt: 1189, E(): 4e-68, (43.0% identity in 463 aa overlap); etc. Belongs to class-I aminoacyl-tRNA synthetase family. Strongly similar to methionyl-tRNA synthetase.</t>
  </si>
  <si>
    <t>Involved in the deoxyxylulose-5-phosphate pathway (DXP) of isoprenoid biosynthesis (at the fifth step). Converts 4-diphosphocytidyl-2C-methyl-D-erythritol 2-phosphate into 2C-methyl-D-erythritol 2,4-cyclodiphosphate and CMP. Also converts 4-diphosphocytidyl-2C-methyl-D-erythritol into 2C-methyl-D-erythritol 3,4-cyclophosphate and CMP.</t>
  </si>
  <si>
    <t>Probable 2C-methyl-D-erythritol 2,4-cyclodiphosphate synthase IspF (MECPS)</t>
  </si>
  <si>
    <t>Rv3581c, (MT3687, MTCY06G11.28c), len: 159 aa. Probable ispF, 2-C-methyl-D-erythritol 2,4-cyclodiphosphate synthase, equivalent to Q9CCW5|ML0322 putative 2-C-methyl-D-erythritol 2,4-cyclodiphosphate synthase from Mycobacterium leprae (158 aa), FASTA scores: opt: 830, E(): 2.9e-47, (79.1% identity in 158 aa overlap). Also highly similar to others e.g. Q9L0Q7|ISPF_STRCO|SCD8A.07 from Streptomyces coelicolor (170 aa), FASTA scores: opt: 585, E(): 2.9e-31, (56.5% identity in 154 aa overlap); Q9PDT5|ISPF_XYLFA|XF1294 from Xylella fastidiosa (176 aa), FASTA scores: opt: 398, E(): 4.6e-19, (44.9% identity in 156 aa overlap); Q08113|ISDF_RHOCA|ISPDF from Rhodobacter capsulatus (Rhodopseudomonas capsulata) (379 aa), FASTA scores: opt: 387, E(): 4.5e-18, (42.85% identity in 154 aa overlap) (only similar with C-terminal end of this bifunctional protein ISPD and ISPF); Q06756|ISPF_BACSU from Bacillus subtilis (158 aa), FASTA scores: opt: 367, E(): 4.5e-17, (41.2% identity in 153 aa overlap); etc. Belongs to the IspF family.</t>
  </si>
  <si>
    <t>Involved in the deoxyxylulose-5-phosphate pathway (DXP) of isoprenoid biosynthesis (at the third step). Catalyzes the formation of 4-diphosphocytidyl-2C-methyl-D-erythritol (CDP-me) from CTP and 2C-methyl-D-erythritol 4-phosphate (MEP).</t>
  </si>
  <si>
    <t>4-diphosphocytidyl-2C-methyl-D-erythritol synthase IspD (MEP cytidylyltransferase) (MCT)</t>
  </si>
  <si>
    <t>Rv3582c, (MT3688, MTCY06G11.29c), len: 231 aa. ispD, 4-diphosphocytidyl-2C-methyl-D-erythritol synthase , equivalent to Q9CCW6|ML0321 putative 4-diphosphocytidyl-2C-methyl-D-erythritol synthase from Mycobacterium leprae (241 aa), FASTA scores: opt: 694, E(): 1.7e-35, (66.95% identity in 236 aa overlap). Also highly similar to others e.g. Q9L0Q8|ISPD_STRCO|SCD8A.06 from Streptomyces coelicolor (270 aa), FASTA scores: opt: 537, E(): 7.5e-26, (43.4% identity in 242 aa overlap); P74323|ISPD_SYNY3|SLR0951 from Synechocystis sp. strain PCC 6803 (230 aa), FASTA scores: opt: 410, E(): 3.8e-18, (36.15% identity in 224 aa overlap); Q9KGF8|ISPD_BACHD|BH0107 from Bacillus halodurans (228 aa) FASTA scores: opt: 367, E(): 1.6e-15, (34.65% identity in 228 aa overlap); Q08113|ISDF_RHOCA|ISPDF from Rhodobacter capsulatus (Rhodopseudomonas capsulata) (379 aa)FASTA scores: opt: 359, E(): 7.8e-15, (34.1% identity in 223 aa overlap) (only similar with N-terminus of this bifunctional protein ISPD and ISPF); Q46893|ISPD_ECOLI|B2747 from Escherichia coli strain K12 (235 aa), FASTA scores: opt: 336, E(): 1.3e-13, (33.65% identity in 223 aa overlap); etc. Belongs to the ISPD family.</t>
  </si>
  <si>
    <t>Possible transcription factor</t>
  </si>
  <si>
    <t>Rv3583c, (MTV024.01c, MTCY06G11.30c), len: 162 aa. Possible transcriptional factor, identical to Q9CCW7|ML0320 putative transcription factor from Mycobacterium leprae (165 aa), FASTA scores: opt: 1004, E(): 6.1e-56, (97.55% identity in 162 aa overlap); and Q9ZBM8|MLCB1450.01c putative transcriptional regulator from Mycobacterium leprae (94 aa), FASTA scores: opt: 600, E(): 6e-31, (97.85% identity in 94 aa overlap). Also highly similar to others e.g. Q9L0Q9|SCD8A.05 from Streptomyces coelicolor (160 aa), FASTA scores: opt: 878, E(): 4.3e-48, (85.0% identity in 160 aa overlap); Q9K600|BH3935 from Bacillus halodurans (153 aa) FASTA scores: opt: 383, E(): 3.1e-17, (36.4% identity in 151 aa overlap); Q9KD36|BH1383 from Bacillus halodurans (164 aa) FASTA scores: opt: 305, E(): 2.4e-12, (33.55% identity in 164 aa overlap); etc.</t>
  </si>
  <si>
    <t>Possible conserved lipoprotein LpqE</t>
  </si>
  <si>
    <t>Rv3584, (MTV024.02), len: 182 aa. Possible lpqE, conserved lipoprotein, equivalent to Q9ZBM7|MLCB1450.02|LPQE|ML0319 putative lipoprotein from Mycobacterium leprae (183 aa), FASTA scores: opt: 722, E(): 6.2e-37, (63.45% identity in 175 aa overlap). Also similar in part to Q9KK69 exported protein 996A010 (fragment) from Mycobacterium avium (41 aa), FASTA scores: opt: 180, E(): 0.00012, (69.25% identity in 39 aa overlap); and Q9L0R0|SCD8A.04c putative lipoprotein from Streptomyces coelicolor (241 aa), FASTA scores: opt: 127, E(): 0.86, (27.15% identity in 173 aa overlap). Equivalent to AAK48048 from Mycobacterium tuberculosis strain CDC1551 (238 aa) but shorter 56 aa. Contains probable N-terminal signal sequence and appropriately positioned PS00013 Prokaryotic membrane lipoprotein lipid attachment site. A core mycobacterial gene; conserved in mycobacterial strains (See Marmiesse et al., 2004).</t>
  </si>
  <si>
    <t>Involved in genetic recombination. May play a role in the repair of endogenous alkylation damage.</t>
  </si>
  <si>
    <t>DNA repair protein RadA (DNA repair protein SMS)</t>
  </si>
  <si>
    <t>Rv3585, (MTV024.03), len: 480 aa. Probable radA, DNA repair protein (see citation below), similar to many e.g. Q9X8L5|SCE94.02 from Streptomyces coelicolor (469 aa), FASTA scores: opt: 1607, E(): 3.1e-84, (56.15% identity in 454 aa overlap); Q9JV51|RADA|NMA0992 from Neisseria meningitidis (serogroup A) (459 aa), FASTA scores: opt: 1275, E(): 2.5e-65, (45.0% identity in 458 aa overlap); and Q9K040|RADA|NMB0782 from Neisseria meningitidis (serogroup B) (459 aa), FASTA scores: opt: 1269, E(): 5.4e-65, (44.5% identity in 456 aa overlap); P37572|RADA_BACSU|SMS from Bacillus subtilis (458 aa), FASTA scores: opt: 1204, E(): 2.7e-61, (39.55% identity in 455 aa overlap); etc. Contains PS00017 ATP/GTP-binding site motif A (P-loop). Belongs to the RadA family.</t>
  </si>
  <si>
    <t>Rv3586, (MTV024.04), len: 358 aa. Conserved hypothetical protein, highly similar to Q9X8L6|SCE94.03 putative DNA-binding protein from Streptomyces coelicolor (374 aa), FASTA scores: opt: 1338, E(): 5e-75, (59.95% identity in 347 aa overlap); P37573|YACK_BACSU hypothetical 40.7 KDA protein from Bacillus subtilis (360 aa), FASTA scores: opt: 875, E(): 1.4e-46, (42.15% identity in 344 aa overlap); Q9KGG0|BH0105 hypothetical protein from Bacillus halodurans (357 aa), FASTA scores: opt: 844, E(): 1.1e-44, (40.3% identity in 350 aa overlap); Q9WY43|TM0200 conserved hypothetical protein from Thermotoga maritima (357 aa), FASTA scores: opt: 735, E(): 5.7e-38, (39.4% identity in 353 aa overlap). Also some similarity with other proteins. Contains probable coiled-coil from 144 to 179.</t>
  </si>
  <si>
    <t>Rv3587c, (MTV024.05c), len: 264 aa. Probable conserved membrane protein, equivalent to Q9CBJ2|ML1918 hypothetical membrane protein from Mycobacterium leprae (263 aa), FASTA scores: opt: 1438, E(): 2.4e-57, (77.55% identity in 267 aa overlap). Contains hydrophobic stretch in N-terminus; possible signal sequence. A core mycobacterial gene; conserved in mycobacterial strains (See Marmiesse et al., 2004). Predicted to be an outer membrane protein (See Song et al., 2008).</t>
  </si>
  <si>
    <t>Beta-carbonic anhydrase CanB</t>
  </si>
  <si>
    <t>Rv3588c, (MTV024.06c), len: 207 aa. CanB, Beta-carbonic anhydrase, proven biochemically (See Suarez Covarrubias et al. 2005) similar to others e.g. Q9CBJ1|ML1919 putative carbonic anhydrase from Mycobacterium leprae (213 aa), FASTA scores: opt: 1160, E(): 3.1e-66, (84.55% identity in 207 aa overlap). Also similar to many e.g. Q9X903|SCH35.03 from Streptomyces coelicolor (207 aa), FASTA scores: opt: 689, E(): 1.6e-36, (53.85% identity in 195 aa overlap); Q9RS89|DR2238 from Deinococcus radiodurans (264 aa), FASTA scores: opt: 451, E(): 2e-21, (39.7% identity in 189 aa overlap); Q39589|beta-CA1 from Chlamydomonas reinhardtii (267 aa) FASTA scores: opt: 419, E(): 2.1e-19, (36.55% identity in 197 aa overlap); etc. Contains PS00704 and PS00705 Prokaryotic-type carbonic anhydrases signature 1 and 2. Belongs to the plant and prokaryotic carbonic anhydrase family.</t>
  </si>
  <si>
    <t>Involved in base excision repair. Removes adenine mispaired with 8-OXOG. May repair A.G and A.C mismatches by adenine excision.</t>
  </si>
  <si>
    <t>Probable adenine glycosylase MutY</t>
  </si>
  <si>
    <t>Rv3589, (MTV024.07), len: 304 aa. Probable mutY, adenine glycosylase (see citation below), equivalent to Q9CBJ0|MUTY|ML1920 probable DNA glycosylase from Mycobacterium leprae (297 aa), FASTA scores: opt: 1592, E(): 2.6e-94, (74.9% identity in 303 aa overlap). Also similar to many DNA glycosylases (generally adenine glycosylases) e.g. Q9S6T7|SCE94.06 from Streptomyces coelicolor (308 aa), FASTA scores: opt: 965, E(): 2.6e-54, (50.5% identity in 297 aa overlap); Q9S6G1|MUTY from Streptomyces antibioticus (307 aa), FASTA scores: opt: 901, E(): 3.1e-50, (48.5% identity in 303 aa overlap); Q9HPQ6|MUTY|VNG1520G from Halobacterium sp. strain NRC-1 (312 aa), FASTA scores: opt: 566, E(): 7.2e-29, (39.85% identity in 296 aa overlap); BAB53965|MLL7523 from Rhizobium loti (Mesorhizobium loti) (396 aa), FASTA scores: opt: 511, E(): 2.8e-25, (39.65% identity in 237 aa overlap); Q05869|MUTY_SALTY|MUTB from Salmonella typhimurium (350 aa), FASTA scores: opt: 421, E(): 3.8e-20, (35.2% identity in 227 aa overlap); etc. Could belong to the nth/MUTY family.</t>
  </si>
  <si>
    <t>PE-PGRS family protein PE_PGRS58</t>
  </si>
  <si>
    <t>Rv3590c, (MTV024.08c, MTCY6F7.04), len: 584 aa. PE_PGRS58, Member of the Mycobacterium tuberculosis PE family, PGRS subfamily of gly-rich proteins (see citation below), highly similar to e.g. O53439|Rv1091|MTV017.44 (853 aa), FASTA scores: opt: 2005, E(): 1.4e-70, (54.95% identity in 646 aa overlap).</t>
  </si>
  <si>
    <t>Rv3591c</t>
  </si>
  <si>
    <t>Rv3591c, (MTCY6F7.03), len: 257 aa. Possible hydrolase, equivalent to Q9CBI9|ML1921 hypothetical protein from Mycobacterium leprae (256 aa) FASTA scores: opt: 1421, E(): 5.6e-83, (78.5% identity in 251 aa overlap). Also similar to others e.g. Q9K3V0|SCD10.27 putative hydrolase from Streptomyces coelicolor (352 aa), FASTA scores: opt: 193, E(): 5.2e-05, (33.35% identity in 270 aa overlap); O33745|STTC thioesterase from Streptomyces sp (308 aa) FASTA scores: opt: 242, E(): 3.6e-08, (30.35% identity in 270 aa overlap); Q9RK95|SCF1.09 putative hydrolase from Streptomyces coelicolor (258 aa), FASTA scores: opt: 239, E(): 4.9e-08, (30.75% identity in 247 aa overlap); Q9HZ14|PA3226 probable hydrolase from Pseudomonas aeruginosa (275 aa), FASTA scores: opt: 226, E(): 3.4e-07, (26.6% identity in 252 aa overlap); Q9HPT9|est|VNG1474G carboxylesterase from Halobacterium sp. strain NRC-1 (274 aa), FASTA scores: opt: 215, E(): 1.7e-06, (26.95% identity in 256 aa overlap); etc.</t>
  </si>
  <si>
    <t>mhuD</t>
  </si>
  <si>
    <t>Possibly involved in heme degradation pathway. May be involved in iron storage.</t>
  </si>
  <si>
    <t>Possible heme degrading protein MhuD</t>
  </si>
  <si>
    <t>Rv3592, (MTCY6F7.02c), len: 105 aa. Possible mhuD, heme-degrading protein, equivalent to Q9CBI8|ML1922 hypothetical protein from Mycobacterium leprae (105 aa) FASTA scores: opt: 591, E(): 2.5e-34, (84.6% identity in 104 aa overlap). Shows some similarity with other bacterial hypothetical proteins e.g. Q9RXN8|DR0272 from Deinococcus radiodurans (109 aa), FASTA scores: opt: 178, E(): 1e-05, (34.3% identity in 102 aa overlap); P38049|YHGC_BACSU from Bacillus subtilis (166 aa) FASTA scores: opt: 175, E(): 2.4e-05, (40.85% identity in 71 aa overlap); Q9K649|BH3883 from Bacillus halodurans (102 aa) FASTA scores: opt: 162, E(): 0.00012, (33.75% identity in 80 aa overlap); etc.</t>
  </si>
  <si>
    <t>Probable conserved lipoprotein LpqF</t>
  </si>
  <si>
    <t>Rv3593, (MTCY6F7.01c), len: 452 aa. Probable lpqF, conserved lipoprotein, equivalent to Q9CBI7|MPQF|ML1923 probale secreted protein from Mycobacterium leprae (454 aa), FASTA scores: opt: 2465, E(): 5.7e-144, (79.15% identity in 451 aa overlap). Also similar to Q9KJ91 hypothetical 47.1 KDA protein from Streptomyces clavuligerus (430 aa), FASTA scores: opt: 609, E(): 5.2e-30, (30.3% identity in 350 aa overlap); and some similarity with putative beta-lactamases e.g. Q9RYR7|DRA0241 beta lactamase-related protein from Deinococcus radiodurans (499 aa), FASTA scores: opt: 322, E(): 2.5e-12, (28.25% identity in 322 aa overlap). Equivalent to AAK48057 from Mycobacterium tuberculosis strain CDC1551 (438 aa) but longer 14 aa. Contains N-terminal signal sequence and appropriately positioned PS00013 Prokaryotic membrane lipoprotein lipid attachment site.</t>
  </si>
  <si>
    <t>Rv3594, (MTCY07H7B.28c), len: 275 aa. Hypothetical protein, highly similar in part with Q9ZX49|GP29 from Mycobacteriophage TM4 (547 aa), FASTA scores: opt: 526, E(): 1.3e-25, (46.25% identity in 186 aa overlap); and Q9FZS0|LYSA|GP2 from Mycobacterium phage Ms6 (384 aa) FASTA scores: opt: 147, E(): 0.064, (33.35% identity in 84 aa overlap).</t>
  </si>
  <si>
    <t>PE-PGRS family protein PE_PGRS59</t>
  </si>
  <si>
    <t>Rv3595c, (MTCY07H7B.27), len: 439 aa. PE_PGRS59, Member of the Mycobacterium tuberculosis PE family, PGRS subfamily of gly-rich proteins (see citation below), similar to many e.g. O53439|Rv1091|MTV017.44 (853 aa), FASTA scores: opt: 1644, E(): 1.2e-57, (58.75% identity in 492 aa overlap).</t>
  </si>
  <si>
    <t>clpC1</t>
  </si>
  <si>
    <t>Hydrolyses proteins in presence of ATP. May interact with a CLPP-like protease involved in degradation of denatured proteins.</t>
  </si>
  <si>
    <t>Probable ATP-dependent protease ATP-binding subunit ClpC1</t>
  </si>
  <si>
    <t>Rv3596c, (MTCY07H7B.26), len: 848 aa. Probable clpC1, ATP-dependent protease ATP-binding subunit, equivalent to P24428|CLPC_MYCLE probable ATP-dependent CLP protease ATP-binding subunit from Mycobacterium leprae (848 aa) (see Misra et al., 1996), FASTA scores: opt: 5286, E(): 0, (97.15% identity in 845 aa overlap). Also highly similar to members of the clpA/clpB family e.g. Q9S6T8|SCE94.24c from Streptomyces coelicolor (841 aa) FASTA scores: opt: 4399, E(): 0, (81.0% identity in 848 aa overlap); Q9KGG2|CLPC|BH0103 from Bacillus halodurans (813 aa), FASTA scores: opt: 3279, E(): 3.8e-173, (61.9% identity in 808 aa overlap); Q55662|CLPC|SLL0020 from Synechocystis sp. strain PCC 6803 (821 aa), FASTA scores: opt: 3201, E(): 7.6e-169, (60.5% identity in 820 aa overlap); P51332|CLPC_PORPU from Porphyra purpurea (821 aa), FASTA scores: opt: 3045, E(): 3e-160, (57.65% identity in 817 aa overlap); P37571|CLPC_BACSU|MECB from Bacillus subtilis (810 aa), FASTA scores: opt: 2969, E(): 4.6e-156, (61.15% identity in 811 aa overlap); etc. Contains PS00017 ATP/GTP-binding site motif A (P-loop). Note that previously known as clpC. Belongs to the CLPA/CLPB family, CLPC subfamily. Conserved in M. tuberculosis, M. leprae, M. bovis and M. avium paratuberculosis; predicted to be essential for in vivo survival and pathogenicity (See Ribeiro-Guimaraes and Pessolani, 2007).</t>
  </si>
  <si>
    <t>Dominant T-cell antigen and possibly stimulates lymphoproliferation. Has DNA-bridging activity.</t>
  </si>
  <si>
    <t>Iron-regulated H-NS-like protein Lsr2</t>
  </si>
  <si>
    <t>Rv3597c, (MTCY07H7B.25), len: 112 aa. Lsr2, H-NS-like protein, identical to P24094|LSR2_MYCLE|ML0234 LSR2 protein precursor (15 KDA antigen) (A15) from Mycobacterium leprae (112 aa), FASTA scores: opt: 698, E(): 6.7e-37, (92.85% identity in 112 aa overlap). Also highly similar to others e.g. Q9X8N1|SCE94.26c from Streptomyces coelicolor (111 aa), FASTA scores: opt: 379, E(): 4.4e-17, (58.05% identity in 112 aa overlap); Q9ETI2|LSR2 from Corynebacterium equii (Rhodococcus equi) (119 aa), FASTA scores: opt: 328, E(): 6.9e-14, (47.5% identity in 120 aa overlap); and Q9RKK8|SCD25.12c from Streptomyces coelicolor (105 aa), FASTA scores: opt: 293, E(): 9.4e-12, (47.75% identity in 111 aa overlap).</t>
  </si>
  <si>
    <t>Involved in translation [catalytic activity: ATP + L-lysine + tRNA(LYS) = AMP + pyrophosphate + L-lysyl-tRNA(LYS)].</t>
  </si>
  <si>
    <t>Lysyl-tRNA synthetase 1 LysS (lysine--tRNA ligase 1) (LysRS 1) (lysine translase)</t>
  </si>
  <si>
    <t>Rv3598c, (MTCY07H7B.24), len: 505 aa. Probable lysS, lysyl-tRNA synthetase 1, equivalent to P46861|SYK_MYCLE|LYSS|ML0233 lysyl-tRNA synthetase from Mycobacterium leprae (507 aa), FASTA scores: opt: 2835, E(): 4.5e-172, (85.45% identity in 501 aa overlap); and similar with C-terminal part of Q9CC23|LYSX|ML1393 C-term lysyl-tRNA synthase from Mycobacterium leprae (1039 aa) FASTA scores: opt: 1257, E(): 7.6e-72, (44.55% identity in 505 aa overlap). Also similar to others e.g. P37477|SYK_BACSU|LYSS from Bacillus subtilis (499 aa) FASTA scores: opt: 1294, E(): 1.9e-74, (42.35% identity in 498 aa overlap); Q9RHV9|SYK_BACST|LYSS from Bacillus stearothermophilus (494 aa), FASTA scores: opt: 1258, E(): 3.5e-72, (41.15% identity in 498 aa overlap); Q9PEB6|SYK_XYLFA|LYSS|XF1112 from Xylella fastidiosa (506 aa), FASTA scores: opt: 1228, E(): 2.9e-70, (43.05% identity in 495 aa overlap); etc. Also similar to P94974|SYK2_MYCTU|LYSS2|LYSX|Rv1640c|MTCY06H11.04c lysyl-tRNA synthetase 2 from Mycobacterium tuberculosis (1172 aa), FASTA scores: opt: 1295, E(): 3.3e-74, (45.65% identity in 506 aa overlap). Contains PS00179 Aminoacyl-transfer RNA synthetases class-II signature 1. Belongs to class-II aminoacyl-tRNA synthetase family.</t>
  </si>
  <si>
    <t>Rv3599c</t>
  </si>
  <si>
    <t>Hypothetical short protein</t>
  </si>
  <si>
    <t>Rv3599c, (MTCY07H7B.23), len: 27 aa. Hypothetical unknown protein.</t>
  </si>
  <si>
    <t>Rv3600c, (MTCY07H7B.22), len: 272 aa. Conserved protein, identical to Q9CD56|ML0232 hypothetical protein from Mycobacterium leprae (274 aa), FASTA scores: opt: 1585, E(): 1.3e-92, (90.5% identity in 274 aa overlap). Also highly similar to others e.g. Q9X8N6|SCE94.31c from Streptomyces coelicolor (265 aa) FASTA scores: opt: 878, E(): 3.9e-48, (51.5% identity in 268 aa overlap); and Q9KGH5|BH0086 from Bacillus halodurans (254 aa), FASTA scores: opt: 611, E(): 2.4e-31, (37.5% identity in 264 aa overlap). And similar to various bacterial proteins e.g. Q9F985 putative 32 KDA replication protein from Bacillus stearothermophilus (258 aa), FASTA scores: opt: 594, E(): 2.8e-30, (37.45% identity in 267 aa overlap); P37564|YACB_BACSU from Bacillus subtilis (233 aa), FASTA scores: opt: 522, E(): 8.8e-26, (38.95% identity in 213 aa overlap); Q9RX54|DR0461 conserved hypothetical protein from Deinococcus radiodurans (262 aa), FASTA scores: opt: 503, E(): 1.5e-24, (38.45% identity in 268 aa overlap); etc.</t>
  </si>
  <si>
    <t>Involved in pantothenate biosynthesis [catalytic activity: L-aspartate = beta-alanine + CO(2)].</t>
  </si>
  <si>
    <t>Probable aspartate 1-decarboxylase precursor PanD (aspartate alpha-decarboxylase)</t>
  </si>
  <si>
    <t>Rv3601c, (MTCY07H7B.21), len: 139 aa. Probable panD, aspartate 1-decarboxylase, identical to Q9CD57|PAND|ML0231 putative aspartate-1-decarboxylase from Mycobacterium leprae (142 aa), FASTA scores: opt: 733, E(): 5.5e-41, (82.85% identity in 140 aa overlap). Also highly similar to many e.g. CAC44328|PAND from Streptomyces coelicolor (139 aa), FASTA scores: opt: 578, E(): 6.4e-31, (75.0% identity in 120 aa overlap); Q9X4N0|PAND from Corynebacterium glutamicum (Brevibacterium flavum) (136 aa), FASTA scores: opt: 506, E(): 3e-26, (62.2% identity in 135 aa overlap); P52999|PAND_BACSU from Bacillus subtilis (127 aa) FASTA scores: opt: 421, E(): 9.6e-21, (54.75% identity in 123 aa overlap); P31664|PAND_ECOLI|B0131 from Escherichia coli strain K12 (126 aa), FASTA scores: opt: 388, E(): 1.3e-18, (50.45% identity in 113 aa overlap); etc.</t>
  </si>
  <si>
    <t>Involved in pantothenate biosynthesis [catalytic activity: ATP + (R)-pantoate + beta-alanine = AMP + pyrophosphate + (R)-pantothenate].</t>
  </si>
  <si>
    <t>Pantoate--beta-alanine ligase PanC (pantothenate synthetase) (pantoate activating enzyme)</t>
  </si>
  <si>
    <t>Rv3602c, (MTCY07H7B.20), len: 309 aa. panC, pantoate--beta-alanine ligase, equivalent to O69524|PANC_MYCLE|ML0230|MLCB2548.01c pantoate--beta-alanine ligase from Mycobacterium leprae (313 aa), FASTA scores: opt: 1541, E(): 3.4e-84, (82.15% identity in 297 aa overlap). Also similar to others e.g. O67891|PANC_AQUAE|AQ_2132 from Aquifex aeolicus (282 aa) FASTA scores: opt: 774, E(): 8.6e-39, (46.9% identity in 273 aa overlap); Q9HV69|PANC_PSEAE|PA4730 from Pseudomonas aeruginosa (283 aa), FASTA scores: opt: 770, E(): 1.5e-38, (51.45% identity in 276 aa overlap); Q9A6C8|CC2166 from Caulobacter crescentus (285 aa), FASTA scores: opt: 744, E(): 5.2e-37, (47.75% identity in 268 aa overlap); P31663|PANC_ECOLI|B0133 from Escherichia coli strain K12 (283 aa), FASTA scores: opt: 695, E(): 4.1e-34, (46.1% identity in 271 aa overlap); etc. Belongs to the pantothenate synthetase family.</t>
  </si>
  <si>
    <t>Rv3603c, (MTCY07H7B.19), len: 303 aa. Conserved hypothetical ala-, leu-rich protein, identical except at N-terminus (really different) to AAK48066|MT3708 chalcone/stilbene synthase family protein from Mycobacterium tuberculosis strain CDC1551 (361 aa) FASTA scores: opt: 1742, E(): 8.3e-95, (100.0% identity in 275 aa overlap). Equivalent to O69525|MLCB2548.02c|ML0229 hypothetical 32.7 KDA protein from Mycobacterium leprae (309 aa), FASTA scores: opt: 947, E(): 2.4e-48, (67.85% identity in 311 aa overlap). Also highly similar to Q9X845|SCE126.02c hypothetical 42.2 KDA protein from Streptomyces coelicolor (420 aa), FASTA scores: opt: 683, E(): 8.5e-33, (49.3% identity in 284 aa overlap).</t>
  </si>
  <si>
    <t>Probable conserved transmembrane protein rich in alanine and arginine and proline</t>
  </si>
  <si>
    <t>Rv3604c, (MTCY07H7B.18), len: 397 aa. Probable conserved ala-, arg-, pro-rich transmembrane protein, equivalent to O69526|MLCB2548.03c|ML0228 putative membrane protein from Mycobacterium leprae (432 aa), FASTA scores: opt: 869, E(): 2.9e-31, (59.7% identity in 432 aa overlap). Contains two possible membrane-spanning domains. N-terminus shortened since first submission (previously 462 aa). A core mycobacterial gene; conserved in mycobacterial strains (See Marmiesse et al., 2004).</t>
  </si>
  <si>
    <t>Probable conserved secreted protein</t>
  </si>
  <si>
    <t>Rv3605c, (MTCY07H7B.17), len: 158 aa. Probable conserved secreted or membrane protein, identical to O69527|MLCB2548.04c|ML0227 putative membrane protein from Mycobacterium leprae (158 aa), FASTA scores: opt: 944, E(): 2.6e-56, (85.45% identity in 158 aa overlap). Also similar to other proteins e.g. Q9X8I2|SCE9.09 possible secreted protein from Streptomyces coelicolor (162 aa), FASTA scores: opt: 174, E(): 9.2e-05, (31.25% identity in 128 aa overlap); etc. Contains possible N-terminal signal sequence. A core mycobacterial gene; conserved in mycobacterial strains (See Marmiesse et al., 2004).</t>
  </si>
  <si>
    <t>Involved in dihydrofolate biosynthesis (at the first step) [catalytic activity: ATP + 2-amino-4-hydroxy-6-hydroxymethyl-7,8-dihydropteridine = AMP + 2-amino-7,8-dihydro-4-hydroxy-6-(diphosphooxymethyl)pteridine].</t>
  </si>
  <si>
    <t>2-amino-4-hydroxy-6-hydroxymethyldihydropteridine pyrophosphokinase FolK (7,8-dihydro-6-hydroxymethylpterin-pyrophosphokinase) (HPPK) (6-hydroxymethyl-7,8-dihydropterin pyrophosphokinase) (PPPK) (2-amino-4-hydroxy-6-hydroxymethyldihydropteridine diphosphokinase) (7,8-dihydro-6-hydroxymethylpterin-diphosphokinase) (6-hydroxymethyl-7,8-dihydropterin diphosphokinase)</t>
  </si>
  <si>
    <t>Rv3606c, (MTCY07H7B.16), len: 188 aa. Probable folK, 2-amino-4-hydroxy-6-hydroxymethyldihydropterine pyrophosphokinase, equivalent to O69528|HPPK_MYCLE|folk|ML0226MLCB2548.05c 2-amino-4-hydroxy-6-hydroxymethyldihydropteridine pyrophosphokinase from Mycobacterium leprae (191 aa) FASTA scores: opt: 772, E(): 1.2e-44, (63.15% identity in 190 aa overlap). Also similar to many e.g. P71512|HPPK_METEX|folk|FOLA from Methylobacterium extorquens (158 aa), FASTA scores: opt: 292, E(): 1.4e-12, (36.85% identity in 171 aa overlap); O33726|HPPK_STRPY|folk|SPY1100 from Streptococcus pyogenes (166 aa), FASTA scores: opt: 234, E(): 1.1e-08, (34.3% identity in 175 aa overlap); Q9X8I1|SCE9.08 from Streptomyces coelicolor (203 aa), FASTA scores: opt: 232, E(): 1.7e-08, (43.25% identity in 185 aa overlap); P26281|HPPK_ECOLI|folk|B0142 from Escherichia coli strain K12 (158 aa), FASTA scores: opt: 198, E(): 2.6e-06, (32.85% identity in 143 aa overlap); etc. Belongs to the HppK family.</t>
  </si>
  <si>
    <t>Involved in folate biosynthesis. Catalyzes the conversion of 7,8-dihydroneopterin to 6- hydroxymethyl-7,8-dihydropterin [catalytic activity: 2-amino-4-hydroxy-6-(D-erythro-1,2,3-trihydroxypropyl)-7,8-dihydropteridine = 2-amino-4-hydroxy-6-hydroxymethyl-7,8-dihydropteridine + glycolaldehyde].</t>
  </si>
  <si>
    <t>Probable dihydroneopterin aldolase FolB (DHNA)</t>
  </si>
  <si>
    <t>Rv3607c, (MTCY07H7B.15), len: 133 aa. Probable folB, dihydroneopterin aldolase, equivalent to O69529|FOLB_MYCLE|ML0225|MLCB2548.06c probable dihydroneopterin aldolase from Mycobacterium leprae (132 aa), FASTA scores: opt: 673, E(): 5.1e-37, (74.8% identity in 131 aa overlap). Also similar to many e.g. Q9X8I0|FOLB_STRCO|SCE9.07 from Streptomyces coelicolor (119 aa), FASTA scores: opt: 334, E(): 4.5e-15, (46.15% identity in 117 aa overlap); P74342|FOLB_SYNY3|SLR1626 from Synechocystis sp. strain PCC 6803 (118 aa) FASTA scores: opt: 287, E(): 5e-12, (38.45% identity in 117 aa overlap); P28823|FOLB_BACSU|FOLA from Bacillus subtilis (120 aa), FASTA scores: opt: 283, E(): 9.2e-12, (39.0% identity in 118 aa overlap); etc. Belongs to the DHNA family. Note that previously known as folX.</t>
  </si>
  <si>
    <t>Involved in dihydrofolate biosynthesis (at the second step). Catalyzes the formation of the immediate precursor of FOLIC acid. It is implicated in resistance to sulfonamide [catalytic activity: 2-amino-4-hydroxy-6-hydroxymethyl-7,8-dihydropteridine diphosphate + 4-aminobenzoate = pyrophosphate + dihydropteroate].</t>
  </si>
  <si>
    <t>Dihydropteroate synthase 1 FolP (DHPS 1) (dihydropteroate pyrophosphorylase 1) (dihydropteroate diphosphorylase 1)</t>
  </si>
  <si>
    <t>Rv3608c, (MTCY07H7B.14), len: 280 aa. Probable folP1, dihydropteroate synthase 1, equivalent to O69530|FOLP (alias Q9S0T0|FOLP and Q9R2U9|FOLP) dihydroneopterin aldolase from Mycobacterium leprae (284 aa), FASTA scores: opt: 1418, E(): 7.2e-77, (76.75% identity in 284 aa overlap). Also highly similar to many e.g. Q9X8H8|SCE9.05 from Streptomyces coelicolor (288 aa), FASTA scores: opt: 953, E(): 2.4e-49, (56.0% identity in 266 aa overlap); Q9A3I0|CC3224 from Caulobacter crescentus (274 aa), FASTA scores: opt: 682, E(): 2.6e-33, (45.5% identity in 268 aa overlap); P73248|DHPS_SYNY3|FOLP|SLR2026 from Synechocystis sp. strain PCC 6803 (289 aa), FASTA scores: opt: 665, E(): 2.7e-32, (44.55% identity in 265 aa overlap); P26282|DHPS_ECOLI|FOLP|B3177 from Escherichia coli strain K12 (282 aa), FASTA scores: opt: 642, E(): 6.1e-31, (41.95% identity in 274 aa overlap); etc. Contains PS00792 Dihydropteroate synthase signature 1, PS00793 Dihydropteroate synthase signature 2. Similar to other species DHPS.</t>
  </si>
  <si>
    <t>Involved in the biosynthesis of tetrahydrofolate (at the first step) [catalytic activity: GTP + 2 H(2)O = formate + 2-amino-4-hydroxy-6-(erythro-1,2,3-trihydroxypropyl)dihydropteridine triphosphate].</t>
  </si>
  <si>
    <t>GTP cyclohydrolase I FolE (GTP-ch-I)</t>
  </si>
  <si>
    <t>Rv3609c, (MTCY07H7B.13), len: 202 aa. Probable folE (alternate gene name: gchA), GTP cyclohydrolase I, equivalent to O69531|GCH1_MYCLE|FOLE|ML0223|MLCB2548.08c GTP cyclohydrolase I from Mycobacterium leprae (205 aa) FASTA scores: opt: 1112, E(): 3.8e-63, (81.95% identity in 205 aa overlap). Also highly similar to many e.g. Q9X8I3|GCH1_STRCO|FOLE|SCE9.10c from Streptomyces coelicolor (201 aa), FASTA scores: opt: 873, E(): 4.2e-48, (67.4% identity in 187 aa overlap); Q9KCC7|MTRA|BH1646 from Bacillus halodurans (188 aa), FASTA scores: opt: 757, E(): 8.1e-41, (62.3% identity in 183 aa overlap); P19465|GCH1_BACSU|FOLE|MTRA from Bacillus subtilis (190 aa), FASTA scores: opt: 750, E(): 2.3e-40, (58.95% identity in 190 aa overlap); etc. Contains PS00860 GTP cyclohydrolase I signature 2. Belongs to the GTP cyclohydrolase I family.</t>
  </si>
  <si>
    <t>Thought to act as an ATP-dependent zinc metallopeptidase, with ATPase and proteolytic activities. Probably has a regulatory role in stress response and specific proteins secretion for adaptation to host environment.</t>
  </si>
  <si>
    <t>Membrane-bound protease FtsH (cell division protein)</t>
  </si>
  <si>
    <t>Rv3610c, (MT3714, MTCY07H7B.12), len: 760 aa. FtsH, membrane-bound protease (cell division protein) (see citations below), equivalent to Q9CD58|FTSH_MYCLE|ML0222 (alias O69532|FTSH) cell division protein FTSH homolog from Mycobacterium leprae (787 aa), FASTA scores: opt: 4388, E(): 9.6e-205, (87.2% identity in 790 aa overlap). Also highly similar to many FTSH proteins e.g. O52395|FTSH from Mycobacterium smegmatis (769 aa), FASTA scores: opt: 3976, E(): 7.6e-185, (82.4% identity in 761 aa overlap); Q9X8I4|SCE9.11c from Streptomyces coelicolor (668 aa), FASTA scores: opt: 2417, E(): 1.4e-109, (57.2% identity in 668 aa overlap); P72991|FTH4_SYNY3|SLR1604 from Synechocystis sp. strain PCC 6803 (616 aa), FASTA scores: opt: 1926, E(): 7.2e-86, (49.35% identity in 612 aa overlap); P28691|FTSH_ECOLI|HFLB|MRSC|TOLZ|B3178 from Escherichia coli strain K12 (644 aa), FASTA scores: opt: 1859, E(): 1.3e-82, (48.95% identity in 605 aa overlap); etc. Contains PS00017 ATP/GTP-binding site motif A (P-loop), and PS00674 AAA-protein family signature. Belongs to the AAA family of ATPases and peptidase family M41 (zinc metalloprotease). Cofactor: binds one zinc ion (potential). Conserved in M. tuberculosis, M. leprae, M. bovis and M. avium paratuberculosis; predicted to be essential for in vivo survival and pathogenicity (See Ribeiro-Guimaraes and Pessolani, 2007).</t>
  </si>
  <si>
    <t>Hypothetical arginine and proline rich protein</t>
  </si>
  <si>
    <t>Rv3611, (MTCY07H7B.11c), len: 217 aa. Hypothetical unknown arg-, pro-rich protein. Possible ORF containing several direct repeats.</t>
  </si>
  <si>
    <t>Rv3612c, (MTCY07H7B.10), len: 109 aa. Conserved hypothetical protein. Residues 58 to 81 highly similar to N-terminal part of AAK46718|MT2424 hypothetical 3.9 KDA protein from Mycobacterium tuberculosis strain CDC1551 (36 aa), FASTA scores: opt: 108, E(): 0.38, (69.25% identity in 26 aa overlap).</t>
  </si>
  <si>
    <t>Rv3613c, (MTCY07H7B.09), len: 53 aa. Hypothetical unknown protein.</t>
  </si>
  <si>
    <t>ESX-1 secretion-associated protein EspD</t>
  </si>
  <si>
    <t>Rv3614c, (MTCY07H7B.08), len: 184 aa. EspD, ESX-1 secretion-associated protein, equivalent to Q49730|ML0407|B1620_C3_264|MLCL383.03 hypothetical 24.2 KDA protein from Mycobacterium leprae (216 aa) FASTA scores: opt: 899, E(): 1.7e-51, (71.3% identity in 188 aa overlap); and similar to two hypothetical proteins from Mycobacterium leprae: Q9CDD6|ML0056 (169 aa), FASTA scores: opt: 285, E(): 1.2e-11, (38.35% identity in 172 aa overlap); and O33090|MLCB628.19c (338 aa), FASTA scores: opt: 289, E(): 1.2e-11, (38.95% identity in 172 aa overlap). Also highly similar to O69732|Rv3867|MTV027.02 hypothetical 19.9 KDA protein from Mycobacterium tuberculosis (183 aa), FASTA scores: opt: 563, E(): 1e-29, (54.9% identity in 173 aa overlap). Rv3614c and Rv3882c interact, by yeast two-hybrid analysis (See MacGurn et al., 2005). EspD|Rv3614c is still secreted by M. tuberculosis H37Rv and Erdman ESX-1 secretion system mutants, but at levels lower than in wild-type (See Chen et al., 2012).</t>
  </si>
  <si>
    <t>ESX-1 secretion-associated protein EspC</t>
  </si>
  <si>
    <t>Rv3615c, (MTCY07H7B.07), len: 103 aa. EspC, ESX-1 secretion-associated protein, equivalent to Q49723|ML0406|B1620_C2_214|MLCL383 hypothetical 11.1 KDA protein from Mycobacterium leprae (106 aa), FASTA scores: opt: 364, E(): 4.1e-18, (60.85% identity in 92 aa overlap). Also shows similarity to P96212|Rv3865|MTCY01A6.03 hypothetical 10.6 KDA protein from Mycobacterium tuberculosis (103 aa), FASTA scores: opt: 198, E(): 6.8e-07, (36.25% identity in 102 aa overlap). Has been shown to interact with itself, by yeast two-hybrid analysis (See MacGurn et al., 2005).</t>
  </si>
  <si>
    <t>ESX-1 secretion-associated protein A, EspA</t>
  </si>
  <si>
    <t>Rv3616c, (MTCY07H7B.06), len: 392 aa. EspA, ESX-1 secretion-associated protein A. Ala-, gly-rich protein, equivalent to Q49722|ML0405|B1620_C2_213|MLCL383.01 hypothetical 40.8 KDA protein from Mycobacterium leprae (394 aa) FASTA scores: opt: 1620, E(): 5.3e-75, (62.7% identity in 394 aa overlap). Also similar to P96213|Rv3864|MTCY01A6.04c hypothetical 42.1 KDA protein from Mycobacterium tuberculosis (402 aa), FASTA scores: opt: 389, E(): 1.1e-12, (31.75% identity in 400 aa overlap).</t>
  </si>
  <si>
    <t>ephA</t>
  </si>
  <si>
    <t>Rv3617</t>
  </si>
  <si>
    <t>Biotransformation enzyme that catalyzes the hydrolysis of epoxides (alkene oxides, oxiranes) and arene oxides to less reactive and more water soluble dihydrodiols by the trans addition of water. Thought to be involved in detoxification reactions following oxidative damage to lipids [catalytic activity: an epoxide + H(2)O = a glycol].</t>
  </si>
  <si>
    <t>Probable epoxide hydrolase EphA (epoxide hydratase) (arene-oxide hydratase)</t>
  </si>
  <si>
    <t>Rv3617, (MTCY07H7B.05c, MTCY15C10.35c), len: 322 aa. Probable ephA, epoxide hydrolase (see citation below), similar to many e.g. Q9A8W9|CC1229 from Caulobacter crescentus (330 aa), FASTA scores: opt: 965, E(): 1.8e-51, (46.15% identity in 323 aa overlap); Q9M9W5|F18C1.13 from Arabidopsis thaliana (Mouse-ear cress) (331 aa), FASTA scores: opt: 778, E(): 4.3e-40, (40.35% identity in 332 aa overlap); Q9S7P1 from Oryza sativa (Rice) (322 aa), FASTA scores: opt: 774, E(): 7.4e-40, (41.1% identity in 321 aa overlap); P80299|HYES_RAT|EPHX2 from Rattus norvegicus (Rat) (554 aa), FASTA scores: opt: 759, E(): 9.5e-39, (40.5% identity in 306 aa overlap) (similarity only with the C-terminal part for this one); etc. Similar to alpha/beta hydrolase fold. Contains PS00888 Cyclic nucleotide-binding domain signature 1.</t>
  </si>
  <si>
    <t>Rv3618</t>
  </si>
  <si>
    <t>Rv3618, (MTCY15C10.34c, MTCY07H7B.04c), len: 395 aa. Possible monooxygenase, similar to others (principally bacterial luciferases alpha chain) e.g. Q9JN87|MMYO putative alkanal monooxygenase from Streptomyces coelicolor (373 aa), FASTA scores: opt: 949, E(): 8.9e-54, (41.7% identity in 374 aa overlap); Q9EUT9|limb limonene monooxygenase from Rhodococcus erythropolis (387 aa), FASTA scores: opt: 856, E(): 9.1e-48, (42.0% identity in 388 aa overlap); AAK72698 LUXA-like protein from Bradyrhizobium japonicum (458 aa) FASTA scores: opt: 350, E(): 4.4e-15, (29.7% identity in 347 aa overlap); Q9K4C1|2SC6G5.34c putative alkanal monooxygenase (luciferase) from Streptomyces coelicolor (342 aa), FASTA scores: opt: 291, E(): 2.2e-11, (26.5% identity in 362 aa overlap); etc. Also similar to P95278|Rv1936|MTCY09F9.28c hypothetical 41.8 KDA protein from Mycobacterium tuberculosis (369 aa), FASTA scores: opt: 473, E(): 4.3e-23, (32.55% identity in 378 aa overlap).</t>
  </si>
  <si>
    <t>esxV</t>
  </si>
  <si>
    <t>Rv3619c</t>
  </si>
  <si>
    <t>Putative ESAT-6 like protein EsxV (ESAT-6 like protein 1)</t>
  </si>
  <si>
    <t>Rv3619c, (MTCY15C10.33, MTCY07H7B.03, MT3721), len: 94 aa. EsxV, ESAT-6 like protein (see citations below), highly similar to many Mycobacterial ESAT-6 like proteins e.g. O53942|ES65_MYCTU putative ESAT-6 like protein 5 from Mycobacterium tuberculosis (94 aa), FASTA scores: opt: 582, E(): 4.4e-33, (92.55% identity in 94 aa overlap); Q49946|ES6X_MYCLE|U1756D putative ESAT-6 like protein X from Mycobacterium leprae (95 aa), FASTA scores: opt: 409, E(): 2.5e-21, (64.15% identity in 92 aa overlap); etc. Strictly identical to P96364|ES61_MYCTU|Rv1037c|MT1066|MTCY10G2.12 putative ESAT-6 like protein 1 (94 aa). Belongs to the ESAT6 family. A core mycobacterial gene; conserved in mycobacterial strains (See Marmiesse et al., 2004).</t>
  </si>
  <si>
    <t>esxW</t>
  </si>
  <si>
    <t>Rv3620c</t>
  </si>
  <si>
    <t>Putative ESAT-6 like protein EsxW (ESAT-6 like protein 10)</t>
  </si>
  <si>
    <t>Rv3620c, (MTCY15C10.32, MTCY07H7B.02, MT3722), len: 98 aa. EsxW, ESAT-6 like protein (see citation below). Member of the M. tuberculosis hypothetical QILSS protein family with Rv1038c, Rv1792, Rv2347c and Rv1197|O05299|ES63_MYCTU|MT1235|MTCI364.09 putative ESAT-6 like protein 3 from Mycobacterium tuberculosis (98 aa), FASTA scores: opt: 638, E(): 2.3e-36, (97.95% identity in 98 aa overlap). Also similar to Q49945|ES6Y_MYCLE putative ESAT-6 like protein Y from Mycobacterium leprae (100 aa), FASTA scores: opt: 370, E(): 2.1e-18, (57.9% identity in 95 aa overlap); etc. Belongs to the ESAT6 family.</t>
  </si>
  <si>
    <t>PPE65</t>
  </si>
  <si>
    <t>Rv3621c</t>
  </si>
  <si>
    <t>PPE family protein PPE65</t>
  </si>
  <si>
    <t>Rv3621c, (MTCY15C10.31, MTCY07H7B.01), len: 413 aa. PPE65, Member of the Mycobacterium tuberculosis PPE family, ala-, gly-rich proteins, similar to many e.g. Q10813|YS92_MYCTU|Rv2892c|MT2959|MTCY274.23c (408 aa) FASTA scores: opt: 955, E(): 1.8e-42, (44.45% identity in 423 aa overlap).</t>
  </si>
  <si>
    <t>PE32</t>
  </si>
  <si>
    <t>Rv3622c</t>
  </si>
  <si>
    <t>PE family protein PE32</t>
  </si>
  <si>
    <t>Rv3622c, (MTCY15C10.30), len: 99 aa. PE32, Member of the Mycobacterium tuberculosis PE family (see Brennan and Delogu, 2002), but no glycine rich C-terminus present. Similar to others e.g. O53938|Rv1788|MTV049.10 (99 aa), FASTA scores: opt: 376, E(): 7.1e-17, (65.6% identity in 96 aa overlap).</t>
  </si>
  <si>
    <t>Probable conserved lipoprotein LpqG</t>
  </si>
  <si>
    <t>Rv3623, (MTCY15C10.29c), len: 240 aa. Probable lpqG, conserved lipoprotein, showing some similarity with hypothetical proteins e.g. Q57432 from Methanosarcina barkeri (251 aa), FASTA scores: opt: 319, E(): 6.8e-12, (31.2% identity in 218 aa overlap); Q9PEA5|XF1123 outer membrane protein from Xylella fastidiosa (242 aa) FASTA scores: opt: 312, E(): 1.7e-11, (28.25% identity in 237 aa overlap); BAB49547|MLR2408 hypothetical protein from Rhizobium loti (Mesorhizobium loti) (236 aa), FASTA scores: opt: 304, E(): 5e-11, (27.05% identity in 244 aa overlap); etc. Has suitable signal peptide and prokaryotic membrane lipoprotein lipid attachment site (PS00013).</t>
  </si>
  <si>
    <t>Involved in purine salvage [catalytic activity: imp + pyrophosphate = hypoxanthine + 5-phospho-alpha-D-ribose 1-diphosphate (guanine can replace hypoxanthine to produce GMP)].</t>
  </si>
  <si>
    <t>Hypoxanthine-guanine phosphoribosyltransferase Hpt (HGPRT) (HGPRTase) (hypoxanthine phosphoribosyltransferase) (imp pyrophosphorylase) (imp diphosphorylase) (transphosphoribosyltransferase) (guanine phosphoribosyltransferase)</t>
  </si>
  <si>
    <t>Rv3624c, (MTCY15C10.28), len: 216 aa. Hpt (alternate gene name: hprT), hypoxanthine-guanine phosphoribosyltransferase (but seems to have a 35 aa extension at N-terminus), equivalent to other mycobacterial hypoxanthine-guanine phosphoribosyltransferases e.g. P96794 from Mycobacterium avium (203 aa), FASTA scores: opt: 1136, E(): 1.2e-65, (88.5% identity in 200 aa overlap); and O69537|HPT|ML0214 from Mycobacterium leprae (213 aa), FASTA scores: opt: 1115, E(): 2.8e-64, (81.6% identity in 212 aa overlap). Also similar to others e.g. Q9X8I5|SCE9.12c from Streptomyces coelicolor (187 aa), FASTA scores: opt: 724, E(): 2.4e-39, (60.55% identity in 180 aa overlap); P37472|HPRT_BACSU|HPT from Bacillus subtilis (180 aa) FASTA scores: opt: 574, E(): 9.1e-30, (48.6% identity in 181 aa overlap); etc. Equivalent to AAK48087 from Mycobacterium tuberculosis strain CDC1551 (202 aa) but longer 14 aa. Contains PS00103 Purine/pyrimidine phosphoribosyltransferases signature. Belongs to the purine/pyrimidine phosphoribosyltransferase family.</t>
  </si>
  <si>
    <t>Thought to be involved in a cell cycle process.</t>
  </si>
  <si>
    <t>Possible cell cycle protein MesJ</t>
  </si>
  <si>
    <t>Rv3625c, (MT3727, MTCY15C10.27), len: 323 aa. Possible mesJ, cell cycle protein, equivalent to O69538|Y0C5_MYCLE|ML0213|MLCB2548.18c hypothetical 34.1 KDA protein from Mycobacterium leprae (323 aa) FASTA scores: opt: 1592, E(): 9e-92, (78.0% identity in 327 aa overlap). Similar to bacterial hypothetical proteins Q9X8I6|SCE9.13c from Streptomyces coelicolor (352 aa) FASTA scores: opt: 705, E(): 1.4e-36, (47.85% identity in 305 aa overlap); and Q9HXZ3|PA3638 from Pseudomonas aeruginosa (442 aa), FASTA scores: opt: 382, E(): 2e-16, (40.6% identity in 271 aa overlap). But also similar (or with similarity) to bacterial cell cycle proteins (MESJ) e.g. Q9KPX0|VC2242 MESJ protein from Vibrio cholerae (440 aa), FASTA scores: opt: 363, E(): 3e-15, (34.8% identity in 253 aa overlap); Q9RV23|DR1207 (600 aa) cell cycle protein MESJ (putative/cytosine deaminase-related protein) from Deinococcus radiodurans (600 aa), FASTA scores: opt: 310, E(): 7.6e-12, (36.6% identity in 265 aa overlap) (similar only at the N-terminal end); Q9PFJ8|XF0659 cell cycle protein from Xylella fastidiosa (437 aa), FASTA scores: opt: 301, E(): 2.1e-11, (35.05% identity in 271 aa overlap); P52097|MESJ_ECOLI|B0188 putative cell cycle protein MESJ from Escherichia coli strain K12(432 aa) FASTA scores: opt: 299, E(): 2.8e-11, (34.65% identity in 277 aa overlap); etc. Belongs to the UPF0072 (MESJ/YCF62) family.</t>
  </si>
  <si>
    <t>Rv3626c, (MTCY15C10.26), len: 350 aa. Conserved hypothetical protein, similar to Q9X8I7|SCE9.14c hypothetical protein from Streptomyces coelicolor (375 aa) FASTA scores: opt: 720, E(): 2.2e-38, (41.55% identity in 361 aa overlap); and shows some similarity to Q9HPS0|VNG1497C hypothetical protein (317 aa) FASTA scores: opt: 226, E(): 4.5e-07, (29.7% identity in 347 aa overlap). Contains neutral zinc metallopeptidases, zinc-binding region signature (PS00142).</t>
  </si>
  <si>
    <t>Rv3627c, (MTCY15C10.25), len: 461 aa. Conserved ala-rich protein which may have cleavable signal peptide at N-terminal end. Equivalent to O69539|MLCB2548.20c|ML0211 hypothetical 47.2 KDA protein from Mycobacterium leprae (461 aa), FASTA scores: opt: 2295, E(): 3.5e-116, (76.2% identity in 462 aa overlap); and C-terminal end shows similarity with O05758|MLCB5.28c hypothetical 24.1 KDA protein from Mycobacterium leprae (225 aa), FASTA scores: opt: 268, E(): 1.8e-07, (32.25% identity in 220 aa overlap). Also similar (or with similarity) to various proteins (notably penicillin binding proteins) e.g. Q9X8I8|SCE9.15c hypothetical 45.9 KDA protein from Streptomyces coelicolor (459 aa) FASTA scores: opt: 707, E(): 8.3e-31, (35.75% identity in 439 aa overlap); Q9Z541|SC9B2.18c putative carboxypeptidase from Streptomyces coelicolor (451 aa), FASTA scores: opt: 450, E(): 5.3e-17, (31.75% identity in 469 aa overlap); Q9JVV4|NMA0665 putative peptidase from Neisseria meningitidis (serogroup A) (or Q9JY10|NMB1797 from serogroup B) (469 aa), FASTA scores: opt: 269, E(): 3e-07, (26.15% identity in 463 aa overlap); O85665|PBP3 penicillin binding protein 3 from Neisseria gonorrhoeae (469 aa), FASTA scores: opt: 265, E(): 4.9e-07, (31.85% identity in 201 aa overlap); P45161|PBP4_HAEIN|DACB|HI1330 penicillin-binding protein 4 precursor/peptidase (479 aa) FASTA scores: opt: 230, E(): 3.8e-05, (27.9% identity in 394 aa overlap); P24228|PBP4_ECOLI|DACB|B3182 penicillin-binding protein 4 precursor from Escherichia coli strain K12 (477 aa), FASTA scores: opt: 166, E(): 0.1, (28.2% identity in 408 aa overlap); etc. Predicted to be an outer membrane protein (See Song et al., 2008).</t>
  </si>
  <si>
    <t>Involved in the function of cellular bioenergetics [catalytic activity: pyrophosphate + H(2)O = 2 orthophosphate].</t>
  </si>
  <si>
    <t>Inorganic pyrophosphatase Ppa (pyrophosphate phospho-hydrolase) (PPASE) (inorganic diphosphatase) (diphosphate phospho-hydrolase)</t>
  </si>
  <si>
    <t>Rv3628, (MTCY15C10.24), len: 162 aa. Ppa, inorganic pyrophosphatase (see Triccas &amp; Gicquel 2001), identical to O69540|IPYR_MYCLEPPA|ML0210|MLCB2548.21 inorganic pyrophosphatase from Mycobacterium leprae (162 aa) FASTA scores: opt: 1018, E(): 1.3e-59, (89.5% identity in 162 aa overlap). Also highly similar to many bacterial pyrophosphatases e.g. Q9X8I9|IPYR_STRCO|PPA|SCE9.16 from Streptomyces coelicolor (163 aa), FASTA scores: opt: 773, E(): 1.3e-43, (67.5% identity in 163 aa overlap); O05545|IPYR_GLUOX|PPA from Gluconobacter oxydans (Gluconobacter suboxydans) (176 aa), FASTA scores: opt: 553, E(): 3.2e-29, (53.8% identity in 145 aa overlap); P77992|IPYR_THELI|PPA from Thermococcus litoralis (176 aa) FASTA scores: opt: 537, E(): 3.5e-28, (49.35% identity in 152 aa overlap); P50308|IPYR_SULAC|PPA from Sulfolobus acidocaldarius (173 aa), FASTA scores: opt: 518, E(): 6e-27, (45.3% identity in 159 aa overlap); etc. Belongs to the PPASE family. Cofactor: requires the presence of divalent metal cation. Magnesium confers the highest activity. Binds 4 divalent cations per subunit (by similarity).</t>
  </si>
  <si>
    <t>Rv3629c, (MTCY15C10.23), len: 365 aa. Probable conserved integral membrane protein, equivalent to O69543|MLCB2548.26|ML0205 putative membrane protein from Mycobacterium leprae (356 aa), FASTA scores: opt: 1547, E(): 3e-89, (66.2% identity in 361 aa overlap). Also similar to other membrane and hypothetical proteins e.g. CAC37534|SCIF3.15c putative integral membrane protein from Streptomyces coelicolor (363 aa), FASTA scores: opt: 819, E(): 7.7e-44, (51.55% identity in 351 aa overlap); Q9CGK3|YKJK hypothetical protein from Lactococcus lactis (subsp. lactis) (Streptococcus lactis) (339 aa) FASTA scores: opt: 683, E(): 2.2e-35, (48.3% identity in 350 aa overlap); Q9KY24|SCC8A.24c putative integral membrane protein from Streptomyces coelicolor (380 aa) FASTA scores: opt: 528, E(): 1.1e-25, (50.25% identity in 372 aa overlap); Q9RJH8|SCF73.09 putative integral membrane protein from Streptomyces coelicolor (370 aa) FASTA scores: opt: 439, E(): 3.9e-20, (50.2% identity in 384 aa overlap); Q9PE36|XF1192 integral membrane protein from Xylella fastidiosa (341 aa), FASTA scores: opt: 337, E(): 8.3e-14, (47.65% identity in 361 aa overlap); etc.</t>
  </si>
  <si>
    <t>Rv3630, (MTCY15C10.22c), len: 431 aa. Probable conserved integral membrane, highly similar to P71789|YF10_MYCTU|Rv1510|MTCY277.32 hypothetical 44.3 KDA protein from Mycobacterium tuberculosis (432 aa) FASTA scores: opt: 1940, E(): 2.3e-103, (70.75% identity in 424 aa overlap). Note that N-terminal end is highly similar to AAK45825|MT1558 hypothetical 18.1 KDA protein from Mycobacterium tuberculosis strain CDC1551 (172 aa) FASTA scores: opt: 649, E(): 4.2e-30, (61.65% identity in 167 aa overlap); and C-terminal end is highly similar to AAK45826|MT1560 hypothetical 25.8 KDA protein from Mycobacterium tuberculosis strain CDC1551 (256 aa), FASTA scores: opt: 1269, E(): 2.6e-65, (76.7% identity in 253 aa overlap). Contains PS00639 Eukaryotic thiol (cysteine) proteases histidine active site, so could be a protease.</t>
  </si>
  <si>
    <t>Possible transferase (possibly glycosyltransferase)</t>
  </si>
  <si>
    <t>Rv3631, (MTCY15C10.21c), len: 241 aa. Possible transferase, more specifically a glycosyltransferase , equivalent to O69542|MLCB2548.24c|ML0207 putative transferase (putative glycosyltransferase) from Mycobacterium leprae (239 aa) FASTA scores: opt: 1303, E(): 2.8e-72, (81.2% identity in 239 aa overlap). Also similar to many dolichyl-phosphate mannose synthases and hypothetical proteins e.g. O59263|PH1585 hypothetical 34.6 KDA protein from Pyrococcus horikoshii (313 aa), FASTA scores: opt: 472, E(): 1.2e-21, (36.65% identity in 232 aa overlap); Q9V152|PAB1971 dolichyl-phosphate mannose synthase from Pyrococcus abyssi (287 aa), FASTA scores: opt: 467, E(): 2.3e-21, (35.85% identity in 223 aa overlap); Q58619|YC22_METJA|MJ1222 hypothetical protein from Methanococcus jannaschii (243 aa), FASTA scores: opt: 400, E(): 2.4e-17, (33.35% identity in 228 aa overlap); O26474|MTH374 dolichyl-phosphate mannose synthase related protein from Methanobacterium thermoautotrophicum (291 aa) FASTA scores: opt: 354, E(): 1.7e-14, (33.5% identity in 218 aa overlap); O26239|MTH136 dolichyl-phosphate mannose synthase from Methanobacterium thermoautotrophicum (220 aa), FASTA scores: opt: 345, E(): 4.8e-14, (33.5% identity in 221 aa overlap); etc.</t>
  </si>
  <si>
    <t>Rv3632</t>
  </si>
  <si>
    <t>Rv3632, (MTCY15C10.20c), len: 114 aa. Possible conserved membrane protein, equivalent to O69541|MLCB2548.23c|ML0208 hypothetical 12.9 KDA protein (putative membrane protein) from Mycobacterium leprae (113 aa), FASTA scores: opt: 594, E(): 7.1e-35, (82.0% identity in 111 aa overlap). A core mycobacterial gene; conserved in mycobacterial strains (See Marmiesse et al., 2004).</t>
  </si>
  <si>
    <t>Rv3633, (MTCY15C10.19c), len: 291 aa. Conserved protein, similar to Q9X5S6|MMCH from Streptomyces lavendulae (254 aa), FASTA scores: opt: 368, E(): 3.2e-16, (35.05% identity in 194 aa overlap); Q9APW1 hypothetical 32.7 KDA protein from Pseudomonas aeruginosa (295 aa), FASTA scores: opt: 359, E(): 1.3e-15, (37.65% identity in 170 aa overlap); Q9APV4 hypothetical 34.1 KDA protein from Pseudomonas aeruginosa (309 aa), FASTA scores: opt: 316, E(): 7.6e-13, (28.65% identity in 262 aa overlap). And some similarity to Q9HGD7|FUM9 FUM9P from Gibberella moniliformis (300 aa), FASTA scores: opt: 254, E(): 6.5e-09, (29.95% identity in 157 aa overlap); and P47181|YJ9S_YEAST|YJR154W|J2240 hypothetical 39.0 KDA protein from Saccharomyces cerevisiae (Baker's yeast) (346 aa), FASTA scores: opt: 190, E(): 8.5e-05, (26.75% identity in 127 aa overlap). Also similar to P71782|YF01_MYCTU|Rv1501|MT1550|MTCY277.23 from Mycobacterium tuberculosis (273 aa), FASTA scores: opt: 286, E(): 5.5e-11, (27.5% identity in 280 aa overlap).</t>
  </si>
  <si>
    <t>Involved in galactofuranosyl biosynthesis: converts UDO-GlcP to UDP-GalP [catalytic activity: UDP-glucopyranose = UDP-galactopyranose].</t>
  </si>
  <si>
    <t>UDP-glucose 4-epimerase GalE1 (galactowaldenase) (UDP-galactose 4-epimerase) (uridine diphosphate galactose 4-epimerase) (uridine diphospho-galactose 4-epimerase)</t>
  </si>
  <si>
    <t>Rv3634c, (MTCY15C10.18), len: 314 aa. GalE1, UDP-glucose 4-epimerase (see citations below), equivalent to O69544|ML0204|RMLB2|MLCB2548.27c putative sugar dehydratase (putative sugar-nucleotide dehydratase) from Mycobacterium leprae (319 aa), FASTA scores: opt: 1798, E(): 8.2e-100, (86.4% identity in 309 aa overlap). Also similar to other UDP-glucose 4-epimerases e.g. Q9WYX9|TM0509 from Thermotoga maritima (309 aa) FASTA scores: opt: 877, E(): 4.8e-45, (45.8% identity in 308 aa overlap); Q57664|GALE_METJA|MJ0211 from Methanococcus jannaschii (305 aa), FASTA scores: opt: 792, E(): 5.4e-40, (42.05% identity in 309 aa overlap); Q9K6S7|BH3649 from Bacillus halodurans (311 aa), FASTA scores: opt: 723, E(): 7e-36, (40.5% identity in 316 aa overlap); Q9HSV1|GALE2|VNG0063G from Halobacterium sp. strain NRC-1 (328 aa), FASTA scores: opt: 597, E(): 2.3e-28, (36.35% identity in 322 aa overlap); etc. Contains short-chain alcohol dehydrogenase family signature (PS00061) but this maynot be significant. Belongs to the sugar epimerase family. Note that previously known as rmlB2, a dTDP-glucose 4,6-dehydratase (see Ma et al., 2001).</t>
  </si>
  <si>
    <t>Rv3635, (MTCY15C10.17c), len: 591 aa (start unclear). Probable conserved transmembrane protein, equivalent, but longer 25 aa, to O69545|ML0203|MLCB2548.28 putative membrane protein from Mycobacterium leprae (569 aa), FASTA scores: opt: 2933, E(): 4.6e-173, (77.0% identity in 569 aa overlap).</t>
  </si>
  <si>
    <t>Rv3636, (MTCY15C10.16c), len: 115 aa. Possible transposase, weakly similar to others e.g. O69924|SC3C8.12 putative transposase from Streptomyces coelicolor (487 aa) FASTA scores: opt: 132, E(): 0.12, (33.05% identity in 112 aa overlap); O96916 TC1-like transposase from Anopheles gambiae (African malaria mosquito) (332 aa), FASTA scores: opt: 117, E(): 0.84, (30.75% identity in 91 aa overlap); Q9R2U5|IS466A|IS466A-ORF|TNPA|IS469|SCP1.276 transposase (insertion element IS466S transposase) from Streptomyces coelicolor (513 aa), FASTA scores: opt: 114, E(): 2, (30.5% identity in 82 aa overlap); etc. Similar in part to P96288|Rv2943|MTCY24G1.06c hypothetical 45.8 KDA protein from Mycobacterium tuberculosis (413 aa), FASTA scores: opt: 533, E(): 1.4e-28, (74.55% identity in 110 aa overlap). Contains possible helix-turn-helix motif from aa 19-40 (+4.98 SD).</t>
  </si>
  <si>
    <t>Rv3637</t>
  </si>
  <si>
    <t>Rv3637, (MTCY15C10.15c), len: 166 aa. Possible transposase. C-terminal end highly similar to Q9RLQ9|ISTA putative transposase a (fragment) from Mycobacterium bovis (102 aa), FASTA scores: opt: 397, E(): 1.4e-19, (58.8% identity in 102 aa overlap). Weakly similar to others e.g. Q9KJ02 putative transposase (fragment) from Polyangium cellulosum (329 aa), FASTA scores: opt: 191, E(): 1.6e-05, (32.1% identity in 134 aa overlap); Q9LCU2|ISTA cointegrase from Pseudomonas aeruginosa (382 aa) FASTA scores: opt: 144, E(): 0.024, (26.8% identity in 123 aa overlap); P15025|ISTA_PSEAE transposase for insertion sequence element IS21 from Pseudomonas aeruginosa (390 aa), FASTA scores: opt: 144, E(): 0.025, (26.85% identity in 123 aa overlap); etc. Also highly similar to C-terminal end of P96288|Rv2943|MTCY24G1.06c hypothetical 45.8 KDA protein from Mycobacterium tuberculosis (413 aa) FASTA scores: opt: 722, E(): 1.5e-40, (63.7% identity in 168 aa overlap).</t>
  </si>
  <si>
    <t>Rv3638, (MTCY15C10.14c), len: 248 aa. Possible transposase, highly similar to Q9RLQ8|ISTB ISTB protein from Mycobacterium bovis (266 aa), FASTA scores: opt: 784, E(): 4e-46, (78.0% identity in 259 aa overlap); and similar to others e.g. P15026|ISTB_PSEAE insertion sequence IS21 putative ATP-binding protein from Pseudomonas aeruginosa (265 aa), FASTA scores: opt: 420, E(): 2.2e-21, (38.8% identity in 255 aa overlap); Q45619|ISTB_BACST insertion sequence IS5376 putative ATP-binding protein from Bacillus stearothermophilus (251 aa), FASTA scores: opt: 402, E(): 3.6e-20, (34.5% identity in 232 aa overlap); P15026|ISTB_ECOLI ISTB protein from Escherichia coli (265 aa), FASTA scores: opt: 419, E(): 8e-23, (38.8% identity in 255 aa overlap); etc. C-terminus highly similar to C-terminus of P96287|Rv2944|MTCY24G1.05 hypothetical 25.5 KDA protein from Mycobacterium tuberculosis strain H37Rv (alias AAK47343|MT3016 IS1533, ORFB from Mycobacterium tuberculosis strain CDC1551) (238 aa), FASTA scores: opt: 784, E(): 3.6e-46, (87.4% identity in 135 aa overlap).</t>
  </si>
  <si>
    <t>Rv3639c</t>
  </si>
  <si>
    <t>Rv3639c, (MTCY15C10.13), len: 188 aa. Hypothetical protein, with C-terminus highly similar to N-terminus of P95044|Rv0698|MTCY210.15 hypothetical 22.3 KDA protein from Mycobacterium tuberculosis (203 aa), FASTA scores: opt: 224, E(): 4.5e-07, (54.8% identity in 73 aa overlap).</t>
  </si>
  <si>
    <t>Required for the transposition of an insertion sequence.</t>
  </si>
  <si>
    <t>Rv3640c, (MTCY15C10.12), len: 409 aa. Probable transposase, highly similar to others e.g. Q48882 transposase from Mycobacterium avium (411 aa) FASTA scores: opt: 1574, E(): 6.2e-93, (59.75% identity in 400 aa overlap); Q9AKV5 putative transposase (fragment) from Mycobacterium paratuberculosis (395 aa), FASTA scores: opt: 1566, E(): 1.9e-92, (60.0% identity in 395 aa overlap); Q48368 transposase from Mycobacterium avium (410 aa), FASTA scores: opt: 1561, E(): 4.1e-92, (59.4% identity in 404 aa overlap); etc.</t>
  </si>
  <si>
    <t>fic</t>
  </si>
  <si>
    <t>Rv3641c</t>
  </si>
  <si>
    <t>Could be involved in cell filamentation induced by cyclic AMP and may have some role in cell division.</t>
  </si>
  <si>
    <t>Possible cell filamentation protein Fic</t>
  </si>
  <si>
    <t>Rv3641c, (MTCY15C10.11), len: 211 aa. Possible fic, cell filamentation protein, similar to others e.g. Q9PCU8|XF1657 cell filamentation protein from Xylella fastidiosa (203 aa), FASTA scores: opt: 324, E(): 2.2e-14, (32.8% identity in 189 aa overlap); P20605|FIC_ECOLI|B3361 from Escherichia coli strain K12 (200 aa), FASTA scores: opt: 323, E(): 2.5e-14, (31.0% identity in 187 aa overlap); P20751|FIC_SALTY from Salmonella typhimurium (200 aa), FASTA scores: opt: 322, E(): 2.9e-14, (32.65% identity in 193 aa overlap); etc.</t>
  </si>
  <si>
    <t>Rv3642c, (MTCY15C10.10), len: 64 aa. Hypothetical unknown protein.</t>
  </si>
  <si>
    <t>Rv3643</t>
  </si>
  <si>
    <t>Rv3643, (MTCY15C10.09c), len: 63 aa (questionable ORF). Identical to AAK48106 from Mycobacterium tuberculosis strain CDC1551 (33 aa) but longer 30 aa.</t>
  </si>
  <si>
    <t>DNA polymerase is a complex, multichain enzyme responsible for most of the replicative synthesis in bacteria.</t>
  </si>
  <si>
    <t>Possible DNA polymerase</t>
  </si>
  <si>
    <t>Rv3644c, (MTCY15C10.08), len: 401 aa. Possible DNA polymerase, equivalent to O69546|MLCB2548.29c|ML0202 hypothetical 42.7 KDA protein from Mycobacterium leprae (405 aa), FASTA scores: opt: 2180, E(): 6.1e-116, (84.4% identity in 404 aa overlap). Similar (in totality or in first 200 aa) to DNA polymerases III, delta' or gamma subunit, e.g. Q9X906|SCH5.03c putative DNA polymerase from Streptomyces coelicolor (401 aa), FASTA scores: opt: 1022, E(): 1.5e-50, (47.05% identity in 404 aa overlap); Q9RRS5|DR2410 DNA polymerase III, tau/gamma subunit from Deinococcus radiodurans (615 aa), FASTA scores: opt: 370, E(): 1.3e-13, (29.95% identity in 394 aa overlap); P28631|HOLB_ECOLI|B1099 DNA polymerase III, delta' subunit from Escherichia coli strain K12 (334 aa), FASTA scores: opt: 345, E(): 2.2e-12, (33.45% identity in 239 aa overlap); Q9JTS1|DNAZX|NMA1656 DNA polymerase III tau and gamma chains from Neisseria meningitidis (serogroup A) (709 aa), FASTA scores: opt: 346, E(): 3.3e-12, (28.55% identity in 364 aa overlap); etc.</t>
  </si>
  <si>
    <t>Rv3645, (MTCY15C10.07c), len: 549 aa. Probable conserved transmembrane protein, equivalent, but longer 20 aa, to O69547|ML0201|MLCB2548.30 putative membrane protein from Mycobacterium leprae (530 aa), FASTA scores: opt: 2958, E(): 1.5e-168, (85.5% identity in 530 aa overlap). Also closely related to several other hypothetical M. tuberculosis proteins, e.g. Q10631|YD18_MYCTU|Rv1318c|MT1359|MTCY130.03c (541 aa) FASTA scores: opt: 1105, E(): 2.7e-58, (39.35% identity in 506 aa overlap); Q10633|YD20_MYCTU|Rv1320c|MT1362|MTCY130.05c (567 aa) FASTA scores: opt: 1031, E(): 7.1e-54, (38.1% identity in 509 aa overlap); Q10632|YD19_MYCTU|Rv1319c|MTCY130.04c (535 aa), FASTA scores: opt: 1016, E(): 5.3e-53, (37.1% identity in 531 aa overlap); etc. Also similar at C-terminal end to many adenylate cyclases e.g. O83498|TP0485 from Treponema pallidum (614 aa) FASTA scores: opt: 365, E(): 3.2e-14, (31.55% identity in 317 aa overlap); P94180|CYAA from Anabaena sp. strain PCC 7120 (735 aa), FASTA scores: opt: 364, E(): 4.2e-14, (32.75% identity in 229 aa overlap); etc.</t>
  </si>
  <si>
    <t>The reaction catalyzed by topoisomerases LEADS to the conversion of one topological isomer of DNA to another. [catalytic activity: ATP-independent breakage of single-stranded DNA, followed by passage and rejoining].</t>
  </si>
  <si>
    <t>DNA topoisomerase I TopA (omega-protein) (relaxing enzyme) (untwisting enzyme) (swivelase) (type I DNA topoisomerase) (nicking-closing enzyme) (TOPO I)</t>
  </si>
  <si>
    <t>Rv3646c, (MTCY15C10.06), len: 934 aa. TopA, DNA topoisomerase I (see citations below), equivalent to O69548|TOP1_MYCLE|TOPA|ML0200|MLCB2548.31c DNA topoisomerase I from Mycobacterium leprae (947 aa) FASTA scores: opt: 5150, E(): 0, (84.6% identity in 936 aa overlap). Also highly similar to many e.g. Q9X909|TOP1_STRCO|TOPA|SCH5.06c from Streptomyces coelicolor (952 aa), FASTA scores: opt: 2754, E(): 1.3e-153, (61.3% identity in 928 aa overlap); P73810|TOP1_SYNY3|TOPA|SLR2058 from Synechocystis sp. strain PCC 6803 (898 aa), FASTA scores: opt: 1442, E(): 9.1e-77, (47.15% identity in 927 aa overlap); P47368|TOP1_MYCGE|TOPA|MG122 from Mycoplasma genitalium (709 aa), FASTA scores: opt: 865, E(): 4.8e-43, (30.3% identity in 736 aa overlap); P06612|TOP1_ECOLI|TOPA|SUPX|B1274 from Escherichia coli strain K12 (865 aa), FASTA scores: opt: 397, E(): 0, (39.6% identity in 704 aa overlap); etc. Belongs to prokaryotic type I/III topoisomerase family.</t>
  </si>
  <si>
    <t>Rv3647c, (MTCY15C10.05), len: 192 aa. Conserved hpothetical protein, equivalent to O69549|MLCB2548.32c|ML0199 conserved hypothetical protein from Mycobacterium leprae (200 aa), FASTA scores: opt: 1029, E(): 9e-58, (80.4% identity in 199 aa overlap). A core mycobacterial gene; conserved in mycobacterial strains (See Marmiesse et al., 2004).</t>
  </si>
  <si>
    <t>Possibly involved in cold acclimation processes (the production of the protein is supposedly predominantly induced at low temperatures).</t>
  </si>
  <si>
    <t>Probable cold shock protein A CspA</t>
  </si>
  <si>
    <t>Rv3648c, (MTCY15C10.04), len: 67 aa. Probable cspA, cold shock protein A, identical to O69550|CSPB|CSPA|ML0198 small cold-shock protein from Mycobacterium leprae (67 aa) FASTA scores: opt: 451, E(): 3.7e-27, (97.0% identity in 67 aa overlap). Also highly similar to many e.g. Q9KGW0|CSPA from Mycobacterium smegmatis (67 aa) FASTA scores: opt: 439, E(): 2.9e-26, (92.55% identity in 67 aa overlap); P54584|CSP_ARTGO from Arthrobacter globiformis (67 aa), FASTA scores: opt: 335, E(): 1.5e-18, (73.45% identity in 64 aa overlap); O30875|CSPA_MICLU from Micrococcus luteus (Micrococcus lysodeikticus); Q9Z5R4|CSPA_BORPE from Bordetella pertussis (67 aa) FASTA scores: opt: 294, E(): 1.7e-15, (59.7% identity in 67 aa overlap); etc. Contains 'cold-shock' DNA-binding domain signature (PS00352) at N-terminal end. Belongs to the cold-shock domain (CSD) family.</t>
  </si>
  <si>
    <t>Possibly has helicase activity.</t>
  </si>
  <si>
    <t>Probable helicase</t>
  </si>
  <si>
    <t>Rv3649, (MTCY15C10.03c), len: 771 aa. Probable helicase, similar to many (known or hypothetical) ATP-dependent helicases e.g. Q9X915|SCH5.13 putative helicase from Streptomyces coelicolor (815 aa) FASTA scores: opt: 2550, E(): 9.6e-139, (52.45% identity in 774 aa overlap); Q05549|YDR291W|D9819.1 protein similar to several DNA helicases from Saccharomyces cerevisiae (Baker's yeast) (1077 aa), FASTA scores: opt: 1161, E(): 5.9e-59, (31.05% identity in 780 aa overlap); P50830|YPRA_BACSU hypothetical helicase from Bacillus subtilis (749 aa), FASTA scores: opt: 1154, E(): 1.1e-58, (34.05% identity in 734 aa overlap); Q9KC10|BH1764 ATP-dependent RNA helicase from Bacillus halodurans (764 aa), FASTA scores: opt: 1122, E(): 8e-57, (32.3% identity in 759 aa overlap); etc. Seems similar to dead/DEAH box helicase family, and to helicase C-terminal domain.</t>
  </si>
  <si>
    <t>PE33</t>
  </si>
  <si>
    <t>Rv3650</t>
  </si>
  <si>
    <t>PE family protein PE33</t>
  </si>
  <si>
    <t>Rv3650, (MTCY15C10.02c), len: 94 aa. PE33, Short protein, member of the Mycobacterium tuberculosis PE family (see Brennan and Delogu, 2002), but without the repetitive gly-rich region, similar to the N-terminal part of many e.g. O53809|Rv0746|MTV041.20 PGRS-family protein (783 aa), FASTA scores: opt: 363, E(): 2.1e-15, (76.55% identity in 81 aa overlap).</t>
  </si>
  <si>
    <t>Rv3651, (MTCY15C10.01c), len: 345 aa. Hypothetical protein, with some similarity to Q9ZHK1 hypothetical 36.5 KDA protein from Rhodococcus sp. X309 (329 aa) FASTA scores: opt: 332, E(): 3.4e-13, (27.4% identity in 321 aa overlap).</t>
  </si>
  <si>
    <t>PE_PGRS60</t>
  </si>
  <si>
    <t>Rv3652</t>
  </si>
  <si>
    <t>PE-PGRS family-related protein PE_PGRS60</t>
  </si>
  <si>
    <t>Rv3652, (MTV025.001A), len: 104 aa. PE_PGRS60, Member of the Mycobacterium tuberculosis PE family, PGRS subfamily of gly-rich proteins (see Brennan and Delogu, 2002), similar at N-terminal end with many e.g. P56877|Y278_MYCTU|Rv0278c|MTV035.06c (957 aa) FASTA scores: opt: 242, E(): 3e-09, (77.35% identity in 53 aa overlap). Originally annotated as the first part of a PE-PGRS family protein (Rv3653/PE_PGRS61 being the second part) but more similar to a PE family protein. Length extended since first submission (+50 aa).</t>
  </si>
  <si>
    <t>PE_PGRS61</t>
  </si>
  <si>
    <t>Rv3653</t>
  </si>
  <si>
    <t>PE-PGRS family-related protein PE_PGRS61</t>
  </si>
  <si>
    <t>Rv3653, (MTV025.001B), len: 195 aa. PE_PGRS61, Member of the Mycobacterium tuberculosis PE family, PGRS subfamily of gly-rich proteins (see Brennan and Delogu, 2002), highly similar to the C-termini of members of the Mycobacterium tuberculosis PE family, PGRS subfamily of gly-rich proteins, e.g. MTCY1A11_25, MTCY28_25, MTCY130_10, MTCY1A10_19, MTCY21B4_13, MTCI418B_6,MTCY28_34, MTV004_1, MTCY441_4; etc. Originally annotated as the second part of a PE-PGRS family protein (Rv3652/PE_PGRS60 being the first part). Start shortened since first submission (-50 aa).</t>
  </si>
  <si>
    <t>Rv3654c</t>
  </si>
  <si>
    <t>Rv3654c, (MTV025.002c), len: 84 aa. Hypothetical protein, similar to C-terminus of Q9X916|SCH5.14c membrane spanning protein from Streptomyces coelicolor (230 aa) FASTA scores: opt: 176, E(): 2.4e-05, (47.0% identity in 83 aa overlap). Equivalent to AAK48118 from Mycobacterium tuberculosis strain CDC1551 but shorter 18 aa.</t>
  </si>
  <si>
    <t>Rv3655c</t>
  </si>
  <si>
    <t>Rv3655c, (MTV025.003c), len: 125 aa. Hypothetical protein, with similarity to Q9X917|SCH5.15c hypothetical 15.2 KDA protein from Streptomyces coelicolor (150 aa) FASTA scores: opt: 211, E(): 7.7e-07, (39.65% identity in 111 aa overlap). Equivalent to AAK48119 from Mycobacterium tuberculosis strain CDC1551 (99 aa) but longer 26 aa at the C-terminus.</t>
  </si>
  <si>
    <t>Rv3656c</t>
  </si>
  <si>
    <t>Rv3656c, (MTV025.004c), len: 68 aa. Conserved hypothetical protein, similar to Q9X918|SCH5.16c small hypothetical protein from Streptomyces coelicolor (75 aa), FASTA scores: opt: 129, E(): 0.0039, (40.0% identity in 60 aa overlap). Equivalent to AAK48120 from Mycobacterium tuberculosis strain CDC1551 (42 aa) but longer 26 aa.</t>
  </si>
  <si>
    <t>Rv3657c</t>
  </si>
  <si>
    <t>Possible conserved alanine rich membrane protein</t>
  </si>
  <si>
    <t>Rv3657c, (MTV025.005c), len: 191 aa. Possible conserved membrane protein, rich in ala residues, similar to Q9X919|SCH5.17c putative integral membrane protein from Streptomyces coelicolor (267 aa), FASTA scores: opt: 324, E(): 4.7e-12, (40.9% identity in 154 aa overlap).</t>
  </si>
  <si>
    <t>Rv3658c, (MTV025.006c), len: 266 aa. Probable conserved transmembrane protein, similar to Q9X920|SCH5.18c putative integral membrane protein from Streptomyces coelicolor (321 aa), FASTA scores: opt: 335, E(): 4.1e-13, (38.05% identity in 247 aa overlap).</t>
  </si>
  <si>
    <t>Rv3659c</t>
  </si>
  <si>
    <t>Rv3659c, (MTV025.007c), len: 352 aa. Conserved hypothetical protein, highly similar, but always shorter (various lengths) at N-terminus, to Q9X921|SCH5.19c putative secretory protein from Streptomyces coelicolor (523 aa), FASTA scores: opt: 1287, E(): 5.3e-66, (59.85% identity in 351 aa overlap); Q9HW98|PA4302 probable type II secretion system protein from Pseudomonas aeruginosa (421 aa), FASTA scores: opt: 776, E(): 5.4e-37, (42.8% identity in 320 aa overlap); AAK65510|CPAF2 probable CPAF2 PILUS assembly protein from Rhizobium meliloti (Sinorhizobium meliloti) plasmid pSymA (497 aa) FASTA scores: opt: 769, E(): 1.5e-36, (40.45% identity in 309 aa overlap); Q9KY93|SCK15.11 putative secretory protein from Streptomyces coelicolor (445 aa), FASTA scores: opt: 751, E(): 1.5e-35, (38.15% identity in 333 aa overlap); etc. Contains PS00017 ATP/GTP binding site motif A (P-loop). Note that previously known as trbB.</t>
  </si>
  <si>
    <t>Rv3660c</t>
  </si>
  <si>
    <t>Possibly plays a regulatory role in celular differentiation.</t>
  </si>
  <si>
    <t>Rv3660c, (MTV025.008c), len: 350 aa. Conserved hypothetical protein, similar to O33612 protein concerned in inhibition of morphological differentiation in Streptomyces azureus from Streptomyces cyaneus (Streptomyces curacoi) (370 aa), FASTA scores: opt: 655, E(): 5.9e-31, (42.2% identity in 315 aa overlap); Q9X922|SCH5.20c putative septum site determining protein from Streptomyces coelicolor (396 aa), FASTA scores: opt: 592, E(): 2.9e-27, (43.25% identity in 275 aa overlap). And shows some similarity to AAK65513|CPAE2 probable CPAE2 PILUS assembly protein from Rhizobium meliloti (Sinorhizobium meliloti) plasmid pSymA (586 aa) FASTA scores: opt: 212, E(): 5.1e-05, (25.75% identity in 295 aa overlap); and several cell division inhibitors or septum site-determining proteins. Equivalent to AAK48124 from Mycobacterium tuberculosis strain CDC1551 (261 aa) but longer 89 aa.</t>
  </si>
  <si>
    <t>Rv3661, (MTV025.009), len: 287 aa. Conserved hypothetical protein, highly similar to O33611|IMD_STRCN from Streptomyces cyaneus (Streptomyces curacoi) protein involved in inhibition of morphological differentiation in Streptomyces azureus (belongs to the SerB family) (277 aa) FASTA scores: opt: 1073, E(): 3.5e-61, (61.45% identity in 262 aa overlap); and Q9X923|SCH5.21 putative morphological differentiation-associated protein from Streptomyces coelicolor (268 aa), FASTA scores: opt: 1057, E(): 3.6e-60, (61.45% identity in 262 aa overlap). Also similar to various bacterial proteins (principally serB-related proteins) e.g. Q49823|ML2424 hypothetical SERB protein from Mycobacterium leprae (300 aa), FASTA scores: opt: 452, E(): 1.4e-21, (35.8% identity in 257 aa overlap); Q9WX12|SCE68.20 hypothetical 32.0 KDA protein from Streptomyces coelicolor (298 aa), FASTA scores: opt: 415, E(): 3.1e-19, (33.55% identity in 280 aa overlap); Q9RIT2|SERB phosphoserine phosphatase (fragment) from Streptomyces coelicolor (266 aa), FASTA scores: opt: 405, E(): 1.2e-18, (34.1% identity in 261 aa overlap); etc. Also similar to Q11169|Y505_MYCTU|Rv0505c|MTCY20G9.32c hypothetical 39.5 KDA protein from Mycobacterium tuberculosis (373 aa), FASTA scores: opt: 454, E(): 1.2e-21, (35.15% identity in 276 aa overlap). Belongs to the SerB family.</t>
  </si>
  <si>
    <t>Rv3662c</t>
  </si>
  <si>
    <t>Rv3662c, (MTV025.010c), len: 256 aa. Conserved hypothetical protein, equivalent to Q9CB99|ML2289 hypothetical protein from Mycobacterium leprae (256 aa) FASTA scores: opt: 1255, E(): 3.3e-69, (78.05% identity in 255 aa overlap). Also similar to Q9X924|SCH5.22c putative oxidoreductase from Streptomyces coelicolor (274 aa), FASTA scores: opt: 289, E(): 1.8e-10, (39.25% identity in 270 aa overlap).</t>
  </si>
  <si>
    <t>Involved in active transport of dipeptide across the membrane (import). Responsible for energy coupling to the transport system.</t>
  </si>
  <si>
    <t>Probable dipeptide-transport ATP-binding protein ABC transporter DppD</t>
  </si>
  <si>
    <t>Rv3663c, (MTV025.011c), len: 548 aa. Probable dppD, dipeptide-transport ATP-binding protein ABC-transporter (see citation below), similar to many ATP-binding proteins e.g. AAK65441|SMA1434 probable ABC transporter ATP-binding protein from Rhizobium meliloti (Sinorhizobium meliloti) plasmid pSymA (550 aa), FASTA scores: opt: 1528, E(): 1e-78, (46.25% identity in 545 aa overlap); O50270|MOAD MOAD protein from Agrobacterium radiobacter (588 aa), FASTA scores: opt: 1354, E(): 6.7e-69, (42.9% identity in 541 aa overlap); Q9KM01|VCA0588 putative peptide ABC transporter ATP-binding protein from Vibrio cholerae (530 aa), FASTA scores: opt: 951, E(): 3.1e-46, (44.0% identity in 534 aa overlap); BAB49448|MLR2279 ATP-binding protein of peptide ABC transporter from Rhizobium loti (Mesorhizobium loti) (604 aa), FASTA scores: opt: 949, E(): 4.4e-46, (41.55% identity in 544 aa overlap); etc. Contains 2 PS00211 ABC transporters family signature, and 2 PS00017 ATP/GTP-binding site motif A (P-loop). Belongs to the ATP-binding transport protein family (ABC transporters).</t>
  </si>
  <si>
    <t>Involved in active transport of dipeptide across the membrane (import). Responsible for the translocation of the substrate across the membrane.</t>
  </si>
  <si>
    <t>Probable dipeptide-transport integral membrane protein ABC transporter DppC</t>
  </si>
  <si>
    <t>Rv3664c, (MTV025.012c), len: 266 aa. Probable dppC, dipeptide-transport integral membrane protein ABC-transporter (see Braibant et al., 2000), similar to many peptide permeases e.g. Q9F351|SC9E12.04 putative peptide transport system integral membrane from Streptomyces coelicolor (305 aa), FASTA scores: opt: 901, E(): 1.1e-47, (51.15% identity in 262 aa overlap); Q9KFX1|APPC|BH0349 oligopeptide ABC transporter (permease) from Bacillus halodurans (305 aa), FASTA scores: opt: 652, E(): 1.5e-32, (35.55% identity in 270 aa overlap); P94312|DPPC_BACFI dipeptide transport system permease protein from Bacillus firmus (304 aa), FASTA scores: opt: 642, E(): 5.9e-32, (35.75% identity in 263 aa overlap); P24139|OPPC_BACSU|SPO0KC oligopeptide transport system permease protein from Bacillus subtilis (305 aa), FASTA scores: opt: 637, E(): 1.2e-31, (37.4% identity in 262 aa overlap); P26904|DPPC_BACSU|DCIAC dipeptide transport system permease protein from Bacillus subtilis (320 aa), FASTA scores: opt: 621, E(): 1.2e-30, (39.9% identity in 263 aa overlap); etc. Has similarity with integral membrane components of other binding-protein-dependent transport systems. Belongs to the OPPBC subfamily.</t>
  </si>
  <si>
    <t>Probable dipeptide-transport integral membrane protein ABC transporter DppB</t>
  </si>
  <si>
    <t>Rv3665c, (MTV025.013c), len: 308 aa. Probable dppB, dipeptide-transport integral membrane protein ABC-transporter (see citation below), similar to many peptide permeases e.g. Q9F352|SC9E12.03 putative peptide transport system integral membrane protein from Streptomyces coelicolor (307 aa), FASTA scores: opt: 1145, E(): 1.8e-61, (57.65% identity in 307 aa overlap); Q53191|Y4TP_RHISN probable peptide ABC transporter permease protein Rhizobium sp. strain NGR234 (313 aa), FASTA scores: opt: 653, E(): 5.2e-32, (31.2% identity in 314 aa overlap); P24138|OPPB_BACSU oligopeptide transport system permease from Bacillus subtilis (311 aa), FASTA scores: opt: 643, E(): 2.1e-31, (33.45% identity in 305 aa overlap); etc. Belongs to the OPPBC subfamily.</t>
  </si>
  <si>
    <t>Thought to be involved in active transport of dipeptide across the membrane (import).</t>
  </si>
  <si>
    <t>Probable periplasmic dipeptide-binding lipoprotein DppA</t>
  </si>
  <si>
    <t>Rv3666c, (MTV025.014c), len: 541 aa. Probable dppA, dipeptide-binding lipoprotein component of dipeptide transport system (see citation below), similar to many substrate-binding proteins e.g. Q9F353|SC9E12.02 putative peptide transport system secreted peptide-binding protein from Streptomyces coelicolor (544 aa), FASTA scores: opt: 1200, E(): 9e-67, (39.2% identity in 538 aa overlap); P24141|OPPA_BACSU oligopeptide-binding protein from Bacillus subtilis (545 aa), FASTA scores: opt: 523, E(): 7.9e-25, (26.15% identity in 516 aa overlap); P23843|OPPA_ECOLI periplasmic oligopeptide-binding protein from Escherichia coli (543 aa), FASTA scores: opt: 452, E(): 2e-20, (25.9% identity in 529 aa overlap); etc. Contains probable N-terminal signal sequence.</t>
  </si>
  <si>
    <t>Activates acetate to acetyl-coenzyme A [catalytic activity: ATP + acetate + CoA = AMP + pyrophosphate + acetyl-CoA].</t>
  </si>
  <si>
    <t>Acetyl-coenzyme A synthetase Acs (acetate--CoA ligase) (acetyl-CoA synthetase) (acetyl-CoA synthase) (acyl-activating enzyme) (acetate thiokinase) (acetyl-activating enzyme) (acetate--coenzyme A ligase) (acetyl-coenzyme A synthase)</t>
  </si>
  <si>
    <t>Rv3667, (MTV025.015), len: 651 aa. Probable acs, acetyl-coenzyme-a synthetase, similar to many e.g. Q9X928|SCH5.26 from Streptomyces coelicolor (651 aa) FASTA scores: opt: 2850, E(): 1.9e-164, (66.05% identity in 639 aa overlap); Q55404|ACSA_SYNY3|ACS|SLL0542 from Synechocystis sp. strain PCC 6803 (653 aa), FASTA scores: opt: 2342, E(): 8.8e-134, (55.15% identity in 649 aa overlap); P31638|ACSA_ALCEU|ACOE from Alcaligenes eutrophus (Ralstonia eutropha) (660 aa), FASTA scores: opt: 2181, E(): 4.6e-124, (52.05% identity in 665 aa overlap); P27550|ACSA_ECOLI|ACS|B4069 from Escherichia coli strain K12 (652 aa), FASTA scores: opt: 1625, E(): 0, (48.3% identity in 646 aa overlap); etc. Contains PS00455 Putative AMP-binding domain signature. Belongs to the ATP-dependent AMP-binding enzyme family.</t>
  </si>
  <si>
    <t>Function unknown; hydrolyses peptides and/or proteins.</t>
  </si>
  <si>
    <t>Possible protease</t>
  </si>
  <si>
    <t>Rv3668c, (MTV025.016c), len: 232 aa. Possible protease (and more specifically a putative alkaline serine protease, equivalent to Q9CB98|ML2295 hypothetical protein from Mycobacterium leprae (234 aa), FASTA scores: opt: 1249, E(): 7.4e-66, (77.5% identity in 231 aa overlap). Also similar at C-terminal end with many proteases e.g. O86984 alkaline serine protease precursor from Thermomonospora fusca (368 aa), FASTA scores: opt: 190, E(): 0.00056, (28.9% identity in 173 aa overlap); Q55353|SAPII alkaline serine protease II from Streptomyces sp (382 aa), FASTA scores: opt: 160, E(): 0.032, (27.15% identity in 199 aa overlap); O54109|SC10A5.18 putative secreted protease from Streptomyces coelicolor (411 aa), FASTA scores: opt: 155, E(): 0.066, (26.4% identity in 163 aa overlap); Q54392|SAL|SCI11.35C serine protease SAL precursor (300 aa), FASTA scores: opt: 153, E(): 0.068, (28.1% identity in 185 aa overlap); P00778|PRLA_LYSEN|alpha-LP alpha-LYTIC protease precursor (397 aa), FASTA scores: opt: 154, E(): 0.074, (26.75% identity in 172 aa overlap); etc. Also similar with Q50618|YI15_MYCTU|Rv1815|MT1863|MTCY1A11.28c hypothetical 22.8 KDA protein from Mycobacterium tuberculosis (221 aa), FASTA scores: opt: 134, E(): 0.69, (30.95% identity in 181 aa overlap). Conserved in M. tuberculosis, M. leprae, M. bovis and M. avium paratuberculosis; predicted to be essential for in vivo survival and pathogenicity (See Ribeiro-Guimaraes and Pessolani, 2007).</t>
  </si>
  <si>
    <t>Rv3669, (MTV025.017), len: 172 aa. Probable conserved transmembrane protein, equivalent to Q9CB97|ML2296 putative membrane protein from Mycobacterium leprae (181 aa), FASTA scores: opt: 863, E(): 1.4e-47, (77.35% identity in 181 aa overlap). Also similar to two putative integral membrane transport proteins from Streptomyces coelicolor; Q9X930|SCH5.28 (162 aa) FASTA scores: opt: 265, E(): 6.3e-10, (37.4% identity in 155 aa overlap); and Q9X9W1|SCI7.29c (165 aa), FASTA scores: opt: 194, E(): 1.9e-05, (30.6% identity in 134 aa overlap). Contains two hydrophobic stretches in centre.</t>
  </si>
  <si>
    <t>Thought to be involved in detoxification reactions following oxidative damage to lipids. Biotransformation enzyme that catalyzes the hydrolysis of epoxides: aromatic hydrocarbons catabolism [catalytic activity: an epoxide + H(2)O = a glycol].</t>
  </si>
  <si>
    <t>Possible epoxide hydrolase EphE (epoxide hydratase) (arene-oxide hydratase)</t>
  </si>
  <si>
    <t>Rv3670, (MTV025.018), len: 327 aa. Possible ephE, epoxide hydrolase (see citation below), equivalent to Q9CB96|ML2297 putative hydrolase from Mycobacterium leprae (324 aa), FASTA scores: opt: 1799, E(): 7.2e-105, (80.55% identity in 324 aa overlap). Also similar to many hydrolases (epoxide hydrolases) and hypothetical proteins e.g. Q9X931|SCH5.29 putative hydrolase from Streptomyces coelicolor (324 aa), FASTA scores: opt: 687, E(): 1.4e-35, (40.65% identity in 327 aa overlap); Q9RRE3|DR2549 epoxide hydrolase-related protein from Deinococcus radiodurans (278 aa), FASTA scores: opt: 321, E(): 8.2e-13, (32.15% identity in 311 aa overlap); Q9K3Q1|2SCG4.13 putative hydrolase from Streptomyces coelicolor (292 aa), FASTA scores: opt: 295, E(): 3.5e-11, (30.18% identity in 275 aa overlap); Q9S7P1 epoxide hydrolase from Oryza sativa (Rice) (322 aa), FASTA scores: opt: 289, E(): 9.1e-11, (28.7% identity in 338 aa overlap); O23227|C7A10.830|AT4G36530 epoxide hydrolase from Arabidopsis thaliana (Mouse-ear cress) (378 aa) FASTA scores: opt: 287, E(): 1.4e-10, (26.1% identity in 272 aa overlap); Q21147|K02F3.6 epoxide hydrolase from Caenorhabditis elegans (386 aa), FASTA scores: opt: 283, E(): 2.5e-10, (33.35% identity in 156 aa overlap); etc. Also similar to P95276|EPHB|Rv1938|MTCY09F9.26c from Mycobacterium tuberculosis (356 aa), FASTA scores: opt: 296, E(): 3.6e-11, (29.7% identity in 340 aa overlap). Contains PS00213 Lipocalin signature. Similar to alpha/beta hydrolase fold.</t>
  </si>
  <si>
    <t>Function unknown; hydrolyses of peptides and/or proteins (possibly cleaved preferentially after serine residue).</t>
  </si>
  <si>
    <t>Membrane-associated serine protease</t>
  </si>
  <si>
    <t>Rv3671c, (MTV025.019c), len: 397 aa. Serine protease membrane protein, equivalent to Q9CB95|ML2298 putative membrane-associated serine protease from Mycobacterium leprae (401 aa), FASTA scores: opt: 2061, E(): 2.3e-108, (80.9% identity in 398 aa overlap). Also similar to many serine proteases, but generally with extended N-terminus, e.g. Q9X932|SCH5.30c putative serine protease (fragment) from Streptomyces coelicolor (385 aa), FASTA scores: opt: 835, E(): 1.2e-39, (39.9% identity in 386 aa overlap); Q9Z6T0|DEGP_CHLPN|HTRA|CPN0979|CP0877 probable serine protease do-like precursor from Chlamydia pneumoniae (Chlamydophila pneumoniae) (488 aa), FASTA scores: opt: 285, E(): 1e-08, (29.05% identity in 296 aa overlap); P73354|HTRA|SLR1204 serine protease from Synechocystis sp. strain PCC 6803 (452 aa), FASTA scores: opt: 284, E(): 1.1e-08, (29.55% identity in 308 aa overlap); Q9RWC4|DR0745 periplasmic serine protease, HTRA/DEGQ/DEGS family from Deinococcus radiodurans (366 aa), FASTA scores: opt: 271, E(): 4.9e-08, (35.45% identity in 206 aa overlap); etc. Also similar, but longer 114 aa at the N-terminus, to Q9S2P8|SC5F7.13 putative peptidase from Streptomyces coelicolor (282 aa), FASTA scores: opt: 594, E(): 3.1e-26, (38.95% identity in 285 aa overlap). And similar, but longer 146 aa at the N-terminus, to O07175|PEPA|Rv0125|MTCI418B.07 from Mycobacterium tuberculosis (355 aa), FASTA scores: opt: 295, E(): 2.2e-09, (29.55% identity in 254 aa overlap); and Q9CCY9|ML2659 probable secreted serine protease from Mycobacterium leprae FASTA scores: opt: 286, E(): 6.9e-09, (30.6% identity in 255 aa overlap). Contains PS00135 Serine proteases, trypsin family, serine active site. Conserved in M. tuberculosis, M. leprae, M. bovis and M. avium paratuberculosis; predicted to be essential for in vivo survival and pathogenicity (See Ribeiro-Guimaraes and Pessolani, 2007).</t>
  </si>
  <si>
    <t>Rv3672c, (MTV025.020c), len: 273 aa. Conserved hypothetical protein, equivalent to Q9CB94|ML2299 hypothetical protein from Mycobacterium leprae (266 aa) FASTA scores: opt: 1358, E(): 5.2e-75, (76.4% identity in 267 aa overlap). Also similar to others (generally in C-terminal end) e.g. Q9XA45|SCH17.02c hypothetical 26.5 KDA protein from Streptomyces coelicolor (247 aa) FASTA scores: opt: 524, E(): 1.3e-24, (42.65% identity in 251 aa overlap); Q9AB27|CC0407 mutt/NUDIX family protein from Caulobacter crescentus (216 aa), FASTA scores: opt: 285, E(): 3.2e-10, (36.2% identity in 174 aa overlap); BAB49788|MLL2727|Q98HS8 hypothetical protein from Rhizobium loti (Mesorhizobium loti) (204 aa), FASTA scores: opt: 278, E(): 8.1e-10, (31.45% identity in 151 aa overlap); P43337|YEAB_ECOLI|B1813 hypothetical 21.4 KDA protein from Escherichia coli strain K12 (192 aa) FASTA scores: opt: 252, E(): 2.9e-08, (35.9% identity in 170 aa overlap); etc. Contains PS01293 Uncharacterized protein family UPF0036 signature, LLT.</t>
  </si>
  <si>
    <t>Function not known: possibly acts on thioredoxin.</t>
  </si>
  <si>
    <t>Possible membrane-anchored thioredoxin-like protein (thiol-disulfide interchange related protein)</t>
  </si>
  <si>
    <t>Rv3673c, (MTV025.021c), len: 227 aa. Possible membrane protein, thioredoxin-like protein (thiol-disulfide interchange protein), equivalent to Q9CB93|ML2300 putative membrane protein from Mycobacterium leprae (215 aa), FASTA scores: opt: 978, E(): 2.5e-52, (71.15% identity in 215 aa overlap). Some similarity with thioredoxin-related proteins e.g. P35160|RESA_BACSU RESA protein from Bacillus subtilis (181 aa), FASTA scores: opt: 212, E(): 5.7e-06, (30.55% identity in 108 aa overlap); Q9RXW6|DR0189 thiol:disulfide interchange protein from Deinococcus radiodurans (185 aa) FASTA scores: opt: 206, E(): 1.3e-05, (33.8% identity in 139 aa overlap); Q9I505|PA0953 probable thioredoxin from Pseudomonas aeruginosa (154 aa), FASTA scores: opt: 180, E(): 0.00044, (34.85% identity in 109 aa overlap); Q9KCP7|BH1522 thioredoxin (thiol:disulfide interchange protein) from Bacillus halodurans (177 aa), FASTA scores: opt: 178, E(): 0.00064, (31.75% identity in 107 aa overlap); P43221|TLPA_BRAJA thiol:disulfide interchange protein (cytochrome C biogenesis protein) from Bradyrhizobium japonicum (221 aa), FASTA scores: opt: 189, E(): 0.00017, (26.85% identity in 227 aa overlap); etc. Also similar to O06392|Rv0526|MTCY25D10.05 hypothetical 23.2 KDA protein from Mycobacterium tuberculosis (216 aa) FASTA scores: opt: 160, E(): 0.0093, (27.45% identity in 142 aa overlap). Contains PS00194 Thioredoxin family active site. Possibly belongs to the thioredoxin family.</t>
  </si>
  <si>
    <t>Has both an apurinic and/or apyrimidinic endonuclease activity and a DNA N-glycosylase activity. Incises damaged DNA at cytosines, thymines and guanines. Acts on a damaged strand (oxidized pyrimidines), 5' from the damaged site [catalytic activity: endonucleolytic cleavage near apurinic or apyrimidinic sites to products with 5'-phosphate].</t>
  </si>
  <si>
    <t>Probable endonuclease III Nth (DNA-(apurinic or apyrimidinic site)lyase) (AP lyase) (AP endonuclease class I) (endodeoxyribonuclease (apurinic or apyrimidinic)) (deoxyribonuclease (apurinic or apyrimidinic))</t>
  </si>
  <si>
    <t>Rv3674c, (MT3775, MTV025.022c), len: 245 aa. Probable nth, endonuclease III (see citation below), equivalent to Q9CB92|nth|ML2301 putative endonuclease III from Mycobacterium leprae (272 aa), FASTA scores: opt: 1363, E(): 3.6e-81, (89.4% identity in 226 aa overlap). Also similar to many e.g. Q9XA44|SCH17.03c from Streptomyces coelicolor (250 aa), FASTA scores: opt: 937, E(): 2.2e-55, (61.65% identity in 219 aa overlap); P46303|UVEN_MICLU from Micrococcus luteus (Micrococcus lysodeikticus) (279 aa), FASTA scores: opt: 899, E(): 8.1e-53, (58.45% identity in 248 aa overlap); P73715|END3_SYNY3|nth|SLR1822 from Synechocystis sp. strain PCC 6803 (219 aa), FASTA scores: opt: 684, E(): 1.7e-38, (52.2% identity in 203 aa overlap); P39788|END3_BACSU|nth|JOOB from Bacillus subtilis (219 aa), FASTA scores: opt: 552, E(): 1.2e-29, (43.3% identity in 194 aa overlap); etc. Equivalent to AAK48142 from Mycobacterium tuberculosis strain CDC1551 (262 aa) but shorter 17 aa. Contains PS00764 Endonuclease III iron-sulfur binding region signature, and PS01155 Endonuclease III family signature. Belongs to the nth/MUTY family. Cofactor: binds a 4FE-4S cluster which is not important for the catalytic activity, but which is probably involved in the proper positioning of the enzyme along the DNA strand (by similarity). N-terminus extended since first submission (previously 226 aa).</t>
  </si>
  <si>
    <t>Rv3675, (MTV025.023), len: 125 aa. Possible membrane protein, with some similarity to Q9YCZ2|APE1120 hypothetical 11.7 KDA protein from Aeropyrum pernix (103 aa), FASTA scores: opt: 100, E(): 9, (40.0% identity in 55 aa overlap).</t>
  </si>
  <si>
    <t>crp</t>
  </si>
  <si>
    <t>Transcriptional regulatory protein Crp (Crp/Fnr-family)</t>
  </si>
  <si>
    <t>Rv3676, (MTV025.024), len: 224 aa. Crp, transcriptional regulator belonging to crp/fnr family, identical to Q9CB91|ML2302 putative Crp/Fnr-family transcriptional regulator from Mycobacterium leprae (224 aa), FASTA scores: opt: 1408, E(): 8.8e-81, (95.95% identity in 224 aa overlap). Also highly similar to transcriptional regulators AAK58838 from Corynebacterium glutamicum (Brevibacterium flavum) (227 aa), FASTA scores: opt: 1178, E(): 1.9e-66, (79.9% identity in 224 aa overlap); and Q9XA42|SCH17.05 from Streptomyces coelicolor (224 aa), FASTA scores: opt: 869, E(): 3.4e-47, (54.45% identity in 224 aa overlap); and similar to others e.g. Q9RRX0|DR2362 from Deinococcus radiodurans (231 aa) FASTA scores: opt: 344, E(): 1.8e-14, (30.8% identity in 211 aa overlap); P29281|CRP_HAEIN from Haemophilus influenzae (224 aa), FASTA scores: opt: 330, E(): 1.3e-13, (32.25% identity in 189 aa overlap); P03020|CRP_ECOLI|cap|CSM|B3357 from Escherichia coli strain K12 and Shigella flexneri (210 aa), FASTA scores: opt: 323, E(): 3.5e-13, (32.25% identity in 189 aa overlap); etc. Contains helix-turn-helix motif at aa 175-196 (Score 1990, +5.96 SD). Belongs to the Crp/Fnr family of transcriptional regulators. Binds cAMP.</t>
  </si>
  <si>
    <t>Rv3677c, (MTV025.025c), len: 264 aa. Possible hydrolase, equivalent to Q9CB90|ML2303 putative hydrolase from Mycobacterium leprae (262 aa) FASTA scores: opt: 1400, E(): 8.5e-81, (82.05% identity in 262 aa overlap). Also similar to other hydrolases and hypothetical proteins e.g. Q9XA41|SCH17.06c putative hydrolase from Streptomyces coelicolor (256 aa) FASTA scores: opt: 609, E(): 3.9e-31, (54.65% identity in 247 aa overlap); Q9A9Q1|CC0923 metallo-beta-lactamase family protein from Caulobacter crescentus (297 aa), FASTA scores: opt: 306, E(): 4.7e-12, (35.45% identity in 268 aa overlap); Q9Y392 CGI-83 protein from Homo sapiens (Human) (288 aa), FASTA scores: opt: 281, E(): 1.7e-10, (33.2% identity in 259 aa overlap); Q9F7R6 predicted metallobeta lactamase fold protein from uncultured proteobacterium EBAC31A08 (265 aa), FASTA scores: opt: 257, E(): 5.1e-09, (32.55% identity in 252 aa overlap); Q9PBI4|XF2160 hydroxyacylglutathione hydrolase from Xylella fastidiosa (258 aa), FASTA scores: opt: 232, E(): 1.9e-07, (30.3% identity in 165 aa overlap); etc. Recombinant protein has beta lactamase activity (See Nampoothiri et al., 2008).</t>
  </si>
  <si>
    <t>Rv3678A</t>
  </si>
  <si>
    <t>Rv3678A, len: 53 aa. Conserved hypothetical protein, similar to SCH17.10|AL079353_10 conserved hypothetical protein from Streptomyces coelicolor (53 aa), FASTA scores: opt: 259, E(): 1.5e-13, (78.0% identity in 50 aa overlap).</t>
  </si>
  <si>
    <t>Rv3678c, (MTV025.026c), len: 151 aa. Conserved protein, equivalent, but shorter 23 aa, to Q9CB89|ML2304 hypothetical protein from Mycobacterium leprae (174 aa), FASTA scores: opt: 746, E(): 2.1e-40, (78.15% identity in 151 aa overlap). Also highly similar to many hypothetical proteins or transcription regulators e.g. Q9XA38|SCH17.09c from Streptomyces coelicolor (155 aa), FASTA scores: opt: 637, E(): 1.5e-33, (69.1% identity in 152 aa overlap); BAB48205|MLR0658 from Rhizobium loti (Mesorhizobium loti) (154 aa), FASTA scores: opt: 500, E(): 6.8e-25, (55.35% identity in 150 aa overlap); BAB50615|MLR3802 transcription regulator from Rhizobium loti (Mesorhizobium loti) (153 aa), FASTA scores: opt: 425,E(): 3.8e-20, (44.35% identity in 151 aa overlap); Q9U0W7|L7276.02 from Leishmania major (163 aa) FASTA scores: opt: 404, E(): 8.5e-19, (47.7% identity in 151 aa overlap); Q9UZA3|PAB0825 putative translation initiation inhibitor from Pyrococcus abyssi (127 aa), FASTA scores: opt: 108, E(): 3.7, (30.75% identity in 130 aa overlap); etc. Contains PS00044 Bacterial regulatory proteins, lysR family signature.</t>
  </si>
  <si>
    <t>Anion-transporting ATPase; supposedly catalyzes the extrusion of undetermined anions [catalytic activity: ATP + H(2)O + undetermined anion(in) = ADP + phosphate + undetermined anion(out)].</t>
  </si>
  <si>
    <t>Probable anion transporter ATPase</t>
  </si>
  <si>
    <t>Rv3679, (MTV025.027), len: 340 aa. Probable anion transporting ATPase, equivalent to Q9CB88|ML2305 probable anion transporter protein from Mycobacterium leprae (341 aa), FASTA scores: opt: 1810, E(): 2.1e-98, (84.15% identity in 341 aa overlap). Also highly similar to Q9XA36|SCH17.11 putative ion-transporting ATPase from Streptomyces coelicolor (325 aa), FASTA scores: opt: 989, E(): 1.4e-50, (52.15% identity in 328 aa overlap); and similar to many anion transporting ATPases (principally arsenite transporters) e.g. O50593|ARSA_ACIMU arsenical pump-driving ATPase (arsenite-translocating ATPase) from Acidiphilium multivorum (583 aa), FASTA scores: opt: 225, E(): 8.1e-06, (25.1% identity in 319 aa overlap); AAG43231|ARSA arsenite activated ATPase from Salmonella typhimurium plasmid R46 FASTA scores: opt: 211, E(): 5.3e-05, (26.95% identity in 267 aa overlap); P52145|ARA2_ECOLI|ARSA arsenical pump-driving ATPase from Escherichia coli plasmid IncN R46 (583 aa), FASTA scores: opt: 211, E(): 5.3e-05, (26.95% identity in 267 aa overlap); etc. Contains PS00017 ATP/GTP-binding site motif A (P-loop). Some similarity to the ARSA ATPase family.</t>
  </si>
  <si>
    <t>Rv3680, (MTV025.028), len: 386 aa. Probable anion transporting ATPase, equivalent to Q9CB87|ML2306 probable anion transporter protein from Mycobacterium leprae (381 aa), FASTA scores: opt: 2131, E(): 6.5e-120, (88.1% identity in 370 aa overlap). Also highly similar, but shorter 29 aa, to Q9XA35|SCH17.12 putative ion-transporting ATPase from Streptomyces coelicolor (481 aa), FASTA scores: opt: 1190, E(): 1.1e-63, (51.25% identity in 441 aa overlap); and similar to many anion transporting ATPases e.g. Q9UZA6|PAB1555 anion transporting ATPase from Pyrococcus abyssi (330 aa) FASTA scores: opt: 242, E(): 3e-07, (24.6% identity in 297 aa overlap); Q9P7F8|SPAC1142.06 putative arsenite-translocating from Schizosaccharomyces pombe (Fission yeast) (329 aa), FASTA scores: opt: 239, E(): 4.5e-07, (27.9% identity in 197 aa overlap); Q9HS79|ARSA1|VNG0365G arsenical pump-driving ATPase from Halobacterium sp. strain NRC-1 (347 aa), FASTA scores: opt: 238, E(): 5.4e-07, (29.35% identity in 358 aa overlap); etc. Contains PS00017 ATP/GTP-binding site motif A (P-loop).</t>
  </si>
  <si>
    <t>Probable transcriptional regulatory protein WhiB-like WhiB4</t>
  </si>
  <si>
    <t>Rv3681c, (MTV025.029c), len: 118 aa. Probable whiB4 (alternate gene name: whmA), WhiB-like regulatory protein (see Hutter &amp; Dick 1999), similar to WhiB paralogue of Streptomyces coelicolor, wblE gene product (85 aa). Equivalent to ML2307 hypothetical protein from Mycobacterium leprae (116 aa). Also highly similar to Q9S2B9|SCH17.13c putative regulatory protein from Streptomyces coelicolor (112 aa), FASTA scores: opt: 392, E(): 1e-20, (67.95% identity in 78 aa overlap); Q9X951|WBLA hypothetical 14.3 KDA protein from Streptomyces coelicolor (129 aa), FASTA scores: opt: 392, E(): 1.1e-20, (67.95% identity in 78 aa overlap); Q9ACZ0|SCP1.161c putative regulatory protein from Streptomyces coelicolor (268 aa), FASTA scores: opt: 273, E(): 4.4e-12, (50.0% identity in 78 aa overlap); Q06387|WHIB-STV from Streptomyces griseocarneus (87 aa) FASTA scores: opt: 231, E(): 1.5e-09, (43.85% identity in 73 aa overlap); etc. Also similar to several putative regulator proteins from Mycobacterium tuberculosis e.g. MTCY7D11_7; MTCY78_13; MTCY10H4_23; MTCY1A6_6; and U00016_29 from Mycobacterium leprae. N-terminus shortened since first submission.</t>
  </si>
  <si>
    <t>Involved in peptidoglycan synthesis (at the final stages), cell wall formation. Synthesis of cross-linked peptidoglycan from the lipid intermediates. The enzyme has a penicillin-insensitive transglycosylase N-terminal domain (formation of linear glycan strands) and a penicillin-sensitive transpeptidase C-terminal domain (cross-linking of the peptide subunits). Supposedly involved in stationary-phase survival.</t>
  </si>
  <si>
    <t>Probable bifunctional membrane-associated penicillin-binding protein 1A/1B PonA2 (murein polymerase) [includes: penicillin-insensitive transglycosylase (peptidoglycan TGASE) + penicillin-sensitive transpeptidase (DD-transpeptidase)]</t>
  </si>
  <si>
    <t>Rv3682, (MTV025.030), len: 810 aa. Probable ponA2, penicillin-binding protein (class A), bienzymatic membrane-associated protein with transglycosylase and transpeptidase activities. Almost identical to Q9CB85|PON1|ML2308 penicillin binding protein (class A) from Mycobacterium leprae (803 aa) FASTA scores: opt: 4743, E(): 3.3e-217, (87.7% identity in 806 aa overlap); or P72351|PON1|PBP1 high-molecular-mass class a penicillin binding protein from Mycobacterium leprae Cosmid B577 (821 aa), FASTA scores: opt: 4547, E(): 6.3e-208, (88.05% identity in 769 aa overlap) (see Basu et al., 1996). Also equivalent to a predicted homologous protein from Mycobacterium smegmatis. Also similar to others e.g. Q9XA34|SCH17.14 from Streptomyces coelicolor (428 aa; fragment), FASTA scores: opt: 727, E(): 2.3e-27, (36.55% identity in 413 aa overlap); Q9F9V7|PONA from Mycobacterium smegmatis (715 aa), FASTA scores: opt: 446, E(): 6.6e-14, (27.65% identity in 771 aa overlap) (see Billman-Jacobe et al., 1999); Q9CCY4|PONA|ML2688 from Mycobacterium leprae (708 aa), FASTA scores: opt: 413, E(): 2.4e-12, (26.8% identity in 660 aa overlap); Q9X6W0|PONB|MRCB|PA4700 from Pseudomonas aeruginosa (774 aa), FASTA scores: opt: 398, E(): 1.3e-11, (27.2% identity in 666 aa overlap); P45345|PBPB_HAEIN|MRCB|PONB|HI1725 (781 aa), FASTA scores: opt: 380, E(): 9.4e-11, (28.6% identity in 601 aa overlap); etc. Also similar to P71707|PONA1|Rv0050|MTCY21.13 probable bifunctional penicillin-binding protein 1A/1B (PBP1) from Mycobacterium tuberculosis (678 aa) FASTA scores: opt: 372, E(): 2e-10, (28.35% identity in 769 aa overlap). Seems to belong to the transglycosylase family in the N-terminal section, and to the transpeptidase family in the C-terminal section.</t>
  </si>
  <si>
    <t>Rv3683, (MTV025.031), len: 319 aa. Conserved protein, equivalent to Q9CB84|ML2309 hypothetical protein from Mycobacterium leprae (330 aa) FASTA scores: opt: 1791, E(): 9e-107, (85.45% identity in 296 aa overlap). Also similar to Q9X935|SCH66.03 conserved hypothetical protein from Streptomyces coelicolor (309 aa) FASTA scores: opt: 610, E(): 1.4e-31, (51.45% identity in 307 aa overlap); and Q9RRY7|YN45_DEIRA|DR2345 hypothetical protein from Deinococcus radiodurans (305 aa) FASTA scores: opt: 243, E(): 3.2e-08, (31.1% identity in 315 aa overlap) and some similarity to other hypothetical bacterial proteins e.g. Q9CF81|YQED from Lactococcus lactis (subsp. lactis) (Streptococcus lactis) (278 aa) FASTA scores: opt: 200, E(): 1.6e-05, (26.85% identity in 287 aa overlap). Predicted to be an outer membrane protein (See Song et al., 2008).</t>
  </si>
  <si>
    <t>Probable lyase</t>
  </si>
  <si>
    <t>Rv3684, (MTV025.032), len: 346 aa. Probable lyase , and more specifically a cysteine synthase, highly similar to many lyases e.g. Q9K3N2|SCG20A.08c putative lyase from Streptomyces coelicolor (374 aa), FASTA scores: opt: 1469, E(): 3.7e-85, (63.35% identity in 341 aa overlap) (shorter 31 aa at N-terminus); Q9KT44|VC1061 cysteine synthase/ cystathionine beta-synthase family protein from Vibrio cholerae (355 aa), FASTA scores: opt: 1366, E(): 1.1e-78, (63.25% identity in 321 aa overlap); Q9I4R3|PA1061 hypothetical protein from Pseudomonas aeruginosa (365 aa), FASTA scores: opt: 1311, E(): 3.2e-75, (59.8% identity in 341 aa overlap); Q9PH18|XF0128 cysteine synthase from Xylella fastidiosa (390 aa), FASTA scores: opt: 1288, E(): 9.5e-74, (58.55% identity in 333 aa overlap) (shorter 34 aa at N-terminus); P55708|Y4XP_RHISN putative cysteine synthase from Rhizobium sp. strain NGR234 plasmid sym pNGR234a (336 aa), FASTA scores: opt: 376, E(): 2.1e-16, (29.2% identity in 315 aa overlap); etc. Equivalent to AAK48153 from Mycobacterium tuberculosis strain CDC1551 (368 aa) but shorter 22 aa.</t>
  </si>
  <si>
    <t>Probable cytochrome P450 137 Cyp137</t>
  </si>
  <si>
    <t>Rv3685c, (MTV025.033c), len: 476 aa. Probable cyp137, cytochrome P-450, similar to many e.g. Q9VXY0|C4S3_DROME|CYP4S3|CG9081 from Drosophila melanogaster (Fruit fly) (495 aa), FASTA scores: opt: 376, E(): 1.2e-15, (28.35% identity in 413 aa overlap); Q59163|CYP110A2 from Anabaena variabilis (459 aa) FASTA scores: opt: 320, E(): 3.1e-12, (31.4% identity in 411 aa overlap); O23051|C883_ARATH from Arabidopsis thaliana (Mouse-ear cress) (490 aa), FASTA scores: opt: 313, E(): 8.8e-12, (28.25% identity in 425 aa overlap); etc. Also similar to many from Mycobacterium tuberculosis e.g. O53765|C13B_MYCTU|CYP135B1|Rv0568|MT0594|MTV039.06 (472 aa), FASTA scores: opt: 920, E(): 4.6e-49, (36.25% identity in 447 aa overlap); P96813|C138_MYCTU|CYP138|Rv0136|MT0144|MTCI5.10 (441 aa) FASTA scores: opt: 886, E(): 5.3e-47, (35.5% identity in 445 aa overlap); etc. Belongs to the cytochrome P450 family.</t>
  </si>
  <si>
    <t>Rv3686c, (MTV025.034c), len: 110 aa. Hypothetical protein, similar to P96893|Rv3288c|MTCY71.28c hypothetical 15.2 KDA protein from Mycobacterium tuberculosis (and Mycobacterium bovis) (137 aa) FASTA scores: opt: 106, E(): 5.6, (29.1% identity in 79 aa overlap); and a few hypothetical proteins e.g. Q9GUV6|L2259.2 from Leishmania major (360 aa) FASTA scores: opt: 118, E(): 2.1, (28.7% identity in 101 aa overlap). Equivalent to AAK48155 from Mycobacterium tuberculosis strain CDC1551 (166 aa) but shorter 56 aa.</t>
  </si>
  <si>
    <t>rsfB</t>
  </si>
  <si>
    <t>Rv3687c</t>
  </si>
  <si>
    <t>Regulates negatively Rv3287c|RSBW|USFX. Possibly regulated by phosphorylation.</t>
  </si>
  <si>
    <t>Anti-anti-sigma factor RsfB (anti-sigma factor antagonist) (regulator of sigma F B)</t>
  </si>
  <si>
    <t>Rv3687c, (MTV025.035c), len: 122 aa. RsfB, anti-anti-sigma factor (see citation below), showing some similarity to sporulation proteins and sigma-factor genes e.g. Q9WVX8|RSBV_STRCO|bldg|SCH5.12c anti-sigma B factor antagonist from Streptomyces coelicolor (113 aa) FASTA scores: opt: 163, E(): 0.0007, (31.15% identity in 106 aa overlap); Q9F3A2|SC5F1.27c putative anti-sigma factor antagonist from Streptomyces coelicolor (114 aa) FASTA scores: opt: 159, E(): 0.0013, (29.8% identity in 104 aa overlap); P73609|SLR1859 hypothetical 12.0 KDA protein from Synechocystis sp. strain PCC 6803 (108 aa) FASTA scores: opt: 152, E(): 0.0034, (32.2% identity in 90 aa overlap); L47358|BACSPOI_1 spoIIA a from Paenibacillus polymyxa (117 aa), FASTA scores: opt: 107, E(): 0.23, (24.8% identity in 113 aa overlap); SQSIGB_4 rsbU, rsbV, rsbW &amp; sigB genes from Steptomyces aureus (108 aa) (28.3% identity in 60 aa overlap); etc. Also similar to hypothetical proteins from Mycobacterium tuberculosis e.g. MTCY180_14 and MTCY441 _8.</t>
  </si>
  <si>
    <t>Rv3688c, (MTV025.036c), len: 154 aa. Conserved protein, similar to other bacterial hypothetical proteins e.g. Q9X934|SCH66.02c from Streptomyces coelicolor (154 aa), FASTA scores: opt: 425, E(): 3.4e-19, (46.1% identity in 154 aa overlap); Q9WZF4|TM0690 from Thermotoga maritima (149 aa), FASTA scores: opt: 326, E(): 3.4e-13, (40.4% identity in 151 aa overlap); Q9PHU3|CJ0573 from Campylobacter jejuni (147 aa), FASTA scores: opt:290 , E(): 5.1e-11, (36.4% identity in 151 aa overlap); etc. Also some similarity to upstream O69654|Rv3686c|MTV025.034c conserved hypothetical protein from Mycobacterium tuberculosis.</t>
  </si>
  <si>
    <t>Rv3689, (MTV025.037), len: 451 aa. Probable conserved transmembrane protein, with Proline rich N-terminus, similar to Q9KYW6|SCE33.17 putative integral membrane protein from Streptomyces coelicolor (462 aa) FASTA scores: opt: 730, E(): 2.7e-21, (38.1% identity in 412 aa overlap).</t>
  </si>
  <si>
    <t>Rv3690</t>
  </si>
  <si>
    <t>Rv3690, (MTV025.038), len: 217 aa. Probable conserved membrane protein, similar to Q9KYW5|SCE33.18 putative integral membrane protein from Streptomyces coelicolor (231 aa), FASTA scores: opt: 419, E(): 1.5e-19, (36.0% identity in 211 aa overlap). Equivalent to AAK48159 from Mycobacterium tuberculosis strain CDC1551 (233 aa) but shorter 16 aa.</t>
  </si>
  <si>
    <t>Rv3691, (MTV025.039), len: 333 aa. Conserved protein, similar to Q9KYW4|SCE33.19 putative secreted protein from Streptomyces coelicolor (387 aa) FASTA scores: opt: 481, E(): 6e-23, (36.6% identity in 358 aa overlap). Equivalent to AAK48160 from Mycobacterium tuberculosis strain CDC1551 (381 aa) but shorter 48 aa.</t>
  </si>
  <si>
    <t>Probable methanol dehydrogenase transcriptional regulatory protein MoxR2</t>
  </si>
  <si>
    <t>Rv3692, (MTV025.040), len: 358 aa. Probable moxR2, methanol dehydrogenase regulatory protein, highly similar (generally longer at N-terminus) to Q9KYW3|SCE33.20 putative regulatory protein from Streptomyces coelicolor (329 aa), FASTA scores: opt: 1523, E(): 4.2e-74, (70.9% identity in 330 aa overlap); Q9Z538|SC9B2.21c putative regulatory protein from Streptomyces coelicolor (332 aa) FASTA scores: opt: 1008, E(): 1.1e-46, (50.8% identity in 313 aa overlap); Q9UZ67|MOXR-3|PAB0848 methanol dehydrogenase regulatory protein from Pyrococcus abyssi (314 aa), FASTA scores: opt: 989, E(): 1.1e-45, (50.65% identity in 302 aa overlap); Q9AAN1|CC0566 MOXR protein from Caulobacter crescentus (323 aa), FASTA scores: opt: 988, E(): 1.3e-45, (52.3% identity in 306 aa overlap); etc. Also similar to O53170|MTV007.26|MOXR|Rv1479 from Mycobacterium tuberculosis (377 aa); and O07392|AF002133_6|MOXR from Mycobacterium avium (309 aa). Also high similarity with several hypothetical bacterial proteins.</t>
  </si>
  <si>
    <t>Rv3693, (MTV025.041), len: 440 aa (alternative start at 41910). Possible conserved membrane protein, similar to Q9KYW2|SCE33.21 putative lipoprotein from Streptomyces coelicolor (436 aa), FASTA scores: opt: 875, E(): 3.3e-46, (56.25% identity in 448 aa overlap); Q9AAN0|CC0567 hypothetical protein from Caulobacter crescentus (437 aa), FASTA scores: opt: 355, E(): 2.3e-14, (30.9% identity in 450 aa overlap); P73233|SLR2013 hypothetical 48.5 KDA protein from Synechocystis sp. strain PCC 6803 (435 aa), FASTA scores: opt: 340, E(): 1.9e-13, (29.7% identity in 438 aa overlap); etc. Equivalent to AAK48162 from Mycobacterium tuberculosis strain CDC1551 (475 aa) but shorter 35 aa. Also similar to other hypothetical proteins from Mycobacterium tuberculosis; MTV014_7; MTV007_27; and MTCY71_36 M. Predicted to be an outer membrane protein (See Song et al., 2008).</t>
  </si>
  <si>
    <t>Rv3694c, (MTV025.042c), len: 330 aa. Possible conserved transmembrane protein, highly similar to Q9KZM4|SCE34.01c putative integral membrane protein from Streptomyces coelicolor (335 aa), FASTA scores: opt: 1113, E(): 2.5e-60, (51.5% identity in 334 aa overlap); and similar to Q9KEW6|BH0733 hypothetical protein from Bacillus halodurans (355 aa), FASTA scores: opt: 381, E(): 6.1e-16, (24.15% identity in 331 aa overlap); Q9AAM9|CC0568 hypothetical protein from Caulobacter crescentus (332 aa), FASTA scores: opt: 352, E(): 3.3e-14, (30.3% identity in 310 aa overlap); P74166|SLR1478 hypothetical 35.4 KDA protein from Synechocystis sp. strain PCC 6803 (317 aa), FASTA scores: opt: 330, E(): 6.8e-13, (25.65% identity in 308 aa overlap); etc. C-terminal end shows similarity to O29631|AF0624|AE001061_10 conserved hypothetical protein (putative nifU protein) from Archaeoglobus fulgidus (185 aa), FASTA scores: opt: 154, E(): 0.021, (29.0% identity in 131 aa overlap). Equivalent to AAK48163 from Mycobacterium tuberculosis strain CDC1551 (395 aa) but shorter 65 aa. Also some similarity to MTCY428_20 hypothetical 43.7 KDA protein from Mycobacterium tuberculosis.</t>
  </si>
  <si>
    <t>Rv3695, (MTV025.043), len: 310 aa. Possible conserved membrane protein, equivalent, but longer 88 aa, to Q9CB83|ML2312 possible membrane protein from Mycobacterium leprae (196 aa), FASTA scores: opt: 898, E(): 5.2e-36, (71.05% identity in 190 aa overlap). Also highly similar to Q9KZM3|SCE34.02 putative integral membrane protein from Streptomyces coelicolor (318 aa), FASTA scores: opt: 740,E(): 2.4e-28, (43.25% identity in 319 aa overlap); and similar to P72718|SLR0254 hypothetical 30.4 KDA protein from Synechocystis sp. strain PCC 6803 (266 aa), FASTA scores: opt: 287, E(): 6.1e-07, (29.6% identity in 260 aa overlap); Q9HW83|PA4318 hypothetical protein from Pseudomonas aeruginosa (265 aa), FASTA scores: opt: 250, E(): 3.5e-05, (32.0% identity in 203 aa overlap); Q9KEW5|BH0734 hypothetical protein from Bacillus halodurans (266 aa), FASTA scores: opt: 168, E(): 0.0047, (25.95% identity in 231 aa overlap); etc. C-terminal end shows some similarity to proline-rich proteins e.g. Q62106 proline-rich salivary protein (fragment) from Mus musculus (Mouse) (188 aa) (36.1% identity in 97 aa overlap). Equivalent to AAK48164 from Mycobacterium tuberculosis strain CDC1551 (269 aa) but longer 41 aa.</t>
  </si>
  <si>
    <t>Acts in rate-limiting step in glycerol utilization. Key enzyme in the regulation of glycerol uptake and metabolism [catalytic activity: ATP + glycerol = ADP + glycerol 3-phosphate].</t>
  </si>
  <si>
    <t>Probable glycerol kinase GlpK (ATP:glycerol 3-phosphotransferase) (glycerokinase) (GK)</t>
  </si>
  <si>
    <t>Rv3696c, (MTV025.044c), len: 517 aa. Probable glpK, glycerol kinase, equivalent to Q9CB81|GLPK_MYCLE|ML2314 glycerol kinase from Mycobacterium leprae (508 aa), FASTA scores: opt: 3120, E(): 4.7e-189, (91.35% identity in 508 aa overlap). Also highly similar to others e.g. Q9RJM2|GLPK from Streptomyces coelicolor (507 aa), FASTA scores: opt: 2606, E(): 1.1e-156, (75.35% identity in 503 aa overlap); Q9ADA7|GLPK from Streptomyces coelicolor (512 aa) FASTA scores: opt: 2002, E(): 1.3e-118, (59.05% identity in 503 aa overlap); Q9X1E4|GLK2_THEMA|TM1430 from Thermotoga maritima (496 aa), FASTA scores: opt: 1838, E(): 2.7e-108, (54.8% identity in 498 aa overlap); P08859|GLPK_ECOLI|B3926 from Escherichia coli strain K12 (501 aa), FASTA scores: opt: 1740, E(): 4.1e-102, (52.3% identity in 499 aa overlap); etc. Contains PS00933 FGGY family of carbohydrate kinases signature 1, PS00070 Aldehyde dehydrogenases cysteine active site, PS00445 FGGY family of carbohydrate kinases signature 2. Belongs to the fucokinase / gluconokinase / glycerokinase / xylulokinase family.</t>
  </si>
  <si>
    <t>vapB48</t>
  </si>
  <si>
    <t>Rv3697A</t>
  </si>
  <si>
    <t>Possible antitoxin VapB48</t>
  </si>
  <si>
    <t>Rv3697A, len: 74 aa. Possible vapB48, antitoxin, part of toxin-antitoxin (TA) operon with Rv3697c, see Arcus et al. 2005. Similar to others in M. tuberculosis e.g. Rv3321c, Rv0748</t>
  </si>
  <si>
    <t>vapC48</t>
  </si>
  <si>
    <t>Possible toxin VapC48. Contains PIN domain.</t>
  </si>
  <si>
    <t>Rv3697c, (MTV025.045c), len: 145 aa. Possible vapC48, toxin, part of toxin-antitoxin (TA) operon with Rv3697A, contains PIN domain, see Arcus et al. 2005. Similar to many others in Mycobacterium tuberculosis e.g. Q10800|YS72_MYCTU|Rv2872|MT2939|MTCY274.03 (147 aa) FASTA scores: opt: 223, E(): 7.3e-08, (32.6% identity in 141 aa overlap); O53501|Rv2103c|MTV020.03 (144 aa), FASTA scores: opt: 215, E(): 2.4e-07, (31.4% identity in 137 aa overlap); O53812|Rv0749|MTV041.23 (142 aa), FASTA scores: opt: 192, E(): 7.6e-06, (31.25% identity in 144 aa overlap); etc.</t>
  </si>
  <si>
    <t>Rv3698, (MTV025.046), len: 509 aa. Conserved protein, highly similar to Q9AK89|SC10A9.15c conserved hypothetical protein from Streptomyces coelicolor (505 aa), FASTA scores: opt: 1720, E(): 9e-103, (53.65% identity in 494 aa overlap). N-terminal end highly similar to CAC42136|SCBAC25F8.01 conserved hypothetical protein (fragment) from Streptomyces coelicolor (291 aa), FASTA scores: opt: 1078, E(): 8.7e-62, (52.6% identity in 291 aa overlap); and C-terminus highly similar to CAC44687|SCBAC17A6.42c (235 aa), FASTA scores: opt: 911, E(): 3.8e-51, (57.25% identity in 234 aa overlap).</t>
  </si>
  <si>
    <t>Rv3699, (MTV025.047), len: 233 aa. Conserved protein, showing similarity with hypothetical proteins e.g. Q9P3V6|SPAC1348.04 (alias Q9P3E7|SPAC750.03c or Q9P7U5|SPAC977.03) from Schizosaccharomyces pombe (Fission yeast) (145 aa), FASTA scores: opt: 188, E(): 7.5e-05, (31.65% identity in 120 aa overlap); and Q9KB70|BH2058 from Bacillus halodurans (241 aa) FASTA scores: opt: 185, E(): 0.00018, (27.8% identity in 162 aa overlap); Q9XA90|SCF43A.25c putative methyltransferase from Streptomyces coelicolor (215 aa), FASTA scores: opt: 166, E(): 0.0025, (29.95% identity in 147 aa overlap); etc. Also highly similar to O06426|Rv0560c|MTCY25D10.39c hypothetical 25.9 KDA protein from Mycobacterium tuberculosis (241 aa), FASTA scores: opt: 690, E(): 6.5e-36, (53.4% identity in 234 aa overlap); and similar to other hypothetical proteins from Mycobacterium tuberculosis e.g. P71805|Rv1377c|MTCY02B12.11c (212 aa) FASTA scores: opt: 378, E(): 1.5e-16, (35.4% identity in 192 aa overlap); P71972|Rv2675c|MTCY441.44c (250 aa) FASTA scores: opt: 297, E(): 2e-11, (31.1% identity in 193 aa overlap); etc.</t>
  </si>
  <si>
    <t>Rv3700c, (MTV025.048c), len: 390 aa. Conserved hypothetical protein; could be a transferase or a lyase. Indeed, similar to various enzymes e.g. Q53824|CAC capreomycin acetyltransferase from Streptomyces capreolus (359 aa), FASTA scores: opt: 338, E(): 1.1e-12, (33.35% identity in 363 aa overlap); Q9HXX3|CSD_PSEAE|PA3667 probable cysteine desulfurase from Pseudomonas aeruginosa (401 aa) FASTA scores: opt: 260, E(): 4.8e-08, (30.2% identity in 404 aa overlap); Q9X815|SC6G10.30 putative aminotransferase from Streptomyces coelicolor (460 aa), FASTA scores: opt: 243, E(): 5.4e-07, (29.15% identity in 374 aa overlap); Q9A761|CC1865 aminotransferase class V from Caulobacter crescentus (379 aa), FASTA scores: opt: 234, E(): 1.6e-06, (27.95% identity in 383 aa overlap); O74351|NFS1_SCHPO|SPBC21D10.11c probable cysteine desulfurase from Schizosaccharomyces pombe (Fission yeast) (498 aa), FASTA scores: opt: 232, E(): 2.5e-06, (29.1% identity in 285 aa overlap); Q9RME8|NIFS NIFS protein (cysteine desulfurase, tRNA splicing protein) from Zymomonas mobilis (370 aa), FASTA scores: opt: 230, E(): 2.6e-06, (32.85% identity in 201 aa overlap); etc. Contains PS00626 Regulator of chromosome condensation (RCC1) signature 2.</t>
  </si>
  <si>
    <t>Rv3701c, (MTV025.049c), len: 321 aa. Conserved hypothetical protein, highly similar to other hypothetical proteins e.g. Q9RCZ8|SCM1.46 from Streptomyces coelicolor (251 aa), FASTA scores: opt: 897, E(): 1.1e-50, (59.9% identity in 242 aa overlap); P73759|SLR0865 from Synechocystis sp. strain PCC 6803 (337 aa), FASTA scores: opt: 779, E(): 5.7e-43, (40.35% identity in 327 aa overlap); Q9GWA1|LM12.997 from Leishmania major (383 aa) FASTA scores: opt: 616, E(): 2.1e-32, (39.05% identity in 297 aa overlap); etc.</t>
  </si>
  <si>
    <t>Rv3702c, (MTV025.050c), len: 233 aa. Conserved hypothetical protein, highly similar to other hypothetical proteins Q9RCZ9|SCM1.45 from Streptomyces coelicolor (271 aa), FASTA scores: opt: 383, E(): 2.3e-17, (44.85% identity in 252 aa overlap); and P54004|Y199_SYNY3|SLR0199 from Synechocystis sp. strain PCC 6803 (304 aa), FASTA scores: opt: 292, E(): 1.7e-11, (30.05% identity in 263 aa overlap); and similar to others e.g. Q9KMU4|VCA0225 from Vibrio cholerae (254 aa), FASTA scores: opt: 260, E(): 1.6e-09, (29.8% identity in 245 aa overlap). Equivalent to AAK48172 from Mycobacterium tuberculosis strain CDC1551 (194 aa) but longer 39 aa.</t>
  </si>
  <si>
    <t>Rv3703c, (MTV025.051c), len: 425 aa. Conserved hypothetical protein, similar to other hypothetical proteins e.g. Q9RD00|SCM1.44 from Streptomyces coelicolor (446 aa), FASTA scores: opt: 1480, E(): 1.4e-85, (53.9% identity in 421 aa overlap); P72841|SLR1303 from Synechocystis sp. strain PCC 6803 (410 aa), FASTA scores: opt: 533, E(): 4.5e-26, (36.6% identity in 429 aa overlap); Q9KYH7|SCC61A.16 from Streptomyces coelicolor (256 aa), FASTA scores: opt: 266, E(): 1.9e-09, (32.25% identity in 248 aa overlap); etc. Also similar to P95060|Rv0712|MTCY210.31 hypothetical 32.7 KDA protein from Mycobacterium tuberculosis (299 aa), FASTA scores: opt: 243, E(): 5.9e-08, (30.6% identity in 304 aa overlap).</t>
  </si>
  <si>
    <t>Involved in glutathione biosynthesis (at the first step) [catalytic activity: ATP + L-glutamate + L-cysteine = ADP + orthophosphate + gamma-L-glutamyl-L-cysteine].</t>
  </si>
  <si>
    <t>Glutamate--cysteine ligase GshA (gamma-glutamylcysteine synthetase) (gamma-ECS) (GCS) (gamma-glutamyl-L-cysteine synthetase)</t>
  </si>
  <si>
    <t>Rv3704c, (MTV025.052c), len: 432 aa. Possible gshA, glutamate--cysteine ligase, similar to many e.g. Q9A2Z2|CC3414 glutamate--cysteine ligase from Caulobacter crescentus (453 aa), FASTA scores: opt: 404, E(): 5.9e-17, (30.45% identity in 312 aa overlap); Q9SEH0|GSH1 gamma-glutamylcysteinyl synthetase precursor from Pisum sativum (Garden pea) (499 aa), FASTA scores: opt: 400, E(): 1.1e-16, (26.4% identity in 439 aa overlap); Q9RH09|GSH gamma-glutamylcysteine synthetase from Zymomonas mobilis (462 aa), FASTA scores: opt: 397, E(): 1.6e-16, (28.95% identity in 304 aa overlap); P46309|GSH1_ARATH|GSH1|AT4G23100|F7H19.290 glutamate--cysteine ligase from Arabidopsis thaliana (Mouse-ear cress) (522 aa), FASTA scores: opt: 395, E(): 2.3e-16, (27.25% identity in 385 aa overlap); etc. But note that this putative protein is also similar to Q9JMV4|GSHA putative glutathione synthetase (fragment) from Bradyrhizobium japonicum (460 aa), FASTA scores: opt: 498, E(): 1.3e-22, (33.35% identity in 333 aa overlap) (no significant publications found (August 2001)). Nucleotide position 4147070 in the genome sequence has been corrected, A:G resulting in L373L.</t>
  </si>
  <si>
    <t>Rv3705A, len: 129 aa. Conserved hypothetical protein, similar to downstream ORF O69674|Rv3706c|MTV025.054c conserved hypothetical proline rich protein from Mycobacterium tuberculosis (106 aa), FASTA scores: opt: 245, E(): 0.00013, (40.7% identity in 113 aa overlap).</t>
  </si>
  <si>
    <t>Rv3705c</t>
  </si>
  <si>
    <t>Rv3705c, (MTV025.053c), len: 214 aa. Conserved protein, equivalent to Q9CB80|ML2320 hypothetical protein from Mycobacterium leprae (215 aa) FASTA scores: opt: 1145, E(): 5.9e-68, (79.45% identity in 214 aa overlap). Some similarity to the C-terminal end of Q11053|PKNH_MYCTU|Rv1266c|MT1304|MTCY50.16 probable serine/threonine-protein from Mycobacterium tuberculosis (626 aa), FASTA scores: opt: 175, E(): 0.0005, (24.9% identity in 201 aa overlap); and to the N-terminal end of P23903|E13B_BACCI|GLCA glucan endo-1,3-beta-glucosidase A1 precursor from Bacillus circulans (682 aa), FASTA scores: opt: 122, E(): 1.6, (25.6% identity in 164 aa overlap). A core mycobacterial gene; conserved in mycobacterial strains (See Marmiesse et al., 2004). Predicted to be an outer membrane protein (See Song et al., 2008).</t>
  </si>
  <si>
    <t>Rv3706c</t>
  </si>
  <si>
    <t>Rv3706c, (MTV025.054c), len: 106 aa. Conserved ypothetical pro-rich protein, similar to upstream ORF Rv3705A (129 aa), and AAK48176|MT3808.1 hypothetical 13.0 KDA protein from Mycobacterium tuberculosis strain CDC1551 (129 aa), FASTA scores: opt: 245, E(): 4.4e-06, (40.7% identity in 113 aa overlap).</t>
  </si>
  <si>
    <t>Rv3707c, (MTV025.055c), len: 336 aa. Equivalent to Q9CB79|ML2321 hypothetical protein from Mycobacterium leprae (336 aa), FASTA scores: opt: 1948, E(): 6.7e-110, (81.95% identity in 332 aa overlap); and P41402|YASD_MYCSM hypothetical 35.9 KDA protein in the aspartokinase gene cluster from Mycobacterium smegmatis (333 aa), FASTA scores: opt: 1731, E(): 7.4e-97, (70.85% identity in 333 aa overlap).</t>
  </si>
  <si>
    <t>Involved at the second step in the common biosynthetic pathway leading from asp to the cell wall precursor MESO-diaminopimelate, to LYS, to met, to ILE and to THR [catalytic activity: L-aspartate-semialdehyde + orthophosphate + NADP(+) = L-aspartyl phosphate + NADPH].</t>
  </si>
  <si>
    <t>Aspartate-semialdehyde dehydrogenase Asd (ASA dehydrogenase) (ASADH) (aspartic semialdehyde dehydrogenase) (L-aspartate-beta-semialdehyde dehydrogenase)</t>
  </si>
  <si>
    <t>Rv3708c, (MTV025.056c), len: 345 aa. Asd, aspartate-semialdehyde dehydrogenase (see citation below), equivalent to many e.g. P47730|DHAS_MYCBO|ASD from Mycobacterium bovis (345 aa) FASTA scores: opt: 2150, E(): 1.6e-124, (97.7% identity in 345 aa overlap); or Q9JN40|ASD from Mycobacterium bovis (323 aa), FASTA scores: opt: 2021, E(): 1.2e-116, (97.5% identity in 323 aa overlap); Q9CB78|ASD|ML2322 from Mycobacterium leprae (351 aa), FASTA scores: opt: 1889, E(): 1.6e-108, (84.45% identity in 347 aa overlap); P41404|DHAS_MYCSM|ASD from Mycobacterium smegmatis (346 aa), FASTA scores: opt: 1801, E(): 3.9e-103, (80.3% identity in 345 aa overlap); etc. Contains PS01103 Aspartate-semialdehyde dehydrogenase signature. Belongs to the aspartate-semialdehyde dehydrogenase family.</t>
  </si>
  <si>
    <t>Involved at the first step in the common biosynthetic pathway leading from asp to the cell wall precursor MESO-diaminopimelate, to LYS, to met, to ILE and to THR [catalytic activity: ATP + L-aspartate = ADP + 4-phospho-L-aspartate]. Possibly acts in tetramer configuration, tetramer consisting of two alpha (catalytic activity) and two beta (function not known) chains.</t>
  </si>
  <si>
    <t>Aspartokinase Ask (aspartate kinase) [contains: aspartokinase alpha subunit (Ask-alpha); and aspartokinase beta subunit (Ask-beta)]</t>
  </si>
  <si>
    <t>Rv3709c, (MTV025.057c), len: 421 aa. Ask, aspartokinase (see citation below), equivalent to Q9CB77|ask|ML2323 from Mycobacterium leprae (421 aa), FASTA scores: opt: 2531, E(): 2e-140, (92.65% identity in 421 aa overlap); and P41403|AK_MYCSM|ask from Mycobacterium smegmatis (421 aa), FASTA scores: opt: 2423, E(): 4e-134, (88.1% identity in 421 aa overlap); and to several other organisms e.g. Q9RQ25|ASKA from Amycolatopsis mediterranei (421 aa), FASTA scores: opt: 2026, E(): 5.8e-111, (72.2% identity in 421 aa overlap). Contains PS00324 Aspartokinase signature. Belongs to the aspartokinase family. Alternative products: the alpha and beta subunits of aspartokinase are produced by the use of alternative initiation sites (by similarity).</t>
  </si>
  <si>
    <t>Involved in leucine biosynthesis (at the first step). Catalyzes condensation of acetyl-CoA and 2-oxoisovalerate to form 2-isopropylmalate synthase [catalytic activity: 3-carboxy-3-hydroxy-4-methylpentanoate + CoA = acetyl-CoA + 3-methyl-2-oxobutanoate + H(2)O].</t>
  </si>
  <si>
    <t>2-isopropylmalate synthase LeuA (alpha-isopropylmalate synthase) (alpha-IPM synthetase) (IPMS)</t>
  </si>
  <si>
    <t>Rv3710, (MTV025.058), len: 644 aa. LeuA, alpha-isopropylmalate synthase (see citations below), equivalent to Q9CB76|LEUA|ML2324 2-isopropylmalate synthase from Mycobacterium leprae (607 aa), FASTA scores: opt: 3291, E(): 3.7e-192, (80.7% identity in 642 aa overlap). Also highly similar to many e.g. P42455|LEU1_CORGL|LEUA from Corynebacterium glutamicum (Brevibacterium flavum) (616 aa), FASTA scores: opt: 2547, E(): 5.3e-147, (63.25% identity in 645 aa overlap); O31046|LEU1_STRCO|LEUA from Streptomyces coelicolor (573 aa), FASTA scores: opt: 2226, E(): 1.5e-127, (57.8% identity in 616 aa overlap); BAB49833|Q98HN3|MLR2792 from Rhizobium loti (Mesorhizobium loti) (588 aa), FASTA scores: opt: 1849, E(): 1.1e-104, (58.0% identity in 536 aa overlap); etc. Equivalent to AAK48181 from Mycobacterium tuberculosis strain CDC1551 (659 aa) but shorter 15 aa. Contains PS00815 and PS00816 Alpha-isopropylmalate and homocitrate synthases signatures 1 and 2. Belongs to the alpha-IPM synthetase / homocitrate synthase family. K+ is likely the physiological activator; Zn2+ and Cd2+ are inhibitors.</t>
  </si>
  <si>
    <t>DNA polymerase III is a complex, multichain enzyme responsible for most of the replicative synthesis in bacteria. The epsilon subunit contain the editing function and is a proofreading 3'-5' exonuclease [catalytic activity: N deoxynucleoside triphosphate = N diphosphate + {DNA}(N)].</t>
  </si>
  <si>
    <t>Probable DNA polymerase III (epsilon subunit) DnaQ</t>
  </si>
  <si>
    <t>Rv3711c, (MTV025.059c), len: 329 aa. Probable dnaQ, DNA polymerase III, epsilon subunit, similar to many e.g. Q9RJ41|SCI8.12 from Streptomyces coelicolor (328 aa), FASTA scores: opt: 509, E(): 4.2e-25, (41.6% identity in 315 aa overlap); Q9JYS6|NMB1451 from Neisseria meningitidis (serogroup B) (and Q9JTR5|MA1665 from serogroup A) (470 aa), FASTA scores: opt: 247, E(): 2.6e-08, (33.15% identity in 172 aa overlap); O83649|DP3E_TREPA|DNAQ|TP0643 from Treponema pallidum (215 aa), FASTA scores: opt: 240, E(): 3.7e-08, (29.65% identity in 162 aa overlap); P03007|DP3E_ECOLI|MUTD|B0215 from Escherichia coli strain K12 (243 aa), FASTA scores: opt: 208, E(): 4.5e-06, (28.4% identity in 169 aa overlap); etc. Also similar to Q10384|YL91_MYCTU|Rv2191|MTCY190.02 from Mycobacterium tuberculosis (645 aa), FASTA scores: opt: 260, E(): 5e-09, (28.55% identity in 301 aa overlap).</t>
  </si>
  <si>
    <t>Possible ligase</t>
  </si>
  <si>
    <t>Rv3712, (MTV025.060), len: 413 aa. Possible ligase , equivalent to O69522|ML2326|MLCB2407.24c hypothetical 43.8 KDA protein (possible ligase) from Mycobacterium leprae (411 aa), FASTA scores: opt: 2265, E(): 8e-129, (84.25% identity in 413 aa overlap). Also similar to ligases or hypothetical proteins e.g. Q9FCA1|2SCG58.12 putative ligase from Streptomyces coelicolor (412 aa), FASTA scores: opt: 1168, E(): 6.7e-63, (45.8% identity in 406 aa overlap); P74303|SLR0938 hypothetical 50.2 KDA protein from Synechocystis sp. strain PCC 6803 (459 aa), FASTA scores: opt: 392, E(): 3.1e-16, (28.45% identity in 397 aa overlap); Q99ZX1|SPY1035 putative UDP-N-acetylmuramyl tripeptide synthetase from Streptococcus pyogenes (445 aa), FASTA scores: opt: 335, E(): 8.1e-13, (29.2% identity in 438 aa overlap); Q9CGJ0|YLBD hypothetical protein from Lactococcus lactis (subsp. lactis) (Streptococcus lactis) (449 aa), FASTA scores: opt: 324, E(): 3.8e-12, (28.75% identity in 445 aa overlap); Q9ZGG7|MURC UDP-N-acetylmuramyl tripeptide synthetase from Heliobacillus mobilis (455 aa), FASTA scores: opt: 292, E(): 3.2e-10, (30.75% identity in 449 aa overlap); etc.</t>
  </si>
  <si>
    <t>Involved in cobalamin biosynthesis. Catalyzes amidations at positions B, D, E, and G on adenosylcobyrinic A,C-diamide. NH(2) groups are provided by glutamine, and one molecule of ATP is hydrogenolyzed for each amidation.</t>
  </si>
  <si>
    <t>Possible cobyric acid synthase CobQ2</t>
  </si>
  <si>
    <t>Rv3713, (MTV025.061), len: 231 aa. Possible cobQ2, cobyric acid synthase, equivalent to O69521|ML2327|MLCB2407.23c hypothetical 24.5 KDA protein from Mycobacterium leprae (230 aa), FASTA scores: opt: 1313, E(): 4.7e-73, (86.1% identity in 230 aa overlap). Also partially similar to several cobyric acid synthases and hypothetical proteins e.g. Q9FCA0|2SCG58.13 hypothetical 26.2 KDA protein from Streptomyces coelicolor (242 aa), FASTA scores: opt: 639, E(): 6.2e-32, (46.6% identity in 234 aa overlap); Q9ZGG8|COBQ cobyric acid synthase from Heliobacillus mobilis (252 aa), FASTA scores: opt: 501, E(): 1.7e-23, (40.75% identity in 206 aa overlap); BAB58053|SAV1891 hypothetical 27.4 KDA protein from Staphylococcus aureus subsp. aureus Mu50 (243 aa), FASTA scores: opt: 400, E(): 2.3e-17, (35.95% identity in 217 aa overlap); Q9CGJ1|COBQ cobyric acid synthase from Lactococcus lactis (subsp. lactis) (Streptococcus lactis) (261 aa), FASTA scores: opt: 353, E(): 1.8e-14, (35.3% identity in 201 aa overlap); O26880|COBQ_METTH|MTH787 probable cobyric acid synthase from Methanobacterium thermoautotrophicum (504 aa), FASTA scores: opt: 201, E(): 5.6e-05, (33.35% identity in 171 aa overlap); etc. Also similar to hypothetical mycobacterial proteins O05811|COBB_MYCTU|Rv2848c|MT2914|MTCY24A1.09 (457 aa) and P71842|Rv0789c|MTCY369.33c (199 aa). Seems to belong to the COBB/COBQ family, COBQ subfamily.</t>
  </si>
  <si>
    <t>Rv3714c, (MTV025.062c), len: 296 aa. Conserved hypothetical protein, highly similar to O07396|MAV346 MAV346 protein from Mycobacterium avium (346 aa) FASTA scores: opt: 834, E(): 2.2e-46, (50.0% identity in 286 aa overlap); and also highly similar to several proteins from Mycobacterium tuberculosis e.g. O53421|Rv1073|MTV017.26 (283 aa), FASTA scores: opt: 869, E(): 1e-48, (51.1% identity in 270 aa overlap); P71763|Rv1482c|MTCY277.03c (339 aa), FASTA scores: opt: 775, E(): 1.3e-42, (46.35% identity in 289 aa overlap); P96837|Rv3555c|MTCY06G11.02c (289 aa), FASTA scores: opt: 733, E(): 5.9e-40, (44.15% identity in 281 aa overlap); etc. Partially similar to Q9Z512|UVRC_STRCO|SCC54.13c excinuclease ABC subunit C from Streptomyces coelicolor (728 aa), FASTA scores: opt: 122, E(): 2.5, (27.0% identity in 174 aa overlap). Equivalent to AAK48186 from Mycobacterium tuberculosis strain CDC1551 (341 aa) but shorter 45 aa.</t>
  </si>
  <si>
    <t>May play a role in DNA repair. It seems to be involved in an RECBC-independent recombinational process of DNA repair. It may act with RECF|Rv0003 (and RECO|Rv2362c ?) for modulating assembly of disassembly of RECA filaments.</t>
  </si>
  <si>
    <t>Probable recombination protein RecR</t>
  </si>
  <si>
    <t>Rv3715c, (MTV025.063c), len: 203 aa. Probable recR, recombination protein (see citation below), equivalent to O69520|RECR_MYCLE|ML2329|MLCB2407.21 recombination protein from Mycobacterium leprae (203 aa), FASTA scores: opt: 1246, E(): 9.2e-71, (91.6% identity in 202 aa overlap). Also highly similar to many e.g. Q9XAI4|RECR_STRCO|SC66T3.29c from Streptomyces coelicolor (199 aa), FASTA scores: opt: 952, E(): 1.9e-52, (68.3% identity in 202 aa overlap); P24277|RECR_BACSU|RECM|recd from Bacillus subtilis (198 aa), FASTA scores: opt: 696, E(): 1.8e-36, (50.5% identity in 198 aa overlap); Q9ZNA2|RECR_DEIRA|DR0198 from Deinococcus radiodurans (220 aa), FASTA scores: opt: 673, E(): 5.2e-35, (49.75% identity in 195 aa overlap); etc. Belongs to the RECR family.</t>
  </si>
  <si>
    <t>Rv3716c, (MTV025.064c), len: 133 aa. Conserved protein, equivalent to O69519|Y1B6_MYCLE|ML2330|MLCB2407.20 hypothetical 11.9 KDA protein from Mycobacterium leprae (116 aa), FASTA scores: opt: 616, E(): 2.6e-21, (84.55% identity in 110 aa overlap). Also highly similar to hypothetical ~12 kDa proteins in the vicinity of recR from other bacteria e.g. Q9XAI3|YT3D_STRCO|SC66T3.30c hypothetical 11.7 KDA protein from Streptomyces coelicolor (115 aa), FASTA scores: opt: 379, E(): 9.5e-11, (50.8% identity in 122 aa overlap); BAB56641|SAV0479 conserved hypothetical protein from Staphylococcus aureus subsp. aureus Mu50 (105 aa) FASTA scores: opt: 295, E(): 4.9e-07, (41.75% identity in 103 aa overlap); Q99WC4P24281|YAAK_BACSU hypothetical 11.8 KDA protein in DNAZ-RECR intergenic region from Bacillus subtilis (107 aa), FASTA scores: opt: 272, E(): 5.3e-06, (39.4% identity in 104 aa overlap); P17577|YBAB_ECOLI|B0471|Z0588|ECS0524 from Escherichia coli strain K and O157:H7 (109 aa), FASTA scores: opt: 256, E(): 2.8e-05, (38.0% identity in 100 aa overlap); etc. Contains probable coiled-coil domain from aa 1-40. Seems to belong to the UPF0133 family.</t>
  </si>
  <si>
    <t>Rv3717, (MTV025.065), len: 241 aa. Conserved hypothetical protein, equivalent to O69518|MLCB2407.19c (alias Q9CB75|ML2331 256 aa) hypothetical 25.1 KDA protein from Mycobacterium leprae (244 aa), FASTA scores: opt: 1325, E(): 5.7e-74, (81.95% identity in 244 aa overlap). Also similar to Q9KXK7|SCC53.04 putative secreted protein from Streptomyces coelicolor (336 aa), FASTA scores: opt: 536, E(): 1.2e-25, (41.2% identity in 233 aa overlap); and shows similarity with C-terminal end of other proteins e.g. Q9RMZ0|PXO2-42 PXO2-42 protein from Bacillus anthracis (531 aa), FASTA scores: opt: 191, E(): 0.00022, (26.6% identity in 222 aa overlap); Q9RTX0 putative N-acetylmuramoyl-L-alanine amidase (603 aa); Q9LCR4|CWLU CWLU protein from Paenibacillus polymyxa (Bacillus polymyxa) (524 aa), FASTA scores: opt: 141, E(): 0.24, (29.2% identity in 219 aa overlap); etc. Shows similarity with C-terminal end of O53593|CWLM|Rv3915|MTV028.06 putative hydrolase from Mycobacterium tuberculosis (406 aa), FASTA scores: opt: 176, E(): 0.0014, (25.7% identity in 218 aa overlap).</t>
  </si>
  <si>
    <t>Rv3718c, (MTV025.066c), len: 147 aa. Conserved protein, equivalent to O69517|ML2332|MLCB2407.18 hypothetical 15.5 KDA protein from Mycobacterium leprae (145 aa), FASTA scores: opt: 780, E(): 1.4e-44, (81.95% identity in 144 aa overlap). Also highly similar to Q9ZBJ2|SC9C7.18 conserved hypothetical protein from Streptomyces coelicolor (147 aa) FASTA scores: opt: 475, E(): 1.7e-24, (52.05% identity in 146 aa overlap); and showing some similarity to various proteins e.g. P27538|PR2_PETCR pathogenesis-related protein 2 from Petroselinum crispum (Parsley) (Petroselinum hortense) (158 aa); P92918|ALL2_APIGR major allergen API G 2 from Apium graveolens (Celery) (159 aa); etc. Thought to be differentially expressed within host cells (see citation below).</t>
  </si>
  <si>
    <t>Rv3719, (MTV025.067), len: 470 aa. Conserved protein, equivalent to O69516|ML2333|MLCB2407.17c hypothetical 51.8 KDA protein from Mycobacterium leprae (459 aa), FASTA scores: opt: 2593, E(): 7.8e-161, (82.75% identity in 458 aa overlap). Also some similarity to Q9CU63|5830417J06RIK hypothetical protein (fragment) from Mus musculus (Mouse) (479 aa) FASTA scores: opt: 454, E(): 6.1e-22, (27.1% identity in 413 aa overlap); Q9HBA8 seladin-1 (unknown) from Homo sapiens (Human) (516 aa), FASTA scores: opt: 444, E(): 2.9e-21, (26.7% identity in 412 aa overlap); O17397|DIMH_CAEEL|F52H2.6 diminuto-like protein from Caenorhabditis elegans (525 aa), FASTA scores: opt: 419, E(): 1.2e-19, (24.4% identity in 434 aa overlap); Q39085|DIM_ARATH|DWF1 cell elongation protein diminuto from Arabidopsis thaliana (Mouse-ear cress) (561 aa) FASTA scores: opt: 318, E(): 4.8e-13, (24.6% identity in 455 aa overlap); etc. Also some similarity to Mycobacterium tuberculosis hypothetical proteins P72056|Rv3790|MTCY13D12.24 (461 aa) FASTA scores: opt: 174, E(): 0.00016; (25.1% identity in 426 aa overlap); and Q50685|Rv2280|MTCY339_30c (459 aa).</t>
  </si>
  <si>
    <t>Function unknown, but involved in lipid metabolism.</t>
  </si>
  <si>
    <t>Possible fatty acid synthase</t>
  </si>
  <si>
    <t>Rv3720, (MTV025.068), len: 420 aa. Possible fatty-acyl-phospholipid synthase, equivalent to Q9CB74|ML2334 (alias O69515|MLCB2407.16c, 439 aa) hypothetical protein from Mycobacterium leprae (420 aa) FASTA scores: opt: 2508, E(): 4.7e-153, (86.45% identity in 420 aa overlap). Also similar (especially at the C-terminus) to various fatty-acid synthases (principally cyclopropane-fatty-acyl-phospholipid synthases) and hypothetical proteins e.g. Q9KZ58|SCE25.32c putative fatty acid synthase from Streptomyces coelicolor (438 aa), FASTA scores: opt: 1101, E(): 5.5e-63, (46.1% identity in 425 aa overlap); P31049|YLP3_PSEPU hypothetical 44.7 KDA protein from Pseudomonas putida (394 aa), FASTA scores: opt: 810, E(): 2.1e-44, (46.4% identity in 293 aa overlap); Q9HT28|PA5546 hypothetical protein from Pseudomonas aeruginosa (394 aa), FASTA scores: opt: 804, E(): 5.2e-44, (40.7% identity in 371 aa overlap); Q9RSD7|DR2187 putative cyclopropane-fatty-acyl-phospholipid synthase from Deinococcus radiodurans (462 aa), FASTA scores: opt: 747, E(): 2.6e-40, (35.95% identity in 409 aa overlap); BAB50831|Q98ET6|MLL4091 cyclopropane-fatty-acyl-phospholipid synthase from Rhizobium loti (Mesorhizobium loti) (422 aa), FASTA scores: opt: 674, E(): 1.1e-35, (39.1% identity in 284 aa overlap); P30010|CFA_ECOLI|CDFA|B1661 cyclopropane-fatty-acyl-phospholip synthase from Escherichia coli strain K12 (381 aa), FASTA scores: opt: 530, E(): 1.7e-26, (33.65% identity in 312 aa overlap); etc. Also similar to other proteins from Mycobacterium tuberculosis e.g. CMA2|Rv0503c|MTCY20G9.30c (302 aa); P96911|Rv0621|MTCY20H10 (354 aa); O50416|LPQD|Rv3390|MTV004.48 (236 aa); etc.</t>
  </si>
  <si>
    <t>DNA polymerase III is a complex, multichain enzyme responsible for most of the replicative synthesis in bacteria. This DNA polymerase also exhibits 3' to 5' exonuclease activity [catalytic activity: N deoxynucleoside triphosphate = N pyrophosphate + DNA(N)].</t>
  </si>
  <si>
    <t>DNA polymerase III (subunit gamma/tau) DnaZ/X</t>
  </si>
  <si>
    <t>Rv3721c, (MTV025.069c), len: 578 aa. Probable dnaZX, DNA polymerase III gamma (dnaZ) and tau (dnaX), equivalent to O69514|DNAZX|ML2335 DNA polymerase III subunit gamma/tau from Mycobacterium leprae (611 aa) FASTA scores: opt: 2344, E(): 4.7e-118, (78.75% identity in 602 aa overlap). Also highly similar to many e.g. Q9RKL5|DNAZ from Streptomyces coelicolor (784 aa) FASTA scores: opt: 1755, E(): 1.8e-86, (59.55% identity in 435 aa overlap); Q9KGM4|DNAX|BH0034 from Bacillus halodurans (564 aa), FASTA scores: opt: 946, E(): 2.5e-43, (37.4% identity in 460 aa overlap); P09122|DP3X_BACSU|DNAX|DNAH from Bacillus subtilis (563 aa), FASTA scores: opt: 841, E(): 1e-37, (30.8% identity in 510 aa overlap); etc. Contains PS00017 ATP/GTP-binding site motif A (P-loop).</t>
  </si>
  <si>
    <t>Rv3722c, (MTV025.070c), len: 435 aa. Conserved protein, equivalent to O69513|MLCB2407.14 (alias Q9CB73|ML2336, 463 aa) hypothetical 46.8 KDA protein from Mycobacterium leprae (426 aa), FASTA scores: opt: 2505, E(): 8.3e-154, (87.25% identity in 424 aa overlap). Also highly similar to Q9RU17|DR1579 conserved hypothetical protein from Deinococcus radiodurans (452 aa), FASTA scores: opt: 1162, E(): 3.1e-67, (44.8% identity in 422 aa overlap); and partially similar to Q9I371|PA1654 probable aminotransferase from Pseudomonas aeruginosa (388 aa) FASTA scores: opt: 162, E(): 0.0078, (25.85% identity in 348 aa overlap) and other aminotransferases. N-terminus extended since first submission (previously 408 aa).</t>
  </si>
  <si>
    <t>Rv3723, (MTV025.071), len: 254 aa. Probable conserved transmembrane protein, with hydrophobic stretches at the N-terminus, and equivalent to O69512|ML2337|MLCB2407.13c putative membrane protein from Mycobacterium leprae (250 aa), FASTA scores: opt: 1029, E(): 1.2e-44, (64.45% identity in 253 aa overlap). A core mycobacterial gene; conserved in mycobacterial strains (See Marmiesse et al., 2004).</t>
  </si>
  <si>
    <t>cut5a</t>
  </si>
  <si>
    <t>Rv3724A</t>
  </si>
  <si>
    <t>Probable cutinase precursor [first part] Cut5a</t>
  </si>
  <si>
    <t>Rv3724A, (MTV025.072), len: 80 aa. Probable cut5a, truncated cutinase precursor, similar to N-terminal end of others e.g. Q9KK87 serine esterase cutinase from Mycobacterium avium (220 aa), FASTA scores: opt: 202, E(): 1.5e-06, (56.45% identity in 62 aa overlap); Q9XB09|RVD2-RV1758 protein (fragment) from Mycobacterium bovis BCG (143 aa), FASTA scores: opt: 200, E(): 1.5e-06, (61.4% identity in 57 aa overlap); and Q00298|CUTI_BOTCI|CUTA cutinase precursor from Botrytis cinerea (Botryotinia fuckeliana) (202 aa), FASTA scores: opt: 108, E(): 2.2, (40.4% identity in 52 aa overlap). Also highly similar to others from Mycobacterium tuberculosis e.g. O06318|CUT3_MYCTU|Rv3451|MT3557|MTCY13E12.04 probable cutinase precursor (247 aa), FASTA scores: opt: 189, E(): 1.2e-05, (58.0% identity in 50 aa overlap); Q50664|CUT2_MYCTU|Rv2301|MT2358|MTCY339.08c probable cutinase precursor (219 aa), FASTA scores: opt: 172, E(): 0.00015, (59.2% identity in 49 aa overlap); O06793|Rv1758|MTCY28.24|Z95890 hypothetical 17.9 KDA protein (174 aa), FASTA scores: opt: 641, E(): 2.7e-29, (57.2% identity in 166 aa overlap); O06319|Rv3452|MTY13E12.05; and U00015_11 from Mycobacterium leprae. Belongs to the cutinase family. Rest of cutinase ORF continues as Rv3724B|CUT5B, frameshifting could occur near position 4169668. Sequence has been checked but no errors found.</t>
  </si>
  <si>
    <t>cut5b</t>
  </si>
  <si>
    <t>Probable cutinase [second part] Cut5b</t>
  </si>
  <si>
    <t>Rv3724B, (MTV025.072), len: 187 aa. Probable cut5b, truncated cutinase, similar to C-terminal end of others e.g. Q9XB09|RVD2-RV1758 protein (fragment) from Mycobacterium bovis BCG (143 aa) FASTA scores: opt: 335, E(): 3.4e-12, (53.25% identity in 92 aa overlap); Q9KK87 serine esterase cutinase from Mycobacterium avium (220 aa), FASTA scores: opt: 251, E(): 2.5e-07, (44.05% identity in 168 aa overlap). Also similar to proteins from Mycobacterium tuberculosis e.g. O06793|Rv1758|MTCY28.24 hypothetical 17.9 KDA protein (174 aa), FASTA scores: opt: 641, E(): 2.5e-29, (57.25% identity in 166 aa overlap); O06319|Rv3452|MTCY13E12.05 hypothetical 23.1 KDA protein (226 aa), FASTA scores: opt: 385, E(): 7.5e-15, (46.65% identity in 165 aa overlap); O06318|CUT3_MYCTU|Rv3451|MT3557|MTCY13E12.04 probable cutinase precursor (247 aa), FASTA scores: opt: 307, E(): 1.9e-10, (40.7% identity in 167 aa overlap); Q10837|CUT1_MYCTU|Rv1984c|MT2037|MTCY39.35 probable cutinase precursor (217 aa), FASTA scores: opt: 261, E(): 6.7e-08, (50.9% identity in 169 aa overlap); etc; and U00015_11 from Mycobacterium lepra. 5'-end of gene is Rv3724A|CUT5A; frameshifting may occur near position 4169668.</t>
  </si>
  <si>
    <t>Rv3725, (MTV025.073), len: 309 aa. Possible reductase, similar to various oxidoreductases and hypothetical proteins e.g. O34285|HPNA HPNA protein from Zymomonas mobilis (337 aa), FASTA scores: opt: 317, E(): 6.1e-11, (30.5% identity in 272 aa overlap); Q9SZB3|F17M5.120|AT4G33360|AAK49584 hypothetical 37.9 KDA protein from Arabidopsis thaliana (Mouse-ear cress) (344 aa), FASTA scores: opt: 314, E(): 9.1e-11, (30.35% identity in 267 aa overlap); AAK59445|AT4G33360 putative dihydrokaempferol 4-reductase from Arabidopsis thaliana (Mouse-ear cress) (332 aa), FASTA scores: opt: 313, E(): 1e-10, (30.8% identity in 263 aa overlap); Q9FSC6|CCR cinnamoyl-CoA reductase from Populus trichocarpa (Western balsam poplar) (338 aa), FASTA scores: opt: 305, E(): 2.9e-10, (30.3% identity in 274 aa overlap); Q9M631 cinnamoyl CoA reductase from Populus tremuloides (Quaking aspen) (337 aa), FASTA scores: opt: 291, E(): 1.8e-09, (30.15% identity in 272 aa overlap); P73212|DFRA_SYNY3|LR1706 putative dihydroflavonol-4-reductase (dihydrokaempferol 4-reductase) from Synechocystis sp. strain PCC 6803 (343 aa), FASTA scores: opt: 278, E(): 1e-08, (29.35% identity in 259 aa overlap); etc. Also some similarity to proteins from Mycobacterium tuberculosis e.g. P96816|Rv0139|MTCI5.13 hypothetical protein (340 aa) FASTA scores: opt: 234, E(): 3.2e-06, (28.25% identity in 269 aa overlap); and O06373|galE1|Rv3634c|MTCY15C10.18 probable UDP-glucose 4-epimerase (314 aa) (27.3% identity in 194 aa overlap).</t>
  </si>
  <si>
    <t>Rv3726, (MTV025.074), len: 397 aa. Possible dehydrogenase, similar to many e.g. O34788|YDJL dehydrogenase from Bacillus subtilis (346 aa) FASTA scores: opt: 401, E(): 3.4e-17, (29.6% identity in 395 aa overlap); Q59696|ADH 2,3-butanediol dehydrogenase from seudomonas putida (362 aa), FASTA scores: opt: 326, E(): 1.3e-12, (29.45% identity in 387 aa overlap); AAG59541|YJJN putative oxidoreductase from Escherichia coli strain EDL933 (345 aa), FASTA scores: opt: 325, E(): 1.5e-12, (30.85% identity in 256 aa overlap); Q9HWM8|PA4153 2,3-butanediol dehydrogenase from Pseudomonas aeruginosa (363 aa), FASTA scores: opt: 324, E(): 1.8e-12, (30.5% identity in 387 aa overlap); etc.</t>
  </si>
  <si>
    <t>Rv3727, (MTV025.075), len: 602 aa. Possible oxidoreductase, similar to several plants phytoene dehydrogenases/desaturases e.g. Q9HSE1|CRTI3|VNG0277G phytoene dehydrogenase from Halobacterium sp. strain NRC-1 (541 aa), FASTA scores: opt: 299, E(): 1.1e-10, (29.85% identity in 576 aa overlap); Q9FZL6|CITPDS1 phytoene desaturase from Citrus unshiu (Satsuma orange) (553 aa), FASTA scores: opt: 164, E(): 0.018, (24.2% identity in 434 aa overlap); Q07356|CRTI_ARATH|PDS|AT4G14210|DL3145c phytoene dehydrogenase precursor from Arabidopsis thaliana (Mouse-ear cress) (566 aa), FASTA scores: opt: 163, E(): 0.021, (23.95% identity in 434 aa overlap); etc. N-terminal end similar to O69871|SC1C3.29 putative protoporphyrinogen oxidase (fragment) from Streptomyces coelicolor (61 aa), FASTA scores: opt: 154, E(): 0.012, (60.45% identity in 43 aa overlap). The region between aa 155-310 is highly similar to Q49778|B2126_C1_169 from Mycobacterium leprae (159 aa), FASTA scores: opt: 437, E(): 1.5e-19, (46.6% identity in 161 aa overlap). And the region between aa 462-546 is highly similar to the N-terminal end of Q50003|U1764T from Mycobacterium leprae (155 aa), FASTA scores: opt: 277, E(): 8.3e-10, (57.65% identity in 85 aa overlap).</t>
  </si>
  <si>
    <t>Probable conserved two-domain membrane protein</t>
  </si>
  <si>
    <t>Rv3728, (MTV025.076), len: 1065 aa. Probable conserved transmembrane protein organised into two domains. Domain comprising the first ~510 aa residues is similar to various multidrug resistance and efflux proteins and contains sugar transport protein signature 1 (PS00216). Domain corresponding to the last 550 aa residues contains cyclic nucleotide-binding domain signature 2 (PS00889) and is very similar to Q50733|YP65_MYCTU|Rv2565|MT2641|MTCY9C4.03c hypothetical 62.1 kDa protein from Mycobacterium tuberculosis (31.0% identity in 546 aa overlap). Highly similar to O05884|Rv3239c|MTCY20B11.14c probable transmembrane transport protein from Mycobacterium tuberculosis (1048 aa) FASTA scores: opt: 4328, E(): 5e-201, (64.15% identity in 1046 aa overlap). N-terminal end similar to P71879|Rv2333c|MTCY3G12.01|MTCY98.02c (537 aa); P71836|Rv0783c|MTCY369.27c (540 aa); and O07753|Rv1877|MTCY180.41c (687 aa). Seems belong to the sugar transporter family. Possibly member of major facilitator superfamily (MFS).</t>
  </si>
  <si>
    <t>Rv3729, (MTV025.077), len: 776 aa. Conserved hypothetical protein, possible transferase, similar to several hypothetical proteins and various transferases e.g. O26919|MTH831 molybdenum cofactor biosynthesis MOAA homolog from Methanobacterium thermoautotrophicum (497 aa), FASTA scores: opt: 697, E(): 4.8e-34, (30.7% identity in 492 aa overlap); Q58036|Y619_METJA|MJ0619 hypothetical protein from Methanococcus jannaschii (506 aa), FASTA scores: opt: 670, E(): 2e-32, (30.6% identity in 497 aa overlap); O27968|AF2316 conserved hypothetical protein from Archaeoglobus fulgidus (518 aa), FASTA scores: opt: 477, E(): 6.4e-21, (29.4% identity in 500 aa overlap); BAB60102|TVG0985801 molybdenum cofactor biosynthesis protein from Thermoplasma volcanium (606 aa), FASTA scores: opt: 402, E(): 2.1e-16, (28.1% identity in 509 aa overlap); etc. C-terminus similar to methyltransferases e.g. Q9S0N6|AVED C5-O-methyltransferase from Streptomyces avermitilis (283 aa), FASTA scores: opt: 298, E(): 1.9e-10, (31.5% identity in 292 aa overlap). Also similar to the Mycobacterium tuberculosis proteins P71673|YE05_MYCTU|Rv1405c|MT1449|MTCY21B4.22c (274 aa); and Q50584|Rv1523|MTCY19G5.05c.</t>
  </si>
  <si>
    <t>Rv3730c, (MTV025.078c), len: 346 aa. Conserved hypothetical protein, highly similar to Q9XAM1|SC4C6.19 hypothetical 38.5 KDA protein from Streptomyces coelicolor (341 aa), FASTA scores: opt: 1313, E(): 2.2e-75, (59.25% identity in 336 aa overlap); and similar to C-terminal end of putative ATP-dependent DNA ligases e.g. BAB49297|MLL2077 from Rhizobium loti (Mesorhizobium loti) (833 aa), FASTA scores: opt: 550, E(): 5.3e-27, (31.3% identity in 294 aa overlap); and BAB54816|MLL9625 from Rhizobium loti (Mesorhizobium loti) plasmid pMLb (883 aa) FASTA scores: opt: 492, E(): 2.5e-23, (33.7% identity in 291 aa overlap); etc. Also similar to the hypothetical proteins e.g. Q9ZC15|SC1E6.07 hypothetical 34.9 KDA protein from Streptomyces coelicolor (319 aa) FASTA scores: opt: 537, E(): 1.5e-26, (34.95% identity in 292 aa overlap); Q9XAF7|SC6G9.25 hypothetical 32.1 KDA protein from Streptomyces coelicolor (293 aa), FASTA scores: opt: 474, E(): 1.3e-22, (33.75% identity in 302 aa overlap); etc. Also highly similar to P95226|Rv0269c|MTCY06A4.13c hypothetical 44.0 KDA protein from Mycobacterium tuberculosis (397 aa), FASTA scores: opt: 940, E(): 7.7e-52, (50.3% identity in 312 aa overlap).</t>
  </si>
  <si>
    <t>Possible ATP-dependent DNA ligase LigC (polydeoxyribonucleotide synthase [ATP]) (polynucleotide ligase [ATP]) (sealase) (DNA repair protein) (DNA joinase)</t>
  </si>
  <si>
    <t>Rv3731, (MTV025.079), len: 358 aa. Possible ligC, DNA ligase ATP-dependent (see citation below), similar to numerous archaebacterial and eukaryotic polynucleotide DNA ligases e.g. Q9XAM3|SC4C6.17c from Streptomyces coelicolor (355 aa), FASTA scores: opt: 1429, E(): 1.7e-82, (60.4% identity in 361 aa overlap); BAB54870|MLL9685 from Rhizobium loti (Mesorhizobium loti) plasmid pMLb (337 aa), FASTA scores: opt: 667, E(): 1.2e-34, (40.35% identity in 347 aa overlap); Q9HH07|DNLI_THEFM|LIG from Thermococcus fumicolans (559 aa), FASTA scores: opt: 335, E(): 1.4e-13, (27.25% identity in 330 aa overlap); O59288|DNLI_PYRHO from Pyrococcus horikoshii (559 aa), FASTA scores: opt: 307, E(): 8e-12, (26.85% identity in 272 aa overlap); etc. Also similar to Rv3062|MTCY22D7_19c|LIGB probable DNA ligase from Mycobacterium tuberculosis (507 aa), FASTA score: (30.3% identity in 356 aa overlap). Seems to belong to the ATP-dependent DNA ligase family.</t>
  </si>
  <si>
    <t>Rv3732, (MTV025.080), len: 352 aa. Conserved protein. The region between aa 175-352 is highly similar to the region between aa 72-257 of Q9KH39 hypothetical 55.5 KDA protein from Mycobacterium smegmatis (511 aa), FASTA scores: opt: 1122, E(): 7.3e-63, (98.85% identity in 176 aa overlap). Also shows some similarity with Q55304 hypotheticalk protein from Synechocystis sp. strain PCC 6803 (387 aa), FASTA scores: opt: 201, E(): 2.7e-05, (27.1% identity in 251 aa overlap); and P74254|SLR1173 hypothetical 52.5 KDA protein from Synechocystis sp. strain PCC 6803 (463 aa), FASTA scores: opt: 201, E(): 3.1e-05, (27.1% identity in 251 aa overlap). Also slightly similar to MTCY01B2_21 and DPO1_MYCTU DNA polymerase I.</t>
  </si>
  <si>
    <t>Rv3733c, (MTV025.081c), len: 166 aa. Conserved hypothetical protein, highly similar to Q9FCB0|2SCG58.03 putative mutt-like protein from Streptomyces coelicolor (153 aa), FASTA scores: opt: 541, E(): 7.2e-29, (52.7% identity in 148 aa overlap); and BAB49143|MLR1881 hypothetical protein from Rhizobium loti (Mesorhizobium loti) (156 aa), FASTA scores: opt: 526, E(): 7.2e-28, (52.65% identity in 150 aa overlap).</t>
  </si>
  <si>
    <t>tgs2</t>
  </si>
  <si>
    <t>Putative triacylglycerol synthase (diacylglycerol acyltransferase) Tgs2</t>
  </si>
  <si>
    <t>Rv3734c, (MTV025.082c), len: 454 aa. Putative tgs2, triacylglycerol synthase (See Daniel et al., 2004), highly similar to O69707|Y1E0_MYCTU|Rv3740c|MT3848|MTV025.088c hypothetical protein from Mycobacterium tuberculosis (448 aa), FASTA scores: opt: 1917, E(): 1.3e-111, (61.4% identity in 451 aa overlap); and similar to many other proteins from Mycobacterium tuberculosis (strains H37Rv and CDC1551) e.g. P71694|YE43_MYCTU|Rv1425|MT1468|MTCY21B4.43|MTCY493.29c (459 aa), FASTA scores: opt: 824, E(): 1.1e-43, (36.5% identity in 460 aa overlap); Q50680|YM85_MYCTU|Rv2285|MT2343|MTCY339.25c (445 aa) FASTA scores: opt: 766, E(): 4.1e-40, (36.4% identity in 453 aa overlap); etc. Also similar to Q9RIU8|SCM11.13c hypothetical 47.1 KDA protein from Streptomyces coelicolor (446 aa), FASTA scores: opt: 331, E(): 4.3e-13, (32.9% identity in 468 aa overlap); and Q9X7A8|ML1244|MLCB1610.05 conserved membrane protein from Mycobacterium leprae (491 aa), FASTA scores: opt: 296, E(): 7e-11, (28.35% identity in 413 aa overlap). Contains PS00339 Aminoacyl-transfer RNA synthetases class-II signature 2. Start site chosen by homology, but may extend further upstream to 93257.</t>
  </si>
  <si>
    <t>Rv3735, (MTV025.083), len: 162 aa. Conserved hypothetical protein, highly similar to several bacterial hypothetical proteins e.g. Q9UX41|ORF-C09_016|SSO0651|AAK40956 from Sulfolobus solfataricus (163 aa), FASTA scores: opt: 627, E(): 1.2e-34, (55.9% identity in 161 aa overlap); O26795|MTH699 from Methanobacterium thermoautotrophicum (168 aa), FASTA scores: opt: 616, E(): 6.7e-34, (56.1% identity in 155 aa overlap); |Q9Y9J9|APE2289 from Aeropyrum pernix (191 aa), FASTA scores: opt: 591, E(): 3.4e-32, (54.65% identity in 161 aa overlap) ; etc. Contains PS00435 Peroxidases proximal heme-ligand signature.</t>
  </si>
  <si>
    <t>Transcriptional regulatory protein (probably AraC/XylS-family)</t>
  </si>
  <si>
    <t>Rv3736, (MTV025.084), len: 353 aa. Probable transcriptional regulator, araC/xylS family, similar to many transcriptional regulators and hypothetical proteins e.g. CAC38740 hypothetical 35.4 KDA protein from Bradyrhizobium japonicum (318 aa), FASTA scores: opt: 438, E(): 2e-20, (29.4% identity in 306 aa overlap); Q9HZ25|PA3215 probable transcriptional regulator from Pseudomonas aeruginosa (337 aa), FASTA scores: opt: 395, E(): 1.1e-17, (30.3% identity in 320 aa overlap); Q9HTN1|PA5324 probable transcriptional regulator from Pseudomonas aeruginosa (356 aa), FASTA scores: opt: 313, E(): 1.8e-12, (25.85% identity in 329 aa overlap); Q9Z3Y6|PHBR transcriptional regulator PHBR from Pseudomonas sp. 61-3 (379 aa), FASTA scores: opt: 271, E(): 8.3e-10, (22.95% identity in 357 aa overlap); etc. Also highly similar to Q06861|VIRS_MYCTU|Rv3082c|MTV013.03c possible virulence-regulating protein from Mycobacterium tuberculosis (340 aa), FASTA scores: opt: 656, E(): 3.7e-34, (36.95% identity in 333 aa overlap); and similar to other hypothetical mycobacterial proteins e.g. P71663|YD95_MYCTU|Rv1395|MT1440|MTCY21B4.12 (344 aa). Contains helix-turn-helix motif at aa 245-266 (Score 1140, +3.07 SD). Seems belong to the AraC/XylS family of transcriptional regulators.</t>
  </si>
  <si>
    <t>Rv3737, (MTV025.085), len: 529 aa. Probable conserved transmembrane protein, similar to others and also some hypothetical proteins e.g. AAK61331|THRE threonine export carrier from Corynebacterium glutamicum (Brevibacterium flavum) (489 aa), FASTA scores: opt: 773, E(): 1.8e-36, (37.25% identity in 424 aa overlap); Q9X8J0|SCE9.17 putative membrane protein from Streptomyces coelicolor (578 aa), FASTA scores: opt: 642, E(): 5.4e-29, (31.6% identity in 481 aa overlap) (shorter 119 aa at N-terminus); Q9CJU6|PM1895 hypothetical protein from Pasteurella multocida (262 aa), FASTA scores: opt: 233, E(): 4.1e-06, (25.0% identity in 256 aa overlap); Q9S267|SCI30A.06 putative integral membrane protein from Streptomyces coelicolor (297 aa), FASTA scores: opt: 163, E(): 0.042, (29.65% identity in 263 aa overlap); etc. Also partially similar to O05435|Rv3910|MTCY15F10.01c|MTV028.01 hypothetical 123.6 KDA protein from Mycobacterium tuberculosis (1184 aa) (34.4% identity in 125 aa overlap).</t>
  </si>
  <si>
    <t>PPE66</t>
  </si>
  <si>
    <t>Rv3738c</t>
  </si>
  <si>
    <t>PPE family protein PPE66</t>
  </si>
  <si>
    <t>Rv3738c, (MTV025.086c), len: 315 aa. PPE66, Member of the Mycobacterium tuberculosis PPE family, highly similar to many e.g. O53265|Rv3018c|MTV012.32c (434 aa), FASTA scores: opt: 464, E(): 2.2e-17, (47.05% identity in 338 aa overlap). Probably a continuation of the upstream ORF MTV025.87c|Rv3739c|PPE67. At position 97470-72 a stop codon is present which interrupts a possibly longer ORF, observed in related ORFs MTV012_32 or MTCY21B4_4. The sequence has been checked and no errors were detected. A similar situation, but with a frameshift separating the ORFs is found in MTV012_36/MTV012_35. Sequence similarity is also seen with MTCY251_15; MTCY261_19; MLCB2492_30 from Mycobacterium leprae; MTCY10G2_10; MTY21C12_9; MTCI125_26; MTCY164_36; MTCY6A4_1.</t>
  </si>
  <si>
    <t>PPE67</t>
  </si>
  <si>
    <t>Rv3739c</t>
  </si>
  <si>
    <t>PPE family protein PPE67</t>
  </si>
  <si>
    <t>Rv3739c, (MTV025.087c), len: 77 aa. PPE67, Member of the Mycobacterium tuberculosis PE family, showing high homology with O53269|Rv3022c|MTV012.36c (82 aa) FASTA scores: opt: 398, E(): 1.2e-19, (74.0% identity in 77 aa overlap); and similar to the N-termini of other PPE proteins e.g. O53265|Rv3018c|MTV012.32c (434 aa) FASTA scores: opt: 398, E(): 4.8e-19, (74.0% identity in 77 aa overlap). ORF ends at the stop codon at position 97470, which is not present in similar ORFs: MTV012_32, or MTCY21B4_4. Sequence homology with MTV012_32, and MTCY21B4_4 continues in the downstream ORF MTV025.086c|Rv3738c|PPE66. Sequence was checked, but no errors were detected. A similar situation, but with a frameshift separating the ORFs, is found in MTV012_36/MTV012_35. Also ORF MTV025.87c shows similarity to MTV03 _14; MTCY6A4_1; MTV035_8; MTV037_17; MLCB2492_30; MTCY261_19; MTCY251_15; MTCY3A2_23; MTCY28_16; etc.</t>
  </si>
  <si>
    <t>Rv3740c, (MTV025.088c), len: 448 aa. Possible triacylglycerol synthase (See Daniel et al., 2004), highly similar to several other Mycobacterium tuberculosis hypothetical proteins e.g. O69701|Y1D4_MYCTU|Rv3734c|MT3839|MTV025.082c (454 aa) FASTA scores: opt: 1917, E(): 2.3e-112, (61.4% identity in 451 aa overlap); Q50680|YM85_MYCTU|Rv2285|MT2343|MTCY339.25c (445 aa) FASTA scores: opt: 858, E(): 3.4e-46, (37.4% identity in 460 aa overlap); Q10554|Y895_MYCTU|Rv0895|MT0919|MTCY31.23 (505 aa), FASTA scores: opt: 767, E(): 1.9e-40, (44.3% identity in 467 aa overlap); MTCY31_25; MTCY28_26; MTCY493_29; MTCY21B4_43; MTCY8D5_16; MTCY3A2_28; MTV013_8; MTY13E12_33; MTV013_9; MTY20B11_9; etc. Also similar to Q9RIU8|SCM11.13c hypothetical 47.1 KDA protein from Streptomyces coelicolor (446 aa), FASTA scores: opt: 319, E(): 1.7e-12, (30.9% identity in 453 aa overlap).</t>
  </si>
  <si>
    <t>Rv3741c, (MTV025.089c), len: 224 aa. Possible oxidoreductase, probably combines with product of upstream ORF MTV025.090c to form a functional monooxygenase, highly similar to C-terminal end of various oxidoreductases e.g. Q9APW3 aromatic-ring hyroxylase from Pseudomonas aeruginosa (508 aa), FASTA scores: opt: 549, E(): 5.9e-28, (56.1% identity in 155 aa overlap); Q9A588|CC2569 monooxygenase (flavin-binding family) from Caulobacter crescentus (498 aa), FASTA scores: opt: 487, E(): 5.6e-24, (39.55% identity in 225 aa overlap); Q9RZT0|DRB0033 arylesterase/monoxygenase from Deinococcus radiodurans (833 aa), FASTA scores: opt: 460, E(): 4.7e-22, (38.5% identity in 226 aa overlap); etc. Also similar to C-terminal end of Mycobacterium tuberculosis proteins (generally monooxygenases) e.g. P96223|Rv3854c|MTCY01A6.14 hypothetical 55.3 KDA protein (489 aa), FASTA scores: opt: 542, E(): 1.6e-27, (50.0% identity in 162 aa overlap); O53762|Rv0565c|MTV039.03c putative monoxygenase (486 aa), FASTA scores: opt: 462, E(): 2.2e-22, (37.15% identity in 226 aa overlap); O53300|Rv3083|MTV013.04 monoxygenase (495 aa), FASTA scores: opt: 462, E(): 2.2e-22, (45.65% identity in 173 aa overlap); etc. Note similarity to MTCY01A6.14 and MTV013.04 continue in upstream ORF (MTV025.090c) after a gap of ~100 aa.</t>
  </si>
  <si>
    <t>Rv3742c, (MTV025.090c), len: 131 aa. Possible oxidoreductase, probably combines with product of downstream ORF MTV025.090c to form a functional monooxygenase, highly similar to N-terminal end of various oxidoreductases e.g. Q9A588|CC2569 monooxygenase (flavin-binding family) from Caulobacter crescentus (498 aa), FASTA scores: opt: 170, E(): 0.00048, (47.55% identity in 103 aa overlap); Q9APW3 aromatic-ring hyroxylase from Pseudomonas aeruginosa (508 aa) FASTA scores: opt: 160, E(): 0.0022, (50.55% identity in 87 aa overlap); Q9RZT0|DRB0033 arylesterase/monoxygenase from Deinococcus radiodurans (833 aa), FASTA scores: opt: 153, E(): 0.0097, (45.45% identity in 88 aa overlap); etc. Also similar to C-terminal end of Mycobacterium tuberculosis proteins (generally monooxygenases) e.g. P96223|Rv3854c|MTCY01A6.14 hypothetical 55.3 KDA protein (489 aa), FASTA scores: opt: 140, E(): 0.044, (37.1% identity in 132 aa overlap); O53300|Rv3083|MTV013.04 monoxygenase (495 aa) FASTA scores: opt: 133, E(): 0.13, (43.05% identity in 79 aa overlap); O53762|Rv0565c|MTV039.03c putative monoxygenase (486 aa), FASTA scores: opt: 110, E(): 4.1, (42.85% identity in 77 aa overlap); etc. Note similarity to MTCY01A6.14 and MTV013.04 continue in downstream ORF (MTV025.089c) after a gap of ~100 aa.</t>
  </si>
  <si>
    <t>Cation-transporting ATPase; possibly catalyzes the transport of a undetermined cation (possibly cadmium) with hydrolyse of ATP [catalytic activity: ATP + H(2)O + undetermined cation(in) = ADP + phosphate + undetermined cation(out)].</t>
  </si>
  <si>
    <t>Probable cation transporter P-type ATPase CtpJ</t>
  </si>
  <si>
    <t>Rv3743c, (MTV025.091c), len: 660 aa. Probable ctpJ, cation-transporting P-type ATPase, transmembrane protein highly similar to others e.g. Q9ZBF3|SC9B5.27 putative cation-transporting ATPase from Streptomyces coelicolor (638 aa), FASTA scores: opt: 1635, E(): 2.5e-86, (62.25% identity in 63.95 aa overlap); Q59997|CADA|SLR0797 cadmium-transporting ATPase from Synechocystis sp. strain PCC 6803 (642 aa), FASTA scores: opt: 1474, E(): 4.3e-77, (42.4% identity in 604 aa overlap); P30336|CADA_BACFI probable cadmium-transporting ATPase from Bacillus firmus (723 aa), FASTA scores: opt: 1327, E(): 1.3e-68, (36.6% identity in 626 aa overlap); etc. Also highly similar to O53160|CTPD_MYCTU|Rv1469|MT1515|MTV007.16 probable cation-transporting P-type ATPase D from Mycobacterium tuberculosis (657 aa), FASTA scores: opt: 1845, E(): 2.3e-98, (55.85% identity in 650 aa overlap). Contains PS00154 E1-E2 ATPases phosphorylation site and PS01229 Hypothetical family signature 2. Belongs to the cation transport ATPases family (E1-E2 ATPases). Transcription is repressed by NmtR (See Cavet et al., 2002).</t>
  </si>
  <si>
    <t>nmtR</t>
  </si>
  <si>
    <t>Represses transcription from the NMTA operator-promoter. Repression is alleviated by NI(II) or co(II).</t>
  </si>
  <si>
    <t>Metal sensor transcriptional regulator (ArsR-SmtB family)</t>
  </si>
  <si>
    <t>Rv3744, (MTV025.092), len: 120 aa. Transcriptional regulator nmtR (See Cavet et al., 2002). Highly similar to many e.g. Q9ZBF4|SC9B5.26c from Streptomyces coelicolor (120 aa), FASTA scores: opt: 480, E(): 2.4e-24, (63.25% identity in 117 aa overlap); O31844|YOZA YOZA regulator from Bacillus subtilis (107 aa), FASTA scores: opt: 249, E(): 1.6e-09, (44.8% identity in 96 aa overlap); P30340|SMTB_SYNP7|SMTB from Synechococcus sp. strain PCC 7942 (Anacystis nidulans R2) (122 aa), FASTA scores: opt: 230, E(): 2.9e-08, (46.0% identity in 87 aa overlap); etc. Equivalent to AAK48216 from Mycobacterium tuberculosis strain CDC1551 (135 aa) but shorter 15 aa. Also similar to MTCY27_22; MTCY39_25; and MTCY441_12. Contains helix-turn-helix motif at aa 47-68 (Score 1815, +5.37 SD). Belongs to the ArsR-SmtB family of transcriptional regulators.</t>
  </si>
  <si>
    <t>Rv3745c</t>
  </si>
  <si>
    <t>Rv3745c, (MTV025.093c), len: 70 aa. Conserved hypothetical protein, highly similar to others e.g. N-terminus of Q9X4E6 hypothetical 13.4 KDA protein from Rhodobacter sphaeroides (Rhodopseudomonas sphaeroides) (124 aa), FASTA scores: opt: 279, E(): 4.4e-14, (59.4% identity in 69 aa overlap); N-terminus of Q9A2A6|CC3660 hypothetical protein from Caulobacter crescentus (172 aa) FASTA scores: opt: 272, E(): 1.9e-13, (63.35% identity in 60 aa overlap); N-terminus of P74345|SLR1628 hypothetical 14.5 KDA protein from Synechocystis sp. strain PCC 6803 (134 aa), FASTA scores: opt: 233, E(): 1.3e-10, (54.85% identity in 62 aa overlap); etc.</t>
  </si>
  <si>
    <t>PE34</t>
  </si>
  <si>
    <t>Rv3746c</t>
  </si>
  <si>
    <t>Probable PE family protein PE34 (PE family-related protein)</t>
  </si>
  <si>
    <t>Rv3746c, (MTV025.094c), len: 111 aa. PE34, Probable member of the Mycobacterium tuberculosis PE family (see citation below), but without the glycine-rich C-terminal part, similar to N-termini of many e.g. O69737|Rv3872|MTV027.07 (99 aa) FASTA scores: opt: 306, E(): 1e-13, (50.5% identity in 99 aa overlap); O53215|Rv2490c|MTV008.46 (1660 aa) FASTA scores: opt: 125, E(): 0.99, (34.25% identity in 111 aa overlap). Also weakly similar to MTV008_46; MTCI418B_6; MTCY130_1; MTY25D10_11; MTCY1A11_25; MTCY21B4_13; MTCY21B4_27; MTCY493_2; MTCY28_25; etc.</t>
  </si>
  <si>
    <t>Rv3747, (MTV025.095), len: 127 aa. Conserved protein, highly similar to downstream ORF O69715|Rv3748|MTV025.096 conserved hypothetical protein (119 aa), FASTA scores: opt: 494, E(): 6e-27, (64.4% identity in 118 aa overlap).</t>
  </si>
  <si>
    <t>Rv3748</t>
  </si>
  <si>
    <t>Rv3748, (MTV025.096), len: 119 aa. Hypothetical protein, highly similar to upstream ORF O69714|Rv3747|MTV025.095 conserved hypothetical protein (127 aa), FASTA scores: opt: 496, E(): 2.5e-28, (64.4% identity in 118 aa overlap).</t>
  </si>
  <si>
    <t>Rv3749c, (MTV025.097c), len: 169 aa. Hypothetical protein, showing some similarity with O85864 hypothetical 21.4 KDA protein from Sphingomonas aromaticivorans plasmid pNL1 (196 aa), FASTA scores: opt: 148, E(): 0.011, (32.7% identity in 104 aa overlap); Q9LCU6 hypothetical 21.2 KDA protein from Arthrobacter sp. TM1 (192 aa), FASTA scores: opt: 125, E(): 0.35, (31.5% identity in 92 aa overlap); Q9L631|SPCB myo-inositol-2-dehydrogenase from Streptomyces spectabilis (374 aa); Q9WJP8|PRE-S1 PRE-S1 protein (fragment) from Hepatitis B virus (88 aa); etc. Contains PS00092 N-6 Adenine-specific DNA methylases signature. Predicted to be an outer membrane protein (See Song et al., 2008). This region is a possible MT-complex-specific genomic island (See Becq et al., 2007).</t>
  </si>
  <si>
    <t>Rv3750c</t>
  </si>
  <si>
    <t>Sequence excision.</t>
  </si>
  <si>
    <t>Rv3750c, (MTV025.098c), len: 130 aa. Possible excisionase, similar to others e.g. Q9LCU5 putative excisionase from Arthrobacter sp. TM1 (174 aa) FASTA scores: opt: 297, E(): 1.2e-12, (40.35% identity in 114 aa overlap); O85865 putative excisionase from Sphingomonas aromaticivorans plasmid pNL1 (152 aa), FASTA scores: opt: 223, E(): 7.3e-08, (39.15% identity in 97 aa overlap); Q9XBH1|xis excisionase from Bacteroides fragilis (124 aa) FASTA scores: opt: 128, E(): 0.1, (30.7% identity in 88 aa overlap); etc. Also some similarity to transcriptional regulators. Also similar to Mycobacterium tuberculosis hypothetical proteins e.g. P71902|YN10_MYCTU|Rv2310|MT2372|MTCY3G12.24c (114 aa) FASTA scores: opt: 224, E(): 4.9e-08, (42.7% identity in 82 aa overlap). Contains helix-turn-helix motif at aa 55-76 (Score 1925,+5.74 SD). This region is a possible MT-complex-specific genomic island (See Becq et al., 2007).</t>
  </si>
  <si>
    <t>Rv3751</t>
  </si>
  <si>
    <t>Sequence integration.</t>
  </si>
  <si>
    <t>Rv3751, (MTV025.099), len: 71 aa. Probable integrase (fragment), similar to part of many e.g. Q48908 integrase (fragment) from Mycobacterium paratuberculosis (191 aa), FASTA scores: opt: 206, E(): 5.5e-08, (57.65% identity in 59 aa overlap); Q9ZWV7|int integrase from Corynephage 304L (395 aa), FASTA scores: opt: 156, E(): 0.00036, (45.75% identity in 59 aa overlap); Q9K722|BH3551 integrase (phage-related protein) from Bacillus halodurans (378 aa), FASTA scores: opt: 151, E(): 0.00079, (46.15% identity in 52 aa overlap); etc. Also similarity with various conjugative transposons. Also similar to Mycobacterium tuberculosis hypothetical proteins e.g. P71903|Rv2309c|MTCY3G12.25 (151 aa), FASTA scores: opt: 193, E(): 3.8e-07, (50.85% identity in 59 aa overlap); O53403|Rv1055|MTV017.08 (78 aa), FASTA scores: opt: 171, E(): 7.8e-06, (54.15% identity in 48 aa overlap); etc. This region is a possible MT-complex-specific genomic island (See Becq et al., 2007).</t>
  </si>
  <si>
    <t>Rv3752c</t>
  </si>
  <si>
    <t>Possible cytidine/deoxycytidylate deaminase</t>
  </si>
  <si>
    <t>Rv3752c, (MTV025.100c), len: 152 aa. Probable cytidine/deoxycytidylate deaminase, equivalent to Q9CB32|ML2474 possible cytidine/deoxycytidylate deaminase from Mycobacterium leprae (171 aa), FASTA scores: opt: 890, E(): 1.6e-50, (88.1% identity in 151 aa overlap). Also highly similar to other deaminases and hypothetical proteins e.g. Q9AK79|2SCD60.04c putative deaminase from Streptomyces coelicolor (143 aa), FASTA scores: opt: 559, E(): 2.9e-29, (66.45% identity in 146 aa overlap); Q9F9W7 cytosine deaminase from Bifidobacterium longum (143 aa) FASTA scores: opt: 512, E(): 3.1e-26, (54.85% identity in 144 aa overlap); P21335|YAAJ_BACSU hypothetical 17.8 KDA protein from Bacillus subtilis (161 aa), FASTA scores: opt: 425, E(): 1.4e-20, (47.7% identity in 151 aa overlap); AAK74212|SP0020 cytidine/deoxycytidylate deaminase family protein from Streptococcus pneumoniae (155 aa), FASTA scores: opt: 401, E(): 4.7e-19, (46.25% identity in 147 aa overlap); P30134|YFHC_ECOLI|B2559 hypothetical 20.0 KDA protein from Escherichia coli strain K12 (178 aa), FASTA scores: opt: 397, E(): 9.5e-19, (47.0% identity in 149 aa overlap); etc. Contains PS00903 Cytidine and deoxycytidylate deaminases zinc-binding region signature. Belongs to the cytidine and deoxycytidylate deaminases family.</t>
  </si>
  <si>
    <t>Rv3753c, (MTV025.101c), len: 166 aa. Conserved protein, only equivalent to Q9CB33|ML2473 hypothetical protein from Mycobacterium leprae (159 aa) FASTA scores: opt: 920 E(): 1.4e-52,, (88.6% identity in 158 aa overlap). A core mycobacterial gene; conserved in mycobacterial strains (See Marmiesse et al., 2004).</t>
  </si>
  <si>
    <t>Involved in tyrosine biosynthesis [catalytic activity: prephenate + NAD(+) = 4-hydroxyphenylpyruvate + CO(2) + NADH].</t>
  </si>
  <si>
    <t>Prephenate dehydrogenase TyrA (PDH) (hydroxyphenylpyruvate synthase)</t>
  </si>
  <si>
    <t>Rv3754, (MTV025.102), len: 301 aa. Probable tyrA, prephenate dehydrogenase, equivalent, but shorter 27 aa, to Q9CB34|ML2472 possible prephenate dehydrogenase from Mycobacterium leprae (327 aa) FASTA scores: opt: 1600, E(): 1.6e-89, (80.0% identity in 300 aa overlap). Also similar to many pephenate dehydrogenases e.g. Q9RND8|TYRA from Bordetella bronchiseptica (Alcaligenes bronchisepticus) (299 aa), FASTA scores: opt: 345, E(): 9.7e-14, (32.85% identity in 271 aa overlap); Q9RVA7|DR1122 from Deinococcus radiodurans (372 aa) FASTA scores: opt: 341, E(): 2e-13, (35.65% identity in 216 aa overlap); P20692|TYRA_BACSU from Bacillus subtilis (372 aa), FASTA scores: opt: 314, E(): 8.6e-12, (27.75% identity in 263 aa overlap); etc. Also similar to Q04983|TYRC_ZYMMO TYRC protein [includes: cyclohexadienyl dehydrogenase and prephenate dehydrogenase activities] from Zymomonas mobilis (293 aa), FASTA scores: opt: 290, E(): 2e-10, (30.15% identity in 239 aa overlap). Equivalent to AAK48225 from Mycobacterium tuberculosis strain CDC1551 (323 aa) but shorter 22 aa.</t>
  </si>
  <si>
    <t>Rv3755c, (MTV025.103c), len: 199 aa. Conserved protein showing similarity to CAC47343|SMC03980 conserved hypothetical protein from Rhizobium meliloti (Sinorhizobium meliloti) (196 aa) FASTA scores: opt: 244, E(): 4.1e-09, (30.9% identity in 191 aa overlap); Q9I2B5|PA1994 from Pseudomonas aeruginosa (187 aa), FASTA scores: opt: 226, E(): 6e-08, (29.9% identity in 194 aa overlap); and Q98N73|MLR0268 hypothetical protein (183 aa), FASTA scores: opt: 234, E(): 1.8e-08, (27.05% identity in 185 aa overlap).</t>
  </si>
  <si>
    <t>Thought to be involved in active transport of osmoprotectant (glycine betaine/carnitine/choline/L-proline) across the membrane (import). Responsible for the translocation of the substrate across the membrane.</t>
  </si>
  <si>
    <t>Possible osmoprotectant (glycine betaine/carnitine/choline/L-proline) transport integral membrane protein ABC transporter ProZ</t>
  </si>
  <si>
    <t>Rv3756c, (MTV025.104c), len: 239 aa. Possible proZ, osmoprotectant transport integral membrane protein ABC transporter (see citation below), similar to osmoprotection proteins (proW, proZ) involved in glycine betaine/L-proline/choline transport, e.g. BAB58609|Q99RI4|OPUCB|SA2236|SAV2447 OPUCB protein (probable glycine betaine/carnitine/choline ABC transporter) from Staphylococcus aureus (211 aa) FASTA scores: opt: 434, E(): 2.5e-18, (36.6% identity in 194 aa overlap); Q45461|OPBB_BACSU|OPUBB|prow choline transport system permease protein (mediate the uptake of choline for synthesis of the osmoprotectant glycine betaine) from Bacillus subtilis (217 aa), FASTA scores: opt: 402, E(): 1.9e-16, (32.0% identity in 203 aa overlap); O34878|OPCB_BACSU|OPUCB glycine betaine/carnitine/choline transport system permease protein from Bacillus subtilis (217 aa), FASTA scores: opt: 385, E(): 1.8e-15, (30.2% identity in 222 aa overlap); P39775|O34657|OPUBD|PROZ|OPBD_BACSU choline transport system permease protein from Bacillus subtilis (226 aa) FASTA scores: opt: 350, E(): 2e-13, (31.75% identity in 208 aa overlap); etc. Could belong to the CYSTW subfamily.</t>
  </si>
  <si>
    <t>Possible osmoprotectant (glycine betaine/carnitine/choline/L-proline) transport integral membrane protein ABC transporter ProW</t>
  </si>
  <si>
    <t>Rv3757c, (MTV025.105c), len: 229 aa. Possible proW, osmoprotectant transport integral membrane protein ABC transporter (see citation below), similar to osmoprotection proteins (proW, proZ) involved in glycine betaine/L-proline/choline transport, e.g. BAB58607|Q99RI6|OPUCD|SA2234|SAV2445 OPUCD protein (probable glycine betaine/carnitine/choline ABC transporter) from Staphylococcus aureus (231 aa) FASTA scores: opt: 364, E(): 7.1e-15, (30.0% identity in 220 aa overlap); Q45461|OPBB_BACSU|OPUBB|prow choline transport system permease protein (mediate the uptake of choline for synthesis of the osmoprotectant glycine betaine) from Bacillus subtilis (217 aa), FASTA scores: opt: 348, E(): 6.2e-14, (31.05% identity in 206 aa overlap); O34878|OPCB_BACSU|OPUCB glycine betaine/carnitine/choline transport system permease protein from Bacillus subtilis (217 aa), FASTA scores: opt: 343, E(): 1.2e-13, (30.1% identity in 206 aa overlap); O34742|OPCD_BACSU|OPUCD glycine betaine/carnitine/choline transport system permease protein from Bacillus subtilis (229 aa) FASTA scores: opt: 337, E(): 2.9e-13, (31.1% identity in 193 aa overlap); etc. Could belong to the CYSTW subfamily.</t>
  </si>
  <si>
    <t>Thought to be involved in active transport of osmoprotectant (glycine betaine/carnitine/choline/L-proline) across the membrane (import). Responsible for energy coupling to the transport system.</t>
  </si>
  <si>
    <t>Possible osmoprotectant (glycine betaine/carnitine/choline/L-proline) transport ATP-binding protein ABC transporter ProV</t>
  </si>
  <si>
    <t>Rv3758c, (MTV025.106c), len: 376 aa. Possible proV, osmoprotectant transport ATP-binding protein ABC transporter (see citation below), highly similar to osmoprotection proteins (proV) involved in glycine betaine/L-proline/choline transport, e.g. BAB58610|Q99RI3|OPUCA|SA2237|SAV2448 glycine betaine/carnitine/choline ABC transporter (ATP-binding) from Staphylococcus aureus (410 aa), FASTA scores: opt: 816, E(): 8.4e-39, (39.5% identity in 362 aa overlap); O34992|OPCA_BACSU|OPUCA glycine betaine/carnitine/choline transport ATP-binding protein from Bacillus subtilis (380 aa), FASTA scores: opt: 807, E(): 2.5e-38, (40.55% identity in 333 aa overlap); Q45460|OPBA_BACSU|OPUBA|prov choline transport ATP-binding protein from Bacillus subtilis (381 aa), FASTA scores: opt: 801, E(): 5.6e-38, (40.65% identity in 337 aa overlap); etc. Contains PS00017 ATP/GTP-binding site motif A (P-loop) and PS00211 ABC transporter family signature. Belongs to the ATP-binding transport protein family (ABC transporters).</t>
  </si>
  <si>
    <t>Thought to be involved in active transport of osmoprotectant (glycine betaine/carnitine/choline/L-proline) across the membrane (import).</t>
  </si>
  <si>
    <t>Possible osmoprotectant (glycine betaine/carnitine/choline/L-proline) binding lipoprotein ProX</t>
  </si>
  <si>
    <t>Rv3759c, (MTV025.107c), len: 315 aa. Possible proX, osmoprotectant-binding lipoprotein component of osmoprotectant transport system (see citation below), similar to osmoprotection proteins (proX) involved in glycine betaine/L-proline/choline transport, e.g. AAK79442|CAC1474 proline/glycine betaine ABC transport system periplasmic component from Clostridium acetobutylicum (303 aa), FASTA scores: opt: 308, E(): 1.2e-11, (27.4% identity in 314 aa overlap); Q9X4J2|PROXL|SCE19A.33 PROXL protein from Streptomyces coelicolor (322 aa), FASTA scores: opt: 302, E(): 3e-11, (27.2% identity in 327 aa overlap); O29280|AF0982 osmoprotection protein (PROX) from Archaeoglobus fulgidus (292 aa), FASTA scores: opt: 235, E(): 3.4e-07, (23.15% identity in 285 aa overlap); etc. Also similar to MTV006_16 hypothetical protein from Mycobacterium tuberculosis, and MLU15180_43 hypothetical protein from Mycobacterium leprae. Equivalent to AAK48230 from Mycobacterium tuberculosis strain CDC1551 (343 aa) but shorter 28 aa. Contains probable N-terminal signal sequence.</t>
  </si>
  <si>
    <t>Rv3760</t>
  </si>
  <si>
    <t>Rv3760, (MTV025.108), len: 100 aa. Possible conserved membrane protein, equivalent to Q50094|ML2366|MLCB12.11c putative membrane protein from Mycobacterium leprae (113 aa), FASTA scores: opt: 423, E(): 1.2e-20, (67.7% identity in 99 aa overlap). Also similar with Q9JST1|NMA2149 putative inner membrane hypothetical protein from Neisseria meningitidis (serogroup A) (104 aa), FASTA scores: opt: 113, E(): 0.95, (33.85% identity in 62 aa overlap); and showing similarity with Q9ZAX7 ABC transporter membrane protein subunit from Streptococcus mutans (498 aa), FASTA scores: opt: 108, E(): 6.7, (42.35% identity in 85 aa overlap) (similarity at C-terminus); and P33108|SECY_MICLU preprotein translocase SECY subunit from Micrococcus luteus (Micrococcus lysodeikticus) (436 aa), FASTA scores: opt: 106, E(): 8.2, (29.05% identity in 86 aa overlap). Equivalent to AAK48231 from Mycobacterium tuberculosis strain CDC1551 (117 aa) but shorter 17 aa.</t>
  </si>
  <si>
    <t>Function unknown, but possibly involvement in lipid degradation.</t>
  </si>
  <si>
    <t>Possible acyl-CoA dehydrogenase FadE36</t>
  </si>
  <si>
    <t>Rv3761c, (MTV025.109c), len: 351 aa. Possible fadE36, acyl-CoA dehydrogenase, similar to many conserved hypothetical proteins and showing some similarity with few acyl-CoA dehydrogenases, e.g. Q9APX7|FADE36 FADE36 protein from Pseudomonas aeruginosa (360 aa), FASTA scores: opt: 147, E(): 0.046, (26.15% identity in 214 aa overlap); part of AAB52261.2|U97002 protein similar to acyl-CoA dehydrogenases and epoxide hydrolases from Caenorhabditis elegans (985 aa), FASTA score: (31.2% identity in 324 aa overlap). C-terminal part is highly similar to Q50095|U1740AK|MLU15183_45 hypothetical protein from Mycobacterium leprae cosmid B174 (122 aa), FASTA scores: opt: 341, E(): 7.3e-15, (57.6% identity in 99 aa overlap). Contains PS00339 Aminoacyl-transfer RNA synthetases class-II signature 2.</t>
  </si>
  <si>
    <t>Rv3762c, (MTV025.110c), len: 626 aa. Possible hydrolase, highly similar to hypothetical proteins and beta-lactamases e.g. Q9RL04|SC5G9.23 hypothetical 70.3 KDA protein from Streptomyces coelicolor (648 aa), FASTA scores: opt: 2088, E(): 3.7e-124, (52.9% identity in 624 aa overlap); P32717|YJCS_ECOLI|B4083 hypothetical 73.2 KDA protein from Escherichia coli strain K12 (661 aa), FASTA scores: opt: 1911, E(): 5.7e-113, (46.9% identity in 631 aa overlap); Q9A824|CC1540 metallo-beta-lactamase family protein from Caulobacter crescentus (647 aa), FASTA scores: opt: 1891, E(): 1e-111, (48.55% identity in 628 aa overlap); Q08347|YOL164W chromosome xv reading frame ORF from Saccharomyces cerevisiae (Baker's yeast) (646 aa) FASTA scores: opt: 1829, E(): 8.4e-108, (45.7% identity in 615 aa overlap); Q9I5I9|PA0740 probable beta-lactamase from Pseudomonas aeruginosa (658 aa), FASTA scores: opt: 1699, E(): 1.4e-99, (43.15% identity in 630 aa overlap); Q52556|SDSA alkyl sulfatase (protein involved in the degradation of sulfate esters of long-chain primaryal cohols e.g. SDS sodium dodecyl sulfate) from Pseudomonas sp (528 aa), FASTA scores: opt: 841, E(): 1.7e-45, (33.7% identity in 534 aa overlap); etc. N-terminual end also highly similar to Q48790|SEPA SEPA protein (protein implicated in cell separation) from Listeria monocytogenes (391 aa), FASTA scores: opt: 1256, E(): 8.3e-72, (49.6% identity in 363 aa overlap). Also slight similarity to P96253|Rv0407|MTCY22G10.03 hypothetical 37.0 KDA protein from Mycobacterium tuberculosis (336 aa).</t>
  </si>
  <si>
    <t>Shown to inhibit gamma interferon regulated HLA-DR protein and mRNA expression in human macrophages</t>
  </si>
  <si>
    <t>19 kDa lipoprotein antigen precursor LpqH</t>
  </si>
  <si>
    <t>Rv3763, (MTV025.111), len: 159 aa. LpqH, conserved 19 KDa lipoprotein antigen precursor (see citations below), equivalent to P31502|19KD_MYCIT|MI22 19 KDA lipoprotein antigen precursor (MI22 antigen) from Mycobacterium intracellulare (162 aa), FASTA scores: opt: 773, E(): 6.2e-35, 75.95(% identity in 162 aa overlap); P46733|19KD_MYCAV 19 KDA lipoprotein antigen precursor from Mycobacterium avium (161 aa), FASTA scores: opt: 743, E(): 2.5e-33, (72.5% identity in 160 aa overlap); and Q9X7A5|LPQH|ML1966 possible lipoprotein from Mycobacterium leprae FASTA scores: opt: 371, E(): 2.2e-13, (42.6% identity in 162 aa overlap). Possibly attached to the membrane by a lipid anchor. Similar to other mycobacterium 19 KDA antigen. Contains PS00013 Prokaryotic membrane lipoprotein lipid attachment site.</t>
  </si>
  <si>
    <t>tcrY</t>
  </si>
  <si>
    <t>Possible two component sensor kinase TcrY</t>
  </si>
  <si>
    <t>Rv3764c, (MTV025.112c), len: 475 aa. Possible tcrY, histidine protein kinase, part of a two-component regulatory system, similar to others e.g. Q9ADN6|2SC10A7.25 putative two component system histidine kinase from Streptomyces coelicolor (524 aa), FASTA scores: opt: 1332, E(): 5.4e-70, (49.9% identity in 477 aa overlap); Q9L3C1|KB|CAC42479 putative histidine kinase from Amycolatopsis mediterranei (469 aa), FASTA scores: opt: 515, E(): 1.4e-22, (36.1% identity in 313 aa overlap); P72560 histidine protein kinase from Synechococcus sp. strain PCC 7942 (Anacystis nidulans R2) (438 aa), FASTA scores: opt: 480, E(): 1.4e-20, (40.1% identity in 232 aa overlap); P30847|P76401|BAES_ECOLI|B2078 sensor protein from Escherichia coli strain K12 (467 aa); etc. Also similar to others from Mycobacterium tuberculosis e.g. P96368|Rv1032c|MTCY10G2.17 (509 aa), FASTA scores: opt: 1007, E(): 4e-51, (43.5% identity in 416 aa overlap); and P71815|Rv0758|MTCY369.03 (485 aa), FASTA scores: opt: 738, E(): 1.6e-35, (28.6% identity in 438 aa overlap). Equivalent to AAK48235 from Mycobacterium tuberculosis strain CDC1551 (506 aa) but shorter 31 aa.</t>
  </si>
  <si>
    <t>tcrX</t>
  </si>
  <si>
    <t>Probable two component transcriptional regulatory protein TcrX</t>
  </si>
  <si>
    <t>Rv3765c, (MTV025.113c), len: 234 aa. Probable tcrX, response regulator of a two-component regulatory system, highly similar to others e.g. Q9ADN7|2SC10A7.24 putative two component system response regulator from Streptomyces coelicolor (271 aa), FASTA scores: opt: 1111, E(): 4.8e-63, (72.3% identity in 231 aa overlap); Q9F161 response regulator from Corynebacterium glutamicum (Brevibacterium flavum) (232 aa), FASTA scores: opt: 692, E(): 1.2e-36, (46.0% identity in 226 aa overlap); Q9KZU5|SCD84.23c putative two-component systen response regulator from Streptomyces coelicolor (248 aa), FASTA scores: opt: 674, E(): 1.7e-35, (44.05% identity in 236 aa overlap); etc. Also highly similar to others from Mycobacterium tuberculosis e.g. Q50806|Rv1033c|MTCY10G2.16 response regulator homolog (257 aa), FASTA scores: opt: 947, E(): 1e-52, (59.5% identity in 232 aa overlap); P71814|Rv0757|MTCY369.02 PHOP-like protein (247 aa) FASTA scores: opt: 829, E(): 2.8e-45, (54.65% identity in 225 aa overlap); O53894|Rv0981|MTV044.09 (230 aa), FASTA scores: opt: 662, E(): 9e-35, (44.65% identity in 224 aa overlap); and also similar to MTCY31_34; MTCY19H5_20; MTY13628_5; MTCY20G9_17; and to MLCB57_27 from Mycobacterium leprae; and MBY13627_3 from Mycobacterium bovis BCG. Equivalent to AAK48236 from Mycobacterium tuberculosis strain CDC1551 (286 aa) but shorter 52 aa. The N-terminal region is similar to that of other regulatory components of sensory transduction systems. Similar to bacterial regulatory proteins involved in signal transduction.</t>
  </si>
  <si>
    <t>Rv3766, (MTV025.114), len: 229 aa. Hypothetical unknown protein. Segment 183 to 229 highly similar to C-terminal part of O06288|Rv3594|MTCY07H7B.28c conserved hypothetical protein from Mycobacterium tuberculosis (275 aa), FASTA scores: opt: 128, E(): 0.92, (46.8% identity in 47 aa overlap).</t>
  </si>
  <si>
    <t>Rv3767c, (MTV025.115c, MTCY13D12.01), len: 314 aa. Possible S-adenosylmethionine-dependent methyltransferase (see Grana et al., 2007), similar to other Mycobacterium tuberculosis hypothetical proteins e.g. P96823|Rv0146|MTCI5.20 34.0 KDA protein (310 aa), FASTA scores: opt: 909, E(): 5.3e-50, (48.1% identity in 316 aa overlap); O53686|Rv0281|MTV035.09 (302 aa), FASTA scores: opt: 802, E(): 2.8e-43, (45.2% identity in 314 aa overlap); Q50726|YX99_MYCTU|Rv3399|MT3507|MTCY78.29c (348 aa), FASTA scores: opt: 796, E(): 7.6e-43, (45.35% identity in 302 aa overlap); MTCY78_30; MTCY31_23; MTCY210_45; MTCY4C12_14; MTY13D12_21, MTCI5_19; MTCY180_22; etc. Contains probable N-terminal signal sequence</t>
  </si>
  <si>
    <t>Rv3768, (MTCY13D12.02), len: 119 aa. Unknown protein.</t>
  </si>
  <si>
    <t>Rv3769, (MTCY13D12.03), len: 90 aa. Hypothetical unknown protein, possible coiled-coil protein.</t>
  </si>
  <si>
    <t>Rv3770A</t>
  </si>
  <si>
    <t>Probable remnant of a transposase</t>
  </si>
  <si>
    <t>Rv3770A, len: 60 aa. Probable remnant of a transposase, similar to many e.g. Rv2812|MTCY16B7.31c|Z81331_17 IS1604 putative transposase from Mycobacterium tuberculosis (469 aa), FASTA scores: opt: 204, E(): 1e-07, (80.5% identity in 41 aa overlap). Continuation of Rv3770B.</t>
  </si>
  <si>
    <t>Rv3770B</t>
  </si>
  <si>
    <t>Rv3770B, len: 63 aa. Probable remnant of a transposase, similar to many e.g. Rv2812|MTCY16B7.31c|Z81331_17 IS1604 putative transposase from Mycobacterium tuberculosis (469 aa), FASTA scores: opt: 379, E(): 1.6e-21, (93.55% identity in 62 aa overlap). Continues as Rv3770A.</t>
  </si>
  <si>
    <t>Hypothetical leucine rich protein</t>
  </si>
  <si>
    <t>Rv3770c, (MTCY13D12.04c), len: 191 aa. Hypothetical unknown leu-rich protein.</t>
  </si>
  <si>
    <t>Rv3771c, (MTCY13D12.05c), len: 108 aa. Hypothetical protein, highly similar, but shorter 81 aa, to P71640|Rv2811|MTCY16B7.32c hypothetical 21.1 KDA protein from Mycobacterium tuberculosis (202 aa), FASTA scores: opt: 469, E(): 2.7e-25, (73.15% identity in 108 aa overlap)</t>
  </si>
  <si>
    <t>Involved in histidine biosynthetic pathway (at the eighth step) [catalytic activity: L-histidinol-phosphate + 2-oxoglutarate = 3-(imidazol-4-YL)-2-oxopropyl phosphate + glutamate].</t>
  </si>
  <si>
    <t>Probable histidinol-phosphate aminotransferase HisC2 (imidazole acetol-phosphate transaminase) (imidazolylacetolphosphate aminotransferase)</t>
  </si>
  <si>
    <t>Rv3772, (MTCY13D12.06), len: 353 aa. Probable hisC2, histidinol-phosphate aminotransferase, highly similar to Q9ZBY8|SCD78.11 putative histidinol-phophate aminotransferase from Streptomyces coelicolor (359 aa), FASTA scores: opt: 1165, E(): 7.1e-64, (52.55% identity in 356 aa overlap); and similar to many e.g. Q9EYX2 from Gardnerella vaginalis (317 aa) FASTA scores: opt: 814, E(): 1.7e-42, (45.15% identity in 308 aa overlap); Q9CMI7|HISH_1PM0838|HISH from Pasteurella multocida (365 aa), FASTA scores: opt: 701, E(): 1.5e-35, (35.05% identity in 351 aa overlap); O07131|HIS8_METFL|HISC|HISH from Methylobacillus flagellatum (368 aa), FASTA scores: opt: 645, E(): 4e-32, (34.5% identity in 345 aa overlap); etc. Contains PS00599 Aminotransferases class-II pyridoxal-phosphate attachment site. Belongs to class-II of pyridoxal-phosphate-dependent aminotransferases. Cofactor: pyridoxal phosphate.</t>
  </si>
  <si>
    <t>Rv3773c</t>
  </si>
  <si>
    <t>Rv3773c, (MTCY13D12.07c), len: 194 aa. Conserved protein, highly similar to C-terminal end of O53773|Rv0576|MTV039.14 possible transcriptional regulator from Mycobacterium tuberculosis (434 aa), FASTA scores: opt: 575, E(): 8.3e-30, (47.4% identity in 192 aa overlap); and some similarity with other proteins from Mycobacterium tuberculosis e.g. P71985|Rv1727|MTCY04C12.12 (189 aa) FASTA scores: opt: 176, E(): 0.00022, (31.1% identity in 180 aa overlap).</t>
  </si>
  <si>
    <t>Possible enoyl-CoA hydratase EchA21 (enoyl hydrase) (unsaturated acyl-CoA hydratase) (crotonase)</t>
  </si>
  <si>
    <t>Rv3774, (MTCY13D12.08), len: 274 aa. Possible echA21, enoyl-CoA hydratase, equivalent to Q9CD94|ECHA1|ML0120 putative enoyl-CoA hydratase from Mycobacterium leprae (278 aa), FASTA scores: opt: 1593, E(): 2.2e-92, (88.3% identity in 274 aa overlap). Also similar to others e.g. Q9I2S4|PA1821 from Pseudomonas aeruginosa (270 aa), FASTA scores: opt: 761, E(): 2e-40, (42.3% identity in 267 aa overlap); Q9FHR8 from Arabidopsis thaliana (Mouse-ear cress) (278 aa) FASTA scores: opt: 638, E(): 9.9e-33, (39.4% identity in 269 aa overlap); Q9AB78|CC0353 from Caulobacter crescentus (286 aa), FASTA scores: opt: 601, E(): 2.1e-31, (39.25% identity in 266 aa overlap); etc.</t>
  </si>
  <si>
    <t>Probable lipase LipE</t>
  </si>
  <si>
    <t>Rv3775, (MTCY13D12.09), len: 415 aa. Probable lipE, hydrolase lipase, equivalent to Q9CD95|LIPE|ML0119 probable hydrolase from Mycobacterium leprae (411 aa), FASTA scores: opt: 2418, E(): 6.4e-144, (84.75% identity in 406 aa overlap). Also similar to other esterases e.g. Q9ABH2|CC0255 esterase a from Caulobacter crescentus (374 aa), FASTA scores: opt: 427, E(): 2.4e-19, (28.9% identity in 391 aa overlap); O87861|ESTA esterase a from Streptomyces chrysomallus (389 aa), FASTA scores: opt: 417, E(): 1e-18, (31.0% identity in 361 aa overlap); Q9RK50|SCF12.08 putative esterase from Streptomyces coelicolor (376 aa), FASTA scores: opt: 385, E(): 1e-16, (31.35% identity in 373 aa overlap); etc. Also similar to proteins from Mycobacterium tuberculosis e.g. P71778|Rv1497|MTCY277.19 hypothetical 45.8 KDA protein (429 aa), FASTA scores: opt: 457, E(): 3.5e-21, (30.4% identity in 395 aa overlap).</t>
  </si>
  <si>
    <t>Rv3776, (MTCY13D12.10), len: 519 aa. Conserved hypothetical protein, highly similar to Q10709|YL00_MYCTU|Rv2100|MTCY49.40 hypothetical 58.9 KDA protein from Mycobacterium tuberculosis (550 aa) FASTA scores: opt: 1646, E(): 1.2e-83, (77.85% identity in 510 aa overlap) (homology from potential start at 7744); and similar to other proteins from Mycobacterium tuberculosis (strains H37Rv and CDC1551) e.g. O33266|Rv0336|MTCY279.03 (503 aa) FASTA scores: opt: 682, E(): 2.2e-30, (41.65% identity in 497 aa overlap).</t>
  </si>
  <si>
    <t>Rv3777, (MTCY13D12.11), len: 328 aa. Probable oxidoreductase, equivalent to Q9CD96|ML0118 putative oxidoreductase from Mycobacterium leprae (336 aa) FASTA scores: opt: 1661, E(): 1.1e-87, (76.0% identity in 325 aa overlap). Also highly similar to many e.g. Q9XA55|SCGD3.24c putative quinone oxidoreductase from Streptomyces coelicolor (326 aa) FASTA scores: opt: 1118, E(): 1.3e-64, (59.6% identity in 312 aa overlap); O65423|F18E5.200|F17L22.40|AT4G21580 putative NADPH quinone oxidoreductase from Arabidopsis thaliana (Mouse-ear cress) (325 aa), FASTA scores: opt: 1110, E(): 3e-56, (52.15% identity in 326 aa overlap); Q98FI0|MLL3767 NADPH quinone oxidoreductase from Rhizobium loti (Mesorhizobium loti) (326 aa), FASTA scores: opt: 980, E(): 7.9e-49, (47.85% identity in 324 aa overlap); etc.</t>
  </si>
  <si>
    <t>Possible aminotransferase</t>
  </si>
  <si>
    <t>Rv3778c, (MTCY13D12.12c), len: 398 aa. Possible aminotransferase, equivalent to Q9CD97|ML0117 hypothetical protein from Mycobacterium leprae (398 aa) FASTA scores: opt: 2141, E(): 1.2e-123, (83.4% identity in 398 aa overlap). Also similar to other aminotransferases and cysteine desulfurases e.g. Q9K3K6|SCG20A.34 putative aminotransferase from Streptomyces coelicolor (400 aa), FASTA scores: opt: 723, E(): 6.5e-37, (36.3% identity in 402 aa overlap); Q9KSS2|VC1184 NIFS-related protein (aminotransferase-related) from Vibrio cholerae (416 aa) FASTA scores: opt: 595, E(): 4.5e-29, (31.35% identity in 405 aa overlap); Q98NK4|MLR0102 aminotransferase from Rhizobium loti (Mesorhizobium loti) (425 aa), FASTA scores: opt: 563, E(): 4.2e-27, (29.4% identity in 408 aa overlap); Q9RY03|DR0151 NIFS-related protein from Deinococcus radiodurans (401 aa), FASTA scores: opt: 484, E(): 2.7e-22, (32.35% identity in 399 aa overlap); Q9A766|CC1860 aminotransferase class V from Caulobacter crescentus (408 aa), FASTA scores: opt: 390, E(): 1.5e-16, (27.85% identity in 413 aa overlap); etc.</t>
  </si>
  <si>
    <t>Probable conserved transmembrane protein alanine and leucine rich</t>
  </si>
  <si>
    <t>Rv3779, (MTCY13D12.13), len: 666 aa. Predicted to be in the GT-C superfamily of glycosyltransferases (See Liu and Mushegian, 2003). Probable conserved transmembrane ala-, leu-rich protein, equivalent to Q9CD98|ML0116 putative membrane protein from Mycobacterium leprae (654 aa), FASTA scores: opt: 1991, E(): 2e-112, (66.5% identity in 666 aa overlap). Shows some similarity with Q9RRU0|DR2395 putative NA+/H+ antiporter from Deinococcus radiodurans (458 aa), FASTA scores: opt: 138, E(): 0.69, (31.9% identity in 138 aa overlap). A core mycobacterial gene; conserved in mycobacterial strains (See Marmiesse et al., 2004).</t>
  </si>
  <si>
    <t>Rv3780, (MTCY13D12.14), len: 178 aa. Conserved protein, equivalent to Q9CD99|ML0115 hypothetical 19.1 KDA protein from Mycobacterium leprae (174 aa), FASTA scores: opt: 903, E(): 2.3e-48, (82.95% identity in 170 aa overlap). Also highly similar to Q9XA56|SCGD3.23c hypothetical 19.5 KDA protein from Streptomyces coelicolor (179 aa), FASTA scores: opt: 692, E(): 1.8e-35, (65.9% identity in 170 aa overlap). Note that this putative protein is 4 aa longer at the N-terminus compared to previous annotation (in Nature 393: 537-544 (1998)).</t>
  </si>
  <si>
    <t>rfbE</t>
  </si>
  <si>
    <t>May form an ATP-driven O-antigen/lipopolysaccharide export apparatus, in association with RFBD|Rv3783. Responsible for energy coupling to the transport system.</t>
  </si>
  <si>
    <t>Probable O-antigen/lipopolysaccharide transport ATP-binding protein ABC transporter RfbE</t>
  </si>
  <si>
    <t>Rv3781, (MTCY13D12.15), len: 273 aa. Probable rfbE, polysaccharide-transport ATP-binding protein ABC transporter, involved in O-antigen/lipopolysaccharides (LPS) transport (see Braibant et al., 2000), equivalent to Q9CDA0|ML0114 putative ABC transporter ATP-binding component from Mycobacterium leprae (272 aa), FASTA scores: opt: 1581, E(): 3e-83, (91.4% identity in 267 aa overlap). Also highly similar to AAK71283 LPS/O-antigen export permease from Coxiella burnetii (258 aa), FASTA scores: opt: 793, E(): 2.5e-38, (45.45% identity in 253 aa overlap); Q9PAF0|XF2568 ABC transporter ATP-binding protein from Xylella fastidiosa (246 aa), FASTA scores: opt: 758, E(): 2.4e-36, (47.75% identity in 243 aa overlap); Q56903|RFBE_YEREN O-antigen export system ATP-binding protein from Yersinia enterocolitica (239 aa) (see Zhang et al., 1993), FASTA scores: opt: 697, E(): 7e-33, (48.65% identity in 224 aa overlap); Q50863|RFBB_MYXXA O-antigen export system ATP-binding from Myxococcus xanthus (437 aa), FASTA scores: opt: 605, E(): 2e-27, (42.05% identity in 207 aa overlap); etc. Contains PS00017 ATP/GTP-binding site motif A (P-loop). Belongs to the ATP-binding transport protein family (ABC transporters).</t>
  </si>
  <si>
    <t>glfT1</t>
  </si>
  <si>
    <t>Transfers galactofuranose in the initiation of cell wall galactan polymerization</t>
  </si>
  <si>
    <t>UDP-galactofuranosyl transferase GlfT1</t>
  </si>
  <si>
    <t>Rv3782, (MTCY13D12.16), len: 304 aa. GlfT1, UDP-galactofuranosyl transferase (See Mikusova et al., 2006; Belanova et al., 2008), equivalent to Q9CDA1|RFBE|ML0113 putative glycosyl transferase from Mycobacterium leprae (283 aa), FASTA scores: opt: 1583, E(): 9.3e-96, (81.6% identity in 277 aa overlap). Also some similarity with AAK68916|WCFN putative glycosyltransferase from Bacteroides fragilis (291 aa) FASTA scores: opt: 241, E(): 2.1e-08, (30.75% identity in 195 aa overlap); O58161|PH0424 hypothetical 40.5 KDA protein from Pyrococcus horikoshii (348 aa), FASTA scores: opt: 194, E(): 2.8e-05, (23.85% identity in 302 aa overlap); O26448|MTH348 rhamnosyl transferase from Methanothermobacter thermautotrophicus (313 aa), FASTA scores: opt: 177, E(): 0.00033, (28.2% identity in 333 aa overlap); O07868|CPS19BQ putative rhamnosyl transferase FASTA from Streptococcus pneumoniae (300 aa), FASTA scores: opt: 156, E(): 0.0074, (25.45% identity in 232 aa overlap); and other putative transferases. Note that C-terminal end shows some similarity with part of Q05161|RFB O-antigen biosynthesis protein B from Escherichia coli strain 0101. Note that previously known as rfbE.</t>
  </si>
  <si>
    <t>May form an ATP-driven O-antigen/lipopolysaccharide export apparatus, in association with RFBE|Rv3781. Responsible for the translocation of the substrate across the membrane.</t>
  </si>
  <si>
    <t>Probable O-antigen/lipopolysaccharide transport integral membrane protein ABC transporter RfbD</t>
  </si>
  <si>
    <t>Rv3783, (MTCY13D12.17), len: 280 aa. Probable rfbD, polysaccharide-transport integral membrane protein ABC transporter (see Braibant et al., 2000), involved in O-antigen/lipopolysaccharides (LPS) transport, equivalent to Q9CDA2|ML0112 putative ABC transporter component from Mycobacterium leprae (276 aa), FASTA scores: opt: 1646, E(): 4e-102, (84.3% identity in 280 aa overlap). Also highly similar to Q9PAF1|XF2567 ABC transporter permease protein from Xylella fastidiosa (267 aa), FASTA scores: opt: 723, E(): 7.6e-41, (41.3% identity in 259 aa overlap); and similar to others e.g. Q56902|RFBD_YEREN O-antigen export system permease protein from Yersinia enterocolitica (259 aa) (see Zhang et al., 1993), FASTA scores: opt: 566, E(): 2e-30, (28.05% identity in 264 aa overlap); Q06955|RFBH RFBH protein (involved in the export of lipopolysaccharide) (alias Q9KVA3|VC0246) lipopolysaccharide/O-antigen transport protein from Vibrio cholerae (257 aa), FASTA scores: opt: 358, E(): 1.3e-16, (24.4% identity in 258 aa overlap); Q9HTB8|WZM|PA5451 membrane subunit of a-band LPS efflux transporter from Pseudomonas aeruginosa (265 aa), FASTA scores: opt: 263, E(): 2.7e-10, (25.45% identity in 263 aa overlap); etc. Belongs to the ABC-2 subfamily of integral membrane proteins.</t>
  </si>
  <si>
    <t>Possibly involved in dTDP-L-rhamnose biosynthesis within the O antigen biosynthesis pathway of lipopolysaccharide biosynthesis [catalytic activity: dTDP-glucose = dTDP-4-dehydro-6-deoxy-D-glucose + H(2)O].</t>
  </si>
  <si>
    <t>Rv3784, (MTCY13D12.18), len: 326 aa. Possible dTDP-glucose 4,6-dehydratase, but experimental study shown that the purified protein didn't have dTDP-glucose dehydratase (rmlB) activity (see citation below). Similar to others e.g. Q9YCT1|APE1180 long hypothetical dTDP-glucose 4,6-dehydratase from Aeropyrum pernix (330 aa) FASTA scores: opt: 598, E(): 3.7e-30, (34.9% identity in 315 aa overlap); O27817|MTH1789 dTDP-glucose 4,6-dehydratase from Methanothermobacter thermautotrophicus (336 aa) FASTA scores: opt: 587, E(): 1.8e-29, (34.9% identity in 315 aa overlap); Q9X5W0|GRSE TDP-glucose-4,6-dehydratase homolog from Streptomyces griseus (324 aa), FASTA scores: opt: 583, E(): 3.2e-29, (35.7% identity in 325 aa overlap); Q9K7J7|SPSJ|BH3364 spore coat polysaccharide synthesis (dTDP glucose 4, 6-dehydratase) from Bacillus halodurans (321 aa), FASTA scores: opt: 562, E(): 6.5e-28, (33.0% identity in 318 aa overlap); Q9UZH2|RFBB|PAB0785 dTDP-glucose 4,6-dehydratase from Pyrococcus abyssi (333 aa), FASTA scores: opt: 552, E(): 2.8e-27, (33.95% identity in 318 aa overlap); P27830|RFFG_ECOLI|B3788 dTDP-glucose 4,6-dehydratase from Escherichia coli strain K12 (355 aa), FASTA scores: opt: 401, E(): 7.5e-28, (31.3% identity in 348 aa overlap); etc. But also similar to several UDP-glucose 4-epimerases and other proteins e.g. O59375|PH1742 long hypothetical UDP-glucose 4-epimerase from Pyrococcus horikoshii (306 aa) FASTA scores: opt: 600, E(): 2.6e-30, (34.5% identity in 313 aa overlap); Q9ZGC7|LANH14 NDP-hexose 4,6-dehydratase HOMOLOGfrom Streptomyces cyanogenus (326 aa), FASTA scores: opt: 593, E(): 7.6e-30, (36.45% identity in 321 aa overlap); Q57664|GALE_METJA|MJ0211 putative UDP-glucose 4-epimerase from Methanococcus jannaschii (305 aa) FASTA scores: opt: 575, E(): 9.6e-29, (32.6% identity in 313 aa overlap); etc. Seems to belong to the sugar epimerase family, dTDP-glucose dehydratase subfamily. Note that previously known as epiB.</t>
  </si>
  <si>
    <t>Rv3785, (MTCY13D12.19), len: 357 aa. Hypothetical unknown protein. Note that this putative protein is equivalent to AAK48258|MT3893 NAD-dependent epimerase/dehydratase family protein from Mycobacterium tuberculosis strain CDC1551 (712 aa), but shorter 355 aa.</t>
  </si>
  <si>
    <t>Rv3786c, (MTCY13D12.20), len: 407 aa. Unknown protein. Segment between aa 265-300 (approximately) is highly similar to part of O03937|RORF1608 minor capsid protein from Bacteriophage phig1e (1608 aa), FASTA scores: opt: 242, E(): 8.4e-07, (26.85% identity in 272 aa overlap); Q9ETT9|ORF36 putative peptidase from Corynebacterium equii (Rhodococcus equi) plasmid pREAT701 (p33701) and Plasmid virulence (546 aa), FASTA scores: opt: 231, E(): 1.6e-06, (34.15% identity in 167 aa overlap); O69910|SC2E1.40c hypothetical 22.8 KDA protein. from Streptomyces coelicolor (226 aa) FASTA scores: opt: 218, E(): 4.6e-06, (34.15% identity in 164 aa overlap); and others.</t>
  </si>
  <si>
    <t>Rv3787c</t>
  </si>
  <si>
    <t>Rv3787c, (MTCY13D12.21), len: 308 aa. Conserved hypothetical protein, highly similar to several mycobacterial hypothetical proteins e.g. P95074|Rv0726c|MTCY210.45c from Mycobacterium tuberculosis (367 aa), FASTA scores: opt: 1038, E(): 1.6e-58, (55.85% identity in 283 aa overlap); O53795|MBE50c|Rv0731c|MTV041.05c from Mycobacterium tuberculosis (318 aa), FASTA scores: opt: 1030, E(): 4.5e-58, (56.15% identity in 292 aa overlap); Q9CCZ4|ML2640 from Mycobacterium leprae (310 aa) FASTA scores: opt: 709, E(): 9.9e-38, (43.75% identity in 279 aa overlap); etc.</t>
  </si>
  <si>
    <t>Rv3788</t>
  </si>
  <si>
    <t>Rv3788, (MTCY13D12.22), len: 161 aa. Hypothetical unknown protein.</t>
  </si>
  <si>
    <t>Rv3789</t>
  </si>
  <si>
    <t>GTRA family protein</t>
  </si>
  <si>
    <t>Rv3789, (MTCY13D12.23), len: 121 aa. GtrA family protein; possible integral membrane protein, equivalent to Q9CDA3|ML0110 hypothetical 13.9 KDA protein from Mycobacterium leprae (123 aa) FASTA scores: opt: 587, E(): 7.3e-34, (72.95% identity in 122 aa overlap). Also equivalent to AAK48262 from Mycobacterium tuberculosis strain CDC1551 (142 aa) but shorter 21 aa.</t>
  </si>
  <si>
    <t>dprE1</t>
  </si>
  <si>
    <t>Together with DPRE2|Rv3791, catalyzes epimerization of decaprenylphosphoryl ribose (DPR) to decaprenylphosphoryl arabinose (DPA) in arabinan synthesis</t>
  </si>
  <si>
    <t>Decaprenylphosphoryl-beta-D-ribose 2'-oxidase</t>
  </si>
  <si>
    <t>Rv3790, (MTCY13D12.24), len: 461 aa. DprE1, decaprenylphosphoryl-beta-D-ribose 2'-oxidase, equivalent to Q9CDA4|ML0109 putative FAD-linked oxidoreductase from Mycobacterium leprae (460 aa), FASTA scores: opt: 2722, E(): 1.4e-161, (86.55% identity in 461 aa overlap). Also highly similar to others e.g. Q9KZA4|SC5G8.10c putative oxidoreductase from Streptomyces coelicolor (457 aa), FASTA scores: opt: 1336, E(): 1.7e-75, (47.1% identity in 452 aa overlap); Q98KY4|MLL1265 probable oxidoreductase from Rhizobium loti (Mesorhizobium loti) (449 aa), FASTA scores: opt: 636, E(): 4.9e-32, (36.0% identity in 439 aa overlap); Q9HDX8|SPAPB1A10.12c putative D-arabinono-1,4-lactone oxidase from Schizosaccharomyces pombe (Fission yeast) (461 aa), FASTA scores: opt: 297, E(): 5.6e-11, (23.55% identity in 467 aa overlap); etc. C-terminal end has a high similarity to Q9AQD0 putative oxidoreductase (fragment) from Mycobacterium smegmatis (149 aa) FASTA scores: opt: 901, E(): 6.5e-49, (86.6% identity in 149 aa overlap). Identified as the target of antimicrobial agent 1,3-benzothiazin-4-ones (BTZs) (See Makarov et al., 2009).</t>
  </si>
  <si>
    <t>dprE2</t>
  </si>
  <si>
    <t>Decaprenylphosphoryl-D-2-keto erythro pentose reductase</t>
  </si>
  <si>
    <t>Rv3791, (MTCY13D12.25), len: 254 aa. DprE2, decaprenylphosphoryl-D-2-keto erythro pentose reductase, equivalent to Q9CDA5|ML0108 putative oxidoreductase from Mycobacterium leprae (254 aa), FASTA scores: opt: 1458, E(): 1.6e-83, (89.0% identity in 254 aa overlap); and O05764 putative protein belonging to the short-chain alcohol dehydrogenase from Mycobacterium smegmatis (254 aa), FASTA scores: opt: 1412, E(): 1.2e-80, (85.05% identity in 254 aa overlap). Also highly similar to Q9KZA5|SC5G8.09c putative short-chain dehydrogenase from Streptomyces coelicolor (256 aa), FASTA scores: opt: 733, E(): 1.8e-38, (45.3% identity in 254 aa overlap); and P43168|YMP3_STRCO hypothetical oxidoreductase from Streptomyces coelicolor (251 aa), FASTA scores: opt: 623, E(): 1.2e-31, (42.15% identity in 254 aa overlap); and similar to various oxidoreductases (principally acetoacetyl-CoA reductases) e.g. P14697|PHBB_ALCEU acetoacetyl-CoA reductase (246 aa) from Alcaligenes eutrophus (Ralstonia eutropha) (246 aa) FASTA scores: opt: 264, E(): 2.3e-09, (29.9% identity in 204 aa overlap); P45375|PHBB_CHRVI acetoacetyl-CoA reductase from Chromatium vinosum (246 aa), FASTA scores: opt: 261, E(): 3.5e-09, (27.45% identity in 226 aa overlap); Q9RT30|DR1938 oxidoreductase (short-chain dehydrogenase/reductase family) from Deinococcus radiodurans (283 aa), FASTA scores: opt: 251, E(): 1.7e-08, (27.55% identity in 236 aa overlap); etc. Also similar to Q10681|YK73_MYCTU|Rv2073c|MT2133|MTCY49.12 putative short-chain type dehydrogenase/reductase from Mycobacterium tuberculosis (249 aa), FASTA scores: opt: 589, E(): 1.5e-29, (41.25% identity in 252 aa overlap). Contains PS00061 Short-chain dehydrogenases/reductases family signature. Belongs to the short-chain dehydrogenases/reductases (SDR) family.</t>
  </si>
  <si>
    <t>aftA</t>
  </si>
  <si>
    <t>Arabinofuranosyltransferase AftA</t>
  </si>
  <si>
    <t>Rv3792, (MTCY13D12.26), len: 643 aa. aftA, arabinofuranosyltransferase (See Alderwick et al., 2006). Predicted to be in the GT-C superfamily of glycosyltransferases (See Liu and Mushegian, 2003). Probable conserved transmembrane protein, equivalent, but longer 21 aa, to Q9CDA6|ML0107 putative membrane protein from Mycobacterium leprae (632 aa), FASTA scores: opt: 1981, E(): 2.1e-110, (77.5% identity in 631 aa overlap). C-terminal end highly similar to C-terminus of O05765 putative product ORF 3 from Mycobacterium smegmatis (603 aa), FASTA scores: opt: 1261, E(): 1.4e-67, (70.7% identity in 266 aa overlap). A core mycobacterial gene; conserved in mycobacterial strains (See Marmiesse et al., 2004).</t>
  </si>
  <si>
    <t>Involved in the biosynthesis of the mycobacterial cell wall arabinan and resistance to ethambutol (EMB; dextro-2,2'-(ethylenediimino)-DI-1-butanol). Polymerizes arabinose into the arabinan of arabiogalactan [catalytic activity: UDP-L-arabinose + indol-3-ylacetyl-myo-inositol = UDP + indol-3-ylacetyl-myo-inositol L-arabinoside].</t>
  </si>
  <si>
    <t>Integral membrane indolylacetylinositol arabinosyltransferase EmbC (arabinosylindolylacetylinositol synthase)</t>
  </si>
  <si>
    <t>Rv3793, (MTCY13D12.27), len: 1094 aa. EmbC, integral membrane protein, indolylacetylinositol arabinosyltransferase (see citations below), equivalent to Q9CDA7|EMBC|ML0106 putative arabinosyl transferase from Mycobacterium leprae (1070 aa) FASTA scores: opt: 6078,E(): 0, (82.95% identity in 1072 aa overlap); Q50393|EMBC putative arabinosyl transferase from Mycobacterium smegmatis (1074 aa), FASTA scores: opt: 5523, E(): 0, (75.35% identity in 1072 aa overlap). Also similar to Q9CDA9|EMBB| ML0104 putative arabinosyl transferase from Mycobacterium leprae (1083 aa), FASTA scores: opt: 2789, E(): 1.9e-156, (44.0% identity in 1095 aa overlap); O30406|EMBB putative arabinosyl transferase from Mycobacterium smegmatis (1082 aa), FASTA scores: opt: 2746, E(): 6.4e-154, (44.6% identity in 1096 aa overlap); etc. Also similar to to P72030|EMBB|Rv3795|MTCY13D12.29 indolylacetylinositol arabinosyltransferase from Mycobacterium tuberculosis (1098 aa), FASTA scores: opt: 2276, E(): 3.1e-126, (44.45% identity in 1118 aa overlap); and P72060|EMBA|Rv3794|MTCY13D12.28 indolylacetylinositol arabinosyltransferase from Mycobacterium tuberculosis (1094 aa), FASTA scores: opt: 1974, E(): 1.9e-108, (41.0% identity in 1110 aa overlap). Contains PS00044 Bacterial regulatory proteins, lysR family signature; and PS00017 ATP/GTP-binding site motif A (P-loop). A core mycobacterial gene; conserved in mycobacterial strains (See Marmiesse et al., 2004).</t>
  </si>
  <si>
    <t>Integral membrane indolylacetylinositol arabinosyltransferase EmbA (arabinosylindolylacetylinositol synthase)</t>
  </si>
  <si>
    <t>Rv3794, (MTCY13D12.28), len: 1094 aa. EmbA, integral membrane protein, indolylacetylinositol arabinosyltransferase (see citations below), equivalent to P71485|EMBA arabinosyl transferase from Mycobacterium avium (1108 aa), FASTA scores: opt: 5024, E(): 0, (81.9% identity in 1109 aa overlap); Q9CDA8|EMBA|ML0105 putative arabinosyl transferase from Mycobacterium leprae (1111 aa), FASTA scores: opt: 4782, E(): 0, (78.6% identity in 1111 aa overlap); Q50394|EMBA putative arabinosyl transferase from Mycobacterium smegmatis (1092 aa), FASTA scores: opt: 4100, E(): 0, (67.4% identity in 1092 aa overlap). Also similar to Q9CDA7|EMBC|ML0106 putative arabinosyl transferase from Mycobacterium leprae (1070 aa), FASTA scores: opt: 1933, E(): 1.5e-100, (40.6% identity in 1108 aa overlap); Q50393|EMBC putative arabinosyl transferase from Mycobacterium smegmatis (1074 aa), FASTA scores: opt: 1870, E(): 5.1e-97, (41.4% identity in 1113 aa overlap); etc. Also similar to P72059|EMBC|Rv3793|MTCY13D12.27 indolylacetylinositol arabinosyltransferase from Mycobacterium tuberculosis (1094 aa), FASTA scores: opt: 1974, E(): 7.7e-103, (40.9% identity in 1110 aa overlap); and P72030|EMBB|Rv3795|MTCY13D12.29 indolylacetylinositol arabinosyltransferase from Mycobacterium tuberculosis (1098 aa), FASTA scores: opt: 1288, E(): 2.1e-64, (42.5% identity in 1114 aa overlap). Supposedly regulated by embR|Rv1267c. A core mycobacterial gene; conserved in mycobacterial strains (See Marmiesse et al., 2004).</t>
  </si>
  <si>
    <t>Integral membrane indolylacetylinositol arabinosyltransferase EmbB (arabinosylindolylacetylinositol synthase)</t>
  </si>
  <si>
    <t>Rv3795, (MTCY13D12.29), len: 1098 aa. EmbB, integral membrane protein, indolylacetylinositol arabinosyltransferase (see citations below), equivalent to P71486|EMBB arabinosyl transferase from Mycobacterium avium (1065 aa), FASTA scores: opt: 4998, E(): 0, (83.25% identity in 1076 aa overlap); Q9CDA9|EMBB|ML0104 putative arabinosyl transferase from Mycobacterium leprae (1083 aa), FASTA scores: opt: 4706, E(): 0, (78.0% identity in 1101 aa overlap); O30406|EMBB (alias Q50395) putative arabinosyl transferase from Mycobacterium smegmatis (1082 aa), FASTA scores: opt: 4163, E(): 0, (68.4% identity in 1091 aa overlap); etc. Also similar to Q50393|EMBC putative arabinosyl transferase from Mycobacterium smegmatis (1074 aa), FASTA scores: opt: 2482, E(): 5e-135, (44.7% identity in 1101 aa overlap); Q9CDA7|EMBC|ML0106 putative arabinosyl transferase from Mycobacterium leprae (1070 aa), FASTA scores: opt: 2259, E(): 3.4e-122, (43.4% identity in 1104 aa overlap); etc. Also similar to P72059|EMBC|Rv3793|MTCY13D12.27 indolylacetylinositol arabinosyltransferase from Mycobacterium tuberculosis (1094 aa), FASTA scores: opt: 2276, E(): 3.6e-123, (44.45% identity in 1118 aa overlap); and P72060|EMBA|Rv3794|MTCY13D12.28 indolylacetylinositol arabinosyltransferase from Mycobacterium tuberculosis (1094 aa), FASTA scores: opt: 1288, E(): 2.5e-66, (42.35% identity in 1114 aa overlap). Supposedly regulated by embR|Rv1267c. A core mycobacterial gene; conserved in mycobacterial strains (See Marmiesse et al., 2004).</t>
  </si>
  <si>
    <t>Rv3796, (MTV026.01-MTCY13D12.30), len: 375 aa. Conserved protein. C-terminal end similar in part to Q983J3|MLR8305 hypothetical protein from Rhizobium loti (Mesorhizobium loti) (227 aa), FASTA scores: opt: 288, E(): 4e-09, (38.95% identity in 154 aa overlap). Similar to P54548|YQJK_BACSU hypothetical protein (belongs to the ATSA/ELAC family) from Bacillus subtilis (307 aa) FASTA scores: opt: 263, E(): 1.3e-07, (26.1% identity in 295 aa overlap); and some similarity to other proteins e.g. AAK46775|MT2479 putative arylsulfatase from Mycobacterium tuberculosis strain CDC1551 (224 aa), FASTA scores: opt: 194, E(): 0.00072, (25.85% identity in 259 aa overlap). Equivalent to AAK48269 from Mycobacterium tuberculosis strain CDC1551 (338 aa) but longer 37 aa. Some similarity to the A. carrageenovora AtsA / E. coli ElaC family. Note that previously known as atsH. Predicted to be an outer membrane protein (See Song et al., 2008).</t>
  </si>
  <si>
    <t>Probable acyl-CoA dehydrogenase FadE35</t>
  </si>
  <si>
    <t>Rv3797, (MTV026.02), len: 593 aa. Probable fadE35, acyl-CoA dehydrogenase, similar to many e.g. Q9HY33|PA3593 from Pseudomonas aeruginosa (575 aa) FASTA scores: opt: 838, E(): 2.1e-46, (35.3% identity in 569 aa overlap); Q9ANZ8|AIDB from Burkholderia pseudomallei (Pseudomonas pseudomallei) (554 aa), FASTA scores: opt: 633, E(): 3.4e-33, (33.1% identity in 480 aa overlap); Q9HX44|PA3972 from Pseudomonas aeruginosa (549 aa) FASTA scores: opt: 560, E(): 1.7e-28, (29.9% identity in 569 aa overlap); P33224|AIDB_ECOLI|B4187 from Escherichia coli strain K12 (541 aa), FASTA scores: opt: 455, E(): 1e-21, (31.15% identity in 514 aa overlap); etc. Also similar to O86368|FADE8|Rv0672|MTCI376.02c acyl-CoA dehydrogenase from Mycobacterium tuberculosis (542 aa), FASTA scores: opt: 479, E(): 2.9e-23, (32.2% identity in 460 aa overlap). Could belong to the acyl-CoA dehydrogenases family.</t>
  </si>
  <si>
    <t>Rv3798</t>
  </si>
  <si>
    <t>Required for the transposition of the insertion sequence element IS1557.</t>
  </si>
  <si>
    <t>Rv3798, (MTV026.03), len: 444 aa. Probable transposase for insertion sequence element IS1557, highly similar to Q60255 similar to transposase of ISAE1 from alcaligenes eutrophus H1-4 (fragment) from dibenzofuran-degrading bacterium DPO360 (163 aa) FASTA scores: opt: 767, E(): 3.2e-42, (67.25% identity in 168 aa overlap); and similar to P74920 transposase from Thiobacillus ferrooxidans (404 aa), FASTA scores: opt: 375, E(): 1.1e-16, (27.55% identity in 439 aa overlap); Q48349 transposase from Alcaligenes eutrophus (Ralstonia eutropha) (408 aa), FASTA scores: opt: 324, E(): 2e-13, (3.9% identity in 369 aa overlap); Q9FDC1|TNP transposase from Burkholderia mallei (Pseudomonas mallei) (386 aa) FASTA scores: opt: 282, E(): 9.8e-11, (25.85% identity in 391 aa overlap); etc. C-terminal end identical to O53804|Rv0741|MTV041.15 transposase from Mycobacterium tuberculosis (104 aa), FASTA scores: opt: 582, E(): 1.8e-30, (85.6% identity in 104 aa overlap). Belongs to the transposase family 12.</t>
  </si>
  <si>
    <t>Probable propionyl-CoA carboxylase beta chain 4 AccD4 (pccase) (propanoyl-CoA:carbon dioxide ligase)</t>
  </si>
  <si>
    <t>Rv3799c, (MTV026.04c), len: 522 aa. Probable accD4, propionyl-CoA carboxylase beta chain 4, equivalent to Q9CDB0|ACCD4|ML0102 putative acyl CoA carboxylase from Mycobacterium leprae (517 aa) FASTA scores: opt: 3154, E(): 8e-187, (91.2% identity in 511 aa overlap). Also similar to many e.g. Q9X4K7|PCCB from Streptomyces coelicolor (530 aa), FASTA scores: opt: 1714, E(): 4.4e-98, (50.0% identity in 510 aa overlap); P53003|PCCB_SACER from Saccharopolyspora erythraea (Streptomyces erythraeus) (546 aa), FASTA scores: opt: 1549, E(): 6.6e-88, (50.65% identity in 519 aa overlap); Q9WZH5|TM0716 from Thermotoga maritima (515 aa) FASTA scores: opt: 1529, E(): 1.1e-86, (46.7% identity in 512 aa overlap); etc. Also similar to P53002|PCCB_MYCLE|ACCD5|PCCB|ML0731|B1308_C1_125 probable propionyl-CoA carboxylase beta chain 5 from Mycobacterium leprae (549 aa), FASTA scores: opt: 1493, E(): 1.9e-84, (49.8% identity in 514 aa overlap); and P96885|PCC5_MYCTU|ACCD5|PCCB|Rv3280|MT3379.1|MTCY71.20 probable propionyl-CoA carboxylase beta chain 5 from Mycobacterium tuberculosis (548 aa), FASTA scores: opt: 1471, E(): 4.2e-83, (49.15% identity in 515 aa overlap). Belongs to the ACCD/PCCB family. Length extended since first submission (+5 aa). AccA3 (Rv3285), AccD5 (Rv3280), AccD4 (Rv3799), and AccE5 (Rv3281) form a biotin-dependent acyl-CoA carboxylase in M. tuberculosis H37Rv (See Oh et al., 2006).</t>
  </si>
  <si>
    <t>Involved in the final steps of mycolic acid biosynthesis. Catalyses the condensation of two fatty acyl chains.</t>
  </si>
  <si>
    <t>Polyketide synthase Pks13</t>
  </si>
  <si>
    <t>Rv3800c, (MTV026.05c), len: 1733 aa. Probable pks13, polyketide synthase, equivalent to Q9CDB1|PKS13|ML0101 polyketide synthase from Mycobacterium leprae (1784 aa), FASTA scores: opt: 7454, E(): 0, (83.6% identity in 1748 aa overlap); and similar to Q9Z5K6|ML2357|MLCB12.02c putative polyketide synthase from Mycobacterium leprae (1871 aa), FASTA scores: opt: 1682, E(): 1.2e-85, (38.3% identity in 1096 aa overlap). Also similar in part to many e.g. Q9ADL6|SORA soraphen polyketide synthase a from Polyangium cellulosum (6315 aa) FASTA scores: opt: 1422, E(): 1e-70, (31.45% identity in 1616 aa overlap); AAK73501|AMPHI AMPHI protein (involved in amphotericin biosynthesis) from Streptomyces nodosus (9510 aa), FASTA scores: opt: 1441, E(): 1.2e-71, (30.45% identity in 1662 aa overlap); Q9RFL0|MTAB MTAB protein (involved in myxothiazol biosynthesis) from Stigmatella aurantiaca (4003 aa), FASTA scores: opt: 1429, E(): 2.8e-71, (33.8% identity in 1089 aa overlap); Q9L4X2|NYSJ from Streptomyces noursei (5435 aa), FASTA scores: opt: 1407, E(): 6.1e-70, (30.5% identity in 1764 aa overlap); CAC37876|SC1G7.01c from Streptomyces coelicolor (3489 aa) FASTA scores: opt: 1382, E(): 1e-68, (31.05% identity in 1489 aa overlap); etc. Also highly similar to Q10977|PPSA_MYCTU|Rv2931|MT3000|MTCY338.20 phenolpthiocerol synthesis polyketide synthase from Mycobacterium tuberculosis (1876 aa), FASTA scores: opt: 1728, E(): 3.4e-88, (36.95% identity in 1269 aa overlap); and P96203|PPSD|Rv2934|MTCY19H9.02. Contains PS00606 Beta-ketoacyl synthases active site.</t>
  </si>
  <si>
    <t>Involved in the final steps of mycolic acid biosynthesis. Activates meromycolic acid into meromycoloyl-AMP and transfers the meromycolic acyl chains onto PKS13</t>
  </si>
  <si>
    <t>Fatty-acid-AMP ligase FadD32 (fatty-acid-AMP synthetase) (fatty-acid-AMP synthase). Also shown to have acyl-ACP ligase activity.</t>
  </si>
  <si>
    <t>Rv3801c, (MTV026.06c), len: 637 aa. FadD32, fatty-acid-AMP synthetase, equivalent to Q9CDB2|FADD32|ML0100 putative acyl-CoA synthetase from Mycobacterium leprae (635 aa), FASTA scores: opt: 3892, E(): 0, (93.05% identity in 632 aa overlap); and highly similar to others from Mycobacterium leprae. Also similar to others from Mycobacterium tuberculosis e.g. P95288|FADD31|Rv1925|MTCY09F9.39c (620 aa), FASTA scores: opt: 1567, E(): 1.7e-88, (47.05% identity in 612 aa overlap); MTCY338_18, MTCY349_40, MTV005_21, MTCY24G1_8, MTCY19G5_7, MTCY4D9_17; and MBU75685_1 acyl-CoA ligase from Mycobacterium bovis.</t>
  </si>
  <si>
    <t>Shown to have phospholipase and thioesterase activity</t>
  </si>
  <si>
    <t>Rv3802c, (MTV026.07c), len: 336 aa. Probable conserved membrane protein, with a N-terminal signal sequence followed by Pro-rich region. Equivalent to Q9CDB3|ML0099 hypothetical protein from Mycobacterium leprae (336 aa) FASTA scores: opt: 1759, E(): 1.1e-85, (75.5% identity in 335 aa overlap). A core mycobacterial gene; conserved in mycobacterial strains (See Marmiesse et al., 2004). Predicted to be an outer membrane protein (See Song et al., 2008).</t>
  </si>
  <si>
    <t>Secreted MPT51/MPB51 antigen protein FbpD (MPT51/MPB51 antigen 85 complex C) (AG58C) (mycolyl transferase 85C) (fibronectin-binding protein C) (85C)</t>
  </si>
  <si>
    <t>Rv3803c, (MT3910, MTV026.08c), len: 299 aa. FbpD (alternate gene names: mpt51, mpb51, fbpC1), secreted MPB51/MPT51 antigen protein (fibronectin-binding protein C) (mycolyl transferase 85C) (see citations below), identical to Q48923|MPT51|MPB51 antigen precursor from Mycobacterium bovis (299 aa), FASTA scores: opt: 2093, E(): 1.5e-112, (100.0% identity in 299 aa overlap) (see Ohara et al., 1995); and highly similar to other Mycobacterial antigen precursors e.g. Q05868|MPT5_MYCLE|MPT51|ML0098 MPT51 antigen precursor from Mycobacterium leprae (301 aa), FASTA scores: opt: 1624, E(): 9.8e-86, (77.8% identity in 302 aa overlap); O52972|A85C_MYCAV|FBPC antigen 85-C precursor (fibronectin-binding protein C) from Mycobacterium avium (352 aa), FASTA scores: opt: 753, E(): 6.6e-36, (41.5% identity in 315 aa overlap); P21160|A85B_MYCKA antigen 85-B precursor (fibronectin-binding protein B) from Mycobacterium kansasii (325 aa), FASTA scores: opt: 574, E(): 1.1e-25, (37.55% identity in 309 aa overlap); P12942|A85B_MYCBO antigen 85-B precursor from Mycobacterium bovis (323 aa), FASTA scores: opt: 572, E(): 1.4e-25, (39.85% identity in 291 aa overlap); etc. Also similar to P31953|A85C_MYCTU|FBPC|MPT45|Rv0129c|MTCI5.03c|FBPC2 secreted antigen 85-C (mycolyl transferase 85C) (fibronectin-binding protein C) from Mycobacterium tuberculosis (340 aa), FASTA scores: opt: 751, E(): 8.4e-36, (40.65% identity in 310 aa overlap); P17944|A85A_MYCTU|FBPA|MPT44|Rv3804c|MT3911|MTV026.09c secreted antigen 85-a (mycolyl transferase 85A) (fibronectin-binding protein A) from Mycobacterium tuberculosis (338 aa), FASTA scores: opt: 592, E(): 1e-26, (39.05% identity in 302 aa overlap); etc. Contains PS00178 Aminoacyl-transfer RNA synthetases class-I signature. Note that the secreted protein MPB51 is one of the major proteins in the culture filtrate of Mycobacterium bovis BCG. Note that overexpression in an FbpC-deficient M. tuberculosis clinical isolate has no effect on the amount of cell wall-linked mycolates (See Puech et al., 2002).</t>
  </si>
  <si>
    <t>Secreted antigen 85-a FbpA (mycolyl transferase 85A) (fibronectin-binding protein A) (antigen 85 complex A)</t>
  </si>
  <si>
    <t>Rv3804c, (MT3911, MTV026.09c), len: 338 aa. FbpA (alternate gene names: mpt44, 85A), precursor of the 85-a antigen (fibronectin-binding protein A) (mycolyl transferase 85A) (see citations below), identical to P17944|P17996|FBPA|MPT44 antigen 85-a precursor from Mycobacterium bovis (338 aa), FASTA scores: opt: 2341, E(): 1.2e-132, (100.0% identity in 338 aa overlap); and highly similar to other Mycobacterial antigen precursors e.g. O52956|A85A_MYCAV|FBPA antigen 85-a precursor (85A) from Mycobacterium avium (347 aa), FASTA scores: opt: 1987, E(): 1.7e-111, (82.55% identity in 338 aa overlap); Q05861|A85A_MYCLE|FBPA|ML0097 antigen 85-a precursor (85A) from Mycobacterium leprae (330 aa), FASTA scores: opt: 1936, E(): 1.9e-108, (83.0% identity in 329 aa overlap); O06052|A85A_MYCGO|FBPA antigen 85-a precursor (85A) from Mycobacterium gordonae (339 aa), FASTA scores: opt: 1932, E(): 3.3e-108, (80.45% identity in 338 aa overlap); etc. Also highly similar to P31952|A85B_MYCTU|FBPB|Rv1886c|MT1934|MTCY180.32 secreted antigen 85-B from Mycobacterium tuberculosis (325 aa), FASTA scores: opt: 1830, E(): 3.9e-102, (78.85% identity in 317 aa overlap); P31953|A85C_MYCTU|FBPC|MPT45|Rv0129c|MTCI5.03c|FBPC2 secreted antigen 85-C from Mycobacterium tuberculosis (340 aa), FASTA scores: opt: 1597, E(): 3.4e-88, (67.25% identity in 336 aa overlap). Predicted possible vaccine candidate (See Zvi et al., 2008).</t>
  </si>
  <si>
    <t>aftB</t>
  </si>
  <si>
    <t>Possible arabinofuranosyltransferase AftB</t>
  </si>
  <si>
    <t>Rv3805c, (MTV026.10c), len: 627 aa. Possible aftB, arabinofuranosyltransferase (See Seidel et al., 2007). Probable conserved transmembrane protein, equivalent, but shorter 19 aa, to Q9CDB4|ML0096 putative membrane protein from Mycobacterium leprae (649 aa), FASTA scores: opt: 3511, E(): 1.1e-204, (80.9% identity in 629 aa overlap). Equivalent to AAK48278 from Mycobacterium tuberculosis strain CDC1551 (641 aa) but shorter 14 aa. A core mycobacterial gene; conserved in mycobacterial strains (See Marmiesse et al., 2004).</t>
  </si>
  <si>
    <t>ubiA</t>
  </si>
  <si>
    <t>Involved in arabinogalactan synthesis [catalytic activity: phosphoribose diphosphate + decaprenyl phosphate = decaprenylphosphoryl-5-phosphoribose + diphosphate]</t>
  </si>
  <si>
    <t>Decaprenylphosphoryl-5-phosphoribose (DPPR) synthase (decaprenyl-phosphate 5-phosphoribosyltransferase)</t>
  </si>
  <si>
    <t>Rv3806c, (MTV026.11c), len: 302 aa. UbiA, decaprenylphosphoryl-5-phosphoribose (DPPR) synthase (See Huang et al., 2005), equivalent to Q9CDB5|ML0095 putative integral membrane protein from Mycobacterium leprae (302 aa), FASTA scores: opt: 1677, E(): 3.9e-103, (83.75% identity in 302 aa overlap). Also highly similar to others e.g. Q9KZA2|SC5G8.12 putative integral membrane protein from Streptomyces coelicolor (322 aa), FASTA scores: opt: 937, E(): 2e-54, (51.4% identity in 292 aa overlap); AAK79783|CAC1818 conserved membrane protein, possible 4-hydroxybenzoate from Clostridium acetobutylicum (290 aa), FASTA scores: opt: 467, E(): 1.5e-23, (26.9% identity in 290 aa overlap); Q98KY3|MLL1266 nodulation protein NOEC (potential integral membrane protein) from Rhizobium loti (Mesorhizobium loti) (297 aa), FASTA scores: opt: 331, E(): 1.4e-14, (27.4% identity in 299 aa overlap); etc. And highly similar to C-terminal part of Q981F8|MLR9393 nodulation protein NOEC (potential integral membrane protein) from Rhizobium loti (Mesorhizobium loti) plasmid pMLa (541 aa), FASTA scores: opt: 388, E(): 4e-18, (30.9% identity in 301 aa overlap); and P55585|Y4NM_RHISN integral membrane protein (possible permease/transporter) from Rhizobium sp. strain NGR234 plasmid sym pNGR234a (516 aa), FASTA scores: opt: 380, E(): 1.3e-17, (31.85% identity in 295 aa overlap). Contains PS00225 Crystallins beta and gamma 'Greek key' motif signature.</t>
  </si>
  <si>
    <t>Rv3807c, (MTV026.12), len: 165 aa. Possible conserved transmembrane protein, equivalent to Q9CDB6|ML0094 putative membrane protein from Mycobacterium leprae (192 aa), FASTA scores: opt: 714, E(): 2.4e-38, (72.85% identity in 151 aa overlap). Also highly similar to Q9KZA3|SC5G8.11 putative integral membrane protein from Streptomyces coelicolor (169 aa), FASTA scores: opt: 324, E(): 1.1e-13, (41.5% identity in 159 aa overlap); and similar in part to others e.g. Q9K3L3|SCG20A.27 putative integral membrane protein from Streptomyces coelicolor (230 aa), FASTA scores: opt: 277, E(): 1.3e-10, (41.65% identity in 168 aa overlap); P72269|ORF8 hypothetical protein from Rhodococcus erythropolis (487 aa) FASTA scores: opt: 229, E(): 2.7e-07, (36.25% identity in 149 aa overlap); O86625|SC3A7.24c putative integral membrane protein from Streptomyces coelicolor (201 aa) FASTA scores: opt: 200, E(): 9.1e-06, (34.95% identity in 146 aa overlap); Q9KYD7|SCD72A.19 putative integral membrane protein from Streptomyces coelicolor (238 aa) FASTA scores: opt: 178, E(): 0.00026, (35.7% identity in 112 aa overlap); etc. A core mycobacterial gene; conserved in mycobacterial strains (See Marmiesse et al., 2004).</t>
  </si>
  <si>
    <t>glfT2</t>
  </si>
  <si>
    <t>Converts UDP-galactofuranose in cell wall galactan polymerization. Has UDP-Galf:beta-D-(1-&gt;5) and UDP-Galf:beta-D-(1-&gt;6) galactofuranosyltransferase activities.</t>
  </si>
  <si>
    <t>Bifunctional UDP-galactofuranosyl transferase GlfT2</t>
  </si>
  <si>
    <t>Rv3808c, (MTV026.13c), len: 637 aa. GlfT2, bifunctional UDP-galactofuranosyl transferase (see citations below). Equivalent to Q9CDB7|ML0093 hypothetical protein from Mycobacterium leprae (643 aa), FASTA scores: opt: 3751, E(): 0, (85.4% identity in 643 aa overlap). Contains a beta-glycosyltransferase domain A. Note that previously known as glfT. A core mycobacterial gene; conserved in mycobacterial strains (See Marmiesse et al., 2004).</t>
  </si>
  <si>
    <t>Involved in lipopolysaccharide biosynthesis, in the conversion of UDP-galactopyranose into UDP-galactofuranose through a 2-keto intermediate [catalytic activity: UDP-D-galactopyranose = UDP-D-galacto-1,4-furanose].</t>
  </si>
  <si>
    <t>UDP-galactopyranose mutase Glf (UDP-GALP mutase) (NAD+-flavin adenine dinucleotide-requiring enzyme)</t>
  </si>
  <si>
    <t>Rv3809c, (MTV026.14), len: 399 aa. Glf (alternate gene name: ceoA), UDP-galactopyranose mutase (see citations below), identical to previously sequenced gene, and equivalent to Q9CDB8|GLF|ML0092 putative UDP-galactopyranose mutase from Mycobacterium leprae (413 aa), FASTA scores: opt: 2347, E(): 1.3e-140, (86.6% identity in 396 aa overlap). Also highly similar to others e.g. AAK61905|EPSJ UDP-galactopyranose mutase (protein involved in exopolysaccharides biosynthesis) from Streptococcus thermophilus (365 aa), FASTA scores: opt: 972, E(): 5.9e-54, (45.85% identity in 375 aa overlap); P37747|GLF_ECOLI|B2036 UDP-galactopyranose mutase from Escherichia coli strain K12 (367 aa), FASTA scores: opt: 958, E(): 4.5e-53, (43.55% identity in 379 aa overlap); O86897|CAP33FN from Streptococcus pneumoniae (369 aa) FASTA scores: opt: 954, E(): 8.1e-53, (44.8% identity in 375 aa overlap); etc. Cofactor: FAD (by similarity). N-terminal SHOWS similarity to FAD or NAD containing proteins.</t>
  </si>
  <si>
    <t>Surface-exposed protein required for multiplication and intracellular growth. Seems to play a role in virulence.</t>
  </si>
  <si>
    <t>Exported repetitive protein precursor PirG (cell surface protein) (EXP53)</t>
  </si>
  <si>
    <t>Rv3810, (MTV026.15), len: 284 aa. PirG (alternate gene names: P36 or erp for Exported Repeated Protein), cell surface protein precursor (see citations below), equivalent to P19361|28KD_MYCLE|ML0091 28 KDA antigen precursor from Mycobacterium leprae (236 aa), FASTA scores: opt: 555, E(): 9.8e-18, (52.65% identity in 281 aa overlap). A core mycobacterial gene; conserved in mycobacterial strains (See Marmiesse et al., 2004).</t>
  </si>
  <si>
    <t>Rv3811, (MTV026.16), len: 539 aa. Conserved hypothetical protein, showing some similarity to Q9KZK5|SCE34.21c putative secreted protein from Streptomyces coelicolor (416 aa), FASTA scores: opt: 603, E(): 8.1e-26, (34.4% identity in 404 aa overlap); Q9S2P9|SC5F7.14c hypothetical 31.9 KDA protein from Streptomyces coelicolor (308 aa), FASTA scores: opt: 472, E(): 9.5e-19, (37.5% identity in 208 aa overlap). Middle section (approximately aa 185-350/390) shows some similarity with Q9GK12 peptidoglycan recognition protein precursor from Camelus dromedarius (Dromedary) (Arabian camel) (193 aa) FASTA scores: opt: 274, E(): 4.6e-08, (32.2% identity in 177 aa overlap); O75594|PGLYRP|PGRP from Homo sapiens (Human) (196 aa), FASTA scores: opt: 272, E(): 6e-08, (30.9% identity in 220 aa overlap); Q9JLN4|PGRP peptidoglycan recognition protein from Rattus norvegicus (Rat) (182 aa), FASTA scores: opt: 253, E(): 6.2e-07, (32.15% identity in 171 aa overlap); etc. C-terminal end shows similarity with Q01377|CSP1_CORGL PS1 protein precursor (one of the two major secreted proteins) from Corynebacterium glutamicum (Brevibacterium flavum) (657 aa), FASTA scores: opt: 250, E(): 2.7e-06, (39.45% identity in 109 aa overlap). Contains PS00687 Aldehydedehydrogenases glutamic acid active site. Note that previously known as csp.</t>
  </si>
  <si>
    <t>PE-PGRS family protein PE_PGRS62</t>
  </si>
  <si>
    <t>Rv3812, (MTV026.17, MTCY409.18c), len: 504 aa. PE_PGRS62, Member of the Mycobacterium tuberculosis PE family, PGRS subfamily of gly-rich proteins (see citations below), similar to many e.g. P96828|Rv0151c|MTCI5.25c (588 aa), FASTA scores: opt: 389, E(): 6.2e-14, (29.2% identity in 473 aa overlap); MTCY7H7B_27; MTCY493_24; MTCY441_4; MTCY39_36; MTCY1A11_4; MTCY359_33; MTCY130_10; MTCY98_9; etc. The transcription of this CDS seems to be activated in macrophages (see Ramakrishnan et al., 2000).</t>
  </si>
  <si>
    <t>Rv3813c, (MTCY409.17), len: 273 aa. Conserved protein, equivalent to Q9CDB9|ML0089 hypothetical protein from Mycobacterium leprae (281 aa) FASTA scores: opt: 1479, E(): 9.6e-81, (80.45% identity in 271 aa overlap); and similar to Q98LI0|MLL1014 from (280 aa). Also similar to many hypothetical proteins from several organisms e.g. Q9ZBX2|SCD78.27c from Streptomyces coelicolor (280 aa), FASTA scores: opt: 597, E(): 2.2e-28, (43.25% identity in 266 aa overlap); Q9RXR7|DR0240 from Deinococcus radiodurans (284 aa), FASTA scores: opt: 543, E(): 3.5e-25, (38.65% identity in 264 aa overlap); Q99YH5|SPY1700 from Streptococcus pyogenes (274 aa) FASTA scores: opt: 373, E(): 4.3e-15, (30.75% identity in 270 aa overlap); P70947|YITU from Bacillus subtilis (270 aa) FASTA scores: opt: 353, E(): 6.5e-14, (30.0% identity in 280 aa overlap); etc.</t>
  </si>
  <si>
    <t>Possible acyltransferase</t>
  </si>
  <si>
    <t>Rv3814c, (MTCY409.16), len: 261 aa. Possible acyltransferase, highly similar to Q9CDC0|ML0087 putative acyltransferase from Mycobacterium leprae (257 aa), FASTA scores: opt: 753, E(): 7.7e-42, (46.75% identity in 246 aa overlap). Also highly similar to many acyltransferases and hypothetical proteins e.g. Q9K3R3|2SCG4.01 putative acyltransferase from Streptomyces coelicolor (242 aa), FASTA scores: opt: 587, E(): 4.6e-31, (41.95% identity in 243 aa overlap); Q9ZBS1|SC7A1.02 putative acyltransferase from Streptomyces coelicolor (264 aa), FASTA scores: opt: 293, E(): 6.6e-12, (29.2% identity in 267 aa overlap); Q9PNZ5|AAS|CJ0938 putative 2-acylglycerophosphoethanolamine acyltransferase / acyl-acyl carrier protein synthetase from Campylobacter jejuni (1170 aa), FASTA scores: opt: 274, E(): 3.9e-10, (29.1% identity in 219 aa overlap) (similarity only with middle section); Q9EY25 putative acetyl transferase from Xanthomonas oryzae pv. oryzae (249 aa), FASTA scores: opt: 238, E(): 2.4e-08, (29.2% identity in 209 aa overlap); etc. Also highly similar to downstream ORFs O07808|Rv3815c|MTCY409.15 putative acyltransferase from Mycobacterium tuberculosis (251 aa), FASTA scores: opt: 1069, E(): 2.1e-62, (60.4% identity in 245 aa overlap); and O07807|Rv3816c|MTCY409.14 putative acyltransferase from Mycobacterium tuberculosis (259 aa), FASTA scores: opt: 776, E(): 2.5e-43, (50.9% identity in 228 aa overlap). And similar to O53516|Rv2182c|MTV021.15c hypothetical 27.0 KDA protein from Mycobacterium tuberculosis (247 aa), FASTA scores: opt: 239, E(): 2e-08, (30.6% identity in 232 aa overlap).</t>
  </si>
  <si>
    <t>Rv3815c, (MTCY409.15), len: 251 aa. Possible acyltransferase, highly similar to Q9CDC0|ML0087 putative acyltransferase from Mycobacterium leprae (257 aa), FASTA scores: opt: 845, E(): 2.7e-47, (53.25% identity in 246 aa overlap). Also highly similar to Q9K3R3|2SCG4.01 putative acyltransferase from Streptomyces coelicolor (242 aa), FASTA scores: opt: 656, E(): 3.7e-35, (47.85% identity in 234 aa overlap); and similar to many putative acyltransferases and hypothetical proteins e.g. P74498|SLL1848 hypothetical 24.3 KDA protein from Synechocystis sp. strain PCC 6803 (225 aa) FASTA scores: opt: 275, E(): 1.2e-10, (34.8% identity in 181 aa overlap); Q9ZBS1|SC7A1.02 putative acyltransferase from Streptomyces coelicolor (264 aa), FASTA scores: opt: 266, E(): 5.2e-10, (29.7% identity in 229 aa overlap); Q9PNZ5|AAS|CJ0938 putative 2-acylglycerophosphoethanolamine acyltransferase/ acyl-acyl carrier protein synthetase from Campylobacter jejuni (1170 aa), FASTA scores: opt: 264, E(): 2.3e-09, (23.55% identity in 221 aa overlap) (similarity only with middle section); etc. Also highly similar to upstream ORF O07809|Rv3814c|MTCY409.16 putative acyltransferase from Mycobacterium tuberculosis (261 aa), FASTA scores: opt: 1069, E(): 1e-61, (60.4% identity in 245 aa overlap) ; and downstream ORF O07807|Rv3816c|MTCY409.14 putative acyltransferase from Mycobacterium tuberculosis (259 aa) FASTA scores: opt: 847, E(): 2e-47, (55.7% identity in 246 aa overlap). And similar to O53516|Rv2182c|MTV021.15c hypothetical 27.0 KDA protein from Mycobacterium tuberculosis (247 aa), FASTA scores: opt: 237, E(): 3.6e-08, (30.9% identity in 233 aa overlap).</t>
  </si>
  <si>
    <t>Rv3816c, (MTCY409.14), len: 259 aa. Possible acyltransferase, equivalent to Q9CDC0|ML0087 putative acyltransferase from Mycobacterium leprae (257 aa) FASTA scores: opt: 1401, E(): 1.5e-80, (81.9% identity in 254 aa overlap). Also highly similar to many putative acyltransferases and hypothetical proteins e.g. Q9K3R3|2SCG4.01 putative acyltransferase from Streptomyces coelicolor (242 aa), FASTA scores: opt: 758, E(): 2.4e-40, (51.7% identity in 234 aa overlap); Q9ZBS1|SC7A1.02 putative acyltransferase from Streptomyces coelicolor (264 aa), FASTA scores: opt: 312, E(): 2e-12, (29.55% identity in 237 aa overlap); O67841|AAS|AQ_2058 2-acylglycerophosphoethanolamine acyltransferase from Aquifex aeolicus (211 aa), FASTA scores: opt: 281, E(): 1.5e-10, (32.7% identity in 162 aa overlap); etc. Also highly similar to upstream ORFs O07808|Rv3815c|MTCY409.15 putative acyltransferase from Mycobacterium tuberculosis (251 aa), FASTA scores: opt: 847, E(): 6.7e-46, (55.7% identity in 246 aa overlap); and O07809|Rv3814c|MTCY409.16 putative acyltransferase from Mycobacterium tuberculosis (261 aa), FASTA scores: opt: 776, E(): 1.9e-41, (50.9% identity in 228 aa overlap).</t>
  </si>
  <si>
    <t>Rv3817</t>
  </si>
  <si>
    <t>Function unknown; probably involved in cellular metabolism [catalytic activity: ATP + substrate = ADP + substrate 3'-phosphate].</t>
  </si>
  <si>
    <t>Possible phosphotransferase</t>
  </si>
  <si>
    <t>Rv3817, (MTCY409.13c), len: 251 aa. Possible phosphotransferase, similar to many phosphotransferases e.g. O53023 kanamycin marker from Escherichia coli (264 aa), FASTA scores: opt: 232, E(): 7.5e-08, (32.4% identity in 247 aa overlap); BAA78209|NEO neomycine phosphotransferase from Drosophila melanogaster (Fruit fly) (264 aa), FASTA scores: opt: 227, E(): 1.6e-07, (32.0% identity in 247 aa overlap); AAG09774 aminoglycoside 3'-phosphotransferase from Vibrio cholerae (264 aa), FASTA scores: opt: 227, E(): 1.6e-07, (32.0% identity in 247 aa overlap); P00552|KKA2_KLEPN|NEO|KAN aminoglycoside 3'-phosphotransferase from Klebsiella pneumoniae (264 aa), FASTA scores: opt: 227, E(): 1.6e-07, (32.0% identity in 247 aa overlap); etc.</t>
  </si>
  <si>
    <t>Rv3818, (MTCY409.12c), len: 516 aa. Unknown protein.</t>
  </si>
  <si>
    <t>Rv3819, (MTCY409.11c), len: 111 aa. Unknown protein. Contains PS00012 Phosphopantetheine attachment site.</t>
  </si>
  <si>
    <t>Involved in sulfolipid-1 (SL-1) biosynthesis</t>
  </si>
  <si>
    <t>Possible conserved polyketide synthase associated protein PapA2</t>
  </si>
  <si>
    <t>Rv3820c, (MTCY409.10), len: 468 aa. Possible papA2, conserved polyketide synthase (PKS) associated protein, highly similar to Q49618|PAPA3|ML1230|B1170_C1_180 PKS-associated protein A3 from Mycobacterium leprae (471 aa), FASTA scores: opt: 1660, E(): 2.7e-102, (53.95% identity in 456 aa overlap). Also similar to Q9F2R3|SCD65.19c hypothetical 52.8 KDA protein from Streptomyces coelicolor (473 aa), FASTA scores: opt: 575, E(): 1.8e-30, (27.8% identity in 464 aa overlap); and weakly similar to part of other proteins. Also high similarity with other PKS-associated proteins from Mycobacterium tuberculosis; O50438|PAPA3|Rv1182|MTV005.18 (472 aa), FASTA scores: opt: 1694, E(): 1.5e-104, (53.8% identity in 461 aa overlap); and O07799|PAPA1|Rv3824c|MTCY409.06 (511 aa), FASTA scores: opt: 1664, E(): 1.6e-102, (53.9% identity in 462 aa overlap); and similar to C-terminal end of O53902|PAPA4|Rv1528c|MTV045.02 (165 aa), FASTA scores: opt: 186, E(): 4.1e-05, (37.9% identity in 66 aa overlap).</t>
  </si>
  <si>
    <t>Rv3821, (MTCY409.09c), len: 237 aa. Probable conserved integral membrane protein, equivalent to Q49630|ML1233|B1170_F2_64 hypothetical 24.4 KDA protein/INTEGRAL MEMBRANE PROTEIN (POTENTIAL) from Mycobacterium leprae (230 aa), FASTA scores: opt: 619, E(): 2.4e-32, (46.65% identity in 240 aa overlap). Shows some similarity to P29466|I1BC_HUMAN|CASP1|IL1BC|IL1BCE (404 aa), FASTA scores: opt: 126, E(): 0.88, (29.05% identity in 155 aa overlap). Also highly similar to P71796|Rv1517|MTCY277.39 HYPOTHETICAL 26.9 KDA PROTEIN from Mycobacterium tuberculosis (254 aa), FASTA scores: opt: 284, E(): 5.4e-11, (36.35% identity in 256 aa overlap). Start site chosen on basis of similarity to LEPB1170_F2_64 and MTCY277.39, but may extend further upstream. A core mycobacterial gene; conserved in mycobacterial strains (See Marmiesse et al., 2004).</t>
  </si>
  <si>
    <t>Rv3822, (MTCY409.08c), len: 404 aa. Conserved hypothetical protein, similar in part to hypothetical proteins from Mycobacterium leprae: Q9CC62|ML1232 (358 aa) FASTA scores: opt: 601, E(): 1.1e-25, (36.7% identity in 335 aa overlap); and Q49633|B1170_F3_112 (391 aa) FASTA scores: opt: 601, E(): 1.2e-25, (36.25% identity in 347 aa overlap). Also similar to P71862|Rv3539|MTCY03C7.17c PPE family protein from Mycobacterium tuberculosis (479 aa), FASTA scores: opt: 547, E(): 1.3e-22, (38.1% identity in 281 aa overlap); O50440|Rv1184c|MTV005.20c (359 aa); O06828|Rv1430|MTCY493.24c (528 aa); O53642|Rv0159c|MTV032.02c (468 aa); etc.</t>
  </si>
  <si>
    <t>Thought to be involved in the transport of lipids, it has been shown to be required in the production of a sulfated glycolipid, sulfolipid-1 (SL-1).</t>
  </si>
  <si>
    <t>Conserved integral membrane transport protein MmpL8</t>
  </si>
  <si>
    <t>Rv3823c, (MTCY409.07), len: 1089 aa. mmpL8, conserved integral membrane transport protein (see Tekaia et al., 1999), member of RND superfamily, equivalent to Q49619|MMLA_MYCLE|MMPL10|TP1|ML1231|B1170_C1_181 putative membrane protein from Mycobacterium leprae (1008 aa), FASTA scores: opt: 2718, E(): 7.3e-149, (56.25% identity in 1028 aa overlap). Also similar to others e.g. Q9XCF6|TMTPC from Mycobacterium avium (974 aa), FASTA scores: opt: 660, E(): 2.7e-30, (28.2% identity in 1050 aa overlap); Q9XCF5|TMTPB from Mycobacterium avium (963 aa), FASTA scores: opt: 653, E(): 6.7e-30, (27.0% identity in 1014 aa overlap); Q9KH53|TMTPC from Mycobacterium smegmatis (994 aa), FASTA scores: opt: 648, E(): 1.3e-29, (28.45% identity in 1013 aa overlap); etc. Also highly similar to other mmpL proteins from Mycobacterium tuberculosis; O50439|MMLA_MYCTU|MMPL10|RV1183|MT1220|MTV005.19 (1002 aa), FASTA scores: opt: 2777, E(): 2.9e-152, (58.25% identity in 996 aa overlap); Q50585|MMLC_MYCTU|MMPL12|Rv1522c|MT1573|MTCY19G5.06 (1146 aa), FASTA scores: opt: 2433, E(): 2.1e-132, (49.9% identity in 1050 aa overlap); and similar to others e.g. P95235|MML9_MYCTU|MMPL9|Rv2339|MT2402|MTCY98.08 (962 aa), FASTA scores: opt: 651, E(): 8.8e-30, (28.6% identity in 1038 aa overlap); etc. Belongs to the MmpL family.</t>
  </si>
  <si>
    <t>Conserved polyketide synthase associated protein PapA1</t>
  </si>
  <si>
    <t>Rv3824c, (MTCY409.06), len: 511 aa. papA1, conserved polyketide synthase (PKS) associated protein, highly similar to Q49618|PAPA3|ML1230|B1170_C1_180 PKS-associated protein A3 from Mycobacterium leprae (471 aa), FASTA scores: opt: 1879, E(): 7.1e-111, (55.5% identity in 465 aa overlap). Also similar to Q9F2R3|SCD65.19c hypothetical 52.8 KDA protein from Streptomyces coelicolor (473 aa), FASTA scores: opt: 476, E(): 1.7e-22, (26.7% identity in 464 aa overlap); and similar in part to Q09164|SIMA|CYSYN cyclosporin synthetase from Tolypocladium inflatum (15281 aa) FASTA scores: opt: 238, E(): 2.8e-06, (22.35% identity in 371 aa overlap). Also highly similar to other PKS-associated proteins from Mycobacterium tuberculosis; O50438|PAPA3|Rv1182|MTV005.18 (472 aa), FASTA scores: opt: 1862, E(): 8.4e-110, (55.95% identity in 470 aa overlap); and upstream ORF O07803|PAPA2|Rv3820c|MTCY409.10 (468 aa) FASTA scores: opt: 1664, E(): 2.5e-97, (53.9% identity in 462 aa overlap). Contains PS00453 FKBP-type peptidyl-prolyl cis-trans isomerase signature 1.</t>
  </si>
  <si>
    <t>Function unknown; supposedly involved in lipid metabolism.</t>
  </si>
  <si>
    <t>Polyketide synthase Pks2</t>
  </si>
  <si>
    <t>Rv3825c, (MTCY409.05), len: 2126 aa. pks2, polyketide synthase (see citation below), equivalent to Q9CD78|mas|ML0139 putative mycocerosic synthase from Mycobacterium leprae (2116 aa), FASTA scores: opt: 6828, E(): 0, (63.3% identity in 2128 aa overlap); and Q49624|PKS3|MASA|ML1229|B1170_C2_209 probable mycocerosic acid synthase from Mycobacterium leprae (2118 aa) FASTA scores: opt: 5220, E(): 0, (62.4% identity in 2130 aa overlap); or similar in part to others from Mycobacterium leprae e.g. Q9CB70|ML2354 polyketide synthase (1822 aa) FASTA scores: opt: 2787, E(): 2.1e-145, (34.7% identity in 2135 aa overlap). Also highly similar to Q02251|MCAS_MYCBO|mas mycocerosic acid synthase from Mycobacterium bovis (2110 aa), FASTA scores: opt: 3495, E(): 2.6e-184, (61.65% identity in 2130 aa overlap). Also highly similar to other polyketide synthases from Mycobacterium tuberculosis e.g. O53901|PKS5|Rv1527c|MTV045.01c|MTCY19G5.01 (2108 aa) FASTA scores: opt: 9576, E(): 0, (69.8% identity in 2124 aa overlap); P96291|mas|Rv2940c|MTCY24G1.09|MTCY19H9.08c (2111 aa), FASTA scores: opt: 3518, E(): 1.4e-185, (64.05% identity in 2126 aa overlap); O50437|PKS4|Rv1181|MTV005.17 (1582 aa), FASTA scores: opt: 3461, E(): 1.6e-182, (64.55% identity in 1609 aa overlap); etc. Contains PS00606 Beta-ketoacyl synthases active site and PS00012 Phosphopantetheine attachment site.</t>
  </si>
  <si>
    <t>Probable fatty-acid-AMP ligase FadD23 (fatty-acid-AMP synthetase) (fatty-acid-AMP synthase)</t>
  </si>
  <si>
    <t>Rv3826, (MTCY409.04c), len: 584 aa. Probable fadD23, fatty-acid-AMP synthetase, highly similar to P71495 acyl-CoA synthase from Mycobacterium bovis (582 aa), FASTA scores: opt: 2571, E(): 4.4e-146, (66.15% identity in 576 aa overlap); Q9CD79|FADD28|ML0138 acyl-CoA synthetase from Mycobacterium leprae (579 aa) FASTA scores: opt: 2520, E(): 4.9e-143, (65.2% identity in 575 aa overlap); P54200|FD21_MYCLE putative fatty-acid--CoA ligase (acyl-CoA synthetase) from Mycobacterium leprae (579 aa), FASTA scores: opt: 2330, E(): 1.1e-131, (60.2% identity in 578 aa overlap); etc. Also highly similar to others from Mycobacterium tuberculosis e.g. P96290|FADD28|Rv2941|MTCY24G1.08c (580 aa), FASTA scores: opt: 2587, E(): 4.9e-147, (66.5% identity in 576 aa overlap); O53903|FADD24|Rv1529|MTV045.03 (584 aa), FASTA scores: opt: 2457, E(): 2.9e-139, (63.35% identity in 584 aa overlap); Q50586|FADD25|Rv1521|MT1572|MTCY19G5.07 (583 aa) FASTA scores: opt: 2389, E(): 3.3e-135, (61.45% identity in 581 aa overlap); etc.</t>
  </si>
  <si>
    <t>Required for the transposition of the insertion sequence IS1537.</t>
  </si>
  <si>
    <t>Rv3827c, (MTCY409.03), len: 408 aa. Possible transposase within IS1537 element, similar to several transposases e.g. O83029|TNPC|DR2324|DR0666|DR0978|DR1381|DR1651|DR1933 transposase from Deinococcus radiodurans(408 aa) FASTA scores: opt: 302, E(): 3.9e-12, (30.75% identity in 358 aa overlap); Q9RXX7|DR0178 putative transposase from Deinococcus radiodurans (409 aa), FASTA scores: opt: 297, E(): 8.2e-12, (31.1% identity in 360 aa overlap); P73816|SLR2062 transposase from Synechocystis sp. strain PCC 6803 (400 aa), FASTA scores: opt: 296, E(): 9.3e-12, (30.05% identity in 353 aa overlap); etc. Highly similar to proteins from Mycobacterium tuberculosis e.g. O33333|Rv2791c|MTV002.56c transposase (459 aa) FASTA scores: opt: 2211, E(): 9.4e-136, (87.75% identity in 367 aa overlap); P95117|Rv2978c|MTCY349.09 hypothetical 51.4 KDA protein (459 aa), FASTA scores: opt: 2165, E(): 9e-133, (85.85% identity in 367 aa overlap); Q10809|YS85_MYCTU|Rv2885c|MT2953|MTCY274.16c hypothetical 51.3 KDA protein (460 aa), FASTA scores: opt: 2127, E(): 2.6e-130, (83.95% identity in 368 aa overlap); O0777|Rv0606|MTCY19H5.16c probable transposase (fragment) (247 aa), FASTA scores: opt: 1405, E(): 9.3e-84, (85.3% identity in 238 aa overlap); etc.</t>
  </si>
  <si>
    <t>Rv3828c</t>
  </si>
  <si>
    <t>Rv3828c, (MTCY409.02), len: 203 aa. Possible resolvase within IS1537 element, similar to others e.g. Q97X40|SSO1915 first ORF in transposon ISC1913 from Sulfolobus solfataricus (213 aa), FASTA scores: opt: 275, E(): 1.6e-11, (30.6% identity in 196 aa overlap); Q9V1M0|PAB2076 resolvase related protein from Pyrococcus abyssi (212 aa), FASTA scores: opt: 254, E(): 4.2e-10, (29.95% identity in 197 aa overlap); Q9RMU7|ORFA putative transposase (belongs to the MerR family of transcriptional regulators) from Helicobacter pylori (Campylobacter pylori) (217 aa), FASTA scores: opt: 243, E(): 2.3e-09, (31.8% identity in 154 aa overlap); etc. Also highly similar to proteins from Mycobacterium tuberculosis e.g. O33334|Rv2792c|MTV002.57c resolvase (193 aa), FASTA scores: opt: 970, E(): 1.5e-58, (79.25% identity in 193 aa overlap); O07773|Rv0605|MTCY19H5.17c putative resolvase (202 aa), FASTA scores: opt: 964, E(): 4e-58, (76.25% identity in 202 aa overlap); P95116|Rv2979c|MTCY349.08 hypothetical 21.4 KDA protein (194 aa), FASTA scores: opt: 895, E(): 1.8e-53, (74.75% identity in 194 aa overlap); Q10831|YS86_MYCTU|Rv2886c|MT2954|MTCY274.17c hypothetical 31.9 KDA protein (295 aa), FASTA scores: opt: 826, E(): 1.1e-48, (66.2% identity in 204 aa overlap) (similarity only at C-terminus); etc. Contains PS00397 Site-specific recombinases active site. Possible helix-turn-helix motif from aa 11-32, Score 1305 (+3.63 SD).</t>
  </si>
  <si>
    <t>Rv3829c, (MTCY409.01, MTCY01A6.40), len: 536 aa. Probable oxidoreductase dehydrogenase, similar to others e.g. Q9A3T1|CC3121 phytoene dehydrogenase-related protein from Caulobacter crescentus (543 aa), FASTA scores: opt: 607, E(): 9.2e-28, (28.25% identity in 552 aa overlap); Q98FP6|MLR3676 phytoene dehydrogenase from Rhizobium loti (Mesorhizobium loti) (521 aa), FASTA scores: opt: 605, E(): 1.2e-27, (28.2% identity in 546 aa overlap); Q97W24|SSO2422 phytoene dehydrogenase related protein from Sulfolobus solfataricus (518 aa), FASTA scores: opt: 388, E(): 4.4e-15, (27.35% identity in 530 aa overlap); Q98BS8|MLL5443 probable dehydrogenase from Rhizobium loti (Mesorhizobium loti) (524 aa), FASTA scores: opt: 374, E(): 2.9e-14, (24.35% identity in aa overlap); etc. Also similar to MTCY493.22c|Rv1432|MTCY493.22c hypothetical 50.5 KDA protein (probable dehydrogenase) from Mycobacterium tuberculosis (25.1% identity in 295 aa overlap).</t>
  </si>
  <si>
    <t>Rv3830c</t>
  </si>
  <si>
    <t>Rv3830c, (MTCY01A6.39), len: 209 aa. Probable transcriptional regulator TetR family, similar to others e.g. P39885|TCMR_STRGA tetracenomycin C transcriptional repressor from Streptomyces glaucescens (226 aa) FASTA scores: opt: 255, E(): 6.1e-10, (33.65% identity in 202 aa overlap); Q9RDR0|SC4A7.02 putative transcriptional regulator from Streptomyces coelicolor (227 aa) FASTA scores: opt: 230, E(): 2.8e-08, (30.05% identity in 213 aa overlap); Q9EWU3|3SC5B7.06 putative regulatory protein from Streptomyces coelicolor (244 aa), FASTA scores: opt: 221, E(): 1.2e-07, (32.05% identity in 181 aa overlap); Q9AJ68|BUTR putative transcriptional repressor from Streptomyces cinnamonensis (268 aa), FASTA scores: opt: 216, E(): 2.7e-07, (37.8% identity in 119 aa overlap); etc. Contains possible helix-turn-helix motif from aa 33-54, Score 1699 (+4.97 SD). Seems to belong to the TetR/AcrR family of transcriptional regulators.</t>
  </si>
  <si>
    <t>Rv3831, (MTCY01A6.38c), len: 160 aa. Hypothetical unknown protein.</t>
  </si>
  <si>
    <t>Rv3832c</t>
  </si>
  <si>
    <t>Rv3832c, (MTCY01A6.37), len: 191 aa. Conserved protein, similar in part to various proteins e.g. Q9XBC9|CZA382.22c putative rRNA methylase from Amycolatopsis orientalis (259 aa), FASTA scores: opt: 196, E(): 1.3e-05, (38.2% identity in 110 aa overlap); CAC48459|SMB20059 conserved hypothetical protein from Rhizobium meliloti (Sinorhizobium meliloti) plasmid pSymB (259 aa), FASTA scores: opt: 188, E(): 4.3e-05, (33.8% identity in 136 aa overlap); Q98FP8|MLL3672 methyl transferase-like protein from Rhizobium loti (Mesorhizobium loti) (264 aa), FASTA scores: opt: 180, E(): 0.00014, (32.05% identity in 156 aa overlap); etc.</t>
  </si>
  <si>
    <t>Transcriptional regulatory protein (probably AraC-family)</t>
  </si>
  <si>
    <t>Rv3833, (MTCY01A6.36c), len: 263 aa. Probable transcriptional regulator belonging to araC family, similar to others e.g. Q9KYN4|SC9H11.05 putative AraC-family transcriptional regulator from Streptomyces coelicolor (289 aa), FASTA scores: opt: 754, E(): 1.2e-42, (50.45% identity in 232 aa overlap); Q9HXH2|PA3830 probable transcriptional regulator from Pseudomonas aeruginosa (270 aa), FASTA scores: opt: 501, E(): 6.2e-26, (34.85% identity in 238 aa overlap); Q9HX87|PA3927 probable transcriptional regulator from Pseudomonas aeruginosa (262 aa), FASTA scores: opt: 496, E(): 1.3e-25, (36.45% identity in 266 aa overlap); P76241|YEAM_ECOLI|B1790 hypothetical transcriptional regulator from Escherichia coli strain K12 (273 aa) FASTA scores: opt: 388, E(): 1.9e-18, (30.5% identity in 223 aa overlap); etc. Contains probable helix-turn-helix motif from aa 164-185, Score 2014 (+6.05 SD). Seems to belong to the AraC/XylS family of transcriptional regulators.</t>
  </si>
  <si>
    <t>Involved in translation mechanism [catalytic activity: ATP + L-serine + tRNA(SER) = AMP + pyrophosphate + L-SERYL-tRNA(SER)].</t>
  </si>
  <si>
    <t>SERYL-tRNA synthetase SerS (serine--tRNA ligase) (SERRS) (serine translase)</t>
  </si>
  <si>
    <t>Rv3834c, (MTCY01A6.35), len: 419 aa. Probable serS, seryl-tRNA synthetase, equivalent to Q9CDC1|SERS|ML0082 putative SERYL-tRNA synthase from Mycobacterium leprae (417 aa), FASTA scores: opt: 2361, E(): 8.5e-138, (85.8% identity in 416 aa overlap). Also highly similar many e.g. Q9ZBX1|SYS_STRCO|SERS|SCD78.28c from Streptomyces coelicolor (425 aa), FASTA scores: opt: 1594, E(): 1.2e-90, (59.75% identity in 425 aa overlap); Q9X199|SYS_THEMA|SERS|TM1379 from Thermotoga maritima (425 aa), FASTA scores: opt: 1083, E(): 3.3e-59, (43.3% identity in 425 aa overlap); P37464|SYS_BACSU|SERS from Bacillus subtilis (425 aa), FASTA scores: opt: 1015, E(): 5e-55, (39.3% identity in 425 aa overlap); etc. Contains PS00179 Aminoacyl-transfer RNA synthetases class-II signature 1. Belongs to class-II aminoacyl-tRNA synthetase family.</t>
  </si>
  <si>
    <t>Rv3835, (MTCY01A6.34c), len: 449 aa. Conserved membrane protein, equivalent to Q9CDC2|ML0081 putative membrane protein from Mycobacterium leprae (450 aa), FASTA scores: opt: 2079, E(): 1.8e-74, (69.35% identity in 457 aa overlap). A core mycobacterial gene; conserved in mycobacterial strains (See Marmiesse et al., 2004).</t>
  </si>
  <si>
    <t>Rv3836, (MTCY01A6.33c), len: 137 aa. Conserved hypothetical protein, highly similar to Q9RKJ2|SCD25.30 hypothetical 13.1 KDA protein from Streptomyces coelicolor (116 aa), FASTA scores: opt: 395, E(): 3.3e-19, (54.4% identity in 114 aa overlap); and similar to CAC47753|SMC0379 conserved hypothetical protein from Rhizobium meliloti (Sinorhizobium meliloti) (144 aa) FASTA scores: opt: 194, E(): 6e-06, (33.05% identity in 109 aa overlap); and Q98E37|MLL4425 hypothetical protein from Rhizobium loti (Mesorhizobium loti) (201 aa), FASTA scores: opt: 184, E(): 3.7e-05, (29.75% identity in 121 aa overlap). Contains PS00142 Neutral zinc metallopeptidases, zinc-binding region signature.</t>
  </si>
  <si>
    <t>Thought to be involved in glycolisis and perhaps glycogen metabolism [catalytic activity: 3-phosphoglycerate = 2-phosphoglycerate].</t>
  </si>
  <si>
    <t>Probable phosphoglycerate mutase (phosphoglyceromutase) (phosphoglycerate phosphomutase)</t>
  </si>
  <si>
    <t>Rv3837c, (MTCY01A6.32), len: 232 aa. Probable phosphoglycerate mutase, equivalent to Q9CDC3|ML0079 putative phosphoglycerate mutase from Mycobacterium leprae (231 aa), FASTA scores: opt: 1116, E(): 7.3e-66, (71.55% identity in 232 aa overlap). Also similar to others e.g. Q9ZAX0|PGM 2,3-PDG dependent phosphoglycerate mutase from Amycolatopsis methanolica (205 aa), FASTA scores: opt: 474, E(): 6.4e-24, (41.85% identity in 203 aa overlap); Q9F3Q7|SC10F4.03 putative isomerase from Streptomyces coelicolor (224 aa) FASTA scores: opt: 349, E(): 1e-15, (33.2% identity in 223 aa overlap); Q9RDL0|SCC123.14c putative phosphoglycerate mutase from Streptomyces coelicolor (223 aa), FASTA scores: opt: 256, E(): 1.2e-09, (34.0% identity in 203 aa overlap); Q9RVD2|DR1097 putative phosphoglycerate mutase from Deinococcus radiodurans (232 aa), FASTA scores: opt: 201, E(): 5.1e-06, (31.45% identity in 175 aa overlap); etc. Also similar to P71724|Rv2419c|MTCY428.28|MTCY253.01 hypothetical 24.2 KDA protein from Mycobacterium tuberculosis (223 aa), FASTA scores: opt: 210, E(): 1.3e-06, (32.0% identity in 172 aa overlap). Contains PS00175 Phosphoglycerate mutase family phosphohistidine signature.</t>
  </si>
  <si>
    <t>Involved in L-phenylalanine biosynthesis [catalytic activity: prephenate = phenylpyruvate + H(2)O + CO(2)].</t>
  </si>
  <si>
    <t>Prephenate dehydratase PheA</t>
  </si>
  <si>
    <t>Rv3838c, (MTCY01A6.31), len: 321 aa. PheA, prephenate dehydratase (see citation below), equivalent to Q9CDC4|PHEA|ML0078 putative prephenate dehydratase from Mycobacterium leprae (322 aa), FASTA scores: opt: 1690, E(): 1.3e-93, (84.25% identity in 311 aa overlap). Also highly similar to others e.g. P10341|PHEA_CORGL from Corynebacterium glutamicum (Brevibacterium flavum) (315 aa), FASTA scores: opt: 843, E(): 4e-43, (45.8% identity in 308 aa overlap); Q9ZBX0|SCD78.29c from Streptomyces coelicolor (310 aa), FASTA scores: opt: 820, E(): 9.2e-42, (46.45% identity in 312 aa overlap); Q44104|PHEA_AMYME|PDT from Amycolatopsis methanolica (304 aa), FASTA scores: opt: 707, E(): 4.9e-35, (45.7% identity in 313 aa overlap); etc. Contains PS00858 Prephenate dehydratase signature 2.</t>
  </si>
  <si>
    <t>Rv3839, (MTCY01A6.30c), len: 258 aa. Conserved hypothetical protein, similar in part to Q9RD78|SCF43.10cfrom hypothetical 25.8 KDA protein Streptomyces coelicolor (241 aa), FASTA scores: opt: 270, E(): 3.2e-10, (33.45% identity in 272 aa overlap); and O00320|F25451_2 hypothetical protein from Homo sapiens (Human) (339 aa), FASTA scores: opt: 126, E(): 0.77, (28.75% identity in 240 aa overlap).</t>
  </si>
  <si>
    <t>Supposedly involved in transcriptional mechanism.</t>
  </si>
  <si>
    <t>Rv3840, (MTCY01A6.29c), len: 137 aa. Possible transcriptional regulator, highly similar in part to PSR proteins (penicillin binding protein repressors) e.g. Q47828|PSR PSR protein from Enterococcus hirae (293 aa) FASTA scores: opt: 221, E(): 2.2e-07, (41.65% identity in 108 aa overlap); O86213|PSRFM PSRFM protein (fragment) from Enterococcus hirae (171 aa), FASTA scores: opt: 202, E(): 2.4e-06, (40.75% identity in 108 aa overlap); Q47865|PSR penicillin binding protein repressor from Enterococcus hirae (148 aa), FASTA scores: opt: 201, E(): 2.5e-06, (51.65% identity in 60 aa overlap); etc. Also highly similar in part to other transcriptional regulators e.g. BAB57524|MSRR peptide methionine sulfoxide reductase regulator from Staphylococcus aureus subsp. aureus Mu50 (327 aa), FASTA scores: opt: 195, E(): 1.2e-05, (36.7% identity in 109 aa overlap); Q99Q02|MSRR|SA1195 peptide methionine sulfoxide reductase regulator from Staphylococcus aureus subsp. aureus N315, and Staphylococcus aureus (327 aa), FASTA scores: opt: 192, E(): 1.9e-05, (36.7% identity in 109 aa overlap); Q9K6Q8|LYTR|BH3670 attenuator for lytabc and LYTR expression from Bacillus halodurans (304 aa), FASTA scores: opt: 171, E(): 0.00041, (34.5% identity in 113 aa overlap); etc.</t>
  </si>
  <si>
    <t>Involved in iron storage; ferritin is an intracellular molecule that stores iron in a soluble, nontoxic, readily available form. The functional molecule, which is composed of 24 chains, is roughly spherical and contains a central cavity in which the polymeric ferric iron core is deposited.</t>
  </si>
  <si>
    <t>Bacterioferritin BfrB</t>
  </si>
  <si>
    <t>Rv3841, (MTCY01A6.28c), len: 181 aa. bfrB, bacterioferritin, similar to other ferritin or hypothetical proteins e.g. O26261|MTH158|RSGA ferritin like protein from Methanothermobacter thermautotrophicus (171 aa), FASTA scores: opt: 277, E(): 6.6e-11, (30.1% identity in 166 aa overlap); Q99SZ3|SA1709 hypothetical protein from Staphylococcus aureus subsp. aureus N315 (166 aa), FASTA scores: opt: 275, E(): 8.7e-11, (33.35% identity in 156 aa overlap); Q9X0L2|TM1128 ferritin from Thermotoga maritima (164 aa), FASTA scores: opt: 247, E(): 5.3e-09, (25.65% identity in 156 aa overlap); Q9KDT7|BH1124 ferritin from Bacillus halodurans (169 aa), FASTA scores: opt: 246, E(): 6.3e-09, (28.95% identity in 152 aa overlap); O29424|AF0834 putative ferritin from Archaeoglobus fulgidu (169 aa), FASTA scores: opt: 246, E(): 6.3e-09, (28.95% identity in 152 aa overlap); etc. Also shows similarity with Rv1876|MTCY180.42|BFRA probable bacterioferritin from Mycobacterium tuberculosis (159 aa). Seems belong to the bacterioferritin family.</t>
  </si>
  <si>
    <t>Probable glycerophosphoryl diester phosphodiesterase GlpQ1 (glycerophosphodiester phosphodiesterase)</t>
  </si>
  <si>
    <t>Rv3842c, (MTCY01A6.27), len: 274 aa. Probable glpQ1, glycerophosphoryl diester phosphodiesterase, equivalent to Q9CDC5|GLPQ|ML0074 putative glycerophosphoryl diester phosphodiesterase from Mycobacterium leprae (271 aa), FASTA scores: opt: 1635, E(): 1.9e-100, (88.85% identity in 269 aa overlap). Also highly similar to others e.g. CAC44700|SCBAC25E3.13c putative phosphodiesterase from Streptomyces coelicolor (275 aa), FASTA scores: opt: 413, E(): 5.7e-20, (48.05% identity in 258 aa overlap); P37965|GLPQ_BACSU glycerophosphoryl diester phosphodiesterase from Bacillus subtilis (293 aa), FASTA scores: opt: 405, E(): 2e-19, (31.3% identity in 249 aa overlap); Q99VC9|GLPQ|SA0820 glycerophosphoryl diester phosphodiesterase from Staphylococcus aureus subsp. aureus N315 (309 aa) FASTA scores: opt: 341, E(): 3.5e-15, (29.3% identity in 273 aa overlap); etc.</t>
  </si>
  <si>
    <t>Rv3843c, (MTCY01A6.26), len: 342 aa. Probable conserved transmembrane protein, equivalent to Q9CDC6|ML0073 putative membrane protein from Mycobacterium leprae (344 aa), FASTA scores: opt: 1420, E(): 2.6e-68, (63.05% identity in 349 aa overlap). A core mycobacterial gene; conserved in mycobacterial strains (See Marmiesse et al., 2004).</t>
  </si>
  <si>
    <t>Rv3844</t>
  </si>
  <si>
    <t>Rv3844, (MTCY01A6.25), len: 163 aa. Possible transposase, identical to P96234|Rv3348|MTV004.04 putative transposase from Mycobacterium tuberculosis. Also some similarity with others e.g. N-terminal part of P19834|YI11_STRCL insertion element IS116 hypothetical 44.8 KDA protein from Streptomyces clavuligerus (399 aa) FASTA scores: opt: 146, E(): 0.017, (29.1% identity in 158 aa overlap).</t>
  </si>
  <si>
    <t>Rv3845</t>
  </si>
  <si>
    <t>Rv3845, (MTCY01A6.24c), len: 119 aa. Hypothetical unknown protein. Contains PS01137 Hypothetical YBL055c/yjjV family signature 1.</t>
  </si>
  <si>
    <t>Destroys radicals which are normally produced within the cells and are toxic to biological systems [catalytic activity: 2 peroxide radical + 2 H(+) = O(2) + H(2)O(2)].</t>
  </si>
  <si>
    <t>Superoxide dismutase [FE] SodA</t>
  </si>
  <si>
    <t>Rv3846, (MTCY01A6.22c), len: 207 aa. SodA (alternate gene names: sodB, sod), superoxide dismutase (see citations below), equivalent to many e.g. P47201|SODM_MYCAV|soda|sod from Mycobacterium avium (206 aa), FASTA scores: opt: 1210, E(): 1.8e-73, (82.5% identity in 206 aa overlap); Q9F9R1|sod from Mycobacterium paratuberculosis (207 aa), FASTA scores: opt: 1207, E(): 2.9e-73, (81.65% identity in 207 aa overlap); O86165|SODM_MYCLP|soda|sod from Mycobacterium lepraemurium (206 aa), FASTA scores: opt: 1204, E(): 4.5e-73, (82.05% identity in 206 aa overlap); P13367|SODM_MYCLE|soda|ML0072 from Mycobacterium leprae (206 aa), FASTA scores: opt: 1169, E(): 9.6e-71, (80.5% identity in 205 aa overlap); etc. Contains PS00088 Manganese and iron superoxide dismutases signature. Belongs to the iron/manganese superoxide dismutase family. Although found extracellularly, no signal sequence is present. An alternative secretory pathway may be used.</t>
  </si>
  <si>
    <t>Rv3847, (MTCY01A6.21c), len: 177 aa. Conserved hypothetical protein, equivalent to Q9CDC7|ML0071 hypothetical protein from Mycobacterium leprae (177 aa) FASTA scores: opt: 1149, E(): 1.6e-64, (96.6% identity in 177 aa overlap); and Q9F9R0 hypothetical 18.5 KDA protein from Mycobacterium paratuberculosis (177 aa), FASTA scores: opt: 1139, E(): 6.8e-64, (96.6% identity in 177 aa overlap). A core mycobacterial gene; conserved in mycobacterial strains (See Marmiesse et al., 2004).</t>
  </si>
  <si>
    <t>Rv3848, (MTCY01A6.20c), len: 302 aa. Probable conserved transmembrane protein, similar to hypothetical (transmembrane) proteins e.g. Q9HVG2|PA4629 hypothetical protein from Pseudomonas aeruginosa (192 aa), FASTA scores: opt: 304, E(): 5.3e-11, (35.05% identity in 174 aa overlap); Q9A5S7|CC2370 hypothetical protein from Caulobacter crescentus (207 aa), FASTA scores: opt: 285, E(): 7.4e-10, (29.9% identity in 184 aa overlap); Q9KY43|SCC8A.05c putative integral membrane protein from Streptomyces coelicolor (193 aa), FASTA scores: opt: 245, E(): 1.6e-07, (32.8% identity in 195 aa overlap); etc.</t>
  </si>
  <si>
    <t>Involved in transcriptional mechanism. Regulates transcription of genes required for ESX-1 system.</t>
  </si>
  <si>
    <t>ESX-1 transcriptional regulatory protein EspR</t>
  </si>
  <si>
    <t>Rv3849, (MTCY01A6.19c), len: 132 aa. EspR, ESX-1 secreted protein regulator (See Raghavan et al., 2008), equivalent to Q9CDC9|ML0069 hypothetical protein from Mycobacterium leprae (132 aa) FASTA scores: opt: 724, E(): 8.7e-41, (83.95% identity in 131 aa overlap). A core mycobacterial gene; conserved in mycobacterial strains (See Marmiesse et al., 2004).</t>
  </si>
  <si>
    <t>Rv3850, (MTCY01A6.18c), len: 218 aa. Conserved protein, equivalent to Q9CDD0|ML0068 hypothetical protein from Mycobacterium leprae (238 aa) FASTA scores: opt: 1071, E(): 7.2e-55, (78.35% identity in 217 aa overlap). A core mycobacterial gene; conserved in mycobacterial strains (See Marmiesse et al., 2004).</t>
  </si>
  <si>
    <t>Rv3851</t>
  </si>
  <si>
    <t>Rv3851, (MTCY01A6.17c), len: 94 aa. Possible membrane protein.</t>
  </si>
  <si>
    <t>Possible histone-like protein Hns</t>
  </si>
  <si>
    <t>Rv3852, (MTCY01A6.16c), len: 134 aa. Possible hns, histone-like protein, equivalent to Q9CDD1|HNS|ML0067 histone-like protein from Mycobacterium leprae (121 aa), FASTA scores: opt: 341, E(): 4.3e-09, (51.5% identity in 134 aa overlap). Shows some similarity with other histone-like proteins e.g. O65795|HIS1 histone H1 from Triticum aestivum (Wheat) (288 aa), FASTA scores: opt: 183, E(): 0.091, (34.85% identity in 109 aa overlap); etc.</t>
  </si>
  <si>
    <t>rraA</t>
  </si>
  <si>
    <t>Binds to RNASE E and inhibits RNASE E endonucleolytic cleavages</t>
  </si>
  <si>
    <t>Regulator of RNase E activity a RraA</t>
  </si>
  <si>
    <t>Rv3853, (MTCY01A6.15c), len: 157 aa. RraA, regulator of RNase E activity A, equivalent to Q9CDD2|RRAA|ML0066 rraA, regulator of RNase E activity a from Mycobacterium leprae (157 aa) FASTA scores: opt: 896, E(): 1.3e-49, (87.1% identity in 155 aa overlap). Also similar to others e.g. P32165|RRAA_ECOLI|B3929|Z5476|ECS4856 from Escherichia coli strain K12 (161 aa), FASTA scores: opt: 428, E(): 3.7e-20, (45.65% identity in 149 aa overlap); etc. Previously known as menG.</t>
  </si>
  <si>
    <t>Activates the pro-drug ethionamide (ETH); induced ETH sensitivity when overexpressed in Mycobacterium tuberculosis.</t>
  </si>
  <si>
    <t>Monooxygenase EthA</t>
  </si>
  <si>
    <t>Rv3854c, (MTCY01A6.14), len: 489 aa. EthA (alternate gene names: aka, etaA), monooxygenase required for activation of the pro-drug ethionamide (see citations below), highly similar to other monooxygenases e.g. Q9A588|CC2569 monooxygenase (flavin-binding family) from Caulobacter crescentus (498 aa), FASTA scores: opt: 1959, E(): 2.9e-114, (57.6% identity in 481 aa overlap); Q9RZT0|DRB0033 arylesterase/monoxygenase from Deinococcus radiodurans (833 aa), FASTA scores: opt: 1771, E(): 2.2e-102, (53.75% identity in 480 aa overlap); Q9A8K5|CC1348 monooxygenase (flavin-binding family) from Caulobacter crescentus (499 aa), FASTA scores: opt: 1385, E(): 1.4e-78, (43.2% identity in 486 aa overlap); etc. Also highly similar to others from Mycobacterium tuberculosis e.g. O53300|Rv3083|MTV013.04 monoxygenase (495 aa) FASTA scores: opt: 1692, E(): 1.1e-97, (49.7% identity in 489 aa overlap); O53762|Rv0565c|MTV039.03c putative monoxygenase (486 aa), FASTA scores: opt: 1571, E(): 3.7e-90, (49.05% identity in 471 aa overlap); O69708|Rv3741c|MTV025.089c possible oxidoreductase (probably second part of a two component monooxygenase) (224 aa), FASTA scores: opt: 542, E(): 1.7e-26, (50.0% identity in 162 aa overlap); etc.</t>
  </si>
  <si>
    <t>Regulates negatively the production of ETHA. Induced ETH resistance when overexpressed in Mycobacterium tuberculosis.</t>
  </si>
  <si>
    <t>Transcriptional regulatory repressor protein (TetR-family) EthR</t>
  </si>
  <si>
    <t>Rv3855, (MTCY01A6.13c), len: 216 aa. EthR (alternate gene names: aka, etaR), regulatory protein TetR family, involved in ethionamide sensitivity/resistance, negatively controls neighbouring ethA (Rv3854c, MTCY01A6.14; alternate gene names: aka etaA) (see citations below). Equivalent to Q9CDD3|ML0064 putative transcriptional regulator from Mycobacterium leprae (214 aa), FASTA scores: opt: 1017, E(): 7e-62, (77.0% identity in 213 aa overlap). Also similar to other transcriptional regulator e.g. Q9S1R1|SCJ9A.09 putative TetR-family transcriptional regulator from Streptomyces coelicolor (204 aa), FASTA scores: opt: 305, E(): 1.2e-13, (34.5% identity in 200 aa overlap); Q9KYT9|SCE22.24 putative TetR-family transcriptional regulator (fragment) from Streptomyces coelicolor (244 aa), FASTA scores: opt: 179, E(): 4.9e-05, (35.5% identity in 93 aa overlap); Q9RUK2|DR1384 transcriptional regulator (TetR family) from Deinococcus radiodurans (196 aa), FASTA scores: opt: 167, E(): 0.00026, (41.75% identity in 79 aa overlap); etc. Also similar to P95100|Rv3058c|MTCY22D7.23 hypothetical 23.8 KDA protein from Mycobacterium tuberculosis (216 aa) FASTA scores: opt: 261, E(): 1.2e-10, (31.65% identity in 221 aa overlap); and O08377|Rv1534|MTCY07A7A.03 hypothetical 24.5 KDA protein from Mycobacterium tuberculosis (225 aa), FASTA scores: opt: 164, E(): 0.00047, (25.5% identity in 248 aa overlap). Contains helix-turn-helix motif at aa 45-66, Score 1320 (+3.68 SD). Belongs to the TetR/AcrR family of transcriptional regulators.</t>
  </si>
  <si>
    <t>Rv3856c, (MTCY01A6.12), len: 335 aa. Conserved hypothetical protein, highly similar to various proteins from diverse organisms e.g. Q9EWR3|3SCF60.21 conserved hypothetical protein from Streptomyces coelicolor (372 aa) FASTA scores: opt: 1286, E(): 2.4e-73, (64.0% identity in 336 aa overlap); P72464|ORF1 from Streptomyces lividans (343 aa), FASTA scores: opt: 1275, E(): 1.1e-72, (60.1% identity in 336 aa overlap); Q9K899|BH3107 DNA-dependent DNA polymerase beta chain from Bacillus halodurans (571 aa), FASTA scores: opt: 592, E(): 1.2e-29, (39.15% identity in 240 aa overlap); etc. May be a DNA polymerase beta (gene name: yshC) (see citation below).</t>
  </si>
  <si>
    <t>Rv3857c, (MTCY01A6.11), len: 65 aa. Possible membrane protein.</t>
  </si>
  <si>
    <t>Probably involved in glutamate biosynthesis [catalytic activity: 2 L-glutamate + NAD(+) = L-glutamine + 2-oxoglutarate + NADH].</t>
  </si>
  <si>
    <t>Probable NADH-dependent glutamate synthase (small subunit) GltD (L-glutamate synthase) (L-glutamate synthetase) (NADH-glutamate synthase) (glutamate synthase (NADH)) (GLTS beta chain) (NADPH-GOGAT)</t>
  </si>
  <si>
    <t>Rv3858c, (MTCY01A6.10), len: 488 aa. Probable gltD, small subunit of NADH-dependent glutamate synthase, equivalent to Q9CDD4|GLTD|ML0062 NADH-dependent glutamate synthase small subunit from Mycobacterium leprae (488 aa), FASTA scores: opt: 2997, E(): 1e-166, (87.7% identity in 488 aa overlap). Also highly similar to many e.g. Q9S2Z0|SC3A3.03s from Streptomyces coelicolor (487 aa), FASTA scores: opt: 2152, E(): 1.2e-117, (63.85% identity in 487 aa overlap); Q9KPJ3|VC2374 from Vibrio cholerae (489 aa), FASTA scores: opt: 1699, E(): 2.5e-91, (51.75% identity in 487 aa overlap); Q03460|GLSN_MEDSA from Medicago sativa (Alfalfa) (2194 aa), FASTA scores: opt: 1322, E(): 6.2e-69, (54.45% identity in 485 aa overlap); P09832|GLTD_ECOLI from strain (471 aa) FASTA scores: opt: 889, E() : 0, (37.4% identity in 473 aa overlap); etc. Similar to other glutamate synthases. Cofactor: FAD (by similarity).</t>
  </si>
  <si>
    <t>Probably involved in glutamate biosynthesis [catalytic activity: 2 L-glutamate + NADP(+) = L-glutamine + 2-oxoglutarate + NADPH].</t>
  </si>
  <si>
    <t>Probable ferredoxin-dependent glutamate synthase [NADPH] (large subunit) GltB (L-glutamate synthase) (L-glutamate synthetase) (NADH-glutamate synthase) (glutamate synthase (NADH))(NADPH-GOGAT)</t>
  </si>
  <si>
    <t>Rv3859c, (MTCY01A6.09), len: 1527 aa. Probable gltB, ferredoxin-dependent glutamate synthase large subunit, equivalent to Q9CDD5|GLTB|ML0061 putative ferredoxin-dependent glutamate synthase from Mycobacterium leprae (1527 aa), FASTA scores: opt: 9277, E(): 0, (90.25% identity in 1527 aa overlap). Also highly similar to many e.g. Q9S2Y9|SC3A3.04c from Streptomyces coelicolor (1514 aa), FASTA scores: opt: 5939, E(): 0, (64.3% identity in 1544 aa overlap); Q9Z465|GLTB from Corynebacterium glutamicum (Brevibacterium flavum) (1510 aa), FASTA scores: opt: 5790, E(): 0, (63.25% identity in 1534 aa overlap); P39812|GLTB_BACSU|GLTA from Bacillus subtilis (1520 aa), FASTA scores: opt: 3445, E(): 2.8e-196, (52.25% identity in 1531 aa overlap); etc. Similar to other glutamate synthases.</t>
  </si>
  <si>
    <t>Rv3860, (MTCY01A6.08c), len: 390 aa. Conserved protein, showing similarity with hypothetical proteins from Mycobacterium leprae e.g. Q9CDD8|ML0048 (586 aa), FASTA scores: opt: 484, E(): 5.5e-14, (29.95% identity in 407 aa overlap); O33082|MLCB628.11c (478 aa) FASTA scores: opt: 484, E(): 4.8e-14, (29.95% identity in 407 aa overlap); etc. Also some similarity with O86637|SC3C3.03c hypothetical 112.1 KDA protein from Streptomyces coelicolor(1083 aa), FASTA scores: opt: 483, E(): 9.6e-14, (30.45% identity in 404 aa overlap). And some similarity with other proteins from Mycobacterium tuberculosis (strains H37Rv and CDC1551) e.g. O05456|Rv3888c|MTCY15F10.24 hypothetical 37.7 KDA protein (341 aa), FASTA scores: opt: 603, E(): 2.8e-19, (35.2% identity in 284 aa overlap); O06396|Rv0530|MTCY25D10.09 hypothetical 43.0 KDA protein (405 aa), FASTA scores: opt: 538, E(): 2e-16, (31.0% identity in 371 aa overlap); O69740|Rv3876|MTV027.11 (666 aa), FASTA scores: opt: 475, E(): 1.5e-13, (30.2% identity in 391 aa overlap); etc. Contains PS00017 ATP/GTP-binding site motif A (P-loop).</t>
  </si>
  <si>
    <t>Rv3861, (MTCY01A6.07c), len: 108 aa. Hypothetical unknown protein. Overlaps in part next ORF Rv3862c|whiB6.</t>
  </si>
  <si>
    <t>Possible transcriptional regulatory protein WhiB-like WhiB6</t>
  </si>
  <si>
    <t>Rv3862c, (MTCY01A6.06), len: 116 aa. Possible whiB6 (alternate gene name: whmF), WhiB-like regulatory protein (see citation below), similar to WhiB paralogue of Streptomyces coelicolor, wblE gene product (85 aa). Shows similarity with Q49765|WHIB7|ML0639|B1937_F2_68 putative transcriptional regulator WHIB7 from Mycobacterium leprae (89 aa) FASTA scores: opt: 112, E(): 0.49, (41.2% identity in 51 aa overlap). Some similarity to Q9AD55|SCP1.95 putative regulatory protein from Streptomyces coelicolor (102 aa) FASTA scores: opt: 129, E(): 0.038, (32.95% identity in 85 aa overlap); AAK47632|MT3290.1 conserved hypothetical protein from Mycobacterium tuberculosis strain CDC1551 (96 aa), FASTA scores: opt: 126, E(): 0.058, (33.35% identity in 84 aa overlap); Q9FC80|SC4B10.07 conserved hypothetical protein from Streptomyces coelicolor (88 aa), FASTA scores: opt: 119, E(): 0.16, (44.65% identity in 70 aa overlap); Q9K4K8|SC5F8.16c regulatory protein from Streptomyces coelicolor (83 aa), FASTA scores: opt: 114, E(): 0.34, (37.05% identity in 54 aa overlap); etc.</t>
  </si>
  <si>
    <t>Unknown alanine rich protein</t>
  </si>
  <si>
    <t>Rv3863, (MTCY01A6.05c), len: 392 aa. Unknown ala-rich protein.</t>
  </si>
  <si>
    <t>ESX-1 secretion-associated protein EspE</t>
  </si>
  <si>
    <t>Rv3864, (MTCY01A6.04c), len: 402 aa. EspE, ESX-1 secretion-associated protein, similar to Q49722|ML0405|B1620_C2_213|MLCL383.01 hypothetical 40.8 KDA protein from Mycobacterium leprae (394 aa) FASTA scores: opt: 397, E(): 1.2e-12, (31.0% identity in 410 aa overlap). Also similar to various proteins from several organisms e.g. Q9VYF9|CG12723 hypothetical protein from Drosophila melanogaster (Fruit fly) (450 aa), FASTA scores: opt: 291, E(): 2.3e-07, (34.6% identity in 130 aa overlap); Q98UE3 procollagen ALPHA1(III) (fragment) from Xenopus laevis (African clawed frog) (117 aa) FASTA scores: opt: 257, E(): 3.6e-06, (41.75% identity in 103 aa overlap); P27393|CA24_ASCSU collagen alpha 2(IV) chain precursor from Ascaris suum (Pig roundworm) (Ascaris lumbricoides) (1763 aa), FASTA scores: opt: 273, E(): 5.7e-06, (32.1% identity in 240 aa overlap); etc. Also similar to O06267|Rv3616c|MTCY07H7B.06 (392 aa) FASTA scores: opt: 389, E(): 3e-12, (31.6% identity in 399 aa overlap).</t>
  </si>
  <si>
    <t>ESX-1 secretion-associated protein EspF</t>
  </si>
  <si>
    <t>Rv3865, (MTCY01A6.03c), len: 103 aa. EspF, ESX-1 secretion-associated protein, showing some similarity to O06268|Rv3615c|MTCY07H7B.07 hypothetical 10.8 KDA protein from Mycobacterium tuberculosis (103 aa), FASTA scores: opt: 198, E(): 7.5e-07, (36.25% identity in 102 aa overlap); Q49723|ML0406|B1620_C2_214|MLCL383.02 hypothetical 11.1 KDA protein from Mycobacterium leprae (106 aa), FASTA scores: opt: 154, E(): 0.00071, (31.05% identity in 103 aa overlap).</t>
  </si>
  <si>
    <t>ESX-1 secretion-associated protein EspG1</t>
  </si>
  <si>
    <t>Rv3866, (MTCY01A6.01c, MTV027.01), len: 283 aa. espG1, ESX-1 secretion-associated protein. N-terminal end highly similar to O33091|MLCB628.20c hypothetical 13.1 KDA protein from Mycobacterium leprae (122 aa), FASTA scores: opt: 260, E(): 2.1e-09, (43.6% identity in 117 aa overlap); and C-terminal end highly similar to O33090|MLCB628.19c hypothetical 36.7 KDA protein from Mycobacterium leprae (338 aa), FASTA scores: opt: 540, E(): 1.4e-26, (54.5% identity in 156 aa overlap). Also similar to Q9CD34|ML2530 possible DNA-binding protein from Mycobacterium leprae (289 aa), FASTA scores: opt: 146, E(): 0.058, (28.25% identity in 269 aa overlap) and O53694|Rv0289|MTV035.17 hypothetical 31.6 KDA protein from Mycobacterium tuberculosis (295 aa), FASTA scores: opt: 133, E(): 0.39, (28.15% identity in 277 aa overlap).</t>
  </si>
  <si>
    <t>ESX-1 secretion-associated protein EspH</t>
  </si>
  <si>
    <t>Rv3867, (MTV027.02), len: 183 aa. EspH, ESX-1 secretion-associated protein, highly similar to the hypothetical proteins from Mycobacterium leprae: Q9CDD6|ML0056 (169 aa) FASTA scores: opt: 403, E(): 1.8e-18, (48.2% identity in 166 aa overlap); Q49730|ML0407|B1620_C3_264|MLCL383.03 (216 aa), FASTA scores: opt: 517, E(): 1.7e-25, (51.45% identity in 175 aa overlap); and O33090|MLCB628.19c (338 aa), FASTA scores: opt: 403, E(): 3.4e-18, (48.2% identity in 166 aa overlap). Also highly similar to O06269|Rv3614c|MTCY07H7B.08 hypothetical 19.8 KDA protein from Mycobacterium tuberculosis (184 aa), FASTA scores: opt: 559, E(): 3.4e-28, (54.35% identity in 173 aa overlap). A core mycobacterial gene; conserved in mycobacterial strains (See Marmiesse et al., 2004).</t>
  </si>
  <si>
    <t>eccA1</t>
  </si>
  <si>
    <t>ESX conserved component EccA1. ESX-1 type VII secretion system protein.</t>
  </si>
  <si>
    <t>Rv3868, (MTV027.03), len: 573 aa. EccA1, esx conserved component, ESX-1 type VII secretion system protein. Member of the CbxX/CfqX family of hypothetical proteins; C-terminal end is highly similar to many e.g. P40118|CBXC_ALCEU|CBXXC|CFXXC CbxX protein (317 aa) FASTA scores: opt: 572, E(): 3e-24, (42.7% identity in 294 aa overlap); CAC48589 probable CBBX protein from Rhizobium meliloti (Sinorhizobium meliloti) plasmid pSymB (311 aa) FASTA scores: opt: 569, E(): 4.3e-24, (40.05% identity in 292 aa overlap); P95648|CBBX_RHOSH CBBX protein from Rhodobacter sphaeroides (Rhodopseudomonas sphaeroides) (309 aa), FASTA scores: opt: 559, E(): 1.5e-23, (41.4% identity in 290 aa overlap); etc. Equivalent to O33089|Y2G8_MYCLE|ML0055|MLCB628.18c hypothetical 62.3 KDA protein from Mycobacterium leprae (573 aa), FASTA scores: opt: 3330, E(): 3.9e-175, (89.2% identity in 573 aa overlap); and similar to Q9CD28|Y282_MYCLE|ML2537 hypothetical 69.1 KDA protein from Mycobacterium leprae (640 aa), FASTA scores: opt: 943, E(): 2.4e-44, (37.5% identity in 571 aa overlap). Also similar to many proteins from Mycobacterium tuberculosis (strains H37Rv and CDC1551) e.g. O53687|Y282_MYCTU|Rv0282|MT0295|MTV035.10 hypothetical 68.1 KDA protein (631 aa), FASTA scores: opt: 936, E(): 5.8e-44, (39.05% identity in 568 aa overlap). Contains PS00017 ATP/GTP-binding site motif A (P-loop).</t>
  </si>
  <si>
    <t>eccB1</t>
  </si>
  <si>
    <t>ESX conserved component EccB1. ESX-1 type VII secretion system protein. Possible membrane protein.</t>
  </si>
  <si>
    <t>Rv3869, (MTV027.04), len: 480 aa. EccB1, esx conserved component, ESX-1 type VII secretion system protein, possible membrane protein (has hydrophobic stretch near N-terminus), equivalent to O33088|ML0054|MLCB628.17c putative membrane protein from Mycobacterium leprae (481 aa), FASTA scores: opt: 2489, E(): 8.3e-136, (75.75% identity in 478 aa overlap); and similar to others e.g. Q9Z5I3|ML1544|MLCB596.27 conserved membrane protein from Mycobacterium leprae (506 aa), FASTA scores: opt: 739, E(): 3.9e-35, (33.65% identity in 490 aa overlap). Also similar to hypothetical proteins from Mycobacterium tuberculosis e.g. O05449|Rv3895c|MTCY15F10.17 (495 aa), FASTA scores: opt: 795, E(): 2.3e-38, (35.8% identity in 486 aa overlap); O53933|Rv1782|MTV049.04 (506 aa), FASTA scores: opt: 763, E(): 1.6e-36, (34.7% identity in 490 aa overlap); O06317|Rv3450c|MTCY13E12.03c (470 aa) FASTA scores: opt: 717, E(): 6.7e-34, (32.55% identity in 479 aa overlap); etc. A core mycobacterial gene; conserved in mycobacterial strains (See Marmiesse et al., 2004).</t>
  </si>
  <si>
    <t>eccCa1</t>
  </si>
  <si>
    <t>ESX conserved component EccCa1. ESX-1 type VII secretion system protein. Possible transmembrane protein.</t>
  </si>
  <si>
    <t>Rv3870, (MTV027.05), len: 747 aa. EccCa1, esx conserved component, ESX-1 type VII secretion system protein, possible transmembrane protein, equivalent to O33087|ML0053|MLCB628.16c putative membrane protein from Mycobacterium leprae (744 aa), FASTA scores: opt: 4333, E(): 0, (85.4% identity in 746 aa overlap); and similar to N-terminal end of others e.g. Q9CD30|ML2535 hypothetical protein from Mycobacterium leprae (1329 aa), FASTA scores: opt: 1003, E(): 1e-52, (33.65% identity in 725 aa overlap); O86653|SC3C3.20c ATP/GTP binding protein from Streptomyces coelicolor (1321 aa), FASTA scores: opt: 1078, E(): 3e-57, (35.4% identity in 774 aa overlap); P71068|YUKA YUKA protein from Bacillus subtilis (1207 aa) FASTA scores: opt: 529, E(): 4.3e-24, (26.1% identity in 636 aa overlap); Q9KE81|BH0975 hypothetical protein from Bacillus halodurans (1489 aa), FASTA scores: opt: 455, E(): 1.5e-19, (27.1% identity in 734 aa overlap); etc. Also similar to N-terminal end of hypothetical proteins from Mycobacterium tuberculosis e.g. O53689|Rv0284|MTV035.12 (1330 aa), FASTA scores: opt: 982, E(): 1.9e-51, (33.8% identity in 719 aa overlap); O06264|Rv3447c|MTCY77.19c (1236 aa), FASTA scores: opt: 761, E(): 4.1e-38, (38.2% identity in 746 aa overlap); O53935|Rv1784|MTV049.06 (932 aa), FASTA scores: opt: 547, E(): 2.8e-25, (36.25% identity in 276 aa overlap). Contains PS00017 ATP/GTP-binding site motif A (P-loop). Note some similarity (with hypothetical proteins from Mycobacterium tuberculosis and P71068|YUKA) continues in downstream ORF MTV027.06.</t>
  </si>
  <si>
    <t>eccCb1</t>
  </si>
  <si>
    <t>ESX conserved component EccCb1. ESX-1 type VII secretion system protein.</t>
  </si>
  <si>
    <t>Rv3871, (MTV027.06), len: 591 aa. EccCb1, esx conserved component, ESX-1 type VII secretion system protein, equivalent to Q9CDD7|ML0052 hypothetical protein from Mycobacterium leprae (597 aa) FASTA scores: opt: 3341, E(): 9.8e-192, (80.85% identity in 596 aa overlap); and O33086|MLCB628.15c hypothetical protein from Mycobacterium leprae (597 aa), FASTA scores: opt: 3329, E(): 5.1e-191, (80.55% identity in 596 aa overlap). And similar to C-terminal end of others e.g. Q9Z5I2|ML1543|MLCB596.28 possible SPOIIIE-family membrane protein from Mycobacterium leprae (1345 aa), FASTA scores: opt: 601, E(): 5.6e-28, (32.3% identity in 613 aa overlap); O86653|SC3C3.20c ATP/GTP binding protein from Streptomyces coelicolor (1321 aa), FASTA scores: opt: 977, E(): 2.1e-50, (35.15% identity in 583 aa overlap); Q9L0T6|SCD35.15c putative cell division-related protein from Streptomyces coelicolor (1525 aa), FASTA scores: opt: 414, E(): 9e-17, (27.6% identity in 424 aa overlap);P71068|YUKA YUKA protein from Bacillus subtilis (1207 aa), FASTA scores: opt: 343, E(): 1.3e-12, (25.8% identity in 395 aa overlap); etc. And similar to to C-terminal end of hypothetical proteins from Mycobacterium tuberculosis e.g. O06264|Rv3447c|MTCY77.19c (1236 aa) FASTA scores: opt: 845, E(): 1.5e-42, (35.3% identity in 586 aa overlap); O53689|Rv0284|MTV035.12 (1330 aa) FASTA scores: opt: 646, E(): 1.2e-30, (33.35% identity in 606 aa overlap); O53935|Rv1784|MTV049.06 (932 aa) FASTA scores: opt: 589, E(): 2.1e-27, (33.1% identity in 619 aa overlap); etc. Contains 2 X PS00017 ATP/GTP-binding site motif A (P-loop). Note some similarity (with hypothetical proteins from Mycobacterium tuberculosis and P71068|YUKA) continues in upstream ORF MTV027.05.</t>
  </si>
  <si>
    <t>PE35</t>
  </si>
  <si>
    <t>Rv3872</t>
  </si>
  <si>
    <t>PE family-related protein PE35</t>
  </si>
  <si>
    <t>Rv3872, (MTV027.07), len: 99 aa. PE35, Some similarity to Mycobacterium tuberculosis conserved PE family proteins (see Brennan &amp; Delogu 2002), e.g. O69713|Rv3746c|MTV025.094c (111 aa), FASTA scores: opt: 306, E(): 5.5e-13, (50.5% identity in 99 aa overlap). Equivalent to AAK48354 from Mycobacterium tuberculosis strain CDC1551 (112 aa) but shorter 14 aa.</t>
  </si>
  <si>
    <t>PPE family protein PPE68</t>
  </si>
  <si>
    <t>Rv3873, (MTV027.08), len: 368 aa. PPE68, Member of the Mycobacterium tuberculosis PPE family, highly similar to many e.g. O33085|ML0051|MLCB628.14c from Mycobacterium leprae (302 aa), FASTA scores: opt: 656, E(): 2.8e-24, (46.2% identity in 288 aa overlap); and O53691|Rv0286|MTV035.14 (513 aa), FASTA scores: opt: 566, E(): 7.8e-20, (35.25% identity in 363 aa overlap). A core mycobacterial gene; conserved in mycobacterial strains (See Marmiesse et al., 2004). Predicted possible vaccine candidate (See Zvi et al., 2008).</t>
  </si>
  <si>
    <t>esxB</t>
  </si>
  <si>
    <t>Rv3874</t>
  </si>
  <si>
    <t>Unknown. Exported protein cotranscribed with Rv3875|MT3989|MTV027.10.</t>
  </si>
  <si>
    <t>10 kDa culture filtrate antigen EsxB (LHP) (CFP10)</t>
  </si>
  <si>
    <t>Rv3874, (MT3988, MTV027.09), len: 100 aa. EsxB, 10 KDA culture filtrate antigen (see citations below, especially first), highly similar to O33084|CF10_MYCLE|ML0050|MLCB628.13c 10 KDA culture filtrate antigen CFP10 homolog from Mycobacterium leprae (99 aa), FASTA scores: opt: 237, E(): 2.4e-08, (39.4% identity in 99 aa overlap). Also similar to O05440|ES6D_MYCTU|Rv3905c|MT4024|MTCY15F10.06 putative ESAT-6 like protein 13 from Mycobacterium tuberculosis (103 aa) FASTA scores: opt: 126, E(): 0.18, (23.1% identity in 91 aa overlap); and shows some similarity with other proteins from Mycobacterium tuberculosis. Contains probable coiled-coil from aa 49-93. Belongs to the ESAT6 family. Note that previously known as lhp (alternate gene name: cfp10). A core mycobacterial gene; conserved in mycobacterial strains (See Marmiesse et al., 2004).</t>
  </si>
  <si>
    <t>esxA</t>
  </si>
  <si>
    <t>Rv3875</t>
  </si>
  <si>
    <t>Unknown. Elicits high level of inf-gamma from memory effector cells during the first phase of a protective immune response. Exported protein cotranscribed with Rv3874|MT3988|MTV027.09|LHP|CFP10.</t>
  </si>
  <si>
    <t>6 kDa early secretory antigenic target EsxA (ESAT-6)</t>
  </si>
  <si>
    <t>Rv3875, (MT3989, MTV027.10), len: 95 aa. EsxA, early secretory antigenic target (see citations below), identical to Q57165|O84901|ESAT6 early secretory antigenic target from Mycobacterium bovis (94 aa), FASTA scores: opt: 596, E(): 4.6e-33, (100.0% identity in 94 aa overlap). Also similar to Q50206|ESA6_MYCLE|ESAT6|ESX|L45|ML0049|MLCB628.12c 6 KDA early secretory antigenic target homolog (ESAT-6-like protein) (L-ESAT) from Mycobacterium leprae (95 aa), FASTA scores: opt: 236, E(): 3.3e-09, (36.25% identity in 91 aa overlap); and weak similarity with others proteins ESAT-like from Mycobacterium leprae. Also some similarity with O53266|ES69_MYCTU|Rv3019c|MT3104|MTV012.33c putative secreted ESAT-6 like protein 9 from Mycobacterium tuberculosis (96 aa), FASTA scores: opt: 131, E(): 0.03, (26.15% identity in 88 aa overlap); and other ESAT-like protein. Contains probable coiled-coil from 56 to 92 aa. Belongs to the ESAT6 family. Note that previously known as esat-6. A core mycobacterial gene; conserved in mycobacterial strains (See Marmiesse et al., 2004). Predicted possible vaccine candidate (See Zvi et al., 2008). EspD|Rv3614c expression but not secretion is required for EsxA|Rv3875 secretion (See Chen et al., 2012).</t>
  </si>
  <si>
    <t>ESX-1 secretion-associated protein EspI. Conserved proline and alanine rich protein.</t>
  </si>
  <si>
    <t>Rv3876, (MTV027.11), len: 666 aa. EspI, ESX-1 secretion-associated protein, conserved pro-, ala-rich protein, similar to several proteins from Mycobacterium leprae e.g. Q9CDD8|ML0048 hypothetical protein (586 aa), FASTA scores: opt: 1682, E(): 2.1e-45, (50.75% identity in 672 aa overlap); O33082|MLCB628.11c hypothetical 52.0 KDA protein (478 aa), FASTA scores: opt: 1588, E(): 1.5e-42, (53.5% identity in 542 aa overlap) (also has a proline rich N-terminus); etc. Also similar to other proteins from Mycobacterium tuberculosis, especially in C-terminus, e.g. O06396|Rv0530|MTCY25D10.09 (405 aa), FASTA scores: opt: 670, E(): 2.5e-14, (34.85% identity in 396 aa overlap) (also has Pro-rich N-terminus); etc. Note that N-terminus is repetitive and highly Proline rich.</t>
  </si>
  <si>
    <t>ESX conserved component EccD1. ESX-1 type VII secretion system protein. Probable transmembrane protein.</t>
  </si>
  <si>
    <t>Rv3877, (MTV027.12), len: 511 aa. EccD1, esx conserved component, ESX-1 type VII secretion system protein, probable transmembrane protein, equivalent to Q9CDD9|ML0047 putative membrane protein from Mycobacterium leprae (512 aa), FASTA scores: opt: 2496, E(): 2.8e-140, (74.0% identity in 512 aa overlap); and highly similar, but longer 32 aa, to O33081|MLCB628.10c hypothetical 51.4 KDA protein from Mycobacterium leprae (480 aa), FASTA scores: opt: 2346, E(): 2e-131, (74.15% identity in 480 aa overlap). Shows also similarity with other membrane proteins from Mycobacterium leprae e.g. Q9CBV2|ML1539 probable membrane protein (503 aa), FASTA scores: opt: 318, E(): 2e-11, (22.7% identity in 520 aa overlap). Also similar to various proteins from Mycobacterium tuberculosis e.g. O53944|Rv1795|MTV049.17 putative membrane protein (503 aa), FASTA scores: opt: 391, E(): 9.4e-16, (24.45% identity in 523 aa overlap); O86362|Rv0290|MTV035.18 hypothetical 47.9 KDA protein (472 aa), FASTA scores: opt: 332, E(): 2.8e-12, (28.1% identity in 509 aa overlap); O05457|Rv3887c|MTCY15F10.25 hypothetical 53.2 KDA protein (509 aa), FASTA scores: opt: 167, E(): 0.017, (24.0% identity in 517 aa overlap); etc. Equivalent to AAK48359 from Mycobacterium tuberculosis strain CDC1551 (479 aa) but longer 32 aa. A core mycobacterial gene; conserved in mycobacterial strains (See Marmiesse et al., 2004).</t>
  </si>
  <si>
    <t>ESX-1 secretion-associated protein EspJ. Conserved alanine rich protein.</t>
  </si>
  <si>
    <t>Rv3878, (MTV027.13), len: 280 aa. EspJ, ESX-1 secretion-associated protein, conserved ala-rich protein. Predicted to be an outer membrane protein (See Song et al., 2008).</t>
  </si>
  <si>
    <t>ESX-1 secretion-associated protein EspK. Alanine and proline rich protein.</t>
  </si>
  <si>
    <t>Rv3879c, (MTV027.14c), len: 729 aa. EspK, ESX-1 secretion-associated protein, ala- and pro-rich protein (N-terminal end is repetitive and highly Proline-rich). There may be an unknown protein Orf14 encoded in the opposite orientation, within rv3879c (See Ahmad et al., 1999; Daugelat et al., 2003).</t>
  </si>
  <si>
    <t>ESX-1 secretion-associated protein EspL</t>
  </si>
  <si>
    <t>Rv3880c, (MTV027.15c), len: 115 aa. EspL, ESX-1 secretion-associated protein, equivalent to O33080|ML0044|MLCB628.09 hypothetical 12.2 KDA protein from Mycobacterium leprae (113 aa), FASTA scores: opt: 397, E(): 2e-19, (56.35% identity in 110 aa overlap). A core mycobacterial gene; conserved in mycobacterial strains (See Marmiesse et al., 2004).</t>
  </si>
  <si>
    <t>Function unknown. Is a proteolytic substrate of MYCP1|Rv3883c.</t>
  </si>
  <si>
    <t>Secreted ESX-1 substrate protein B, EspB. Conserved alanine and glycine rich protein</t>
  </si>
  <si>
    <t>Rv3881c, (MTV027.16c), len: 460 aa. EspB, ESX-1 substrate protein B (See McLaughlin et al., 2007). Conserved ala-, gly-rich protein. C-terminal end highly similar to O06126 hypothetical 9.5 KDA protein (fragment) from Mycobacterium tuberculosis strain NTI 64719 (90 aa) FASTA scores: opt: 333, E(): 6.3e-07, (69.75% identity in 86 aa overlap) but sequence difference causes frameshift in NTI 64719. Also similar to part of small Mycobacterium leprae ORF O33078|MLCB628.06 (EMBL:Y14967) (101 aa), FASTA scores: opt: 194, E(): 0.04, (59.3% identity in 54 aa overlap), suggesting this is represented by a pseudogene in Mycobacterium leprae.</t>
  </si>
  <si>
    <t>eccE1</t>
  </si>
  <si>
    <t>ESX conserved component EccE1. ESX-1 type VII secretion system protein. Possible membrane protein.</t>
  </si>
  <si>
    <t>Rv3882c, (MTV027.17c, MTCY15F10.30), len: 462 aa. eccE1, esx conserved component, ESX-1 type VII secretion system protein, possible membrane protein, equivalent to O33077|ML0042|MLCB628.05 putative membrane protein from Mycobacterium leprae (467 aa), FASTA scores: opt: 2346, E(): 1.1e-140, (72.1% identity in 462 aa overlap). Also similar to O05459|Rv3885c|MTCY15F10.27 possible membrane protein from Mycobacterium tuberculosis (537 aa) FASTA scores: opt: 283, E(): 2.5e-10, (26.8% identity in 414 aa overlap); and C-terminal end shows similarity with AAK48368|MT4000 hypothetical 45.6 KDA protein from Mycobacterium tuberculosis strain CDC1551 (422 aa) FASTA scores: opt: 215, E(): 4.1e-06, (26.85% identity in 320 aa overlap). A core mycobacterial gene; conserved in mycobacterial strains (See Marmiesse et al., 2004). Rv3614c and Rv3882c interact, by yeast two-hybrid analysis (See MacGurn et al., 2005).</t>
  </si>
  <si>
    <t>mycP1</t>
  </si>
  <si>
    <t>Has proteolytic activity. Cleaves ESPB|Rv3881c. Expressed during infection of macrophages.</t>
  </si>
  <si>
    <t>Membrane-anchored mycosin MycP1 (serine protease) (subtilisin-like protease) (subtilase-like) (mycosin-1)</t>
  </si>
  <si>
    <t>Rv3883c, (MTCY15F10.29), len: 446 aa. MycP1, membrane-anchored serine protease (mycosin) (see citations below), equivalent to O33076|ML0041|MLCB628.04 probable secreted protease from Mycobacterium leprae (446 aa), FASTA scores: opt: 2448, E(): 1.5e-124, (79.15% identity in 446 aa overlap); and highly similar, but in part, to several putative proteases from Mycobacterium leprae; Q9CBV3|ML1538 (567 aa) FASTA scores: opt: 902, E(): 3e-41, (37.25% identity in 556 aa overlap); and Q9CD36|ML2528 (475 aa), FASTA scores: opt: 873, E(): 9.4e-40, (42.7% identity in 459 aa overlap). Shows also similarity with several proteases from other organisms e.g. Q9PCD0|XF1851 serine protease from Xylella fastidiosa (1000 aa), FASTA scores: opt: 281, E(): 1.3e-07, (27.95% identity in 422 aa overlap); P42780|BPRX_BACNO extracellular subtilisin-like protease precursor from Bacteroides nodosus (Dichelobacter nodosus) (595 aa), FASTA scores: opt: 270, E(): 3.2e-07, (28.9% identity in 384 aa overlap); Q46541|APRV5 acidic protease V5 from Bacteroides nodosus (Dichelobacter nodosus) (595 aa), FASTA scores: opt: 264, E(): 6.8e-07, (28.65% identity in 384 aa overlap); etc. Also highly similar to various proteins from Mycobacterium tuberculosis e.g. O53695|Rv0291|MTV035.19 probable membrane-anchored mycosin MYCP3 (461 aa), FASTA scores: opt: 1168, E(): 1.2e-55, (44.6% identity in 453 aa overlap); O53945|Rv1796|MTV049.18 probable membrane-anchored mycosin MYCP5 (585 aa), FASTA scores: opt: 928, E(): 1.2e-42, (37.85% identity in 555 aa overlap) (note gap from aa 155-264); and downstream ORF O05458|Rv3886c|MTCY15F10.26 probable membrane-anchored mycosin MYCP2 (550 aa), FASTA scores: opt: 910, E(): 1.1e-41, (40.15% identity in 533 aa overlap) (note partial gap from aa 146-234); etc. Equivalent to AAK48366 from Mycobacterium tuberculosis strain CDC1551 (411 aa) but longer 35 aa. Has signal sequence with possible signal peptidase I cleavage site in residues 19-21 (ASA) and hydrophobic stretch at C-terminus, followed by short positively charged segment, that seems to act as a membrane anchor. Activated by Ca2+ (see Dave et al., 2002). Contains three serine protease, subtilase family active site motifs: a aspartic acid active site motif (PS00136); a histidine active site motif (PS00137); and a serine active site motif (PS00138). Belongs to peptidase family S8 (also known as the subtilase family), pyrolysin subfamily. Conserved in M. tuberculosis, M. leprae, M. bovis and M. avium paratuberculosis; predicted to be essential for in vivo survival and pathogenicity (See Ribeiro-Guimaraes and Pessolani, 2007).</t>
  </si>
  <si>
    <t>eccA2</t>
  </si>
  <si>
    <t>ESX conserved component EccA2. ESX-2 type VII secretion system protein. Probable CbxX/CfqX family protein.</t>
  </si>
  <si>
    <t>Rv3884c, (MTCY15F10.28), len: 619 aa. eccA2, esx conserved component, ESX-2 type VII secretion system protein. Probable CbxX/CfqX protein family, similar to hypothetical proteins from Mycobacterium leprae e.g. Q9CD28|Y282_MYCLE|ML2537 (640 aa), FASTA scores: opt: 725, E(): 2.9e-34, (28.95% identity in 587 aa overlap); O33089|Y2G8_MYCLE|ML0055|MLCB628.18c (belongs to the CbxX/CfqX family) (573 aa); Q9CBV5|ML1536 (610 aa) FASTA scores: opt: 648, E(): 7.4e-30, (31.5% identity in 549 aa overlap). Also similar to proteins belonging to the CbxX/CfqX family e.g. Q9RKZ2|SC6D7.05c putative CbxX/CfqX family protein from Streptomyces coelicolor (618 aa) FASTA scores: opt: 557, E(): 1.3e-24, (28.6% identity in 601 aa overlap); P27643|SP5K_BACSU|SPOVK|SPOVJ stage V sporulation protein K from Bacillus subtilis (322 aa) FASTA scores: opt: 485, E(): 1.1e-20, (35.0% identity in 280 aa overlap) (similarity only at C-terminus); Q9KAC6|BH2363 stage V sporulation protein K from Bacillus halodurans (315 aa), FASTA scores: opt: 462, E(): 2.2e-19, (36.05% identity in 244 aa overlap) (similarity only at C-terminus); etc. And similar to hypothetical proteins from Mycobacterium tuberculosis belonging to the CbxX/CfqX family e.g. O53687|Y282_MYCTU|Rv0282|MT0295|MTV035.10 hypothetical 68.1 KDA protein (631 aa), FASTA scores: opt: 743, E(): 2.6e-35, (29.9% identity in 612 aa overlap); O69733|Y2G8_MYCTU|Rv3868|MT3981|MTV027.03 hypothetical 62.4 KDA protein (573 aa), FASTA scores: opt: 678, E(): 1.3e-31, (31.25% identity in 589 aa overlap); O53947|YH98_MYCTU|Rv1798|MT1847|MTV049.20 (610 aa) FASTA scores: opt: 669, E(): 4.6e-31, (30.95% identity in 549 aa overlap); etc. Contains PS00017 ATP/GTP-binding site motif A (P-loop). Seems to belong to the CbxX/CfqX family.</t>
  </si>
  <si>
    <t>eccE2</t>
  </si>
  <si>
    <t>ESX conserved component EccE2. ESX-2 type VII secretion system protein. Possible membrane protein.</t>
  </si>
  <si>
    <t>Rv3885c, (MTCY15F10.27), len: 537 aa. eccE2, esx conserved component, ESX-2 type VII secretion system protein. possible membrane protein (has hydrophobic stretch near N-terminus), showing some similarity with O05462|Rv3882c|MTV027.17c|MTCY15F10.30 possible membrane protein from Mycobacterium tuberculosis (462 aa) FASTA scores: opt: 283, E(): 8.3e-10, (26.55% identity in 414 aa overlap); and O33077|ML0042|MLCB628.05 putative membrane protein from Mycobacterium leprae (467 aa), FASTA scores: opt: 260, E(): 2.1e-08, (28.0% identity in 382 aa overlap). Equivalent to AAK48368 from Mycobacterium tuberculosis strain CDC1551 (422 aa) but longer 115 aa.</t>
  </si>
  <si>
    <t>mycP2</t>
  </si>
  <si>
    <t>Probable alanine and proline rich membrane-anchored mycosin MycP2 (serine protease) (subtilisin-like protease) (subtilase-like) (mycosin-2)</t>
  </si>
  <si>
    <t>Rv3886c, (MTCY15F10.26), len: 550 aa. Probable mycP2, ala-, pro-rich membrane-anchored serine protease (mycosin) (see citation below), highly similar to Q9CBV3|ML1538 possible protease from Mycobacterium leprae (567 aa), FASTA scores: opt: 1034, E(): 3.9e-32, (43.5% identity in 575 aa overlap); and highly similar, but with gaps, to several putative proteases from Mycobacterium leprae; O33076|ML0041|MLCB628.04 (446 aa), FASTA scores: opt: 860, E(): 1.1e-25, (38.65% identity in 538 aa overlap); Q9CD36|ML2528 (475 aa) (475 aa), FASTA scores: opt: 413, E(): 7.1e-09, (37.7% identity in 562 aa overlap). Also similarity with Q99405|PRTM_BACSP M-protease from Bacillus sp. strain KSM-K16 (269 aa), FASTA scores: E(): 7.6e-06, (27.1% identity in 277 aa overlap). And highly similar, but also with gaps, to other mycosins from Mycobacterium tuberculosis e.g. O53945|Rv1796|MTV049.18 (585 aa), FASTA scores: opt: 1173, E(): 2.4e-37, (47.9% identity in 578 aa overlap); the upstream ORF O05461|Rv3883c|MTCY15F10.29 (446 aa) FASTA scores: opt: 910, E(): 1.5e-27, (40.15% identity in 533 aa overlap); O06316|Rv3449|MTCY13E12.02 (455 aa) FASTA scores: opt: 477, E(): 2.7e-11, (38.75% identity in 550 aa overlap); etc. Contains Pro rich protein with two serine protease, subtilase family active site motifs: aspartic acid active site motif (PS00136); and histidine active site motif (PS00137). Belongs to peptidase family S8 (also known as the subtilase family), pyrolysin subfamily. Thought to be cleaved into smaller molecular weight proteins, 36 and 29 KDA (see citation below).</t>
  </si>
  <si>
    <t>eccD2</t>
  </si>
  <si>
    <t>ESX conserved component EccD2. ESX-2 type VII secretion system protein. Probable transmembrane protein.</t>
  </si>
  <si>
    <t>Rv3887c, (MTCY15F10.25), len: 509 aa. eccD2, esx conserved component, ESX-2 type VII secretion system protein, probable transmembrane protein (has hydrophilic stretch from ~1-130 then very hydrophobic domain), similar to other membrane proteins and with weak similarity to known transporters, e.g. Q9CBV2|ML1539 probable membrane protein from Mycobacterium leprae (503 aa), FASTA scores: opt: 395, E(): 2.3e-16, (28.0% identity in 496 aa overlap); Q9CD35|ML2529 conserved membrane protein from Mycobacterium leprae (485 aa), FASTA scores: opt: 221, E(): 6.6e-06, (24.6% identity in 423 aa overlap); Q9ADP8|2SC10A7.11 putative integral membrane protein from Streptomyces coelicolor (430 aa), FASTA scores: opt: 171, E(): 0.0062, (26.55% identity in 358 aa overlap); CAC44275|SCBAC17F8.03 putative drug efflux protein from Streptomyces coelicolor (416 aa), FASTA scores: opt: 160, E(): 0.028, (27.85% identity in 323 aa overlap); etc. Also similar to others from Mycobacterium tuberculosis e.g. O53944|Rv1795|MTV049.17 putative membrane protein (503 aa), FASTA scores: opt: 360, E(): 2.9e-14, (26.65% identity in 514 aa overlap); etc. Equivalent to AAK48369 from Mycobacterium tuberculosis strain CDC1551 (469 aa) but longer 40 aa.</t>
  </si>
  <si>
    <t>Rv3888c, (MTCY15F10.24), len: 341 aa. Probable conserved membrane protein, showing similarity with hypothetical proteins from Mycobacterium leprae: O33082|MLCB628.11c (478 aa), FASTA scores: opt: 530, E(): 7.7e-26, (32.45% identity in 336 aa overlap); Q9CDD8|ML0048 (586 aa), FASTA scores: opt: 530, E(): 9.1e-26, (32.45% identity in 336 aa overlap); Q9CCI1|ML0798 (592 aa), FASTA scores: opt: 426, E(): 3e-19, (27.5% identity in 342 aa overlap) (similarity only at C-terminus). Also similar to proteins from Mycobacterium tuberculosis e.g. P96217|Rv3860|MTCY01A6.08c (390 aa), FASTA scores: opt: 603, E(): 1.7e-30, (35.2% identity in 284 aa overlap); O06396|Rv0530|MTCY25D10.09 (405 aa), FASTA scores: opt: 573, E(): 1.3e-28, (32.0% identity in 328 aa overlap); C-terminus of O69740|Rv3876|MTV027.1 (666 aa), FASTA scores: opt: 509, E(): 2.1e-24, (31.0% identity in 303 aa overlap); etc.</t>
  </si>
  <si>
    <t>espG2</t>
  </si>
  <si>
    <t>ESX-2 secretion-associated protein EspG2</t>
  </si>
  <si>
    <t>Rv3889c, (MTCY15F10.23), len: 276 aa. EspG2, ESX-2 secretion-associated protein.</t>
  </si>
  <si>
    <t>ESAT-6 like protein EsxC (ESAT-6 like protein 11)</t>
  </si>
  <si>
    <t>Rv3890c, (MT4005, MTCY15F10.22), len: 95 aa. EsxC, ESAT-6 like protein (see Gey Van Pittius et al., 2001), equivalent to Q9K548|ES6B_MYCPA putative ESAT-6 like protein 11 (ORF3890C) from Mycobacterium paratuberculosis (95 aa), FASTA scores: opt: 490, E(): 3.3e-26, (76.85% identity in 95 aa overlap). Belongs to the ESAT6 family.</t>
  </si>
  <si>
    <t>Possible ESAT-6 like protein EsxD</t>
  </si>
  <si>
    <t>Rv3891c, (MTCY15F10.21), len: 107 aa (first GTG taken). EsxD, ESAT-6 like protein, equivalent to Q9K547 hypothetical 10.3 KDA protein (fragment) from Mycobacterium paratuberculosis (100 aa), FASTA scores: opt: 498, E(): 1.7e-26, (77.25% identity in 101 aa overlap). Seems to belong to the ESAT6 family (see Gey Van Pittius et al., 2001).</t>
  </si>
  <si>
    <t>PPE family protein PPE69</t>
  </si>
  <si>
    <t>Rv3892c, (MTCY15F10.20), len: 399 aa. PPE69, Member of the Mycobacterium tuberculosis PPE family of conserved proteins, similar to many e.g. O05298|Rv1196|MTCI364.08 from Mycobacterium leprae (391 aa), FASTA scores: opt: 348, E(): 2.2e-08, (26.6% identity in 380 aa overlap).</t>
  </si>
  <si>
    <t>PE family protein PE36</t>
  </si>
  <si>
    <t>Rv3893c, (MTCY15F10.19), len: 77 aa. PE36, Member of the Mycobacterium tuberculosis PE family of conserved proteins (see citation below), similar to others e.g. O53690|Rv0285|MTV035.13 from Mycobacterium tuberculosis (102 aa), FASTA scores: opt: 136, E(): 0.042, (35.6% identity in 73 aa overlap).</t>
  </si>
  <si>
    <t>eccC2</t>
  </si>
  <si>
    <t>ESX conserved component EccC2. ESX-2 type VII secretion system protein. Possible membrane protein.</t>
  </si>
  <si>
    <t>Rv3894c, (MTCY15F10.18), len: 1396 aa. EccC2, esx conserved component, ESX-2 type VII secretion system protein, possible membrane protein (possible transmembrane segments from aa ~37-85), similar to Q9CD30|ML2535 hypothetical protein from Mycobacterium leprae (1329 aa), FASTA scores: opt: 652, E(): 2.2e-30, (27.85% identity in 1425 aa overlap); Q9CDD7|ML0052 hypothetical protein from Mycobacterium leprae (597 aa), FASTA scores: opt: 537, E(): 6.6e-24, (27.5% identity in 585 aa overlap) (similarity only with C-terminal end); Q9Z5I2|ML1543|MLCB596.28 possible SPOIIIE-family membrane protein from Mycobacterium leprae (1345 aa), FASTA scores: opt: 523, E(): 8.6e-23, (31.65% identity in 1412 aa overlap). Also similar to various proteins e.g. O86653|SC3C3.20c ATP/GTP binding protein from Streptomyces coelicolor (1321 aa), FASTA scores: opt: 973, E(): 2.8e-49, (28.1% identity in 1409 aa); Q9L0T6|SCD35.15c putative cell division-related protein from Streptomyces coelicolor(1525 aa), FASTA scores: opt: 524, E(): 8.3e-23, (24.95% identity in 1450 aa overlap); Q9KE81|BH0975 hypothetical protein from Bacillus halodurans (1489 aa), FASTA scores: opt: 444, E(): 4.1e-18, (22.5% identity in 1346 aa overlap); etc. Also similar to AAK46103|MT1833 FTSK/SPOIIIE family protein from Mycobacterium tuberculosis strain CDC1551 (1391 aa), FASTA scores: opt: 769, E(): 2.9e-37, (30.6% identity in 1434 aa overlap); and other hypothetical proteins from Mycobacterium tuberculosis e.g. O53689|Rv0284|MTV035.12 (1330 aa), FASTA scores: opt: 634, E(): 2.5e-29, (28.2% identity in 1443 aa overlap); O06264|Rv3447c|MTCY77.19c (1236 aa), FASTA scores: opt: 632, E(): 3.1e-29, (28.75% identity in 1391 aa overlap); O69736|R3871|MTV027.06 (591 aa), FASTA scores: opt: 588, E(): 6.6e-27, (27.75% identity in 605 aa overlap) (similarity only with C-terminal end); etc. Contains two possible (PS00017) ATP/GTP-binding sites (P-loop) in central portion.</t>
  </si>
  <si>
    <t>eccB2</t>
  </si>
  <si>
    <t>Rv3895c</t>
  </si>
  <si>
    <t>ESX conserved component EccB2. ESX-2 type VII secretion system protein. Probable membrane protein.</t>
  </si>
  <si>
    <t>Rv3895c, (MTCY15F10.17), len: 495 aa. EccB2, esx conserved component, ESX-2 type VII secretion system protein, probable membrane protein, highly similar to two conserved membrane protein from Mycobacterium leprae: Q9Z5I3|ML1544|MLCB596.27 (506 aa), FASTA scores: opt: 1070, E(): 1.4e-53, (39.8% identity in 485 aa overlap); and Q9CD29|ML2536 (552 aa), FASTA scores: opt: 483, E(): 4e-20, (36.85% identity in 499 aa overlap). Also highly similar to various proteins from Mycobacterium tuberculosis e.g. O53933|Rv1782|MTV049.04 hypothetical protein (506 aa), FASTA scores: opt: 1106, E(): 1.2e-55, (41.25% identity in 485 aa overlap); O69734|Rv3869|MTV027.04 hypothetical protein (480 aa), FASTA scores: opt: 795, E(): 6.1e-38, (36.0% identity in 486 aa overlap); O33088|ML0054|MLCB628.17c putative membrane protein (481 aa), FASTA scores: opt: 740, E(): 8.3e-35, (35.65% identity in 485 aa overlap); etc.</t>
  </si>
  <si>
    <t>Rv3896c, (MTCY15F10.16), len: 302 aa (first GTG taken, although TBParse suggests TTG at 16079). Putative conserved ala-rich protein. C-terminus highly similar to C-terminal end of other proteins e.g. Q9XAS4|SC10A7.01 hypothetical 17.2 KDA protein from Streptomyces coelicolor (244 aa), FASTA scores: opt: 255, E(): 1.4e-08, (32.0% identity in 222 aa overlap); CAC44611|STBAC16H6.32 putative secreted protein from Streptomyces coelicolor (172 aa), FASTA scores: opt: 214, E(): 3.4e-06, (42.55% identity in 94 aa overlap); Q38352|ORF360 from Lactococcus delbrueckii bacteriophage ll-H (360 aa), FASTA scores: opt: 211, E(): 9.5e-06, (40.0% identity in 115 aa overlap); P54334|XKDO_BACSU|XKDO phage-like element PBSX protein from Bacillus subtilis (1332 aa), FASTA scores: opt: 209, E(): 3.6e-05, (38.35% identity in 86 aa overlap); etc. Also similar to P71594|P71594|Rv0024|MTCY10H4.24 hypothetical 30.3 KDA protein from Mycobacterium tuberculosis (281 aa), FASTA scores: opt: 265, E(): 3.9e-09, (29.25% identity in 287 aa overlap).</t>
  </si>
  <si>
    <t>Rv3897c, (MTCY15F10.15), len: 210 aa. Conserved hypothetical protein, highly similar in part to Q10691|YK83_MYCTU|Rv2083|MT2145|MTCY49.22 hypothetical 30.8 KDA protein from Mycobacterium tuberculosis (314 aa) FASTA scores: opt: 815, E(): 4.7e-26, (73.05% identity in 167 aa overlap). Similarity to MTCY49.22 suggests that this is a continuation of MTCY15F10.14. There is a frameshift mutation near 3'-end with respect to this sequence as well, similarity to MTCY49.22 continues in an overlapping ORF. Sequence appears to be correct.</t>
  </si>
  <si>
    <t>Rv3898c</t>
  </si>
  <si>
    <t>Rv3898c, (MTCY15F10.14), len: 110 aa. Conserved hypothetical protein. Highly similar, but in part, to Q10691|YK83_MYCTU|Rv2083|MT2145|MTCY49.22 hypothetical 30.8 KDA protein from Mycobacterium tuberculosis (314 aa) FASTA scores: opt: 204, E(): 0.00042, (50.6% identity in 81 aa overlap). Similarity suggests it should be in frame with next ORF and that the stop codon could be read through, the sequence appears to be correct. Homology lost upstream at 15138 gatc sequence may suggest discontinuity due to chimerism in cY15F10 or cY49.</t>
  </si>
  <si>
    <t>Rv3899c, (MTCY15F10.13), len: 410 aa. Conserved hypothetical protein, similar in part to proteins from Mycobacterium tuberculosis strains H37Rv and CDC1551. Region between aa 29-80 is strictly identical to P96909 hypothetical 15.1 KDA protein (fragment) (143 aa) FASTA scores: opt: 562, E(): 4e-16, (69.0% identity in 142 aa overlap); and the N-terminal end is highly similar, but longer 65 aa, to O07266 hypothetical 13.7 KDA protein (fragment) (143 aa), FASTA scores: opt: 562, E(): 4e-16, (69.0% identity in 142 aa overlap). Highly similar to C-terminal end of Q10690|YK82_MYCTU|Rv2082|MTCY49.21 hypothetical 73.6 KDA protein (721 aa), FASTA scores: opt: 1388, E(): 1.5e-48, (55.25% identity in 409 aa overlap). And similar to P71599|Rv0029|MTCY10H4.29 hypothetical 39.6 KDA protein (365 aa), FASTA scores: opt: 403, E(): 1.7e-09, (33.75% identity in 252 aa overlap). Note that MTCY15F10.12 and MTCY15F10.13 appear frameshifted with respect to MTCY49.21 although the sequence appears to be correct.</t>
  </si>
  <si>
    <t>Rv3900c, (MTCY15F10.12), len: 311 aa. Conserved hypothetical ala-rich protein, highly similar to N-terminal end of Q10690|YK82_MYCTU|Rv2082|MTCY49.21 hypothetical 73.6 KDA protein from Mycobacterium tuberculosis (721 aa), FASTA scores: opt: 592, E(): 2.7e-22, (37.15% identity in 280 aa overlap). Note that MTCY15F10.12 and MTCY15F10.13 appear frameshifted with respect to MTCY49.21 although the sequence appears to be correct. This region is a possible MT-complex-specific genomic island (See Becq et al., 2007).</t>
  </si>
  <si>
    <t>Rv3901c, (MTCY15F10.11), len: 149 aa. Possible membrane protein (hydrophobic stretch from ~30-52), showing some similarity with O53200|Rv2473|MTV008.29 hypothetical 25.1 KDA protein from Mycobacterium tuberculosis (238 aa), FASTA scores: opt: 147, E(): 0.036, (31.35% identity in 134 aa overlap). This region is a possible MT-complex-specific genomic island (See Becq et al., 2007).</t>
  </si>
  <si>
    <t>Rv3902c, (MTCY15F10.10), len: 176 aa. Hypothetical unknown protein. This region is a possible MT-complex-specific genomic island (See Becq et al., 2007).</t>
  </si>
  <si>
    <t>Hypothetical alanine and proline rich protein</t>
  </si>
  <si>
    <t>Rv3903c, (MTCY15F10.08), len: 846 aa. Hypothetical unknown ala-, pro-rich protein.</t>
  </si>
  <si>
    <t>esxE</t>
  </si>
  <si>
    <t>Rv3904c</t>
  </si>
  <si>
    <t>Putative ESAT-6 like protein EsxE (hypothetical alanine rich protein) (ESAT-6 like protein 12)</t>
  </si>
  <si>
    <t>Rv3904c, (MT4023, MTCY15F10.07), len: 90 aa. EsxE, ESAT-6 like protein, hypothetical unknown ala-rich protein. Belongs to the ESAT6 family (see citation below).</t>
  </si>
  <si>
    <t>esxF</t>
  </si>
  <si>
    <t>Rv3905c</t>
  </si>
  <si>
    <t>Putative ESAT-6 like protein EsxF (hypothetical alanine and glycine rich protein) (ESAT-6 like protein 13)</t>
  </si>
  <si>
    <t>Rv3905c, (MT4024, MTCY15F10.06), len: 103 aa. EsxF, ESAT-6 like protein (see citation below), hypothetical unknown ala-, gly-rich protein, ESAT-6 like protein. Belongs to the ESAT6 family.</t>
  </si>
  <si>
    <t>Rv3906c, (MTCY15F10.05), len: 169 aa. Conserved hypothetical protein, strongly related to Q50578|AT9S (sod related in Escherichia coli) from Mycobacterium tuberculosis strain aoyama B (155 aa), but apparently different as flanking sequences differ and shorter 43 aa, FASTA scores: opt: 548, E(): 1.3e-26, (79.4% identity in 102 aa overlap). Selfmarch results suggest that Rv3906c is not related to any other hypothetical protein from Mycobacterium tuberculosis strain H37Rv except itself. Shows also similarity with Q9VFR2|CG9297 hypothetical protein from Drosophila melanogaster (Fruit fly) (930 aa), FASTA scores: opt: 221, E(): 4.9e-06, (36.95% identity in 157 aa overlap); Q9HQ55|CBP|VNG1320G calcium-binding protein homology from Halobacterium sp. strain NRC-1 (385 aa) FASTA scores: opt: 143, E(): 0.13, (35.65% identity in 160 aa overlap); Q24795 calcium-binding protein (fragment) from Echinococcus granulosus (338 aa), FASTA scores: opt: 140, E(): 0.17, (33.95% identity in 156 aa overlap).</t>
  </si>
  <si>
    <t>Involved in transcription mechanism [catalytic activity: N ATP + (nucleotide)(M) = N diphosphate + (nucleotide)(M+N)].</t>
  </si>
  <si>
    <t>Probable poly(A) polymerase PcnA (polynucleotide adenylyltransferase) (NTP polymerase) (RNA adenylating enzyme) (poly(A) polymerase)</t>
  </si>
  <si>
    <t>Rv3907c, (MTCY15F10.04), len: 480 aa. Probable pcnA, polynucleotide polymerase, equivalent to Q9CCY1|PCNA|ML2697 PCNA protein from Mycobacterium leprae (486 aa), FASTA scores: opt: 2713, E(): 4.3e-160, (84.1% identity in 478 aa overlap); and Q59534|PCNB POLYA polymerase from Mycobacterium leprae (411 aa) FASTA scores: opt: 2077, E(): 7.1e-121, (82.55% identity in 373 aa overlap). Also highly similar to many e.g. Q9X8T2|SCH24.18 putative RNA nucleotidyltransferase from Streptomyces coelicolor (483 aa), FASTA scores: opt: 1856, E(): 3.7e-107, (61.55% identity in 455 aa overlap); Q9ZN65 POLYA polymerase from Prevotella ruminicola (Bacteroides ruminicola) (479 aa), FASTA scores: opt: 830, E(): 8.5e-44, (34.85% identity in 445 aa overlap); P42977|PAPS_BACSU poly(A) polymerase from Bacillus subtilis (397 aa), FASTA scores: opt: 479, E(): 3.5e-22, (29.35% identity in 450 aa overlap); etc. Contains: PS00017 ATP/GTP-binding site motif A (P-loop), PS00018 EF-hand calcium-binding domain, and probably less significant a PS00237 G-protein coupled receptor signature, and PS00639 Eukaryotic thiol (cysteine) proteases histidine active site. Belongs to the tRNA nucleotidyltransferase / poly(A) polymerase family.</t>
  </si>
  <si>
    <t>mutT4</t>
  </si>
  <si>
    <t>Possible mutator protein MutT4</t>
  </si>
  <si>
    <t>Rv3908, (MTCY15F10.03c), len: 248 aa. Possible mutT4, mutator protein, equivalent to Q50195|ML2698|L222-ORF6 hypothetical protein from Mycobacterium leprae (251 aa), FASTA scores: opt: 1270, E(): 3.4e-62, (79.05% identity in 248 aa overlap). Also similar to O66548|APFA|AQ_158 hydrolase from Aquifex aeolicus (134 aa), FASTA scores: opt: 300, E(): 1.1e-09, (37.3% identity in 142 aa overlap); and similarity with other various proteins e.g. O93721 diadenosine 5'5'''-P1,P4-tetraphosphate pyrophosphohydrolase from Pyrobaculum aerophilum (143 aa), FASTA scores: opt: 205, E(): 0.00017, (34.85% identity in 109 aa overlap); Q9HS29|APA|VNG0431G diadenosine tetraphosphate pyrophosphohydrolase from Halobacterium sp. strain NRC-1 (142 aa), FASTA scores: opt: 199, E(): 0.00036, (34.0% identity in 147 aa overlap); Q9YA58|APE2080 hypothetical 19.2 KDA protein from Aeropyrum pernix (175 aa) FASTA scores: opt: 191, E(): 0.0012, (36.9% identity in 141 aa overlap); etc. Also similar to P95110|MUTT1|Rv2985|MTCY349.02 hypothetical 34.7 KDA protein from Mycobacterium tuberculosis (317 aa) FASTA scores: opt: 224, E(): 3e-05, (34.05% identity in 144 aa overlap). Predicted to be an outer membrane protein (See Song et al., 2008). Seems to belong to the NUDIX hydrolase family.</t>
  </si>
  <si>
    <t>Rv3909, (MTCY15F10.02c), len: 802 aa. Conserved protein, equivalent to Q9CCY0|ML2699 putative secreted protein from Mycobacterium leprae (797 aa) FASTA scores: opt: 3777, E(): 8.8e-206, (72.35% identity in 803 aa overlap). Note that the N-terminal end is highly similar to Q50196|L222-ORF7 (286 aa), FASTA scores: opt: 1213, E(): 2.7e-61, (71.75% identity in 255 aa overlap); and the C-terminal end is highly similar to Q50197|L222-ORF8 also from Mycobacterium leprae (512 aa) FASTA scores: opt: 2375, E(): 9.9e-127, (71.8% identity in 518 aa overlap). Shows some similarity with N-terminal end of Q9I2M3|PA1874 hypothetical protein from Pseudomonas aeruginosa (2468 aa), FASTA scores: opt: 171, E(): 0.13, (22.9% identity in 672 aa overlap). Predicted to be an outer membrane protein (See Song et al., 2008).</t>
  </si>
  <si>
    <t>Rv3910, (MTCY15F10.01c.MTV028.01), len: 1184 aa. Probable conserved transmembrane protein (hydrophobic domain ~50-550), equivalent to Q9CCX9|ML2700 possible conserved membrane protein from Mycobacterium leprae (1206 aa), FASTA scores: opt: 5554, E(): 0, (75.15% identity in 1182 aa overlap); and highly similar, but shorter 380 aa, to Q50199|L222-ORF10 from Mycobacterium leprae (784 aa) FASTA scores: opt: 3297, E(): 5.5e-170, (68.8% identity in 769 aa overlap); and at the N-terminal end with Q50198|L222-ORF also from Mycobacterium leprae (379 aa) FASTA scores: opt: 1955, E(): 5.7e-98, (88.4% identity in 353 aa overlap) (ORFs 9 and 10 are adjacent on L222). Also similar in part (principally at the N-terminal end) to other membrane proteins e.g. Q9X8T0|SCH24.16c putative transmembrane protein from Streptomyces coelicolor (811 aa), FASTA scores: opt: 573, E(): 2.8e-23, (31.05% identity in 573 aa overlap); O05467|MVIN_RHITR integral membrane protein virulence factor MVIN homolog from Rhizobium tropici (533 aa), FASTA scores: opt: 468, E(): 9e-18, (27.1% identity in 524 aa overlap); P56882|MVIN_RHIME integral membrane protein virulence factor MVIN homolog from Rhizobium meliloti (Sinorhizobium meliloti) (535 aa), FASTA scores: opt: 453, E(): 5.8e-17, (26.2% identity in 557 aa overlap); etc.</t>
  </si>
  <si>
    <t>sigM</t>
  </si>
  <si>
    <t>Possible alternative RNA polymerase sigma factor SigM</t>
  </si>
  <si>
    <t>Rv3911, (MTV028.02), len: 222 aa. Possible sigM, alternative RNA polymerase sigma factor (see Gomez et al., 1997; Chen et al., 2000), highly similar to others e.g. Q9S6U3|SCH24.14c (alias O86856|SIGT) putative RNA polymerase sigma factor from Streptomyces coelicolor (236 aa), FASTA scores: opt: 336, E(): 2.8e-13, (41.5% identity in 212 aa overlap); Q98KG8|MLR1481 probable RNA polymerase sigma subunit from Rhizobium loti (Mesorhizobium loti) (307 aa), FASTA scores: opt: 221, E(): 2.9e-06, (32.95% identity in 179 aa overlap); Q9A4S9|CC2751 putative RNA polymerase sigma factor from Caulobacter crescentus (186 aa), FASTA scores: opt: 217, E(): 3.3e-06, (36.95% identity in 138 aa overlap); etc. Also similarity with other mycobacterial factors e.g. O06289|SIGE|Rv1221|MTCI61.04 putative RNA polymerase sigma factor from Mycobacterium tuberculosis (257 aa), FASTA scores: opt: 193, E(): 0.00012, (33.15% identity in 163 aa overlap); and O05735|SIGE putative RNA polymerase sigma factor from Mycobacterium avium (251 aa), FASTA scores: opt: 192, E(): 0.00014, (33.15% identity in 163 aa overlap). Equivalent to AAK48395|MT4030 RNA polymerase sigma-70 factor from Mycobacterium tuberculosis strain CDC1551 (196 aa) but without similarity at the C-terminal end. Belongs to the sigma-70 factor family, ECF subfamily.</t>
  </si>
  <si>
    <t>Rv3912</t>
  </si>
  <si>
    <t>Rv3912, (MTV008.03), len: 254 aa. Hypothetical unknown ala-rich protein. Cleaved by Rip|Rv2869c, in M. tuberculosis Erdman (See Sklar et al., 2010).</t>
  </si>
  <si>
    <t>trxB2</t>
  </si>
  <si>
    <t>Enzyme that catalyse the reduction of disulphides by pyridine nucleotides through an enzyme disulphide and a flavin. Seems regulated by sigh (Rv3223c product). [catalytic activity: NADPH + oxidized thioredoxin = NADP(+) + reduced thioredoxin].</t>
  </si>
  <si>
    <t>Probable thioredoxin reductase TrxB2 (TRXR) (TR)</t>
  </si>
  <si>
    <t>Rv3913, (MT4032, MTV028.04), len: 335 aa. Probable trxB2, thioredoxin reductase (see citation below), equivalent to O30973|TRXB_MYCSM thioredoxin reductase from Mycobacterium smegmatis (311 aa), FASTA scores: opt: 1575, E(): 1.8e-87, (78.35% identity in 305 aa overlap); and highly similar, but shorter at C-terminus, to P46843|TRXB_MYCLE|TRXB/a|TRX|ML2703 bifunctional thioredoxin reductase/thioredoxin from Mycobacterium leprae (458 aa), FASTA scores: opt: 1766, E(): 8.7e-99, (83.25% identity in 328 aa overlap). Also highly similar to many e.g. P52215|TRXB_STRCO|SCH24.12 from Streptomyces coelicolor (321 aa), FASTA scores: opt: 1249, E(): 7.2e-68, (60.4% identity in 313 aa overlap); Q9Z8M4|TRXB_CHLPN from Chlamydia pneumoniae (Chlamydophila pneumoniae) (311 aa), FASTA scores: opt: 978, E(): 1.3e-51, (49.85% identity in 307 aa overlap); P09625|TRXB_ECOLI|B0888 from Escherichia coli strain K12 (320 aa), FASTA scores: opt: 948, E(): 8.6e-50, (49.2% identity in 309 aa overlap); etc. Contains PS00573 Pyridine nucleotide-disulphide oxidoreductases class-II active site. Belongs to the pyridine nucleotide-disulfide oxidoreductases class-II. Cofactor: FAD (by similarity).</t>
  </si>
  <si>
    <t>trxC</t>
  </si>
  <si>
    <t>Thioredoxin participates in various redox reactions through the reversible oxidation of its active center dithiol, to a disulfide, &amp; catalyzes dithiol-disulfide exchange reactions. Forms together with thioredoxin reductase and NADPH a redox active system which donates electrons to a wide variety of different metabolic process. Seems regulated by sigh (Rv3223c product).</t>
  </si>
  <si>
    <t>Thioredoxin TrxC (TRX) (MPT46)</t>
  </si>
  <si>
    <t>Rv3914, (MT4033, MTV028.05), len: 116 aa. TrxC (alternate gene names: mpt46, trx, trxA *), thioredoxin (see citations below), equivalent to O30974|THIO_MYCSM|TRXA thioredoxin from Mycobacterium smegmatis (112 aa), FASTA scores: opt: 576, E(): 2.1e-32, (80.2% identity in 111 aa overlap); and also equivalent to C-terminal end of P46843|TRXB_MYCLE|TRXB/a|TRX|ML2703 bifunctional thioredoxin reductase/thioredoxin from Mycobacterium leprae (458 aa), FASTA scores: opt: 628, E(): E(): 2e-35, (82.9% identity in 117 aa overlap). Also highly similar to many e.g. P80579|THIO_ALIAC from Alicyclobacillus acidocaldarius (Bacillus acidocaldarius) (105 aa), FASTA scores: opt: 411, E(): 3e-21, (57.15% identity in 105 aa overlap); P00275|THI1_CORNE from Corynebacterium nephridii (105 aa), FASTA scores: opt: 394, E(): 4.3e-20, (56.7% identity in 97 aa overlap); P00274|THIO_ECOLI|TRXA|TSNC|FIPA|B3781 from Escherichia coli and Salmonella typhimurium strain K12 and LT2 respectively (108 aa), FASTA scores: opt: 364, E(): 4.7e-18, (54.45% identity in 101 aa overlap); etc. Also similar to O53162|TRXB|Rv1471|MTV007.18 thioredoxin from Mycobacterium tuberculosis (123 aa), FASTA scores: E(): 2.3e-15, (41.9% identity in 93 aa overlap). Contains PS00194 Thioredoxin family active site. Belongs to the thioredoxin family. The product of this CDS is supposedly secreted. In this case, this protein could exert its free radical scavenging activity inside macrophages. (*) Warning: note that Rv1470|MTV007.17 correspond also to trxA.</t>
  </si>
  <si>
    <t>Probable peptidoglycan hydrolase</t>
  </si>
  <si>
    <t>Rv3915, (MTV028.06), len: 406 aa. Probable peptidoglycan hydrolase, equivalent to Q9CCX8|ML2704 putative hydrolase from Mycobacterium leprae (406 aa) FASTA scores: opt: 2341, E(): 2.7e-138, (86.95% identity in 406 aa overlap); the N-terminal end is highly similar to Q59535 N-acetymuramyl-L-alanine amidase from Mycobacterium leprae (205 aa), FASTA scores: opt: 1046, E(): 5.7e-58, (84.85% identity in 185 aa overlap). Also similar to other hydrolases (especially amidases) e.g. C-terminal end of Q9K6R3|LYTC|BH3665 N-acetylmuramoyl-L-alanine amidase (major autolysin) from Bacillus halodurans (588 aa), FASTA scores: opt: 363, E(): 4.3e-15, (33.15% identity in 356 aa overlap); Q9PKC7|TC0539 putative N-acetylmuramoyl-L-alanine amidase from Chlamydia muridarum (268 aa), FASTA scores: opt: 285, E(): 1.6e-10, (26.05% identity in 242 aa overlap) (RV3915 product appears longer 127 aa); Q9S596|PDCA penicillin-resistant DD-carboxypeptidase from Myxococcus xanthus (302 aa), FASTA scores: opt: 270, E(): 1.5e-09, (39.85% identity in 158 aa overlap); etc. Note that previously known as cwlM. Conserved in M. tuberculosis, M. leprae, M. bovis and M. avium paratuberculosis; predicted to be essential for in vivo survival and pathogenicity (See Ribeiro-Guimaraes and Pessolani, 2007).</t>
  </si>
  <si>
    <t>Rv3916c, (MTV028.07c), len: 244 aa. Conserved hypothetical protein, equivalent to Q50200|ML2705|L222-ORF1 hypothetical protein from Mycobacterium leprae (259 aa), FASTA scores: opt: 1266, E(): 2e-74, (76.4% identity in 250 aa overlap). Also highly similar (but with gaps) to Q9R3S2|STH24.10 hypothetical 22.6 KDA protein from Streptomyces coelicolor (205 aa), FASTA scores: opt: 387, E(): 7.5e-18, (40.25% identity in 231 aa overlap). Predicted to be an outer membrane protein (See Song et al., 2008).</t>
  </si>
  <si>
    <t>parB</t>
  </si>
  <si>
    <t>Involved in chromosome partition. Localize to both POLES of the predivisional cell following completion of DNA replication. Binds to the DNA origin of replication.</t>
  </si>
  <si>
    <t>Probable chromosome partitioning protein ParB</t>
  </si>
  <si>
    <t>Rv3917c, (MTV028.08c, MT4036), len: 344 aa. Probable parB, chromosome partitioning protein, equivalent to Q50201|PARB_MYCLE|ML2706 probable chromosome partitioning protein from Mycobacterium leprae (333 aa), FASTA scores: opt: 1654, E(): 1.6e-88, (78.6% identity in 332 aa overlap). Also highly similar to to others e.g. Q9S6U1|STH24.09 putative partitioning or sporulation protein from Streptomyces coelicolor (328 aa), FASTA scores: opt: 966, E(): 9.7e-49, (58.55% identity in 287 aa overlap) (no similarity on N-terminus); Q9PB63|PARB_XYLFA|XF2281 probable chromosome partitioning protein from Xylella fastidiosa (310 aa), FASTA scores: opt: 598, E(): 1.8e-27, (38.65% identity in 326 aa overlap); P31857|PARB_PSEPU probable chromosome partitioning protein from Pseudomonas putida (290 aa), FASTA scores: opt: 573, E(): 4.6e-26, (40.35% identity in 322 aa overlap); etc. Contains probable helix-turn-helix motif at aa 179 to 200 (Score 1150, +3.1 0 SD). Belongs to the ParB family. Note that previously known as parA.</t>
  </si>
  <si>
    <t>parA</t>
  </si>
  <si>
    <t>Involved in chromosome partition. Localize to both POLES of the predivisional cell following completion of DNA replication.</t>
  </si>
  <si>
    <t>Probable chromosome partitioning protein ParA</t>
  </si>
  <si>
    <t>Rv3918c, (MTV028.09c), len: 347 aa. Probable parA, chromosome partitioning protein, highly similar to Q9CCX7|para|ML2707 putative cell division protein from Mycobacterium leprae (351 aa), FASTA scores: opt: 1679, E(): 2.9e-93, (78.1% identity in 347 aa overlap). Also highly similar to others e.g. Q9RFM1|para para protein from Streptomyces coelicolor (357 aa), FASTA scores: opt: 1197, E(): 2e-64, (60.45% identity in 306 aa overlap); Q98DZ3|MLL4479|para chromosome partitioning protein from Rhizobium loti (Mesorhizobium loti) (266 aa), FASTA scores: opt: 835, E(): 7.2e-43, (50.95% identity in 257 aa overlap); O05189|PARA_CAUCR chromosome partitioning protein from Caulobacter crescentus (267 aa), FASTA scores: opt: 813, E(): 1.5e-41, (51.35% identity in 261 aa overlap) (has its N-terminus shorter); etc. Equivalent to AAK48403 from Mycobacterium tuberculosis strain CDC1551 (381 aa) but shorter 34 aa. Also similar to other Mycobacterium tuberculosis proteins: MTCI125.30, FASTA scores: E(): 4.3e-32, (35.2% identity in 327 aa overlap); and MTCY07D11.13, FASTA scores: E(): 3e-30, (39.9% identity in 263 aa overlap). Belongs to the para family. Possible alternative start site at aa 107. Note that previously known as parB.</t>
  </si>
  <si>
    <t>gid</t>
  </si>
  <si>
    <t>Probable glucose-inhibited division protein B Gid</t>
  </si>
  <si>
    <t>Rv3919c, (MT4038, MTV028.10c), len: 224 aa. Probable gid (alternate gene name: gidB), glucose-inhibited division protein B, equivalent, but shorter 20 aa, to Q9L7M3 putative GIDB (fragment) from Mycobacterium paratuberculosis (245 aa), FASTA scores: opt: 1018, E(): 4.8e-57, (73.95% identity in 211 aa overlap); and Q50203|GIDB_MYCLE|ML2708 glucose inhibited division protein B from Mycobacterium leprae (245 aa), FASTA scores: opt: 966, E(): 9.1e-54, (68.4% identity in 212 aa overlap). Also highly similar to many e.g. O54571|GIDB_STRCO|STH24.07 from Streptomyces coelicolor (239 aa), FASTA scores: opt: 654, E(): 3.9e-34, (47.95% identity in 221 aa overlap); Q9KNG5|VC2774 from Vibrio cholerae (210 aa), FASTA scores: opt: 300, E(): 6.9e-12, (38.15% identity in 139 aa overlap); P17113|GIDB_ECOLI|B3740|Z5240|ECS4682 from Escherichia coli (several strains) (207 aa), FASTA scores: opt: 287, E(): 4.5e-11, (34.8% identity in 138 aa overlap); etc. Contains PS00539 Pyrokinins signature. Belongs to the GIDB family. Nucleotide position 4407904 in the genome sequence has been corrected, G:A resulting in S100F.</t>
  </si>
  <si>
    <t>Conserved protein similar to jag protein</t>
  </si>
  <si>
    <t>Rv3920c, (MTV028.11c), len: 187 aa. Conserved protein, similar to jag protein, equivalent to Q9L7M2 hypothetical 20.1 KDA protein from Mycobacterium paratuberculosis (183 aa), FASTA scores: opt: 1004, E(): 7.3e-52, (85.05% identity in 187 aa overlap); and Q50204|ML2709 hypothetical protein similar to jag protein SPOIIIJ associated protein in bacillus subtilis from Mycobacterium leprae (193 aa), FASTA scores: opt: 871, E(): 4.4e-44, (73.05% identity in 193 aa overlap). Also similar to other bacterial proteins e.g. O54595|STH24.06|jag jag-like protein from Streptomyces coelicolor (170 aa), FASTA scores: opt: 593, E(): 6.7e-28, (62.85% identity in 167 aa overlap); Q9RCA6|jag|BH4063 jag protein homolog from Bacillus halodurans (207 aa), FASTA scores: opt: 282, E(): 1.1e-09, (35.0% identity in 140 aa overlap); Q9X1H1|TM1460 putative jag protein, putative from Thermotoga maritima (221 aa), FASTA scores: opt: 258, E(): 3e-08, (31.9% identity in 138 aa overlap);Q01620|JAG_BACSU jag protein (SPOIIIJ associated protein) from Bacillus subtilis (208 aa), FASTA scores: opt: 196, E(): 0.00012, (28.05% identity in 139 aa overlap); etc.</t>
  </si>
  <si>
    <t>Rv3921c, (MTV028.12c), len: 366 aa. Probable conserved transmembrane protein, equivalent to Q9L7M1 hypothetical 39.2 KDA protein from Mycobacterium paratuberculosis (353 aa), FASTA scores: opt: 2001, E(): 8.4e-100, (83.05% identity in 366 aa overlap); Q9CCX6|ML2710 putative conserved membrane protein from Mycobacterium leprae (380 aa), FASTA scores: opt: 1929, E(): 6.2e-96, (77.1% identity in 380 aa overlap); Q50205 CDS 27 on L222 from Mycobacterium leprae (312 aa) FASTA scores: opt: 1770, E(): 1.6e-87, (88.2% identity in 288 aa overlap). Also similar to other e.g. O54569|STH24.05 inner membrane protein. from Streptomyces coelicolor (431 aa), FASTA scores: opt: 412, E(): 6.5e-15, (33.45% identity in 266 aa overlap); O84253|CT251 60 KDA inner membrane protein from Chlamydia trachomatis (787 aa), FASTA scores: opt: 304, E(): 6e-09, (27.9% identity in 269 aa overlap); P29431|60IM_BUCAP 60 KDA inner-membrane protein homolog from Buchnera aphidicola (subsp. Schizaphis graminum) (536 aa), FASTA scores: opt: 282, E(): 6.7e-08, (36.1% identity in 108 aa overlap); etc.</t>
  </si>
  <si>
    <t>Possible hemolysin</t>
  </si>
  <si>
    <t>Rv3922c, (MTV028.13c), len: 120 aa. Possible hemolysin, highly similar to Q9L7M0|YIDD_MYCPA hypothetical 12.4 KDA protein from Mycobacterium paratuberculosis (115 aa), FASTA scores: opt: 521, E(): 1.9e-29, (65.2% identity in 112 aa overlap). Also highly similar to Q44066|HLYA_AERHY putative alpha-hemolysin from Aeromonas hydrophila (85 aa), FASTA scores: opt: 276, E(): 1.5e-12, (51.45% identity in 70 aa overlap); and to many bacterial hypothetical proteins from bacterium e.g. P22847|YIDD_ECOLI|B3704.1 hypothetical protein from Escherichia coli strain K12 (85 aa), FASTA scores: opt: 276, E(): 1.5e-12, (51.45% identity in 70 aa overlap).</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</si>
  <si>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 [catalytic activity: endonucleolytic cleavage of RNA, removing 5'-extra-nucleotide from tRNA precursor].</t>
  </si>
  <si>
    <t>Ribonuclease P protein component RnpA (RNaseP protein) (RNase P protein) (protein C5)</t>
  </si>
  <si>
    <t>Rv3923c, (MT4041, MTV028.14c), len: 125 aa. RnpA, ribonuclease P protein component (see citations below), equivalent, but longer ~10 aa, to P46610|RNPA_MYCLE|ML2712 ribonuclease P protein component from Mycobacterium leprae (120 aa), FASTA scores: opt: 456, E(): 3.3e-24, (63.0% identity in 119 aa overlap); and Q9L7L9|RNPA from Mycobacterium paratuberculosis (119 aa), FASTA scores: opt: 426, E(): 3.5e-22, (60.65% identity in 122 aa overlap). Also similar to many e.g. P25817|RNPA_STRBI from Streptomyces bikiniensis (123 aa), FASTA scores: opt: 174, E(): 4.2e-05, (36.8% identity in 125 aa overlap); P25814|RNPA_BACSU from Bacillus subtilis (116 aa) FASTA scores: opt: 168, E(): 0.0001, (26.85% identity in 108 aa overlap); P48206|RNPA_STRCO|STH24.03 from Streptomyces coelicolor (123 aa), FASTA scores: opt: 166, E(): 0.00015, (37.6% identity in 125 aa overlap); etc. Contains PS00648 Bacterial Ribonuclease P protein component signature. Belongs to the RnpA family.</t>
  </si>
  <si>
    <t>rpmH</t>
  </si>
  <si>
    <t>Rv3924c</t>
  </si>
  <si>
    <t>50S ribosomal protein L34 RpmH</t>
  </si>
  <si>
    <t>Rv3924c, (MTV028.15), len: 47 aa. rpmH, 50s ribosomal protein l34 (see citations below), equivalent to many mycobacterial 50S ribosomal protein L34 e.g. P46386|RL34_MYCLE|RPMH|ML2713 from Mycobacterium leprae (47 aa), FASTA scores: opt: 287, E(): 8.5e-17, (91.5% identity in 47 aa overlap); and Q9L7L8|RL34_MYCPA|RPMH from Mycobacterium paratuberculosis (47 aa), FASTA scores: opt: 281, E(): 2.6e-16, (89.35% identity in 47 aa overlap). Also highly similar to other ribosomal proteins e.g. P27901|RL34_STRCO|RPMH|STH24.02 from Streptomyces coelicolor (45 aa), FASTA scores: opt: 234, E(): 1.4e-12, (79.05% identity in 43 aa overlap); and P05647|RL34_BACSU|RPMH from Bacillus subtilis (44 aa) FASTA scores: opt: 229, E(): 3.7e-12, (72.35% identity in 47 aa overlap); etc. Contains PS00784 Ribosomal protein L34 signature. Belongs to the L34P family of ribosomal proteins.</t>
  </si>
  <si>
    <t>RafH</t>
  </si>
  <si>
    <t>EspR upregulated</t>
  </si>
  <si>
    <t>IdeR upregulated</t>
  </si>
  <si>
    <t xml:space="preserve"> Check for mutants available at TARGET website</t>
  </si>
  <si>
    <t>essential gene by Himar1-based transposon mutagenesis in H37Rv strain (see Sassetti et al., 2003). Essential gene for in vitro growth of H37Rv, by sequencing of Himar1-based transposon mutagenesis (See Griffin et al., 2011). Check for mutants available at TARGET website</t>
  </si>
  <si>
    <t>Predicted to be in the RelA|Rv2583c regulon (See Dahl et al., 2003).</t>
  </si>
  <si>
    <t>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</si>
  <si>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Check for mutants available at TARGET website</t>
  </si>
  <si>
    <t>Predicted to be in the IdeR|Rv2711 regulon (See Gold et al., 2001).</t>
  </si>
  <si>
    <t>non essential gene by Himar1-based transposon mutagenesis in H37Rv strain (see Sassetti et al., 2003). Check for mutants available at TARGET website</t>
  </si>
  <si>
    <t>non essential gene by Himar1-based transposon mutagenesis in H37Rv strain (see Sassetti et al., 2003). Non-essential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</si>
  <si>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but essential for in vitro growth on cholesterol; by sequencing of Himar1-based transposon mutagenesis (See Griffin et al., 2011). Check for mutants available at TARGET website</t>
  </si>
  <si>
    <t>Predicted to be in the IdeR|Rv2711 regulon (See Prakash et al., 2005). Predicted to be in the RelA|Rv2583c regulon (See Dahl et al., 2003).</t>
  </si>
  <si>
    <t>non essential gene by Himar1-based transposon mutagenesis in H37Rv strain (see Sassetti et al., 2003). Required for survival in primary murine macrophages, by transposon site hybridization (TraSH) in H37Rv (See Rengarajan et al., 2005). Check for mutants available at TARGET website</t>
  </si>
  <si>
    <t>essential gene by Himar1-based transposon mutagenesis in H37Rv strain (see Sassetti et al., 2003). Essential gene, shown with M. tuberculosis H37Rv pknB|Rv0014c conditional mutant (See Forti et al., 2009). Essential gene for in vitro growth of H37Rv, by sequencing of Himar1-based transposon mutagenesis (See Griffin et al., 2011). Check for mutants available at TARGET website</t>
  </si>
  <si>
    <t>non essential gene by Himar1-based transposon mutagenesis in H37Rv strain (see Sassetti et al.,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</si>
  <si>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non essential gene by Himar1-based transposon mutagenesis in H37Rv strain (see Sassetti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</si>
  <si>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</si>
  <si>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non essential gene by Himar1-based transposon mutagenesis in H37Rv strain (see Sassetti et al., 2003). 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</si>
  <si>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</si>
  <si>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survival in primary murine macrophages, by transposon site hybridization (TraSH) in H37Rv (See Rengarajan et al., 2005). Check for mutants available at TARGET website</t>
  </si>
  <si>
    <t>essential gene by Himar1-based transposon mutagenesis in H37Rv and CDC1551 strains (see Sassetti et al., 2003 and Lamichhane et al., 2003). Essential gene for in vitro growth of H37Rv, by sequencing of Himar1-based transposon mutagenesis (See Griffin et al., 2011). Check for mutants available at TARGET website</t>
  </si>
  <si>
    <t>non essential gene by Himar1-based transposon mutagenesis in CDC1551 strain (see Lamichhane et al., 2003). Non-essential gene for in vitro growth of H37Rv, by sequencing of Himar1-based transposon mutagenesis (See Griffin et al., 2011). Check for mutants available at TARGET website</t>
  </si>
  <si>
    <t>Non-essential gene for in vitro growth of H37Rv, by sequencing of Himar1-based transposon mutagenesis (See Griffin et al., 2011). Check for mutants available at TARGET website</t>
  </si>
  <si>
    <t>non essential gene by Himar1-based transposon mutagenesis in H37Rv strain (see Sassetti et al., 2003) essential gene by Himar1-based transposon mutagenesis in CDC1551 strain (see Lamichhane et al., 2003).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</si>
  <si>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</si>
  <si>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Found to be deleted (partially or completely) in one or more clinical isolates (See Tsolaki et al., 2004).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</si>
  <si>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</si>
  <si>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CDC1551 strain (see Lamichhane et al.,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</si>
  <si>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Predicted to be in the DosR|Rv3133c regulon, in M. tuberculosis 1254 (See Voskuil et al., 2003).</t>
  </si>
  <si>
    <t>essential gene by Himar1-based transposon mutagenesis in H37Rv strain (see Sassetti et al., 2003). Check for mutants available at TARGET website</t>
  </si>
  <si>
    <t>essential gene by Himar1-based transposon mutagenesis in H37Rv strain (see Sassetti et al., 2003). Non-essential gene for in vitro growth of H37Rv, by sequencing of Himar1-based transposon mutagenesis (See Griffin et al., 2011). Check for mutants available at TARGET website</t>
  </si>
  <si>
    <t>Found to be deleted (partially or completely) in one or more clinical isolates (See Tsolaki et al., 2004). Check for mutants available at TARGET website</t>
  </si>
  <si>
    <t>Essential gene for in vitro growth of H37Rv, by sequencing of Himar1-based transposon mutagenesis (See Griffin et al., 2011). Found to be deleted (partially or completely) in one or more clinical isolates (See Tsolaki et al., 2004). Check for mutants available at TARGET website</t>
  </si>
  <si>
    <t>Non-essential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</si>
  <si>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H37Rv strain (see Sassetti et al., 2003) Check for mutants available at TARGET website</t>
  </si>
  <si>
    <t>ChIP-chip indicates SigC|Rv2069 binds to the intergenic upstream region (See Rodrigue et al., 2007).</t>
  </si>
  <si>
    <t>non essential gene by Himar1-based transposon mutagenesis in CDC1551 strain (see Lamichhane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</si>
  <si>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Predicted to be in the SenX3|Rv0490-RegX3|Rv0491 regulon (See Parish et al., 2003). ChIP-chip indicates SigC|Rv2069 binds to the intergenic upstream region (See Rodrigue et al., 2007).</t>
  </si>
  <si>
    <t>Predicted to be in the SenX3|Rv0490-RegX3|Rv0491 regulon (See Parish et al., 2003).</t>
  </si>
  <si>
    <t>non 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</si>
  <si>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</si>
  <si>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</si>
  <si>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Non essential gene for growth in vitro by Tn5370 transposon mutagenesis of H37Rv strain but mutant is less virulent in SCID mice (see McAdam et al., 2002) Check for mutants available at TARGET website</t>
  </si>
  <si>
    <t>Predicted to be in the IdeR|Rv2711 regulon (See Gold et al., 2001). Predicted to be in the Zur|Rv2359 regulon (See Maciag et al., 2007).</t>
  </si>
  <si>
    <t>non essential gene by Himar1-based transposon mutagenesis in H37Rv strain (see Sassetti et al., 2003) essential gene by Himar1-based transposon mutagenesis in CDC1551 strain (see Lamichhane et al., 2003). Required for survival in primary murine macrophages, by transposon site hybridization (TraSH) in H37Rv (See Rengarajan et al., 2005). Check for mutants available at TARGET website</t>
  </si>
  <si>
    <t>Predicted to be in the SigC|Rv2069 regulon, in M. tuberculosis CDC1551 (See Sun et al., 2004).</t>
  </si>
  <si>
    <t>Predicted to be in the IdeR|Rv2711 regulon (See Gold et al., 2001; Prakash et al., 2005). ChIP-chip indicates SigK|Rv0445c binds to the intergenic upstream region (See Rodrigue et al., 2007).</t>
  </si>
  <si>
    <t>non essential gene by Himar1-based transposon mutagenesis in CDC1551 strain (see Lamichhane et al., 2003). Check for mutants available at TARGET website</t>
  </si>
  <si>
    <t>slow growth mutant by Himar1-based transposon mutagenesis in H37Rv strain (see Sassetti et al., 2003) non essential gene by Himar1-based transposon mutagenesis in CDC1551 strain (see Lamichhane et al., 2003). Essential gene for in vitro growth of H37Rv, by sequencing of Himar1-based transposon mutagenesis (See Griffin et al., 2011). Check for mutants available at TARGET website</t>
  </si>
  <si>
    <t>Predicted to be in the KstR|Rv3574 regulon (See Kendall et al., 2007).</t>
  </si>
  <si>
    <t>non essential gene by Himar1-based transposon mutagenesis in H37Rv strain (see Sassetti et al.,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</si>
  <si>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ChIP-PCR and EMSA indicate Crp|Rv3676 binds to the intergenic upstream region (See Bai et al., 2007).</t>
  </si>
  <si>
    <t>Essential gene for in vitro growth of H37Rv on cholesterol, by sequencing of Himar1-based transposon mutagenesis (See Griffin et al., 2011). M. tuberculosis Erdman mptpB mutant is attenuated in activated macrophages and guinea pigs but not in resting macrophages (See Singh et al., 2003). Check for mutants available at TARGET website</t>
  </si>
  <si>
    <t>non essential gene by Himar1-based transposon mutagenesis in H37Rv strain (see Sassetti et al., 2003). Non-essential gene for in vitro growth of H37Rv, by sequencing of Himar1-based transposon mutagenesis (See Griffin et al., 2011). RT-qPCR shows higher expression of fadD5|Rv0166, mce1A|Rv0169 and mce1F|Rv0174 in M. tuberculosis H37Rv mce1R|Rv0165 mutant than in H37Rv, after infection of murine macrophages (See Casali et al., 2006). M. tuberculosis H37Rv mce1R|Rv0165 mutant has increased virulence in mice (See Uchida et al., 2007). Check for mutants available at TARGET website</t>
  </si>
  <si>
    <t>non essential gene by Himar1-based transposon mutagenesis in H37Rv strain (see Sassetti et al., 2003). Non-essential gene for in vitro growth of H37Rv, by sequencing of Himar1-based transposon mutagenesis (See Griffin et al., 2011). RAW macrophages infected with M. tuberculosis H37Rv Rv0168 mutant produce less TNF-alpha (also in BALB/c peritoneal macrophages), IL-6, MCP-1, and NO; in RAW macrophages, increased growth and growth comparable to wild-type have been observed (See Shimono et al., 2003; Marjanovic et al., 2010); growth in C57BL/6 mice is comparable to wild-type but mice die sooner and lung pathology is more severe (See Marjanovic et al., 2010). M. tuberculosis H37Rv Rv0168 mutant growth in vitro is comparable to wild-type; BALB/c mice survive longer when infected with mutant than with wild-type; lung pathology is reduced or delayed; growth in BALB/c mice is reduced when infection is intratracheal, but increased with intraperitoneal injection (See Gioffre et al., 2005).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</si>
  <si>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by sequencing of Himar1-based transposon mutagenesis (See Griffin et al., 2011). M. tuberculosis Erdman Rv0169 mutant shows increased growth in BALB/c mice; mice infected with mutant die sooner than those infected with wild-type; BALB/c peritoneal macrophages infected with mutant produce less TNF-alpha than with wild-type; infected RAW macrophages produce less NO with mutant but similar levels of IL-4; growth in RAW macrophages is increased (See Shimono et al., 2003). Check for mutants available at TARGET website</t>
  </si>
  <si>
    <t>non essential gene by Himar1-based transposon mutagenesis in H37Rv strain (see Sassetti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</si>
  <si>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</si>
  <si>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</si>
  <si>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CDC1551 sigG|Rv0182c mutant has growth defect in murine J774A.1 alveolar macrophages; mutant is resistant to mitomycin C (See Lee et al., 2008). Check for mutants available at TARGET website</t>
  </si>
  <si>
    <t>H37Rv mymT mutant is hypersensitive to copper toxicity and has no loss of virulence in mice (See Gold et al., 2008). Check for mutants available at TARGET website</t>
  </si>
  <si>
    <t>Predicted to be in the Rv1404 regulon (See Golby et al., 2008).</t>
  </si>
  <si>
    <t>non essential gene by Himar1-based transposon mutagenesis in H37Rv strain (see Sassetti et al., 2003). Required for survival in primary murine macrophages, by transposon site hybridization (TraSH) in H37Rv (See Rengarajan et al., 2005). Non-essential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</si>
  <si>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H37Rv strain (see Sassetti et al., 2003). Essential gene for in vitro growth of H37Rv, by sequencing of Himar1-based transposon mutagenesis (See Griffin et al., 2011). M. tuberculosis H37Rv zmp1|Rv0198c mutant shows reduced growth in C57BL/6 lungs, RAW264.7 murine macrophages, and human monocyte-derived macrophages; phagosome maturation increases but not in macrophages from Caspase -/- mice (See Master et al., 2008). Check for mutants available at TARGET website</t>
  </si>
  <si>
    <t>Required for growth in C57BL/6J mouse spleen, by transposon site hybridization (TraSH) in H37Rv (See Sassetti and Rubin, 2003).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</si>
  <si>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</si>
  <si>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</si>
  <si>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essential gene by Himar1-based transposon mutagenesis in H37Rv strain (see Sassetti et al., 2003) non essential gene by Himar1-based transposon mutagenesis in CDC1551 strain (see Lamichhane et al., 2003). Non-essential gene for in vitro growth of H37Rv, by sequencing of Himar1-based transposon mutagenesis (See Griffin et al., 2011). Check for mutants available at TARGET website</t>
  </si>
  <si>
    <t>ChIP-chip indicates SigF|Rv3286c binds to the intergenic upstream region (See Rodrigue et al., 2007).</t>
  </si>
  <si>
    <t>Predicted to be in the Zur|Rv2359 regulon (See Maciag et al., 2007).</t>
  </si>
  <si>
    <t>non essential gene by Himar1-based transposon mutagenesis in H37Rv and CDC1551 strains (see Sassetti et al., 2003 and Lamichhane et al., 2003). Non-essential gene for in vitro growth of H37Rv, by sequencing of Himar1-based transposon mutagenesis (See Griffin et al., 2011). Growth of M. tuberculosis H37Rv nrdB|Rv0233 mutant is comparable to wild-type in vitro, in vitro in the presence of various drugs and stresses, and in vivo in B6D2/F1 mouse lungs (See Mowa et al., 2009). Check for mutants available at TARGET website</t>
  </si>
  <si>
    <t>essential gene by Himar1-based transposon mutagenesis in H37Rv strain (see Sassetti et al., 2003) non essential gene by Himar1-based transposon mutagenesis in CDC1551 strain (see Lamichhane et al., 2003). Essential gene for in vitro growth of H37Rv, by sequencing of Himar1-based transposon mutagenesis (See Griffin et al., 2011). Check for mutants available at TARGET website</t>
  </si>
  <si>
    <t>non essential gene by Himar1-based transposon mutagenesis in CDC1551 strain (see Lamichhane et al., 2003). Non-essential gene for in vitro growth of H37Rv, but essential for in vitro growth on cholesterol; by sequencing of Himar1-based transposon mutagenesis (See Griffin et al., 2011). Check for mutants available at TARGET website</t>
  </si>
  <si>
    <t>ChIP-chip indicates SigK|Rv0445c binds to the intergenic upstream region (See Rodrigue et al., 2007).</t>
  </si>
  <si>
    <t>non essential gene by Himar1-based transposon mutagenesis in CDC1551 strain (see Lamichhane et al., 2003). Essential gene for in vitro growth of H37Rv, by sequencing of Himar1-based transposon mutagenesis (See Griffin et al., 2011). Check for mutants available at TARGET website</t>
  </si>
  <si>
    <t>non essential gene by Himar1-based transposon mutagenesis in H37Rv strain (see Sassetti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</si>
  <si>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Predicted to be in the SigG|Rv0182c regulon, in M. tuberculosis CDC1551 (See Lee et al., 2008).</t>
  </si>
  <si>
    <t>non essential gene by Himar1-based transposon mutagenesis in H37Rv strain (see Sassetti et al., 2003). Non-essential gene for in vitro growth of H37Rv, by sequencing of Himar1-based transposon mutagenesis (See Griffin et al., 2011). M. smegmatis transposon mutant (inserted at Rv0273c-Rv0272c) is sensitve to oxidative stress from diamide, iodoacetamide and chlorodinitrobenzene; complemented by M. tuberculosis H37Rv Rv0274 (See Rawat et al., 2003). Check for mutants available at TARGET website</t>
  </si>
  <si>
    <t>Predicted to be in the IdeR|Rv2711 regulon (See Gold et al., 2001; Prakash et al., 2005). Predicted to be in the Zur|Rv2359 regulon (See Maciag et al., 2007). ChIP-chip indicates SigK|Rv0445c binds to the intergenic upstream region (See Rodrigue et al., 2007).</t>
  </si>
  <si>
    <t>Predicted to be in the Zur|Rv2359 regulon (See Maciag et al., 2007). Predicted to be in the SigC|Rv2069 regulon, in M. tuberculosis CDC1551 (See Sun et al., 2004).</t>
  </si>
  <si>
    <t>essential gene by Himar1-based transposon mutagenesis in H37Rv strain (see Sassetti et al., 2003). M. tuberculosis CDC1551 transposon mutant is attenuated in the central nervous system of BALB/c mice (See Be et al., 2008). Check for mutants available at TARGET website</t>
  </si>
  <si>
    <t>Predicted to be in the IdeR|Rv2711 regulon (See Prakash et al., 2005).</t>
  </si>
  <si>
    <t>non essential gene by Himar1-based transposon mutagenesis in H37Rv strain (see Sassetti et al., 2003). Required for growth in C57BL/6J mouse spleen, by transposon site hybridization (TraSH) in H37Rv (See Sassetti and Rubin, 2003). Check for mutants available at TARGET website</t>
  </si>
  <si>
    <t>essential gene by Himar1-based transposon mutagenesis in H37Rv strain (see Sassetti et al., 2003). M. smegmatis knockout shows rmlA is essential for growth and has an effect on cell morphology (See Qu et al., 2007). Essential gene for in vitro growth of H37Rv, by sequencing of Himar1-based transposon mutagenesis (See Griffin et al., 2011). Check for mutants available at TARGET website</t>
  </si>
  <si>
    <t>Thought to be regulated by Rv2720|LEXA.</t>
  </si>
  <si>
    <t>Predicted to be in the IdeR|Rv2711 regulon (See Gold et al., 2001; Prakash et al., 2005).</t>
  </si>
  <si>
    <t>Predicted to be in the SigD|Rv3414c regulon (See Raman et al., 2004).</t>
  </si>
  <si>
    <t>essential gene by Himar1-based transposon mutagenesis in H37Rv strain (see Sassetti et al., 2003). Required for survival in primary murine macrophages, by transposon site hybridization (TraSH) in H37Rv (See Rengarajan et al., 2005). Check for mutants available at TARGET website</t>
  </si>
  <si>
    <t>slow growth mutant by Himar1-based transposon mutagenesis in H37Rv strain (see Sassetti et al., 2003). Non-essential gene for in vitro growth of H37Rv, by sequencing of Himar1-based transposon mutagenesis (See Griffin et al., 2011). Check for mutants available at TARGET website</t>
  </si>
  <si>
    <t>non essential gene by Himar1-based transposon mutagenesis in H37Rv strain (see Sassetti et al., 2003). Found to be deleted (partially or completely) in one or more clinical isolates (See Tsolaki et al., 2004). Check for mutants available at TARGET website</t>
  </si>
  <si>
    <t>non essential gene by Himar1-based transposon mutagenesis in H37Rv strain (see Sassetti et al., 2003). Essential gene for in vitro growth of H37Rv on cholesterol,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</si>
  <si>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Non essential gene for growth in vitro by Tn5370 transposon mutagenesis of H37Rv strain and no virulence modification seen in SCID mice (see McAdam et al., 2002) Check for mutants available at TARGET website</t>
  </si>
  <si>
    <t>essential gene by Himar1-based transposon mutagenesis in H37Rv and CDC1551 strains (see Sassetti et al., 2003 and Lamichhane et al., 2003). 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</si>
  <si>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H37Rv strain (see Sassetti et al., 2003) essential gene by Himar1-based transposon mutagenesis in CDC1551 strain (see Lamichhane et al., 2003). Essential gene for in vitro growth of H37Rv, by sequencing of Himar1-based transposon mutagenesis (See Griffin et al., 2011). Found to be deleted (partially or completely) in one or more clinical isolates (See Tsolaki et al., 2004). M. tuberculosis H37Rv pks6|Rv0405 transposon mutant does not produce phthiocerol dimycocerosate (PDIM) (See Waddell et al., 2005). Check for mutants available at TARGET website</t>
  </si>
  <si>
    <t>essential gene by Himar1-based transposon mutagenesis in H37Rv strain (see Sassetti et al., 2003). Essential gene for in vitro growth of H37Rv, by sequencing of Himar1-based transposon mutagenesis (See Griffin et al., 2011). M. bovis BCG pknG|Rv0410c mutant is transferred to lysosomes during macrophage infection while wild-type is not (See Walburger et al., 2004). M. tuberculosis H37Rv pknG|Rv0410c mutant grows slower than wild-type, in vitro; accumulates glutamate and glutamine; is not attenuated in CD-1 mice (See Cowley et al., 2004). M. tuberculosis H37Rv pknG|Rv0410c mutant shows increased sensitivity to erythromycin and sulfachloropyridazine (See Wolff et al., 2009).&lt;i&gt;see &lt;b&gt;TB knockouts/mutants availability&lt;/a&gt;</t>
  </si>
  <si>
    <t>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</si>
  <si>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</si>
  <si>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Predicted to be in the Cmr|Rv1675c regulon (See Gazdik et al., 2009).</t>
  </si>
  <si>
    <t>essential gene by Himar1-based transposon mutagenesis in H37Rv strain (see Sassetti et al., 2003) non essential gene by Himar1-based transposon mutagenesis in CDC1551 strain (see Lamichhane et al., 2003). Essential gene for in vitro growth of H37Rv, and essential for in vitro growth on cholesterol; by sequencing of Himar1-based transposon mutagenesis (See Griffin et al., 2011).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</si>
  <si>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H37Rv lpdC|Rv0462 mutant does not grow with glycerol and dextrose as the sole carbon source; mutant is more sensitive to nitrite and more resistant to H2O2; mutant is cleared from the lungs of C57BL/6 and IFN-gamma -/- mice, and is not detected in the spleens of C57BL/6 mice; in C57BL/6 bone marrow-derived macrophages the mutant is killed while wild-type and complemented show some growth; in 7H9 medium, M. tuberculosis H37Rv dlaT|Rv2215 mutant survives into stationary phase while lpdC|Rv0462 mutant dies, but growth curves are similar to wild-type if dextrose and glycerol are removed; lpdC|Rv0462 and dlaT|Rv2215 mutants have elevated levels of pyruvate and derived amino acids which return to near-wild-type levels by 28 days in dlaT|Rv2215 mutant but not lpdC|Rv0462 mutant; dlaT|Rv2215 mutant shows increased growth in 7H9 with leucine or isoleucine while lpdC|Rv0462 mutant and bkdC|Rv2495c-dlaT|Rv2215 double mutant show little or no growth (See Venugopal et al., 2011). Check for mutants available at TARGET website</t>
  </si>
  <si>
    <t>Essential gene for in vitro growth of H37Rv, by sequencing of Himar1-based transposon mutagenesis (See Griffin et al., 2011). M. tuberculosis Erdman icl1 icl2 mutant is unable to grow on fatty acids, in mice, in macrophages (See Munoz-Elias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</si>
  <si>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Non essential gene for growth in vitro by Tn5370 transposon mutagenesis of H37Rv strain but mutant is more virulent in SCID mice (see McAdam et al., 2002) Check for mutants available at TARGET website</t>
  </si>
  <si>
    <t>Predicted to be in the SigE|Rv1221 regulon during macrophage (THP-1) infection (See Fontan et al., 2008).</t>
  </si>
  <si>
    <t>non essential gene by Himar1-based transposon mutagenesis in H37Rv strain (see Sassetti et al., 2003). M. tuberculosis H37Rv senX3-regX3 mutant has reduced ability to survive in THP-1 and bone-marrow-derived macrophages; mutant is attenuated in SCID and DBA/2 mice (See Parish et al., 2003). Required for growth in C57BL/6J mouse spleen, by transposon site hybridization (TraSH) in H37Rv (See Sassetti and Rubin, 2003).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</si>
  <si>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Growth of M. tuberculosis Mt103 transposon mutant in BALB/c mice and in mouse bone marrow-derived macrophages is unaffected (See Ewann et al., 2002). M. tuberculosis H37Rv senX3-regX3 mutant has reduced ability to survive in THP-1 and bone-marrow-derived macrophages; mutant is attenuated in SCID and DBA/2 mice (See Parish et al., 2003).&lt;i&gt;see &lt;b&gt;TB knockouts/mutants availability&lt;/a&gt;</t>
  </si>
  <si>
    <t>essential gene by Himar1-based transposon mutagenesis in H37Rv strain (see Sassetti et al., 2003). Essential gene for in vitro growth of H37Rv, by sequencing of Himar1-based transposon mutagenesis (See Griffin et al., 2011).&lt;i&gt;see &lt;b&gt;TB knockouts/mutants availability&lt;/a&gt;</t>
  </si>
  <si>
    <t>essential gene by Himar1-based transposon mutagenesis in H37Rv strain (see Sassetti et al., 2003). M. tuberculosis Erdman Rv0557 mutant has reduced amounts of lipoarabinomannan (LAM) and lipomannan (LM) and kills human monocyte-derived macrophages at an increased rate (See Torrelles et al., 2009). Check for mutants available at TARGET website</t>
  </si>
  <si>
    <t>Predicted to be in the DosR|Rv3133c regulon, in M. tuberculosis 1254 (See Voskuil et al., 2003). ChIP-chip indicates SigC|Rv2069 binds to the intergenic upstream region (See Rodrigue et al., 2007).</t>
  </si>
  <si>
    <t>non essential gene by Himar1-based transposon mutagenesis in H37Rv strain (see Sassetti et al., 2003). Non-essential gene for in vitro growth of H37Rv, by sequencing of Himar1-based transposon mutagenesis (See Griffin et al., 2011). 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</si>
  <si>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essential gene by Himar1-based transposon mutagenesis in H37Rv strain (see Sassetti et al., 2003). 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</si>
  <si>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Rv0589 mutant growth in vitro growth is comparable to wild-type; BALB/c mice survive longer when infected with mutant than with wild-type; lung pathology is reduced or delayed; growth in BALB/c mice is reduced (See Gioffre et al., 2005). 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</si>
  <si>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Non-essential gene for in vitro growth of H37Rv, by sequencing of Himar1-based transposon mutagenesis (See Griffin et al., 2011). 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</si>
  <si>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</si>
  <si>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Rv0587-Rv0594 mutant growth in liquid broth, RAW macrophages, and C57BL/6 mouse lungs is comparable to wild-type; RAW macrophages infected with mutant produce less TNF-alpha and IL-6 than with wild-type; C57BL/6 mice infected with mutant live longer than those infected with wild-type; lung pathology in C57BL/6 mice infected with mutant is reduced compared to wild-type (See Marjanovic et al., 2009). Check for mutants available at TARGET website</t>
  </si>
  <si>
    <t>essential gene by Himar1-based transposon mutagenesis in H37Rv strain (see Sassetti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</si>
  <si>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Check for mutants available at TARGET website</t>
  </si>
  <si>
    <t>essential gene by Himar1-based transposon mutagenesis in H37Rv strain (see Sassetti et al., 2003) non essential gene by Himar1-based transposon mutagenesis in CDC1551 strain (see Lamichhane et al., 2003)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</si>
  <si>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</si>
  <si>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Non-essential gene for in vitro growth of H37Rv, by sequencing of Himar1-based transposon mutagenesis (See Griffin et al., 2011). Azole-resistant H37Rv mutant has mutations in Rv0678 (See Milano et al., 2009). Check for mutants available at TARGET website</t>
  </si>
  <si>
    <t>Required for growth in C57BL/6J mouse spleen, by transposon site hybridization (TraSH) in H37Rv (See Sassetti and Rubin, 2003). Check for mutants available at TARGET website</t>
  </si>
  <si>
    <t>Non-essential gene for in vitro growth of H37Rv, but essential for in vitro growth on cholesterol; by sequencing of Himar1-based transposon mutagenesis (See Griffin et al., 2011). Check for mutants available at TARGET website</t>
  </si>
  <si>
    <t>non essential gene by Himar1-based transposon mutagenesis in H37Rv and CDC1551 strains (see Sassetti et al., 2003 and Lamichhane et al., 2003). Essential gene for in vitro growth of H37Rv on cholesterol, by sequencing of Himar1-based transposon mutagenesis (See Griffin et al., 2011). Check for mutants available at TARGET website</t>
  </si>
  <si>
    <t>ChIP-chip indicates SigK|Rv0445c and SigC|Rv2069 bind to the intergenic upstream region (See Rodrigue et al., 2007).</t>
  </si>
  <si>
    <t>non essential gene by Himar1-based transposon mutagenesis in H37Rv and CDC1551 strains (see Sassetti et al., 2003 and Lamichhane et al., 2003). Non-essential gene for in vitro growth of H37Rv, by sequencing of Himar1-based transposon mutagenesis (See Griffin et al., 2011). BALB/c mice infected with M. tuberculosis H37Rv sigL|Rv0735 mutant survive longer than those infected with wild-type (See Hahn et al., 2005). DBA/2 mice infected with M. tuberculosis H37Rv mutated at sigL|Rv0735 and rslA|Rv0736 survive longer than those infected with wild-type (See Dainese et al., 2006). Check for mutants available at TARGET website</t>
  </si>
  <si>
    <t>essential gene by Himar1-based transposon mutagenesis in H37Rv strain (see Sassetti et al., 2003). Essential gene for in vitro growth of H37Rv, by sequencing of Himar1-based transposon mutagenesis (See Griffin et al., 2011). DBA/2 mice infected with M. tuberculosis H37Rv mutated at sigL|Rv0735 and rslA|Rv0736 survive longer than those infected with wild-type (See Dainese et al., 2006). Check for mutants available at TARGET website</t>
  </si>
  <si>
    <t>slow growth mutant by Himar1-based transposon mutagenesis in H37Rv strain (see Sassetti et al., 2003). Essential gene for in vitro growth of H37Rv, by sequencing of Himar1-based transposon mutagenesis (See Griffin et al., 2011). phoPR-locus mutant is attenuated in mice and in human and murine macrophages and has impaired synthesis of methyl-branched fatty acid-containing acyltrehaloses (See Perez et al., 2001; Gonzalo Asensio et al., 2006; Walters et al., 2006). PhoP but not PhoR is required for synthesis of methyl-branched fatty acid-containing acyltrehaloses (See Gonzalo Asensio et al., 2006).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</si>
  <si>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phoPR-locus mutant is attenuated in mice and in human and murine macrophages and has impaired synthesis of methyl-branched fatty acid-containing acyltrehaloses (See Perez et al., 2001; Gonzalo Asensio et al., 2006; Walters et al., 2006). PhoP but not PhoR is required for synthesis of methyl-branched fatty acid-containing acyltrehaloses (See Gonzalo Asensio et al., 2006). Check for mutants available at TARGET website</t>
  </si>
  <si>
    <t>essential gene by Himar1-based transposon mutagenesis in H37Rv strain (see Sassetti et al., 2003) non essential gene by Himar1-based transposon mutagenesis in CDC1551 strain (see Lamichhane et al., 2003). Required for survival in primary murine macrophages, by transposon site hybridization (TraSH) in H37Rv (See Rengarajan et al., 2005). Check for mutants available at TARGET website</t>
  </si>
  <si>
    <t>essential gene by Himar1-based transposon mutagenesis in H37Rv strain (see Sassetti et al., 2003) non essential gene by Himar1-based transposon mutagenesis in CDC1551 strain (see Lamichhane et al., 2003). Check for mutants available at TARGET website</t>
  </si>
  <si>
    <t>Predicted to be in the SenX3|Rv0490-RegX3|Rv0491 regulon (See Parish et al., 2003). Predicted to be in the RelA|Rv2583c regulon (See Dahl et al., 2003).</t>
  </si>
  <si>
    <t>Non-essential gene for in vitro growth of H37Rv, but essential for in vitro growth on cholesterol; by sequencing of Himar1-based transposon mutagenesis (See Griffin et al., 2011). M. tuberculosis CDC1551 transposon mutant is attenuated in the central nervous system of BALB/c mice (See Be et al., 2008). Check for mutants available at TARGET website</t>
  </si>
  <si>
    <t>non essential gene by Himar1-based transposon mutagenesis in H37Rv strain (see Sassetti et al., 2003). Non-essential gene for in vitro growth of H37Rv, by sequencing of Himar1-based transposon mutagenesis (See Griffin et al., 2011). Microarrays show increased expression of Rv0826 and Rv2025c in M. tuberculosis H37Rv Rv0827c mutant (See Campbell et al., 2007).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</si>
  <si>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Virulence of M. tuberculosis H37Rv mutant in SCID mice is unchanged (See Parish et al., 2004). Check for mutants available at TARGET website</t>
  </si>
  <si>
    <t>slow growth mutant by Himar1-based transposon mutagenesis in H37Rv strain (see Sassetti et al., 2003). Check for mutants available at TARGET website</t>
  </si>
  <si>
    <t>non essential gene by Himar1-based transposon mutagenesis in H37Rv strain (see Sassetti et al., 2003). Non-essential gene for in vitro growth of H37Rv, by sequencing of Himar1-based transposon mutagenesis (See Griffin et al., 2011). Non essential gene by specialized transduction in M. tuberculosis Erdman; growth and persistence of mutant in mice are not attenuated (See Tufariello et al., 2004). M. tuberculosis H37Rv rpfACBD, rpfACBE, rpfACDE, and rpfACBED mutants show no growth defects in broth culture; growth of rpfACBD and rpfACBE mutants in human peripheral blood mononuclear cells is unaffected but growth in B6D2/F1 mice is attenuated (See Kana et al., 2008). Check for mutants available at TARGET website</t>
  </si>
  <si>
    <t>Predicted to be in the SenX3|Rv0490-RegX3|Rv0491 regulon (See Parish et al., 2003). Predicted to be in the RelA|Rv2583c regulon (See Dahl et al., 2003). In the Crp|Rv3676 regulon (See Rickman et al., 2005). ChIP-chip indicates SigF|Rv3286c binds to the intergenic upstream region (See Rodrigue et al., 2007).</t>
  </si>
  <si>
    <t>Essential gene for in vitro growth of H37Rv on cholesterol, by sequencing of Himar1-based transposon mutagenesis (See Griffin et al., 2011). Check for mutants available at TARGET website</t>
  </si>
  <si>
    <t>M. tuberculosis H37Rv (streptomycin-resistant strain 1424) ompA mutant shows impaired growth in low pH media, THP1 human monocytes, and murine bone marrow macrophages; mutant has reduced virulence in Balb/c mice (See Raynaud et al., 2002). Check for mutants available at TARGET website</t>
  </si>
  <si>
    <t>non essential gene by Himar1-based transposon mutagenesis in H37Rv strain (see Sassetti et al., 2003). Infection of THP-1 macrophages with M. smegmatis mc2155 expressing M. tuberculosis H37Rv Rv0901 has reduced survival, increased NO, and increased apoptosis (See Zhang et al., 2009). Check for mutants available at TARGET website</t>
  </si>
  <si>
    <t>Essential gene for in vitro growth of H37Rv, by sequencing of Himar1-based transposon mutagenesis (See Griffin et al., 2011). M. tuberculosis Mt103 transposon mutant is impaired for growth in mouse bone marrow-derived macrophages during the first days of infection; growth in mice is unaffected (See Ewann et al., 2002). Check for mutants available at TARGET website</t>
  </si>
  <si>
    <t>non essential gene by Himar1-based transposon mutagenesis in H37Rv and CDC1551 strains (see Sassetti et al., 2003 and Lamichhane et al., 2003) non essential gene for growth in vitro by Tn5370 transposon mutagenesis of H37Rv strain and no virulence modification seen in SCID mice (see McAdam et al., 2002). Required for survival in primary murine macrophages, by transposon site hybridization (TraSH) in H37Rv (See Rengarajan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</si>
  <si>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CDC1551 transposon mutant is attenuated in the central nervous system of BALB/c mice (See Be et al., 2008). Check for mutants available at TARGET website</t>
  </si>
  <si>
    <t>Essential gene for in vitro growth of H37Rv, by sequencing of Himar1-based transposon mutagenesis (See Griffin et al., 2011). M. tuberculosis Erdman mutant is defective in nonhomologous DNA end joining (See Gong et al., 2004).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</si>
  <si>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Non essential gene for growth in vitro by Tn5370 transposon mutagenesis of H37Rv strain and no virulence modification seen in SCID mice (see McAdam et al., 2002) Check for mutants available at TARGET website</t>
  </si>
  <si>
    <t>non essential gene by Himar1-based transposon mutagenesis in H37Rv and CDC1551 strains (see Sassetti et al., 2003 and Lamichhane et al., 2003)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</si>
  <si>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Rv0981 mutant has tissue-specific and stage-specific attenuation in mice (See Zahrt and Deretic 2001). M. tuberculosis H37Rv mprA|Rv0981-mprB|Rv0982 mutant has increased survival in vitro in the presence of 0.05% SDS; growth rate in human monocytes is higher than wild-type (See Pang et al., 2007). Check for mutants available at TARGET website</t>
  </si>
  <si>
    <t>essential gene by Himar1-based transposon mutagenesis in H37Rv strain (see Sassetti et al., 2003). Essential gene for in vitro growth of H37Rv, by sequencing of Himar1-based transposon mutagenesis (See Griffin et al., 2011). Growth and cytotoxicity of M. tuberculosis H37Rv Rv0982 mutant in THP-1 cells is comparable to wild-type (See Guinn et al., 2003). M. tuberculosis H37Rv mprA|Rv0981-mprB|Rv0982 mutant has increased survival in vitro in the presence of 0.05% SDS; growth rate in human monocytes is higher than wild-type (See Pang et al., 2007). Check for mutants available at TARGET website</t>
  </si>
  <si>
    <t>Essential gene for in vitro growth of H37Rv, by sequencing of Himar1-based transposon mutagenesis (See Griffin et al., 2011). M. tuberculosis CDC1551 transposon mutant fails to prevent phagosome maturation and acidification in bone marrow macrophages from BALB/c mice; mutant shows reduced survival in these macrophages (See Pethe et al., 2004). M. tuberculosis CDC1551 transposon mutant is attenuated in the central nervous system of BALB/c mice (See Be et al., 2008). Check for mutants available at TARGET website</t>
  </si>
  <si>
    <t>non essential gene by Himar1-based transposon mutagenesis in H37Rv strain (see Sassetti et al., 2003). Non-essential gene for in vitro growth of H37Rv, by sequencing of Himar1-based transposon mutagenesis (See Griffin et al., 2011). Non-essential gene, determined by allelic exchange experiments (See Saint-Joanis et al., 2006). Check for mutants available at TARGET website</t>
  </si>
  <si>
    <t>slow growth mutant by Himar1-based transposon mutagenesis in H37Rv strain (see Sassetti et al., 2003). Non essential gene by specialized transduction in M. tuberculosis Erdman; growth and persistence of mutant in mice are not attenuated (See Tufariello et al., 2004). M. tuberculosis H37Rv rpfACBD, rpfACBE, rpfACDE, and rpfACBED mutants show no growth defects in broth culture; growth of rpfACBD and rpfACBE mutants in human peripheral blood mononuclear cells is unaffected but growth in B6D2/F1 mice is attenuated (See Kana et al., 2008). Check for mutants available at TARGET website</t>
  </si>
  <si>
    <t>essential gene by Himar1-based transposon mutagenesis in H37Rv strain (see Sassetti et al., 2003). Required for survival in primary murine macrophages, by transposon site hybridization (TraSH) in H37Rv (See Rengarajan et al., 2005). M. tuberculosis H37Rv kpdDE mutant shows increased virulence in SCID mice (See Parish et al., 2004).&lt;i&gt;see &lt;b&gt;TB knockouts/mutants availability&lt;/a&gt;</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</si>
  <si>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by sequencing of Himar1-based transposon mutagenesis (See Griffin et al., 2011). M. tuberculosis H37Rv kpdDE mutant shows increased virulence in SCID mice (See Parish et al., 2004).&lt;i&gt;see &lt;b&gt;TB knockouts/mutants availability&lt;/a&gt;</t>
  </si>
  <si>
    <t>non essential gene by Himar1-based transposon mutagenesis in H37Rv strain (see Sassetti et al., 2003). Non-essential gene for in vitro growth of H37Rv, by sequencing of Himar1-based transposon mutagenesis (See Griffin et al., 2011). Growth of M. tuberculosis Mt103 transposon mutant in BALB/c mice and in mouse bone marrow-derived macrophages is unaffected (See Ewann et al., 2002). M. tuberculosis H37Rv mutant shows increased virulence in SCID mice (See Parish et al., 2004).&lt;i&gt;see &lt;b&gt;TB knockouts/mutants availability&lt;/a&gt;</t>
  </si>
  <si>
    <t>non essential gene by Himar1-based transposon mutagenesis in H37Rv and CDC1551 strains (see Sassetti et al., 2003 and Lamichhane et al., 2003). Non-essential gene for in vitro growth of H37Rv, by sequencing of Himar1-based transposon mutagenesis (See Griffin et al., 2011). Non essential gene for growth in vitro by Tn5370 transposon mutagenesis of H37Rv strain but mutant is less virulent in SCID mice (see McAdam et al., 2002) Check for mutants available at TARGET website</t>
  </si>
  <si>
    <t>non essential gene by Himar1-based transposon mutagenesis in H37Rv strain (see Sassetti et al., 2003). Required for survival in primary murine macrophages, by transposon site hybridization (TraSH) in H37Rv (See Rengarajan et al., 2005).&lt;i&gt;see &lt;b&gt;TB knockouts/mutants availability&lt;/a&gt;</t>
  </si>
  <si>
    <t>slow growth mutant by Himar1-based transposon mutagenesis in H37Rv strain (see Sassetti et al., 2003). Required for survival in primary murine macrophages, by transposon site hybridization (TraSH) in H37Rv (See Rengarajan et al., 2005). Essential gene for in vitro growth of H37Rv on cholesterol, by sequencing of Himar1-based transposon mutagenesis (See Griffin et al., 2011). Check for mutants available at TARGET website</t>
  </si>
  <si>
    <t>Predicted to be in the IdeR|Rv2711 regulon (See Gold et al., 2001). Predicted to be in the KstR|Rv3574 regulon (See Kendall et al., 2007).</t>
  </si>
  <si>
    <t>non essential gene by Himar1-based transposon mutagenesis in CDC1551 strain (see Lamichhane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</si>
  <si>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non essential gene by Himar1-based transposon mutagenesis in H37Rv strain (see Sassetti et al., 2003). Non essential gene for growth in vitro by Tn5370 transposon mutagenesis of H37Rv strain and no virulence modification seen in SCID mice (see McAdam et al., 2002) Check for mutants available at TARGET website</t>
  </si>
  <si>
    <t>essential gene by Himar1-based transposon mutagenesis in H37Rv strain (see Sassetti et al., 2003). Required for growth in C57BL/6J mouse spleen, by transposon site hybridization (TraSH) in H37Rv (See Sassetti and Rubin, 2003). Check for mutants available at TARGET website</t>
  </si>
  <si>
    <t>non essential gene by Himar1-based transposon mutagenesis in CDC1551 strain (see Lamichhane et al., 2003). Essential gene for in vitro growth of H37Rv on cholesterol, by sequencing of Himar1-based transposon mutagenesis (See Griffin et al., 2011). Check for mutants available at TARGET website</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</si>
  <si>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M. tuberculosis Erdman prpDC mutant is unable to grow on propionate; growth is severely impaired in non-activated murine bone marrow-derived macrophages and slightly imparied in IFN-gamma-activated macrophages; growth and persistence in the lung and spleen is comparable to wild-type (See Munoz-Elias et al., 2006). M. tuberculosis H37Rv prpDC mutant is unable to grow on propionate or valerate, but can grow when supplemented with vitamin B12 and 3-nitropropionate has no effect on this growth; prpDC mutant can grow on heptodecanoate and growth is improved when supplemented with vitamin B12; prpDC-mutAB mutant is unable to grow on B12-supplemented propionate (See Savvi et al., 2008). Check for mutants available at TARGET website</t>
  </si>
  <si>
    <t>non essential gene by Himar1-based transposon mutagenesis in H37Rv strain (see Sassetti et al., 2003). Non-essential gene for in vitro growth of H37Rv, but essential for in vitro growth on cholesterol; by sequencing of Himar1-based transposon mutagenesis (See Griffin et al., 2011). M. tuberculosis Erdman prpDC mutant is unable to grow on propionate; growth is severely impaired in non-activated murine bone marrow-derived macrophages and slightly imparied in IFN-gamma-activated macrophages; growth and persistence in the lung and spleen is comparable to wild-type (See Munoz-Elias et al., 2006). M. tuberculosis H37Rv prpDC mutant is unable to grow on propionate or valerate, but can grow when supplemented with vitamin B12 and 3-nitropropionate has no effect on this growth; prpDC mutant can grow on heptodecanoate and growth is improved when supplemented with vitamin B12; prpDC-mutAB mutant is unable to grow on B12-supplemented propionate (See Savvi et al., 2008). Check for mutants available at TARGET website</t>
  </si>
  <si>
    <t>non essential gene by Himar1-based transposon mutagenesis in CDC1551 strain (see Lamichhane et al., 2003) Check for mutants available at TARGET website</t>
  </si>
  <si>
    <t>non essential gene by Himar1-based transposon mutagenesis in H37Rv strain (see Sassetti et al., 2003) essential gene by Himar1-based transposon mutagenesis in CDC1551 strain (see Lamichhane et al., 2003). Check for mutants available at TARGET website</t>
  </si>
  <si>
    <t>Essential gene for in vitro growth of H37Rv, by sequencing of Himar1-based transposon mutagenesis (See Griffin et al., 2011). Transposon mutant is hypersensitive to acidified nitrite (See Darwin et al., 2003). Check for mutants available at TARGET website</t>
  </si>
  <si>
    <t>slow growth mutant by Himar1-based transposon mutagenesis in H37Rv strain (see Sassetti et al., 2003) non essential gene by Himar1-based transposon mutagenesis in CDC1551 strain (see Lamichhane et al., 2003). Non-essential gene for in vitro growth of H37Rv, by sequencing of Himar1-based transposon mutagenesis (See Griffin et al., 2011). Check for mutants available at TARGET website</t>
  </si>
  <si>
    <t>M. tuberculosis H37Rv msl3|Rv1180/Rv1181 mutant aggregates in liquid culture and does not produce mycolipanoic, mycolipenic, or mycolipodienoic acids (See Dubey et al., 2002). Non-essential gene for in vitro growth of H37Rv, by sequencing of Himar1-based transposon mutagenesis (See Griffin et al., 2011). Check for mutants available at TARGET website</t>
  </si>
  <si>
    <t>M. tuberculosis H37Rv msl3|Rv1180/Rv1181 mutant aggregates in liquid culture and does not produce mycolipanoic, mycolipenic, or mycolipodienoic acids (See Dubey et al., 2002). non essential gene by Himar1-based transposon mutagenesis in H37Rv strain (see Sassetti et al., 2003) essential gene by Himar1-based transposon mutagenesis in CDC1551 strain (see Lamichhane et al., 2003). Check for mutants available at TARGET website</t>
  </si>
  <si>
    <t>non essential gene by Himar1-based transposon mutagenesis in CDC1551 strain (see Lamichhane et al., 2003). Required for growth in C57BL/6J mouse spleen, by transposon site hybridization (TraSH) in H37Rv (See Sassetti and Rubin, 2003). Essential gene for in vitro growth of H37Rv on cholesterol, by sequencing of Himar1-based transposon mutagenesis (See Griffin et al., 2011).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</si>
  <si>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</si>
  <si>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essential gene by Himar1-based transposon mutagenesis in H37Rv strain (see Sassetti et al., 2003). Essential gene for in vitro growth of H37Rv on cholesterol, by sequencing of Himar1-based transposon mutagenesis (See Griffin et al., 2011). Check for mutants available at TARGET website</t>
  </si>
  <si>
    <t>Predicted to be in the RelA|Rv2583c regulon (See Dahl et al., 2003). Predicted to be in the Zur|Rv2359 regulon (See Maciag et al., 2007).</t>
  </si>
  <si>
    <t>non essential gene by Himar1-based transposon mutagenesis in H37Rv strain (see Sassetti et al., 2003). Required for growth in C57BL/6J mouse spleen, by transposon site hybridization (TraSH) in H37Rv (See Sassetti and Rubin, 2003). Required for survival in primary murine macrophages, by transposon site hybridization (TraSH) in H37Rv (See Rengarajan et al., 2005).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</si>
  <si>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Rv1212c mutant produces less glucan; glycogen content is unaffected; growth in BALB/c mouse bone marrow macrophages is similar to wild-type; growth in BALB/c mice is reduced (See Sambou et al., 2008).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</si>
  <si>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glgC|Rv1213 mutant produces less glucan and glycogen; growth in BALB/c mice is comparable to wild-type (See Sambou et al., 2008). Check for mutants available at TARGET website</t>
  </si>
  <si>
    <t>non essential gene by Himar1-based transposon mutagenesis in H37Rv strain (see Sassetti et al., 2003). Essential gene for in vitro growth of H37Rv, by sequencing of Himar1-based transposon mutagenesis (See Griffin et al., 2011). M. tuberculosis H37Rv sigE|Rv1221 mutant induces high levels of TNF and IL-6 in bone marrow macrophages compared to wild-type (See Fontan et al., 2008). Check for mutants available at TARGET website</t>
  </si>
  <si>
    <t>In the MprA|Rv0981 regulon (See Pang et al., 2007).</t>
  </si>
  <si>
    <t>non essential gene by Himar1-based transposon mutagenesis in H37Rv strain (see Sassetti et al., 2003). Required for growth in C57BL/6J mouse spleen, by transposon site hybridization (TraSH) in H37Rv (See Sassetti and Rubin, 2003). Essential gene, determined by allelic exchange experiments (See Saint-Joanis et al., 2006).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</si>
  <si>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</si>
  <si>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Growth of M. tuberculosis H37Rv relE1|Rv1246c mutant is comparable to wild-type in vitro, in J774.1 macrophages, and in C57BL/6 mice (See Singh et al., 2010). Check for mutants available at TARGET website</t>
  </si>
  <si>
    <t>essential gene by Himar1-based transposon mutagenesis in H37Rv strain (see Sassetti et al., 2003). Attempts to disrupt Rv1248c in M. tuberculosis H37Rv or Erdman were unsuccessful (See de Carvalho et al., 2010). 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</si>
  <si>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(streptomycin-resistant strain 1424) Rv1264 mutant is not attenuated in C57BL/6 (See Dittrich et al., 2006). Check for mutants available at TARGET website</t>
  </si>
  <si>
    <t>non essential gene by Himar1-based transposon mutagenesis in H37Rv strain (see Sassetti et al., 2003). Non-essential gene for in vitro growth of H37Rv, by sequencing of Himar1-based transposon mutagenesis (See Griffin et al., 2011).&lt;i&gt;see &lt;b&gt;TB knockouts/mutants availability&lt;/a&gt;</t>
  </si>
  <si>
    <t>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</si>
  <si>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Rv1295 mutant is unable to grow in the absence of L-threonine; growth is still impaired in the presence of L-threonine (See Covarrubias et al., 2008). Check for mutants available at TARGET website</t>
  </si>
  <si>
    <t>Predicted to be in the RelA|Rv2583c regulon (See Dahl et al., 2003). In the BlaI|Rv1846c regulon (See Sala et al., 2009).</t>
  </si>
  <si>
    <t>In the BlaI|Rv1846c regulon (See Sala et al., 2009).</t>
  </si>
  <si>
    <t>non essential gene by Himar1-based transposon mutagenesis in H37Rv strain (see Sassetti et al., 2003). Two different M. tuberculosis H37Rv Rv1316c-Rv1317c deletion mutants (SID-H, and BS-SK which lacks an additional 246 bp of Rv1316c) have normal in vitro growth; both mutants are ~100-fold more sensitive to the cytotoxic effects of N-methyl-N'-nitro-N-nitroguanidine (MNNG); SID-H mutant shows ~100-fold higher mutation rate leading to rifampin resistance with MNNG treatment than wild-type; growth of mutants in mice (SID-H in C57BL/6, BS-SK in BALB/c) is comparable to wild-type (See Durbach et al., 2003). Check for mutants available at TARGET website</t>
  </si>
  <si>
    <t>non essential gene by Himar1-based transposon mutagenesis in H37Rv strain (see Sassetti et al., 2003). Non-essential gene for in vitro growth of H37Rv, by sequencing of Himar1-based transposon mutagenesis (See Griffin et al., 2011). Two different M. tuberculosis H37Rv Rv1316c-Rv1317c deletion mutants (SID-H, and BS-SK which lacks an additional 246 bp of Rv1316c) have normal in vitro growth; both mutants are ~100-fold more sensitive to the cytotoxic effects of N-methyl-N'-nitro-N-nitroguanidine (MNNG); SID-H mutant shows ~100-fold higher mutation rate leading to rifampin resistance with MNNG treatment than wild-type; growth of mutants in mice (SID-H in C57BL/6, BS-SK in BALB/c) is comparable to wild-type (See Durbach et al., 2003). Check for mutants available at TARGET website</t>
  </si>
  <si>
    <t>essential gene by Himar1-based transposon mutagenesis in H37Rv strain (see Sassetti et al., 2003). Essential gene, determined by allelic exchange experiments (See Sambou et al., 2008). Essential gene for in vitro growth of H37Rv, by sequencing of Himar1-based transposon mutagenesis (See Griffin et al., 2011).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</si>
  <si>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H37Rv Rv1348 mutant shows growth defect in iron-deficient media, THP-1 cells, and C57B/6 mice (See Rodriguez and Smith, 2006); shows reduced uptake of Fe-carboxymycobactin (See Ryndak et al., 2010).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</si>
  <si>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H37Rv Rv1349 mutant shows growth defect in iron-deficient media (See Rodriguez and Smith, 2006). Check for mutants available at TARGET website</t>
  </si>
  <si>
    <t>non essential gene by Himar1-based transposon mutagenesis in CDC1551 strain (see Lamichhane et al., 2003). Found to be deleted (partially or completely) in one or more clinical isolates (See Tsolaki et al., 2004). Check for mutants available at TARGET website</t>
  </si>
  <si>
    <t>Predicted to be in the SigB|Rv2710 regulon, in M. tuberculosis CDC1551 (See Lee et al., 2008).</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</si>
  <si>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Rv1403c-Rv1404-Rv1405c mutant grows more slowly than wild-type (See Golby et al., 2008). Check for mutants available at TARGET website</t>
  </si>
  <si>
    <t>non essential gene by Himar1-based transposon mutagenesis in H37Rv and CDC1551 strains (see Sassetti et al., 2003 and Lamichhane et al., 2003). M. tuberculosis H37Rv Rv1403c-Rv1404-Rv1405c mutant grows more slowly than wild-type (See Golby et al., 2008).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</si>
  <si>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by sequencing of Himar1-based transposon mutagenesis (See Griffin et al., 2011). M. tuberculosis H37Rv Rv1403c-Rv1404-Rv1405c mutant grows more slowly than wild-type (See Golby et al., 2008). Check for mutants available at TARGET website</t>
  </si>
  <si>
    <t>essential gene by Himar1-based transposon mutagenesis in H37Rv strain (see Sassetti et al., 2003) non essential gene by Himar1-based transposon mutagenesis in CDC1551 strain (see Lamichhane et al.,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</si>
  <si>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CDC1551 transposon mutant fails to prevent phagosome maturation and acidification in bone marrow macrophages from BALB/c mice (See Pethe et al., 2004). Check for mutants available at TARGET website</t>
  </si>
  <si>
    <t>Essential gene for in vitro growth of H37Rv, and essential for in vitro growth on cholesterol; by sequencing of Himar1-based transposon mutagenesis (See Griffin et al., 2011). Check for mutants available at TARGET website</t>
  </si>
  <si>
    <t>non essential gene by Himar1-based transposon mutagenesis in H37Rv strain (see Sassetti et al., 2003). Required for survival in primary murine macrophages, by transposon site hybridization (TraSH) in H37Rv (See Rengarajan et al., 2005). Essential gene, determined by allelic exchange experiments (See Parish et al., 2007). 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</si>
  <si>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Growth of M. tuberculosis H37Rv mutAB mutant on propionate is comparable to H37Rv, with and without vitamin B12 supplement; mutant is unable to grow on B12-supplemented propionate with 3-nitropropionate; prpDC-mutAB mutant is unable to grow on B12-supplemented propionate (See Savvi et al., 2008). Check for mutants available at TARGET website</t>
  </si>
  <si>
    <t>non essential gene by Himar1-based transposon mutagenesis in H37Rv strain (see Sassetti et al., 2003). Growth of M. tuberculosis H37Rv mutAB mutant on propionate is comparable to H37Rv, with and without vitamin B12 supplement; mutant is unable to grow on B12-supplemented propionate with 3-nitropropionate; prpDC-mutAB mutant is unable to grow on B12-supplemented propionate (See Savvi et al., 2008). Check for mutants available at TARGET website</t>
  </si>
  <si>
    <t>non essential gene by Himar1-based transposon mutagenesis in H37Rv strain (see Sassetti et al., 2003). Essential gene for in vitro growth of H37Rv, by sequencing of Himar1-based transposon mutagenesis (See Griffin et al., 2011). Found to be deleted (partially or completely) in one or more clinical isolates (See Tsolaki et al., 2004). M. tuberculosis H37Rv Rv1500 mutant has unaltered PIM synthesis and unaltered virulence in mice and mouse bone marrow-derived macrophages (See Malm et al., 2008). Check for mutants available at TARGET website</t>
  </si>
  <si>
    <t>non essential gene by Himar1-based transposon mutagenesis in H37Rv strain (see Sassetti et al., 2003). 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</si>
  <si>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CDC1551 strain (see Lamichhane et al., 2003). Essential gene for in vitro growth of H37Rv, by sequencing of Himar1-based transposon mutagenesis (See Griffin et al., 2011). Found to be deleted (partially or completely) in one or more clinical isolates (See Tsolaki et al., 2004). Check for mutants available at TARGET website</t>
  </si>
  <si>
    <t>Predicted to be in the IdeR|Rv2711 regulon (See Gold et al., 2001; Prakash et al., 2005; Manabe et al., 2005).</t>
  </si>
  <si>
    <t>Required for growth in C57BL/6J mouse spleen, by transposon site hybridization (TraSH) in H37Rv (See Sassetti and Rubin, 2003). Non-essential gene for in vitro growth of H37Rv, by sequencing of Himar1-based transposon mutagenesis (See Griffin et al., 2011). Found to be deleted (partially or completely) in one or more clinical isolates (See Tsolaki et al., 2004). Check for mutants available at TARGET website</t>
  </si>
  <si>
    <t>Predicted to be in the RelA|Rv2583c regulon (See Dahl et al., 2003). ChIP-chip indicates SigK|Rv0445c binds to the intergenic upstream region (See Rodrigue et al., 2007).</t>
  </si>
  <si>
    <t>essential gene by Himar1-based transposon mutagenesis in CDC1551 strain (see Lamichhane et al., 2003). Essential gene for in vitro growth of H37Rv, by sequencing of Himar1-based transposon mutagenesis (See Griffin et al., 2011). Check for mutants available at TARGET website</t>
  </si>
  <si>
    <t>non essential gene by Himar1-based transposon mutagenesis in CDC1551 strain (see Lamichhane et al., 2003). Mutation of treZ|Rv1562c in M. tuberculosis H37Rv has no effect on glucan or glycogen content; growth in BALB/c mice is comparable to wild-type (See Sambou et al., 2008). Check for mutants available at TARGET website</t>
  </si>
  <si>
    <t>Colony morphology of M. tuberculosis H37Rv impA|Rv1604 deletion mutant is not different from wild-type; phosphatidylinositol mannosides (PIMs; by TLC) and mycothiol levels (by HPLC) are normal in the mutant (See Movahedzadeh et al., 2010).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</si>
  <si>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Growth and infection by M. tuberculosis H37Rv Rv1625c mutant is comparable to wild-type in C57BL/6 mice (See Guo et al., 2005). Check for mutants available at TARGET website</t>
  </si>
  <si>
    <t>essential gene by Himar1-based transposon mutagenesis in H37Rv strain (see Sassetti et al., 2003). Non-essential gene for in vitro growth of H37Rv, but essential for in vitro growth on cholesterol; by sequencing of Himar1-based transposon mutagenesis (See Griffin et al., 2011). Check for mutants available at TARGET website</t>
  </si>
  <si>
    <t>non essential gene by Himar1-based transposon mutagenesis in H37Rv strain (see Sassetti et al., 2003). Transposon mutant is hypersensitive to acidified nitrite (See Darwin et al., 2003). Check for mutants available at TARGET website</t>
  </si>
  <si>
    <t>non essential gene by Himar1-based transposon mutagenesis in H37Rv strain (see Sassetti et al., 2003) essential gene by Himar1-based transposon mutagenesis in CDC1551 strain (see Lamichhane et al., 2003). Required for growth in C57BL/6J mouse spleen, by transposon site hybridization (TraSH) in H37Rv (See Sassetti and Rubin, 2003). Required for survival in primary murine macrophages, by transposon site hybridization (TraSH) in H37Rv (See Rengarajan et al., 2005). M. tuberculosis H37Rv transposon mutant is sensitive to pH 4.5 in 7H9 with Tween or Tyloxapol, but not phosphate-citrate buffer with Tyloxapol; mutant is not attenuated in C57BL/6 mice (See Vandal et al., 2008).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</si>
  <si>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pks11|Rv1665 transposon mutant produces phthiocerol dimycocerosate (PDIM) but lacks unknown polar lipids (See Waddell et al., 2005). Check for mutants available at TARGET website</t>
  </si>
  <si>
    <t>non essential gene by Himar1-based transposon mutagenesis in H37Rv strain (see Sassetti et al., 2003). In vitro growth of M. tuberculosis H37Rv cmr|Rv1675c mutant is comparable to wild-type (See Gazdik et al., 2009). Check for mutants available at TARGET website</t>
  </si>
  <si>
    <t>non essential gene by Himar1-based transposon mutagenesis in H37Rv strain (see Sassetti et al., 2003). M. tuberculosis H37Rv tlyA|Rv1694 mutants are resistant to capreomycin and viomycin (See Maus et al., 2005a; Maus et al., 2005b). Check for mutants available at TARGET website</t>
  </si>
  <si>
    <t>non essential gene for growth in vitro by Tn5370 transposon mutagenesis of H37Rv strain but mutant is more virulent in SCID mice (see McAdam et al., 2002) Check for mutants available at TARGET website</t>
  </si>
  <si>
    <t>Essential gene for in vitro growth of H37Rv, by sequencing of Himar1-based transposon mutagenesis (See Griffin et al., 2011) (Rv1783/Rv1784).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</si>
  <si>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Growth of M. tuberculosis H37Rv bacA|Rv1819c mutant in B6D2/F1 mice is comparable to wild-type, but mice infected with mutant survive longer; mutant is more resistant to bleomycin; no changes in mycolic acid and lipid content of the cell envelope were detected (See Domenech et al., 2009).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</si>
  <si>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Essential gene for in vitro growth of H37Rv, by sequencing of Himar1-based transposon mutagenesis (See Griffin et al., 2011). M. tuberculosis H37Rv secA2|Rv1821 mutant shows growth defect in C57BL/6 mice, and in unactivated bone marrow-derived macrophages from C57BL/6, p47 phox-/-, gp91phox-/-, and NOS2-/- mice; growth is comparable in activated macrophages from C57BL/6; C57BL/6 mice infected with mutant survive longer than with wild-type (See Kurtz et al., 2006). M. tuberculosis H37Rv secA2|Rv1821 mutant shows growth defect in C57BL/6 bone marrow-derived macrophages (See Hou et al., 2008; Rigel et al., 2009) that can not be complemented by secA2 with K115R mutation; K115R in the Walker A motif decreases ATP binding (See Hou et al., 2008). M. tuberculosis H37Rv secA2|Rv1821 mutant colony morpholgy is altered; wild-type M. tuberculosis expressing secA2 with K115R mutation has colony morphology similar to secA2 mutant (See Rigel et al., 2009). Check for mutants available at TARGET website</t>
  </si>
  <si>
    <t>slow growth mutant by Himar1-based transposon mutagenesis in H37Rv strain (see Sassetti et al., 2003). Essential gene for in vitro growth of H37Rv, by sequencing of Himar1-based transposon mutagenesis (See Griffin et al., 2011). Check for mutants available at TARGET website</t>
  </si>
  <si>
    <t>Predicted to be in the IdeR|Rv2711 regulon (See Gold et al., 2001; Prakash et al., 2005). In the BlaI|Rv1846c regulon (See Sala et al., 2009).</t>
  </si>
  <si>
    <t>Predicted to be in the Zur|Rv2359 regulon (See Maciag et al., 2007). ChIP-chip indicates SigF|Rv3286c binds to the intergenic upstream region (See Rodrigue et al., 2007).</t>
  </si>
  <si>
    <t>In the IdeR|Rv2711 regulon (See Gold et al., 2001).</t>
  </si>
  <si>
    <t>non essential gene by Himar1-based transposon mutagenesis in H37Rv strain (see Sassetti et al., 2003). Non-essential gene for in vitro growth of H37Rv, by sequencing of Himar1-based transposon mutagenesis (See Griffin et al., 2011). Non essential gene for growth in vitro by Tn5370 transposon mutagenesis of H37Rv strain but mutant is less virulent in SCID mice (see McAdam et al., 2002). Found to be deleted (partially or completely) in one or more clinical isolates (See Tsolaki et al., 2004). Check for mutants available at TARGET website</t>
  </si>
  <si>
    <t>non essential gene by Himar1-based transposon mutagenesis in H37Rv and CDC1551 strains (see Sassetti et al., 2003 and Lamichhane et al., 2003). 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</si>
  <si>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Found to be deleted (partially or completely) in one or more clinical isolates (See Tsolaki et al., 2004). M. tuberculosis Erdman icl1 icl2 mutant is unable to grow on fatty acids, in mice, in macrophages (See Munoz-Elias et al., 2005). Check for mutants available at TARGET website</t>
  </si>
  <si>
    <t>Non-essential gene for in vitro growth of H37Rv, by sequencing of Himar1-based transposon mutagenesis (See Griffin et al., 2011). M. tuberculosis Erdman icl1 icl2 mutant is unable to grow on fatty acids, in mice, in macrophages (See Munoz-Elias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</si>
  <si>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tpx|Rv1932 mutant shows increased sensitivity to oxidative and nitrosative stress in vitro; mutant shows growth defect in lungs and spleen of BALB/c mice; SCID mice infected with mutant live longer than those infected with wild-type; mutant shows growth defect in resting and activated bone marrow-derived macrophages from BALB/c, C57BL/6 and C57BL/6 iNOS-/- mice (See Hu and Coates 2009). Check for mutants available at TARGET website</t>
  </si>
  <si>
    <t>Predicted to be in the Mce3R|Rv1963c regulon (See Santangelo et al., 2009).</t>
  </si>
  <si>
    <t>Predicted to be in the IdeR|Rv2711 regulon (See Gold et al., 2001). Predicted to be in the Mce3R|Rv1963c regulon (See Santangelo et al., 2009).</t>
  </si>
  <si>
    <t>non essential gene by Himar1-based transposon mutagenesis in H37Rv strain (see Sassetti et al., 2003). Non-essential gene for in vitro growth of H37Rv, by sequencing of Himar1-based transposon mutagenesis (See Griffin et al., 2011). M. tuberculosis Erdman Rv1936-Rv1941 mutant is more susceptible to ROS-generating compounds; shows reduced growth and persistence in C57BL/6 and iNOS-/- mice but not Phox -/- mice; pathology in infected C57BL/6 mice is reduced; mutant shows growth defect in activated J774A.1 murine, human peripheral blood monocyte-derived, and mouse bone marrow-derived macrophages (BMDM), and BMDM from Phox -/- and iNOS -/- mice (See Cirillo et al., 2009). Check for mutants available at TARGET website</t>
  </si>
  <si>
    <t>non essential gene by Himar1-based transposon mutagenesis in H37Rv and CDC1551 strains (see Sassetti et al., 2003 and Lamichhane et al., 2003). M. tuberculosis Erdman Rv1936-Rv1941 mutant is more susceptible to ROS-generating compounds; shows reduced growth and persistence in C57BL/6 and iNOS-/- mice but not Phox -/- mice; pathology in infected C57BL/6 mice is reduced; mutant shows growth defect in activated J774A.1 murine, human peripheral blood monocyte-derived, and mouse bone marrow-derived macrophages (BMDM), and BMDM from Phox -/- and iNOS -/- mice (See Cirillo et al., 2009). Check for mutants available at TARGET website</t>
  </si>
  <si>
    <t>Required for growth in C57BL/6J mouse spleen, by transposon site hybridization (TraSH) in H37Rv (See Sassetti and Rubin, 2003). M. tuberculosis Erdman Rv1936-Rv1941 mutant is more susceptible to ROS-generating compounds; shows reduced growth and persistence in C57BL/6 and iNOS-/- mice but not Phox -/- mice; pathology in infected C57BL/6 mice is reduced; mutant shows growth defect in activated J774A.1 murine, human peripheral blood monocyte-derived, and mouse bone marrow-derived macrophages (BMDM), and BMDM from Phox -/- and iNOS -/- mice (See Cirillo et al., 2009). Check for mutants available at TARGET website</t>
  </si>
  <si>
    <t>non essential gene by Himar1-based transposon mutagenesis in H37Rv strain (see Sassetti et al., 2003). M. tuberculosis Erdman Rv1936-Rv1941 mutant is more susceptible to ROS-generating compounds; shows reduced growth and persistence in C57BL/6 and iNOS-/- mice but not Phox -/- mice; pathology in infected C57BL/6 mice is reduced; mutant shows growth defect in activated J774A.1 murine, human peripheral blood monocyte-derived, and mouse bone marrow-derived macrophages (BMDM), and BMDM from Phox -/- and iNOS -/- mice (See Cirillo et al., 2009). Check for mutants available at TARGET website</t>
  </si>
  <si>
    <t>Non-essential gene for in vitro growth of H37Rv, by sequencing of Himar1-based transposon mutagenesis (See Griffin et al., 2011). M. tuberculosis Erdman Rv1936-Rv1941 mutant is more susceptible to ROS-generating compounds; shows reduced growth and persistence in C57BL/6 and iNOS-/- mice but not Phox -/- mice; pathology in infected C57BL/6 mice is reduced; mutant shows growth defect in activated J774A.1 murine, human peripheral blood monocyte-derived, and mouse bone marrow-derived macrophages (BMDM), and BMDM from Phox -/- and iNOS -/- mice (See Cirillo et al., 2009). Check for mutants available at TARGET website</t>
  </si>
  <si>
    <t>EMSA indicates HigA|Rv1956 binds to the promoter region upstream of Rv1954A (See Fivian-Hughes and Davis, 2010).</t>
  </si>
  <si>
    <t>Non-essential gene for in vitro growth of H37Rv, by sequencing of Himar1-based transposon mutagenesis (See Griffin et al., 2011). Growth of M. tuberculosis H37Rv Rv1955-Rv1957 mutant (gene replacement) is comparable to wild-type (See Fivian-Hughes and Davis, 2010).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</si>
  <si>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Growth of M. tuberculosis H37Rv Rv1955-Rv1957 mutant (gene replacement) is comparable to wild-type; in-frame deletion of only Rv1956 was not possible; the Rv1955-Rv1957 mutant could be complemented with plasmid containing all three genes, but no colonies resulted when the plasmid lacked Rv1956 (See Fivian-Hughes and Davis, 2010). Check for mutants available at TARGET website</t>
  </si>
  <si>
    <t>slow growth mutant by Himar1-based transposon mutagenesis in H37Rv strain (see Sassetti et al., 2003). Non-essential gene for in vitro growth of H37Rv, by sequencing of Himar1-based transposon mutagenesis (See Griffin et al., 2011). Growth of M. tuberculosis H37Rv Rv1955-Rv1957 mutant (gene replacement) is comparable to wild-type (See Fivian-Hughes and Davis, 2010). Check for mutants available at TARGET website</t>
  </si>
  <si>
    <t>essential gene by Himar1-based transposon mutagenesis in H37Rv strain (see Sassetti et al., 2003). Essential gene for in vitro growth of H37Rv on cholesterol, by sequencing of Himar1-based transposon mutagenesis (See Griffin et al., 2011). Growth of M. tuberculosis H37Rv mce3R|Rv1963c mutant in vitro and in J774 murine macrophages is comparable to wild-type (See Santangelo et al., 2008; Santangelo et al., 2009); TLC shows some lipids are missing from mutant (See Santangelo et al., 2009). Check for mutants available at TARGET website</t>
  </si>
  <si>
    <t>Non-essential gene for in vitro growth of H37Rv, by sequencing of Himar1-based transposon mutagenesis (See Griffin et al., 2011). M. tuberculosis H37Rv Rv1966 mutant growth in vitro growth is comparable to wild-type; BALB/c mice survive longer when infected with mutant than with wild-type; lung pathology is reduced or delayed; growth in BALB/c mice is reduced when infection is intratracheal, but comparable to wild-type with intraperitoneal injection (See Gioffre et al., 2005). Check for mutants available at TARGET website</t>
  </si>
  <si>
    <t>Non-essential gene for in vitro growth of H37Rv, by sequencing of Himar1-based transposon mutagenesis (See Griffin et al., 2011). Growth of M. tuberculosis H37Rv nrdF1|Rv1981c mutant is comparable to wild-type in vitro, in vitro in the presence of various drugs and stresses, and in vivo in B6D2/F1 mouse lungs (See Mowa et al., 2009). Check for mutants available at TARGET website</t>
  </si>
  <si>
    <t>non essential gene by Himar1-based transposon mutagenesis in H37Rv strain (see Sassetti et al., 2003). Non-essential gene for in vitro growth of H37Rv, by sequencing of Himar1-based transposon mutagenesis (See Griffin et al., 2011). Found to be deleted (partially or completely) in one or more clinical isolates (See Tsolaki et al., 2004). Growth of M. tuberculosis H37Rv Rv1996 mutant in liquid and solid media, under hypoxic and normoxic stationary phase conditions, under various stress conditions tested, in J774 murine macrophage-like cells, and in THP-1 human monocyte-derived cells is comparable to wild-type (See Hingley-Wilson et al., 2010). Check for mutants available at TARGET website</t>
  </si>
  <si>
    <t>Required for growth in C57BL/6J mouse spleen, by transposon site hybridization (TraSH) in H37Rv (See Sassetti and Rubin, 2003). Required for survival in primary murine macrophages, by transposon site hybridization (TraSH) in H37Rv (See Rengarajan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</si>
  <si>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Growth of M. tuberculosis H37Rv Rv2005c mutant in liquid and solid media, under hypoxic and normoxic stationary phase conditions, under various stress conditions tested, in J774 murine macrophage-like cells, and in THP-1 human monocyte-derived cells is comparable to wild-type (See Hingley-Wilson et al., 2010). Check for mutants available at TARGET website</t>
  </si>
  <si>
    <t>non essential gene by Himar1-based transposon mutagenesis in H37Rv strain (see Sassetti et al., 2003) essential gene by Himar1-based transposon mutagenesis in CDC1551 strain (see Lamichhane et al., 2003). Essential gene for in vitro growth of H37Rv, by sequencing of Himar1-based transposon mutagenesis (See Griffin et al., 2011). Check for mutants available at TARGET website</t>
  </si>
  <si>
    <t>Seems to be regulated by kmtR|Rv0827c.</t>
  </si>
  <si>
    <t>essential gene by Himar1-based transposon mutagenesis in H37Rv strain (see Sassetti et al., 2003). Growth of M. tuberculosis H37Rv Rv2026c mutant in liquid and solid media, under hypoxic and normoxic stationary phase conditions, under various stress conditions tested, in J774 murine macrophage-like cells, and in THP-1 human monocyte-derived cells is comparable to wild-type (See Hingley-Wilson et al., 2010). Check for mutants available at TARGET website</t>
  </si>
  <si>
    <t>non essential gene by Himar1-based transposon mutagenesis in H37Rv strain (see Sassetti et al., 2003). Non-essential gene for in vitro growth of H37Rv, by sequencing of Himar1-based transposon mutagenesis (See Griffin et al., 2011). Growth of M. tuberculosis H37Rv Rv2028c mutant in liquid and solid media, under hypoxic and normoxic stationary phase conditions, under various stress conditions tested, in J774 murine macrophage-like cells, and in THP-1 human monocyte-derived cells is comparable to wild-type (See Hingley-Wilson et al., 2010). Check for mutants available at TARGET website</t>
  </si>
  <si>
    <t>Predicted to be in the DosR|Rv3133c regulon, in M. tuberculosis 1254 (See Voskuil et al., 2003). Predicted to be in the SigC|Rv2069 regulon, in M. tuberculosis CDC1551 (See Sun et al., 2004).</t>
  </si>
  <si>
    <t>non essential gene by Himar1-based transposon mutagenesis in CDC1551 strain (see Lamichhane et al., 2003). Required for growth in C57BL/6J mouse spleen, by transposon site hybridization (TraSH) in H37Rv (See Sassetti and Rubin, 2003). Essential gene for in vitro growth of H37Rv, and essential for in vitro growth on cholesterol; by sequencing of Himar1-based transposon mutagenesis (See Griffin et al., 2011). M. tuberculosis H37Rv pks12|Rv2048c mutant does not produce mannosyl-beta-1-phosphomycoketide (MPM) (See Matsunaga et al., 2004).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</si>
  <si>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CDC1551 sigC|Rv2069 mutant growth is comparable to wild-type in murine J774A.1 alveolar and bone marrow-derived macrophages; mutant has no growth defect in DBA/2 mice but pathology is reduced and death is delayed (See Sun et al., 2004). Check for mutants available at TARGET website</t>
  </si>
  <si>
    <t>Predicted to be in the SigF|Rv3286c regulon, in M. tuberculosis CDC1551 (See Lee et al., 2008). In the BlaI|Rv1846c regulon (See Sala et al., 2009).</t>
  </si>
  <si>
    <t>non essential gene by Himar1-based transposon mutagenesis in H37Rv strain (see Sassetti et al., 2003). Growth of M. tuberculosis CDC1551 pknJ|Rv2088 transposon mutant in BALB/c mouse bone-marrow-derived macrophages, lungs, and spleen is comparable to wild-type; in vitro growth of mutant requires BSA supplement; DIM, trehalose derivatives, and phospholipds are unchanged in mutant (See Jang et al., 2010). Check for mutants available at TARGET website</t>
  </si>
  <si>
    <t>non essential gene by Himar1-based transposon mutagenesis in H37Rv strain (see Sassetti et al., 2003). In vitro growth of M. tuberculosis CDC1551 pepE|Rv2089c transposon mutant requires BSA supplement (See Jang et al., 2010). Check for mutants available at TARGET website</t>
  </si>
  <si>
    <t>essential gene by Himar1-based transposon mutagenesis in H37Rv strain (see Sassetti et al., 2003). Essential gene, determined by allelic exchange experiments (See Saint-Joanis et al., 2006). Essential gene for in vitro growth of H37Rv, by sequencing of Himar1-based transposon mutagenesis (See Griffin et al., 2011). Check for mutants available at TARGET website</t>
  </si>
  <si>
    <t>Essential gene, determined by allelic exchange experiments (See Saint-Joanis et al., 2006).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</si>
  <si>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pafC|Rv2095c transposon mutant is moderately sensitive to reactive nitrogen intermediates (See Festa et al., 2007). Check for mutants available at TARGET website</t>
  </si>
  <si>
    <t>non essential gene by Himar1-based transposon mutagenesis in H37Rv strain (see Sassetti et al., 2003). Non-essential gene for in vitro growth of H37Rv, by sequencing of Himar1-based transposon mutagenesis (See Griffin et al., 2011). pafB|Rv2096c transposon mutant is moderately sensitive to reactive nitrogen intermediates (See Festa et al., 2007). Check for mutants available at TARGET website</t>
  </si>
  <si>
    <t>non essential gene by Himar1-based transposon mutagenesis in CDC1551 strain (see Lamichhane et al., 2003). Essential gene for in vitro growth of H37Rv, by sequencing of Himar1-based transposon mutagenesis (See Griffin et al., 2011). Transposon mutant is hypersensitive to acidified nitrite; mutant is attenuated in C57BL/6 and nitric oxide synthase 2 deficient mice (See Darwin et al., 2003). Check for mutants available at TARGET website</t>
  </si>
  <si>
    <t>essential gene by Himar1-based transposon mutagenesis in H37Rv strain (see Sassetti et al., 2003). Essential gene for in vitro growth of H37Rv, by sequencing of Himar1-based transposon mutagenesis (See Griffin et al., 2011). Proteasome encoded by prcBA genes is essential for persistence and optimal growth in mice; Silencing of prcBA results in increased susceptibility to reactive nitrogen intermediates stress and increased resistance to oxidative stress (See Gandotra et al., 2007). Check for mutants available at TARGET website</t>
  </si>
  <si>
    <t>non essential gene by Himar1-based transposon mutagenesis in H37Rv and CDC1551 strains (see Sassetti et al., 2003 and Lamichhane et al., 2003). Essential gene for in vitro growth of H37Rv, by sequencing of Himar1-based transposon mutagenesis (See Griffin et al., 2011). Transposon mutant is hypersensitive to acidified nitrite (See Darwin et al., 2003). mpa|Rv2115c mutant is attenuated in C57BL/6 and nitric oxide synthase 2 deficient mice (See Darwin et al., 2003; Darwin et al., 2005). Check for mutants available at TARGET website</t>
  </si>
  <si>
    <t>In the IdeR|Rv2711 regulon (See Rodriguez et al., 1999).</t>
  </si>
  <si>
    <t>Essential gene for in vitro growth of H37Rv, by sequencing of Himar1-based transposon mutagenesis (See Griffin et al., 2011). M. tuberculosis H37Rv cysQ|Rv2131c could only be deleted after integration of a second copy of the gene, indicating cysQ is essential; alternatively, deletion mutants could be isolated in the presence of inositol if M. tuberculosis was expressing M. smegmatis porin mspA - this mutant was still able to grow when inositol and mspA were removed, indicating cysQ is not essential (See Movahedzadeh et al., 2010). Check for mutants available at TARGET website</t>
  </si>
  <si>
    <t>non essential gene by Himar1-based transposon mutagenesis in H37Rv strain (see Sassetti et al., 2003). Non-essential gene for in vitro growth of H37Rv, by sequencing of Himar1-based transposon mutagenesis (See Griffin et al., 2011). Transposon mutant is hypersensitive to acidified nitrite (See Darwin et al., 2003). M. tuberculosis H37Rv transposon mutant is sensitive to pH 4.5 (See Vandal et al., 2008); mutant is able to control intrabacterial pH in bone marrow derived macrophages but not in IFN-gamma-activated macrophages; mutant is attenuated in C57BL/6 mice (See Vandal et al., 2009). Check for mutants available at TARGET website</t>
  </si>
  <si>
    <t>non essential gene by Himar1-based transposon mutagenesis in H37Rv and CDC1551 strains (see Sassetti et al., 2003 and Lamichhane et al., 2003). Required for survival in primary murine macrophages, by transposon site hybridization (TraSH) in H37Rv (See Rengarajan et al., 2005). Essential gene for in vitro growth of H37Rv on cholesterol, by sequencing of Himar1-based transposon mutagenesis (See Griffin et al., 2011).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</si>
  <si>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H37Rv dlaT|Rv2215 mutant (gene replacement) has severe growth defect in vitro, has increased sensitivity to nitrosative stress but not heat or INH; mutant shows reduced survival in bone marrow-derived macrophages from C57BL/6 and iNOS -/- mice; growth of mutant is impaired in C57BL/6 mouse lungs, spleen and liver (See Shi and Ehrt, 2006). Hartley guinea pigs were infected with M. tuberculosis H37Rv, M. tuberculosis H37Rv dlaT|Rv2215 mutant, or complemented mutant - wild-type and complemented strains caused severe tuberculosis while there was no detectable disease with the mutant; growth of the mutant in lungs and spleen is impaired (See Bryk et al., 2008). In 7H9 medium, M. tuberculosis H37Rv dlaT|Rv2215 mutant survives into stationary phase while lpdC|Rv0462 mutant dies, but growth curves are similar to wild-type if dextrose and glycerol are removed; lpdC|Rv0462 and dlaT|Rv2215 mutants have elevated levels of pyruvate and derived amino acids which return to near-wild-type levels by 28 days in dlaT|Rv2215 mutant but not lpdC|Rv0462 mutant; dlaT|Rv2215 mutant shows increased growth in 7H9 with leucine or isoleucine while lpdC|Rv0462 mutant and bkdC|Rv2495c-dlaT|Rv2215 double mutant show little or no growth; bkdA|Rv2497c (qRT-PCR) and bkdC|Rv2495c (qRT-PCR, Western) are upregulated in dlaT|Rv2215 mutant; lysates from dlaT|Rv2215 mutant have branched-chain keto acid dehydrogenase activity while those of wild-type and lpdC|Rv0462 mutant do not; growth of bkdC|Rv2495c-dlaT|Rv2215 double mutant in C57BL/6 lungs is strongly attenuated (See Venugopal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</si>
  <si>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by sequencing of Himar1-based transposon mutagenesis (See Griffin et al., 2011). M. tuberculosis H37Rv transposon mutant is sensitive to pH 4.5 in 7H9 with Tween or Tyloxapol, but not phosphate-citrate buffer with Tyloxapol (See Vandal et al., 2008); mutant is mildly attenuated in C57BL/6 mice (See Vandal et al., 2009). M. tuberculosis H37Rv Rv2224c transposon mutant shows growth defect in C57BL/6 mice co-infected with mutant and wild-type; is attenuated in C57BL/6 and RAG -/- mice; is more susceptible to lysozyme; shows growth defect in C57BL/6 bone marrow macrophages and secretion of cytokines and chemokines is reduced (See Rengarajan et al., 2008). M. tuberculosis CDC1551 MT2282 (Rv2224c) mutant is attenuated in BALB/c mice (See Lun and Bishai, 2007). Check for mutants available at TARGET website</t>
  </si>
  <si>
    <t>non essential gene by Himar1-based transposon mutagenesis in H37Rv strain (see Sassetti et al., 2003). Growth of M. tuberculosis Erdman ptpA|Rv2234 mutant is comparable to wild-type in vitro and in C57BL/6 mice (See Grundner et al., 2008).&lt;i&gt;see &lt;b&gt;TB knockouts/mutants availability&lt;/a&gt;</t>
  </si>
  <si>
    <t>slow growth mutant by Himar1-based transposon mutagenesis in H37Rv strain (see Sassetti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</si>
  <si>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slow growth mutant by Himar1-based transposon mutagenesis in H37Rv strain (see Sassetti et al., 2003). Levels of diacyl-PIM2 and diacyl-PIM6 are reduced in CDC1551 Rv2252 mutant (See Owens et al., 2006). Check for mutants available at TARGET website</t>
  </si>
  <si>
    <t>Predicted to be in the RelA|Rv2583c regulon (See Dahl et al., 2003). Predicted to be in the SigE|Rv1221 regulon during macrophage (THP-1) infection (See Fontan et al., 2008).</t>
  </si>
  <si>
    <t>Required for growth in C57BL/6J mouse spleen, by transposon site hybridization (TraSH) in H37Rv (See Sassetti and Rubin, 2003). Found to be deleted (partially or completely) in one or more clinical isolates (See Tsolaki et al., 2004). Check for mutants available at TARGET website</t>
  </si>
  <si>
    <t>Required for survival in primary murine macrophages, by transposon site hybridization (TraSH) in H37Rv (See Rengarajan et al., 2005). Check for mutants available at TARGET website</t>
  </si>
  <si>
    <t>slow growth mutant by Himar1-based transposon mutagenesis in H37Rv strain (see Sassetti et al., 2003). Required for growth in C57BL/6J mouse spleen, by transposon site hybridization (TraSH) in H37Rv (See Sassetti and Rubin, 2003). Check for mutants available at TARGET website</t>
  </si>
  <si>
    <t>non essential gene by Himar1-based transposon mutagenesis in H37Rv strain (see Sassetti et al., 2003). Required for growth in C57BL/6J mouse spleen, by transposon site hybridization (TraSH) in H37Rv (See Sassetti and Rubin, 2003). Growth of M. tuberculosis H37Rv zur|Rv2359 mutant in C57BL/6 mice is similar to wild-type (See Maciag et al., 2007). Check for mutants available at TARGET website</t>
  </si>
  <si>
    <t>In the IdeR|Rv2711 regulon (See Gold et al., 2001). ChIP-chip indicates SigC|Rv2069 binds to the intergenic upstream region (See Rodrigue et al., 2007).</t>
  </si>
  <si>
    <t>essential gene by Himar1-based transposon mutagenesis in H37Rv strain (see Sassetti et al., 2003). Required for growth in C57BL/6J mouse spleen, by transposon site hybridization (TraSH) in H37Rv (See Sassetti and Rubin, 2003).. Essential gene for in vitro growth of H37Rv, by sequencing of Himar1-based transposon mutagenesis (See Griffin et al., 2011). Check for mutants available at TARGET website</t>
  </si>
  <si>
    <t>Essential gene for in vitro growth of H37Rv on cholesterol, by sequencing of Himar1-based transposon mutagenesis (See Griffin et al., 2011). Survival of M. tuberculosis H37Rv eis|Rv2416c mutant in U-937 macrophages and in C57BL/6 mice is not significantly different from wild-type (See Samuel et al., 2007). Mutations in the promoter region of eis|Rv2416c in M. tuberculosis H37Rv result in increased expression of eis|Rv2416c and kanamycin resistance (See Zaunbrecher et al., 2009).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</si>
  <si>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Non essential gene for growth in vitro by Tn5370 transposon mutagenesis of H37Rv strain but mutant is more virulent in SCID mice (see McAdam et al., 2002) Check for mutants available at TARGET website</t>
  </si>
  <si>
    <t>M. tuberculosis H37Rv dlaT|Rv2215 mutant shows increased growth in 7H9 with leucine or isoleucine while lpdC|Rv0462 mutant and bkdC|Rv2495c-dlaT|Rv2215 double mutant show little or no growth; growth of M. tuberculosis H37Rv bkdC|Rv2495c mutant is comparable to wild-type, in vitro and in C57BL/6 mouse lungs; growth of bkdC|Rv2495c-dlaT|Rv2215 double mutant in C57BL/6 lungs is strongly attenuated (See Venugopal et al., 2011). Check for mutants available at TARGET website</t>
  </si>
  <si>
    <t>Essential gene for in vitro growth of H37Rv, by sequencing of Himar1-based transposon mutagenesis (See Griffin et al., 2011). M. tuberculosis CDC1551 ldtB|Rv2518c mutant is attenuated in BALB/c mice; mutant is more susceptible to amoxicillin-clavulanate (See Gupta et al., 2010). Check for mutants available at TARGET website</t>
  </si>
  <si>
    <t>non essential gene by Himar1-based transposon mutagenesis in H37Rv strain (see Sassetti et al., 2003). Essential gene in M. smegmatis; C. glutamicum mutant is auxotrophic for oleic acid and produces only one detectable corynomycolate (See Chalut et al., 2006). Check for mutants available at TARGET website</t>
  </si>
  <si>
    <t>non essential gene by Himar1-based transposon mutagenesis in H37Rv strain (see Sassetti et al., 2003). Non-essential gene for in vitro growth of H37Rv, by sequencing of Himar1-based transposon mutagenesis (See Griffin et al., 2011). Deletion results in enhanced susceptibility to beta-lactam antibiotics and increased virulence in vivo (See Saint-Joanis et al., 2006). Check for mutants available at TARGET website</t>
  </si>
  <si>
    <t>non essential gene by Himar1-based transposon mutagenesis in CDC1551 strain (see Lamichhane et al., 2003). Essential gene for in vitro growth of H37Rv, by sequencing of Himar1-based transposon mutagenesis (See Griffin et al., 2011). M. tubeculosis H37Rv relA|Rv2583c mutant shows growth defect in vitro; can not grow at 42 degrees; has growth defect under starvation and under hypoxic conditions; growth in THP-1 macrophages is comparable to wild-type (See Primm et al., 2000); is attenuated in C57BL/6 mice (See Dahl et al., 2003). Check for mutants available at TARGET website</t>
  </si>
  <si>
    <t>essential gene by Himar1-based transposon mutagenesis in H37Rv strain (see Sassetti et al., 2003). Non-essential gene for in vitro growth of H37Rv, by sequencing of Himar1-based transposon mutagenesis (See Griffin et al., 2011). M. tuberculosis Erdman Rv2623 mutant growth in vitro and in C57BL/6 mice is comparable to wild-type; mutant shows increased growth and virulence in Hartley guinea pigs and C3H/HeJ mice; Rv2623 overexpression results in reduced growth but not when ATP-binding ability is reduced (See Drumm et al., 2009). Check for mutants available at TARGET website</t>
  </si>
  <si>
    <t>Predicted to be in the KstR|Rv3574 regulon (See Kendall et al., 2007). Predicted to be in the SenX3|Rv0490-RegX3|Rv0491 regulon (See Parish et al., 2003).</t>
  </si>
  <si>
    <t>slow growth mutant by Himar1-based transposon mutagenesis in H37Rv strain (see Sassetti et al., 2003). Non-essential gene for in vitro growth of H37Rv, but essential for in vitro growth on cholesterol; by sequencing of Himar1-based transposon mutagenesis (See Griffin et al., 2011). Check for mutants available at TARGET website</t>
  </si>
  <si>
    <t>Predicted to be in the RelA|Rv2583c regulon (See Dahl et al., 2003). Predicted to be in the Rv1404 regulon (See Golby et al., 2008).</t>
  </si>
  <si>
    <t>non essential gene by Himar1-based transposon mutagenesis in H37Rv strain (see Sassetti et al., 2003). Colony morphology of M. tuberculosis H37Rv suhB|Rv2701c deletion mutant is not different from wild-type; phosphatidylinositol mannosides (PIMs; by TLC) and mycothiol levels (by HPLC) are normal in the mutant (See Movahedzadeh et al., 2010). Check for mutants available at TARGET website</t>
  </si>
  <si>
    <t>non essential gene for growth in vitro by Tn5370 transposon mutagenesis of H37Rv strain and no virulence modification seen in SCID mice (see McAdam et al., 2002). Essential gene by Himar1-based transposon mutagenesis in H37Rv strain (see Sassetti et al., 2003). Required for growth in C57BL/6J mouse spleen, by transposon site hybridization (TraSH) in H37Rv (See Sassetti and Rubin, 2003). Check for mutants available at TARGET website</t>
  </si>
  <si>
    <t>In the MprA|Rv0981 regulon (See Pang et al., 2007). Predicted to be in the SigB|Rv2710 regulon, in M. tuberculosis CDC1551 (See Lee et al., 2008).</t>
  </si>
  <si>
    <t>Essential gene, determined by allelic exchange experiments (See Rodriguez et al., 2002). 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</si>
  <si>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nrdR|Rv2718c mutant has increased expression of nrdE|Rv3051c and nrdF2|Rv3048c (See Mowa et al., 2009). Check for mutants available at TARGET website</t>
  </si>
  <si>
    <t>Activates &gt;10 genes, including four that encode protease systems (ClpP1/C, ClpP2/C, PtrB and HtrA-like protease Rv1043c) and three that encode chaperones (Acr2, ClpB, Rv3269) (See Estorninho et al., 2010).</t>
  </si>
  <si>
    <t>Predicted to be in the IdeR|Rv2711 regulon (See Gold et al., 2001)</t>
  </si>
  <si>
    <t>Essential gene in M. smegmatis and M. bovis BCG; C. glutamicum mutant does not produce corynomycolates, has altered colony morphology and slower growth rate compared to wild-type (See Chalut et al., 2006). Essential gene for in vitro growth of H37Rv, by sequencing of Himar1-based transposon mutagenesis (See Griffin et al., 2011). Check for mutants available at TARGET website</t>
  </si>
  <si>
    <t>non essential gene by Himar1-based transposon mutagenesis in H37Rv strain (see Sassetti et al., 2003). Required for growth in C57BL/6J mouse spleen, by transposon site hybridization (TraSH) in H37Rv (See Sassetti and Rubin, 2003). Found to be deleted (partially or completely) in one or more clinical isolates (See Tsolaki et al., 2004). Check for mutants available at TARGET website</t>
  </si>
  <si>
    <t>essential gene by Himar1-based transposon mutagenesis in H37Rv strain (see Sassetti et al., 2003). Essential gene for in vitro growth of H37Rv, by sequencing of Himar1-based transposon mutagenesis (See Griffin et al., 2011). Found to be deleted (partially or completely) in one or more clinical isolates (See Tsolaki et al., 2004).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</si>
  <si>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Growth of M. tuberculosis H37Rv relE2|Rv2866 mutant is comparable to wild-type in vitro, in J774.1 macrophages, and in C57BL/6 mice; survival in rifampin-treated C57BL/6 mice is comparable to wild-type (See Singh et al., 2010). Check for mutants available at TARGET website</t>
  </si>
  <si>
    <t>essential gene by Himar1-based transposon mutagenesis in H37Rv strain (see Sassetti et al., 2003) non essential gene by Himar1-based transposon mutagenesis in CDC1551 strain (see Lamichhane et al., 2003) and gene replacement (see Makinoshima and Glickman, 2005). Essential gene for in vitro growth of H37Rv, by sequencing of Himar1-based transposon mutagenesis (See Griffin et al., 2011). Check for mutants available at TARGET website</t>
  </si>
  <si>
    <t>In the SigK|Rv0445c regulon (See Rodrigue et al., 2007; Veyrier et al., 2008). ChIP-chip indicates SigK|Rv0445c binds to the intergenic upstream region (See Rodrigue et al., 2007).</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</si>
  <si>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M. tuberculosis H37Rv pknI|Rv2914c mutant shows increased growth in THP-1 cells compared to wild-type; SCID mice infected with wild-type survive longer than those infected with mutant (See Gopalaswamy et al., 2009).&lt;i&gt;see &lt;b&gt;TB knockouts/mutants availability&lt;/a&gt;</t>
  </si>
  <si>
    <t>non essential gene by Himar1-based transposon mutagenesis in H37Rv strain (see Sassetti et al., 2003). Essential gene for in vitro growth of H37Rv, by sequencing of Himar1-based transposon mutagenesis (See Griffin et al., 2011). M. tuberculosis H37Rv tesA|Rv2928 transposon mutant does not produce phthiocerol dimycocerosate (PDIM) (See Waddell et al., 2005). M. marinum tesA|MMAR_1778 transposon mutant lacks PDIM A, PDIM B, and PGLs, defect corrected by complemetation; mutant is more susceptible to some antibiotics (partially complemented by tesA expression) but not isoniazid (See Alibaud et al., 2011). M. marinum tesA|MMAR_1778 deletion mutant produces only trace amounts of PDIMs and PGLs, defect corrected by complementation with tesA but not tesA-S92A; mutant is more susceptible to several antibiotics (complemented by tesA expression) but not streptomycin (See Chavadi et al., 2011). Check for mutants available at TARGET website</t>
  </si>
  <si>
    <t>non essential gene by Himar1-based transposon mutagenesis in H37Rv and CDC1551 strains (see Sassetti et al., 2003 and Lamichhane et al., 2003). M. tuberculosis CDC1551 transposon mutant fails to prevent phagosome maturation and acidification in bone marrow macrophages from BALB/c mice (See Pethe et al., 2004). M. tuberculosis Mt103 fadD26|Rv2930 transposon mutant is attenuated in BALB/c mice; mice infected with mutant survive longer than with wild-type (See Infante et al., 2005). Check for mutants available at TARGET website</t>
  </si>
  <si>
    <t>essential gene by Himar1-based transposon mutagenesis in CDC1551 strain (see Lamichhane et al., 2003). Non-essential gene for in vitro growth of H37Rv,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</si>
  <si>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M. tuberculosis H37Rv drrB|Rv2937 transposon mutant does not produce phthiocerol dimycocerosate (PDIM) (See Waddell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</si>
  <si>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M. bovis fadD22 mutant produces phthiocerols (PDIM) and phthiodiolones (PNDIM) but not phenolic glycolipids (PGL) (See Ferreras et al., 2007).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</si>
  <si>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fadD29|Rv2950c mutant produces phthiocerol and phthiodiolone dimycocerosates (DIMs) but not phenolic glycolipids (PGLs) (See Simeone et al., 2010). Check for mutants available at TARGET website</t>
  </si>
  <si>
    <t>essential gene by Himar1-based transposon mutagenesis in H37Rv and CDC1551 strains (see Sassetti et al., 2003 and Lamichhane et al., 2003). Check for mutants available at TARGET website</t>
  </si>
  <si>
    <t>Essential gene for in vitro growth of H37Rv, by sequencing of Himar1-based transposon mutagenesis (See Griffin et al., 2011). Deletion of ppk1 results in impaired ability to survive conditions of stress (See Sureka et al., 2007). Check for mutants available at TARGET website</t>
  </si>
  <si>
    <t>Predicted to be in the SenX3|Rv0490-RegX3|Rv0491 regulon (See Parish et al., 2003). Predicted to be in the Zur|Rv2359 regulon (See Maciag et al., 2007).</t>
  </si>
  <si>
    <t>essential gene by Himar1-based transposon mutagenesis in H37Rv strain (see Sassetti et al., 2003). Essential gene for in vitro growth of H37Rv, by sequencing of Himar1-based transposon mutagenesis (See Griffin et al., 2011). Mutation of Rv3032 in M. tuberculosis H37Rv has no effect on glucan content; mutant produces less glycogen; growth in BALB/c mice is comparable to wild-type (See Sambou et al., 2008). Check for mutants available at TARGET website</t>
  </si>
  <si>
    <t>essential gene by Himar1-based transposon mutagenesis in H37Rv strain (see Sassetti et al., 2003). Essential gene for in vitro growth of H37Rv, by sequencing of Himar1-based transposon mutagenesis (See Griffin et al., 2011). M. tuberculosis H37Rv nrdR|Rv2718c mutant has increased expression of nrdE|Rv3051c and nrdF2|Rv3048c (See Mowa et al., 2009). Check for mutants available at TARGET website</t>
  </si>
  <si>
    <t>non essential gene by Himar1-based transposon mutagenesis in H37Rv strain (see Sassetti et al., 2003). Required for growth in C57BL/6J mouse spleen, by transposon site hybridization (TraSH) in H37Rv (See Sassetti and Rubin, 2003). Required for survival in primary murine macrophages, by transposon site hybridization (TraSH) in H37Rv (See Rengarajan et al., 2005). Essential gene for in vitro growth of H37Rv on cholesterol, by sequencing of Himar1-based transposon mutagenesis (See Griffin et al., 2011). Check for mutants available at TARGET website</t>
  </si>
  <si>
    <t>Non-essential gene for in vitro growth of H37Rv, by sequencing of Himar1-based transposon mutagenesis (See Griffin et al., 2011). Non essential gene in M. tuberculosis Erdman (See Gong et al., 2004).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</si>
  <si>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with lipY disrupted is impaired in ability to utilize triacylglycerol in nutrient-deprived conditions (See Deb et al., 2006). Check for mutants available at TARGET website</t>
  </si>
  <si>
    <t>In the MoaR1|Rv3124 regulon (See Mendoza Lopez et al., 2010).</t>
  </si>
  <si>
    <t>Non-essential gene for in vitro growth of H37Rv, by sequencing of Himar1-based transposon mutagenesis (See Griffin et al., 2011). H37Rv with tgs1 disrupted is impaired in triacylglycerol accumulation under acidic, static or hypoxic growth conditions (See Sirakova et al., 2006). Check for mutants available at TARGET website</t>
  </si>
  <si>
    <t>essential gene by Himar1-based transposon mutagenesis in H37Rv strain (see Sassetti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</si>
  <si>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mutant is attenuated in guinea pigs (See Malhotra et al., 2004). M. tuberculosis H37Rv mutant shows increased virulence in SCID mice; mutant grows more quickly in DBA mice and in IFN-gamma activated macrophages (See Parish et al., 2004).&lt;i&gt;see &lt;b&gt;TB knockouts/mutants availability&lt;/a&gt;</t>
  </si>
  <si>
    <t>essential gene by Himar1-based transposon mutagenesis in H37Rv strain (see Sassetti et al., 2003). Essential gene for in vitro growth of H37Rv, by sequencing of Himar1-based transposon mutagenesis (See Griffin et al., 2011). M. tuberculosis H37Rv Rv3137 could only be deleted after integration of a second copy of the gene - it could not be deleted if the second copy contained a D86N mutation (position shown in homologs to be important for activity); Rv3137 could not be deleted in the presence of inositol (with or without expression of M. smegmatis porin mspA), or in an ino1|Rv0046c mutant (See Movahedzadeh et al., 2010). Check for mutants available at TARGET website</t>
  </si>
  <si>
    <t>non essential gene by Himar1-based transposon mutagenesis in H37Rv strain (see Sassetti et al., 2003). Attempts to delete whiB1|Rv3219 from M. tuberculosis H37Rv were unsuccessful, unless whiB1 was present on a plasmid (See Smith et al., 2010). Check for mutants available at TARGET website</t>
  </si>
  <si>
    <t>In the Crp|Rv3676 regulon (See Rickman et al., 2005; Agarwal et al., 2006). Promoter has 2 Crp|Rv3676 binding sites; binding to the upstream site enhances expression while binding to the downstream site or both sites represses expression (See Stapleton et al., 2010). EMSA shows reduced and oxidized apo-WhiB1 bind to its own promoter, the [4Fe-4S] form of WhiB1 does not bind unless treated with NO; DNase I footprinting also shows binding; WhiB1 inhibits whiB1 transription in vitro (See Smith et al., 2010).</t>
  </si>
  <si>
    <t>non essential gene by Himar1-based transposon mutagenesis in CDC1551 strain (see Lamichhane et al., 2003). Non-essential gene for in vitro growth of H37Rv, by sequencing of Himar1-based transposon mutagenesis (See Griffin et al., 2011). Virulence of M. tuberculosis H37Rv mutant in SCID mice is unchanged (See Parish et al., 2004).&lt;i&gt;see &lt;b&gt;TB knockouts/mutants availability&lt;/a&gt;</t>
  </si>
  <si>
    <t>non essential gene by Himar1-based transposon mutagenesis in H37Rv strain (see Sassetti et al., 2003). Required for survival in primary murine macrophages, by transposon site hybridization (TraSH) in H37Rv (See Rengarajan et al., 2005). Non-essential gene for in vitro growth of H37Rv, by sequencing of Himar1-based transposon mutagenesis (See Griffin et al., 2011). Transposon mutant is hypersensitive to acidified nitrite (See Darwin et al., 2003). Check for mutants available at TARGET website</t>
  </si>
  <si>
    <t>Required for growth in C57BL/6J mouse spleen, by transposon site hybridization (TraSH) in H37Rv (See Sassetti and Rubin,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</si>
  <si>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Essential gene for in vitro growth of H37Rv, by sequencing of Himar1-based transposon mutagenesis (See Griffin et al., 2011). M. smegmatis knockout shows rmlD is essential for growth (See Ma et al., 2002). Check for mutants available at TARGET website</t>
  </si>
  <si>
    <t>slow growth mutant by Himar1-based transposon mutagenesis in H37Rv strain (see Sassetti et al., 2003) non essential gene by Himar1-based transposon mutagenesis in CDC1551 strain (see Lamichhane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</si>
  <si>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slow growth mutant by Himar1-based transposon mutagenesis in H37Rv strain (see Sassetti et al., 2003). Required for survival in primary murine macrophages, by transposon site hybridization (TraSH) in H37Rv (See Rengarajan et al., 2005). Non-essential gene for in vitro growth of H37Rv, by sequencing of Himar1-based transposon mutagenesis (See Griffin et al., 2011). Check for mutants available at TARGET website</t>
  </si>
  <si>
    <t>non essential gene by Himar1-based transposon mutagenesis in H37Rv strain (see Sassetti et al., 2003). Essential gene for in vitro growth of H37Rv, by sequencing of Himar1-based transposon mutagenesis (See Griffin et al., 2011). Balb/c mice were infected with M. tuberculosis H37Rv transformed with sense (MTS) or antisense (MTAS) constructs of Rv3303c; MTS showed increased virulence while MTAS was attenuated, compared to H37Rv with vector control (weight of mice, lung pathology, CFU in lungs, survival of mice) (See Akhtar et al., 2006). Check for mutants available at TARGET website</t>
  </si>
  <si>
    <t>non essential gene by Himar1-based transposon mutagenesis in H37Rv strain (see Sassetti et al., 2003). Non-essential gene for in vitro growth of H37Rv, by sequencing of Himar1-based transposon mutagenesis (See Griffin et al., 2011). Growth of M. tuberculosis H37Rv relE3|Rv3358 mutant is comparable to wild-type in vitro, in J774.1 macrophages, and in C57BL/6 mice (See Singh et al., 2010). Check for mutants available at TARGET website</t>
  </si>
  <si>
    <t>non essential gene by Himar1-based transposon mutagenesis in H37Rv and CDC1551 strains (see Sassetti et al., 2003 and Lamichhane et al., 2003). Essential gene for in vitro growth of H37Rv, by sequencing of Himar1-based transposon mutagenesis (See Griffin et al., 2011). M. tuberculosis CDC1551 transposon mutant fails to prevent phagosome maturation and acidification in bone marrow macrophages from BALB/c mice; mutant shows reduced survival in these macrophages (See Pethe et al., 2004). M. tuberculosis CDC1551 Rv3377c-Rv3378c mutant does not produce halimadienyl diphosphate or nosyberkol (See Mann et al., 2011). Check for mutants available at TARGET website</t>
  </si>
  <si>
    <t>Essential gene for in vitro growth of H37Rv, by sequencing of Himar1-based transposon mutagenesis (See Griffin et al., 2011). M. tuberculosis CDC1551 transposon mutant fails to prevent phagosome maturation and acidification in bone marrow macrophages from BALB/c mice; mutant shows reduced survival in these macrophages (See Pethe et al., 2004). M. tuberculosis CDC1551 Rv3377c-Rv3378c mutant does not produce halimadienyl diphosphate or nosyberkol (See Mann et al., 2011). Check for mutants available at TARGET website</t>
  </si>
  <si>
    <t>non essential gene by Himar1-based transposon mutagenesis in H37Rv strain (see Sassetti et al., 2003). Non-essential gene for in vitro growth of H37Rv, by sequencing of Himar1-based transposon mutagenesis (See Griffin et al., 2011). UV-induced mutagenesis does not occur in M. tuberculosis H37Rv Rv3394c or Rv3395c-Rv3394c mutants (See Warner et al., 2010). Check for mutants available at TARGET website</t>
  </si>
  <si>
    <t>non essential gene by Himar1-based transposon mutagenesis in H37Rv and CDC1551 strains (see Sassetti et al., 2003 and Lamichhane et al., 2003). UV-induced mutagenesis does not occur in M. tuberculosis H37Rv Rv3395c-Rv3394c mutants (See Warner et al., 2010).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</si>
  <si>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Deletion of choD in M. tuberculosis results in attenuation in vitro in mouse peritoneal macrophages, and in vivo in C57BL/6 mouse lungs and spleens (see Brzostek et al., 2007)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</si>
  <si>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M. tuberculosis H37Rv sigD|Rv3414c mutant is attenuated in BALB/c mice; growth in vitro, in hypoxic conditions, under oxidative stress (plumbagin, cumene hydroperoxide, diamide) is comparable to wild-type; slightly more susceptible to INH (See Raman et al., 2004).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</si>
  <si>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H37Rv mutant has enhanced growth on acetate medium; impaired growth on medium with glucose, pyruvate, succinate, fumarate (See Singh et al., 2007). Check for mutants available at TARGET website</t>
  </si>
  <si>
    <t>non essential gene by Himar1-based transposon mutagenesis in H37Rv strain (see Sassetti et al., 2003). 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Check for mutants available at TARGET website</t>
  </si>
  <si>
    <t>Predicted to be in the RelA|Rv2583c regulon (See Dahl et al., 2003). Predicted to be in the SigC|Rv2069 regulon, in M. tuberculosis CDC1551 (See Sun et al., 2004).</t>
  </si>
  <si>
    <t>essential gene by Himar1-based transposon mutagenesis in H37Rv strain (see Sassetti et al., 2003). Essential gene for in vitro growth of H37Rv, by sequencing of Himar1-based transposon mutagenesis (See Griffin et al., 2011). M. smegmatis knockout shows rmlB is essential for growth (See Li et al., 2006). Check for mutants available at TARGET website</t>
  </si>
  <si>
    <t>essential gene by Himar1-based transposon mutagenesis in H37Rv strain (see Sassetti et al., 2003). Essential gene for in vitro growth of H37Rv, by sequencing of Himar1-based transposon mutagenesis (See Griffin et al., 2011). M. smegmatis knockout shows rmlC is essential for growth (See Li et al., 2006). Check for mutants available at TARGET website</t>
  </si>
  <si>
    <t>Predicted to be in the KstR|Rv3574 regulon and to be involved in lipid catabolism (See Kendall et al., 2007 and Van der Geize et al., 2007).</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</si>
  <si>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but essential for in vitro growth on cholesterol; by sequencing of Himar1-based transposon mutagenesis (See Griffin et al., 2011).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</si>
  <si>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but essential for in vitro growth on cholesterol;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</si>
  <si>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but essential for in vitro growth on cholesterol; by sequencing of Himar1-based transposon mutagenesis (See Griffin et al., 2011). M. tuberculosis H37Rv Rv3540c-Rv3545c mutant is unable to grow in minimal medium with cholesterol but can still perform initial steps of cholesterol degradation; in vitro growth defect is partially complemented by having additional mutation in yrbE4a|Rv3501c; reduced CFU of Rv3540c-Rv3545c mutant in C57BL/6 mouse lungs and spleen is complemented by having additional mutation in yrbE4a|Rv3501c (See Chang et al., 2009). Check for mutants available at TARGET website</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</si>
  <si>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M. tuberculosis H37Rv kshA|Rv3526 mutant shows in vitro growth defect with cholesterol, 5-alpha-androstane-3,17-dione, 4-androstene-3,17-dione as carbon source; mutant shows growth defect in BALB/c mice and in resting and activated J774A.1 and BALB/c bone marrow-derived macrophages; SCID mice infected with mutant survive longer than those infected with wild-type (See Hu et al., 2010). Check for mutants available at TARGET website</t>
  </si>
  <si>
    <t>Predicted to be in the RelA|Rv2583c regulon (See Dahl et al., 2003). Predicted to be in the KstR|Rv3574 regulon and to be involved in lipid catabolism (See Kendall et al., 2007 and Van der Geize et al., 2007).</t>
  </si>
  <si>
    <t>Predicted to be in the KstR|Rv3574 regulon (See Kendall et al., 2007). Predicted to be in the Rv1404 regulon (See Golby et al., 2008).</t>
  </si>
  <si>
    <t>Required for survival in primary murine macrophages, by transposon site hybridization (TraSH) in H37Rv (See Rengarajan et al., 2005). Essential gene for in vitro growth of H37Rv on cholesterol, by sequencing of Himar1-based transposon mutagenesis (See Griffin et al., 2011).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</si>
  <si>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but essential for in vitro growth on cholesterol; by sequencing of Himar1-based transposon mutagenesis (See Griffin et al., 2011). H37Rv Rv3540c-Rv3545c mutant is attenuated for growth in mouse macrophages and during the early stages of infection in mice (See Chang et al., 2007). M. tuberculosis H37Rv Rv3540c-Rv3545c mutant is unable to grow in minimal medium with cholesterol but can still perform initial steps of cholesterol degradation; in vitro growth defect is partially complemented by having additional mutation in yrbE4a|Rv3501c; reduced CFU of Rv3540c-Rv3545c mutant in C57BL/6 mouse lungs and spleen is complemented by having additional mutation in yrbE4a|Rv3501c (See Chang et al., 2009). Check for mutants available at TARGET website</t>
  </si>
  <si>
    <t>Required for growth in C57BL/6J mouse spleen, by transposon site hybridization (TraSH) in H37Rv (See Sassetti and Rubin, 2003). Required for survival in primary murine macrophages, by transposon site hybridization (TraSH) in H37Rv (See Rengarajan et al., 2005). H37Rv Rv3540c-Rv3545c mutant is attenuated for growth in mouse macrophages and during the early stages of infection in mice (See Chang et al., 2007). M. tuberculosis H37Rv Rv3540c-Rv3545c mutant is unable to grow in minimal medium with cholesterol but can still perform initial steps of cholesterol degradation; in vitro growth defect is partially complemented by having additional mutation in yrbE4a|Rv3501c; reduced CFU of Rv3540c-Rv3545c mutant in C57BL/6 mouse lungs and spleen is complemented by having additional mutation in yrbE4a|Rv3501c (See Chang et al., 2009). Check for mutants available at TARGET website</t>
  </si>
  <si>
    <t>non essential gene by Himar1-based transposon mutagenesis in H37Rv strain (see Sassetti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H37Rv Rv3540c-Rv3545c mutant is attenuated for growth in mouse macrophages and during the early stages of infection in mice (See Chang et al., 2007). M. tuberculosis H37Rv Rv3540c-Rv3545c mutant is unable to grow in minimal medium with cholesterol but can still perform initial steps of cholesterol degradation; in vitro growth defect is partially complemented by having additional mutation in yrbE4a|Rv3501c; reduced CFU of Rv3540c-Rv3545c mutant in C57BL/6 mouse lungs and spleen is complemented by having additional mutation in yrbE4a|Rv3501c (See Chang et al., 2009). Check for mutants available at TARGET website</t>
  </si>
  <si>
    <t>non essential gene by Himar1-based transposon mutagenesis in H37Rv strain (see Sassetti et al., 2003). Essential gene for in vitro growth of H37Rv on cholesterol, by sequencing of Himar1-based transposon mutagenesis (See Griffin et al., 2011). H37Rv Rv3540c-Rv3545c mutant is attenuated for growth in mouse macrophages and during the early stages of infection in mice (See Chang et al., 2007). M. tuberculosis H37Rv Rv3540c-Rv3545c mutant is unable to grow in minimal medium with cholesterol but can still perform initial steps of cholesterol degradation; in vitro growth defect is partially complemented by having additional mutation in yrbE4a|Rv3501c; reduced CFU of Rv3540c-Rv3545c mutant in C57BL/6 mouse lungs and spleen is complemented by having additional mutation in yrbE4a|Rv3501c (See Chang et al., 2009). Check for mutants available at TARGET website</t>
  </si>
  <si>
    <t>Predicted to be in the IdeR|Rv2711 regulon (See Prakash et al., 2005). Predicted to be in the KstR|Rv3574 regulon (See Kendall et al., 2007).</t>
  </si>
  <si>
    <t>Required for growth in C57BL/6J mouse spleen, by transposon site hybridization (TraSH) in H37Rv (See Sassetti and Rubin, 2003). Required for survival in primary murine macrophages, by transposon site hybridization (TraSH) in H37Rv (See Rengarajan et al., 2005). Essential gene for in vitro growth of H37Rv on cholesterol, by sequencing of Himar1-based transposon mutagenesis (See Griffin et al., 2011).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</si>
  <si>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Required for survival in primary murine macrophages, by transposon site hybridization (TraSH) in H37Rv (See Rengarajan et al., 2005). Check for mutants available at TARGET website</t>
  </si>
  <si>
    <t>non essential gene by Himar1-based transposon mutagenesis in H37Rv strain (see Sassetti et al., 2003). 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Check for mutants available at TARGET website</t>
  </si>
  <si>
    <t>Required for growth in C57BL/6J mouse spleen, by transposon site hybridization (TraSH) in H37Rv (See Sassetti and Rubin, 2003). 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Check for mutants available at TARGET website</t>
  </si>
  <si>
    <t>Non-essential gene for in vitro growth of H37Rv, by sequencing of Himar1-based transposon mutagenesis (See Griffin et al., 2011). Deletion of nat from M. bovis BCG Pasteur reduces biosynthesis of mycolic acids and other complex lipids (See Bhakta et al., 2004). Check for mutants available at TARGET website</t>
  </si>
  <si>
    <t>Required for survival in primary murine macrophages, by transposon site hybridization (TraSH) in H37Rv (See Rengarajan et al., 2005). Non-essential gene for in vitro growth of H37Rv, but essential for in vitro growth on cholesterol; by sequencing of Himar1-based transposon mutagenesis (See Griffin et al., 2011). Check for mutants available at TARGET website</t>
  </si>
  <si>
    <t>Predicted to be in the RelA|Rv2583c regulon (See Dahl et al., 2003). Predicted to be in the KstR|Rv3574 regulon (See Kendall et al., 2007).</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</si>
  <si>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M. tuberculosis H37Rv kshB|Rv3571 mutant shows in vitro growth defect with cholesterol, 5-alpha-androstane-3,17-dione, 4-androstene-3,17-dione as carbon source; mutant shows growth defect in BALB/c mice and in resting and activated J774A.1 and BALB/c bone marrow-derived macrophages; SCID mice infected with mutant survive longer than those infected with wild-type; mutant cell wall is altered (See Hu et al., 2010). Check for mutants available at TARGET website</t>
  </si>
  <si>
    <t>essential gene by Himar1-based transposon mutagenesis in H37Rv strain (see Sassetti et al., 2003). Required for survival in primary murine macrophages, by transposon site hybridization (TraSH) in H37Rv (See Rengarajan et al., 2005). Essential gene for in vitro growth of H37Rv, by sequencing of Himar1-based transposon mutagenesis (See Griffin et al., 2011). Check for mutants available at TARGET website</t>
  </si>
  <si>
    <t>essential gene by Himar1-based transposon mutagenesis in H37Rv strain (see Sassetti et al., 2003). Non essential gene for growth in vitro by Tn5370 transposon mutagenesis of H37Rv strain and no virulence modification seen in SCID mice (see McAdam et al., 2002). Quantitative PCR shows INH-mediated induction of iniB|Rv0341, iniA|Rv0342 and iniC|Rv0343 is repressed in M. tuberculosis H37Rv overexpressing lsr2|Rv3597c (See Colangeli et al., 2007). M. tuberculosis H37Rv overexpressing lsr2|Rv3597c is more resistant to H2O2 (See Colangeli et al., 2009).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</si>
  <si>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M. tuberculosis Erdman Rv3615c transposon mutant had decreased expression of Rv3615c and Rv3614c and exhibited a secretion defect; mutant failed to grow in bone marrow-derived macrophages (See MacGurn et al., 2005). EspD|Rv3614c expression but not secretion is required for EsxA|Rv3875 secretion; EspD|Rv3614c stabilizes EspA|Rv3616c and EspC|Rv3615c (See Chen et al., 2012).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</si>
  <si>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M. tuberculosis (Erdman) Rv3615c transposon mutant had decreased expression of Rv3615c and Rv3614c and exhibited a secretion defect; mutant failed to grow in bone marrow-derived macrophages (See MacGurn et al., 2005). EspD|Rv3614c stabilizes EspA|Rv3616c and EspC|Rv3615c (See Chen et al., 2012). Check for mutants available at TARGET website</t>
  </si>
  <si>
    <t>non essential gene by Himar1-based transposon mutagenesis in H37Rv strain (see Sassetti et al., 2003). Required for growth in C57BL/6J mouse spleen, by transposon site hybridization (TraSH) in H37Rv (See Sassetti and Rubin, 2003). Non-essential gene for in vitro growth of H37Rv, by sequencing of Himar1-based transposon mutagenesis (See Griffin et al., 2011). M. tuberculosis H37Rv espA mutant fails to secrete ESAT-6 and CFP10; mutant is attenuated in C57BL/6 and SCID mice (See Fortune et al., 2005). EspD|Rv3614c stabilizes EspA|Rv3616c and EspC|Rv3615c (See Chen et al., 2012). Check for mutants available at TARGET website</t>
  </si>
  <si>
    <t>Essential gene for in vitro growth of H37Rv, by sequencing of Himar1-based transposon mutagenesis (See Griffin et al., 2011). M. tuberculosis H37Rv transposon mutant is sensitive to pH 4.5; mutant is able to control intrabacterial pH in bone marrow derived macrophages but not in IFN-gamma-activated macrophages; growth of mutant is impaired in C57BL/6 mice (See Vandal et al., 2008). Check for mutants available at TARGET website</t>
  </si>
  <si>
    <t>non essential gene by Himar1-based transposon mutagenesis in H37Rv strain (see Sassetti et al., 2003). M. tuberculosis H37Rv Rv3676 mutant shows growth defect in vitro and in vivo, in BALB/c bone marrow-derived macrophages, and in BALB/c mouse lungs and spleen (See Rickman et al., 2005). Check for mutants available at TARGET website</t>
  </si>
  <si>
    <t>non essential gene by Himar1-based transposon mutagenesis in CDC1551 strain (see Lamichhane et al., 2003). Required for survival in primary murine macrophages, by transposon site hybridization (TraSH) in H37Rv (See Rengarajan et al., 2005). M. tuberculosis H37Rv transposon mutant is sensitive to pH 4.5 in 7H9 with Tween or Tyloxapol, but not phosphate-citrate buffer with Tyloxapol (See Vandal et al., 2008); mutant is mildly attenuated in C57BL/6 mice (See Vandal et al., 2009). Check for mutants available at TARGET website</t>
  </si>
  <si>
    <t>non essential gene by Himar1-based transposon mutagenesis in H37Rv and CDC1551 strains (see Sassetti et al., 2003 and Lamichhane et al., 2003). Non-essential gene for in vitro growth of H37Rv, by sequencing of Himar1-based transposon mutagenesis (See Griffin et al., 2011). Non essential gene in M. tuberculosis Erdman (See Gong et al., 2004). Check for mutants available at TARGET website</t>
  </si>
  <si>
    <t>non essential gene by Himar1-based transposon mutagenesis in H37Rv strain (see Sassetti et al., 2003). Essential gene for in vitro growth of H37Rv, by sequencing of Himar1-based transposon mutagenesis (See Griffin et al., 2011). Found to be deleted (partially or completely) in one or more clinical isolates (See Tsolaki et al., 2004). M. tuberculosis H37Rv tcrXY mutant shows increased virulence in SCID mice (See Parish et al., 2004).&lt;i&gt;see &lt;b&gt;TB knockouts/mutants availability&lt;/a&gt;</t>
  </si>
  <si>
    <t>non essential gene by Himar1-based transposon mutagenesis in H37Rv strain (see Sassetti et al., 2003). Non-essential gene for in vitro growth of H37Rv, by sequencing of Himar1-based transposon mutagenesis (See Griffin et al., 2011). Found to be deleted (partially or completely) in one or more clinical isolates (See Tsolaki et al., 2004). M. tuberculosis H37Rv tcrXY mutant shows increased virulence in SCID mice (See Parish et al., 2004).&lt;i&gt;see &lt;b&gt;TB knockouts/mutants availability&lt;/a&gt;</t>
  </si>
  <si>
    <t>essential gene by Himar1-based transposon mutagenesis in H37Rv strain (see Sassetti et al., 2003) and by allelic exchange experiments (See Goude et al., 2008). Essential gene for in vitro growth of H37Rv, by sequencing of Himar1-based transposon mutagenesis (See Griffin et al., 2011). Check for mutants available at TARGET website</t>
  </si>
  <si>
    <t>essential gene by Himar1-based transposon mutagenesis in H37Rv strain (see Sassetti et al., 2003). Essential gene for in vitro growth of H37Rv, by sequencing of Himar1-based transposon mutagenesis (See Griffin et al., 2011). Essential gene, shown with M. tuberculosis H37Rv fadD32|Rv3801c conditional mutant (See Forti et al., 2009; Boldrin et al., 2010). Check for mutants available at TARGET website</t>
  </si>
  <si>
    <t>non essential gene by Himar1-based transposon mutagenesis in H37Rv strain (see Sassetti et al., 2003). Essential gene for in vitro growth of H37Rv on cholesterol, by sequencing of Himar1-based transposon mutagenesis (See Griffin et al., 2011). Virulence of M. tuberculosis Erdman mutant in BALB/c mice is unaffected (See Kumar et al., 2007). Check for mutants available at TARGET website</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</si>
  <si>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Virulence of M. tuberculosis Erdman mutant in BALB/c mice is unaffected (See Kumar et al., 2007). Check for mutants available at TARGET website</t>
  </si>
  <si>
    <t>M. tuberculosis Erdman fadD23|Rv3826 transposon mutant does not produce sulfolipid (See Lynett and Stokes, 2007). Check for mutants available at TARGET website</t>
  </si>
  <si>
    <t>non essential gene by Himar1-based transposon mutagenesis in H37Rv strain (see Sassetti et al., 2003). Required for growth in C57BL/6J mouse spleen, by transposon site hybridization (TraSH) in H37Rv (See Sassetti and Rubin, 2003). Essential gene for in vitro growth of H37Rv, by sequencing of Himar1-based transposon mutagenesis (See Griffin et al., 2011). Growth and cytotoxicity of M. tuberculosis H37Rv Rv3864 mutant in THP-1 cells is comparable to wild-type (See Guinn et al., 2003). Check for mutants available at TARGET website</t>
  </si>
  <si>
    <t>non essential gene by Himar1-based transposon mutagenesis in H37Rv and CDC1551 strains (see Sassetti et al., 2003 and Lamichhane et al., 2003). Required for growth in C57BL/6J mouse spleen, by transposon site hybridization (TraSH) in H37Rv (See Sassetti and Rubin, 2003). Non-essential gene for in vitro growth of H37Rv, by sequencing of Himar1-based transposon mutagenesis (See Griffin et al., 2011). In THP-1 cells, M. tuberculosis H37Rv Rv3870 mutant is attenuated for growth and cytotoxicity; in C57BL/6 mouse lungs, growth and histopathology are attenuated; Rv3875 protein not detected by Western blot in culture filtrate of mutant; Rv3874 protein levels in cell pellet are comparable to wild-type but are reduced in culture filtrate, by ELISPOT (See Guinn et al., 2003). Check for mutants available at TARGET website</t>
  </si>
  <si>
    <t>Required for growth in C57BL/6J mouse spleen, by transposon site hybridization (TraSH) in H37Rv (See Sassetti and Rubin, 2003). Non-essential gene for in vitro growth of H37Rv, by sequencing of Himar1-based transposon mutagenesis (See Griffin et al., 2011). SCID mice infected with M. tuberculosis H37Rv Rv3871 mutant survive longer than those infected with wild-type; Rv3875 protein detected by Western blot in whole cell extract but not in culture filtrate of mutant (See Hsu et al., 2003). In THP-1 cells, M. tuberculosis H37Rv Rv3871 mutant is attenuated for growth and cytotoxicity; Rv3874 protein levels in cell pellet are comparable to wild-type but are reduced in culture filtrate, by ELISPOT (See Guinn et al., 2003). Check for mutants available at TARGET website</t>
  </si>
  <si>
    <t>Required for growth in C57BL/6J mouse spleen, by transposon site hybridization (TraSH) in H37Rv (See Sassetti and Rubin, 2003). Non-essential gene for in vitro growth of H37Rv, by sequencing of Himar1-based transposon mutagenesis (See Griffin et al., 2011). Survival of SCID mice infected with M. tuberculosis H37Rv Rv3872-Rv3873 mutant is comparable to those infected with wild-type; Rv3875 protein detected by Western blot in culture filtrate of mutant (See Hsu et al., 2003). Check for mutants available at TARGET website</t>
  </si>
  <si>
    <t>non essential gene by Himar1-based transposon mutagenesis in CDC1551 strain (see Lamichhane et al., 2003). Required for growth in C57BL/6J mouse spleen, by transposon site hybridization (TraSH) in H37Rv (See Sassetti and Rubin, 2003). Non-essential gene for in vitro growth of H37Rv, by sequencing of Himar1-based transposon mutagenesis (See Griffin et al., 2011). Survival of SCID mice infected with M. tuberculosis H37Rv Rv3872-Rv3873 mutant is comparable to those infected with wild-type; Rv3875 protein detected by Western blot in culture filtrate of mutant (See Hsu et al., 2003). Check for mutants available at TARGET website</t>
  </si>
  <si>
    <t>Non-essential gene for in vitro growth of H37Rv, by sequencing of Himar1-based transposon mutagenesis (See Griffin et al., 2011). SCID mice infected with M. tuberculosis H37Rv Rv3874-Rv3875 mutant survive longer than those infected with wild-type (See Hsu et al., 2003). In THP-1 cells, M. tuberculosis H37Rv Rv3874 mutant is attenuated for growth and cytotoxicity; Rv3875 protein not detected by Western blot in culture filtrate of mutant (See Guinn et al., 2003). Check for mutants available at TARGET website</t>
  </si>
  <si>
    <t>SCID mice infected with M. tuberculosis H37Rv Rv3874-Rv3875 mutant survive longer than those infected with wild-type (See Hsu et al., 2003). In THP-1 cells, M. tuberculosis H37Rv Rv3875 mutant is attenuated for growth and cytotoxicity; in C57BL/6 mouse lungs, growth and histopathology are attenuated; Rv3874 protein levels are reduced in cell pellet and not detected in culture filtrate, by ELISPOT (See Guinn et al., 2003). Check for mutants available at TARGET website</t>
  </si>
  <si>
    <t>Required for growth in C57BL/6J mouse spleen, by transposon site hybridization (TraSH) in H37Rv (See Sassetti and Rubin, 2003). Non-essential gene for in vitro growth of H37Rv, by sequencing of Himar1-based transposon mutagenesis (See Griffin et al., 2011). SCID mice infected with M. tuberculosis H37Rv Rv3876-Rv3877 mutant survive longer than those infected with wild-type; Rv3875 protein detected by Western blot in whole cell extract but not in culture filtrate of mutant (See Hsu et al., 2003). In THP-1 cells, M. tuberculosis H37Rv Rv3876 mutant is attenuated for growth and cytotoxicity; in C57BL/6 mouse lungs, growth and histopathology are attenuated; Rv3874 protein levels in cell pellet are comparable to wild-type but are reduced in culture filtrate, by ELISPOT (See Guinn et al., 2003). Check for mutants available at TARGET website</t>
  </si>
  <si>
    <t>Required for growth in C57BL/6J mouse spleen, by transposon site hybridization (TraSH) in H37Rv (See Sassetti and Rubin, 2003). Non-essential gene for in vitro growth of H37Rv, by sequencing of Himar1-based transposon mutagenesis (See Griffin et al., 2011). SCID mice infected with M. tuberculosis H37Rv Rv3876-Rv3877 mutant survive longer than those infected with wild-type; Rv3875 protein detected by Western blot in whole cell extract but not in culture filtrate of mutant (See Hsu et al., 2003). M. tuberculosis (Erdman) Rv3877 transposon mutant failed to grow in mouse bone marrow-derived macrophages (See MacGurn et al., 2005). Check for mutants available at TARGET website</t>
  </si>
  <si>
    <t>non essential gene by Himar1-based transposon mutagenesis in H37Rv strain (see Sassetti et al., 2003). Non-essential gene for in vitro growth of H37Rv, by sequencing of Himar1-based transposon mutagenesis (See Griffin et al., 2011). M. tuberculosis Erdman mycP1|Rv3883c mutant does not secrete EsxA|Rv3875 and complementation with mycP1-S332A results in increased secretion of ESX-1 substrates compared to wild-type; growth of mutant in BALB/c mice and in C57BL/6 bone marrow-derived macrophages is impaired but not when complemented with mycP1-S332A; BALB/c mice are not killed when infected with mutant or mutant complemented with mycP1-S332A (See Ohol et al., 2010). Check for mutants available at TARGET website</t>
  </si>
  <si>
    <t>non essential gene by Himar1-based transposon mutagenesis in H37Rv and CDC1551 strains (see Sassetti et al., 2003 and Lamichhane et al., 2003). Non-essential gene for in vitro growth of H37Rv, but essential for in vitro growth on cholesterol; by sequencing of Himar1-based transposon mutagenesis (See Griffin et al., 2011). Growth of M. tuberculosis H37Rv sigM|Rv3911 mutant in vitro and in vitro under oxidative stresses is comparable to wild-type; TLC shows mutant has increased PDIM synthesis and no PDIM when sigM|Rv3911 is overexpressed (See Raman et al., 2006). Check for mutants available at TARGET website</t>
  </si>
  <si>
    <t>Rv0457c/Rv0458</t>
  </si>
  <si>
    <t>Rv0680c/Rv0681</t>
  </si>
  <si>
    <t>Rv0851c/Rv0852</t>
  </si>
  <si>
    <t>Rv0950c/Rv0951</t>
  </si>
  <si>
    <t>Rv1158c/Rv1159</t>
  </si>
  <si>
    <t>Rv1405c/Rv1406</t>
  </si>
  <si>
    <t>Rv1779c/Rv1780</t>
  </si>
  <si>
    <t>Rv1976c/Rv1977</t>
  </si>
  <si>
    <t>Rv2077c/Rv2078</t>
  </si>
  <si>
    <t>Rv2406c/Rv2407</t>
  </si>
  <si>
    <t>Rv2699c/Rv2700</t>
  </si>
  <si>
    <t>Rv3843c/Rv3844</t>
  </si>
  <si>
    <t>Crp binding comp. pred.</t>
  </si>
  <si>
    <t>stable RNAs&lt;br /&gt;</t>
  </si>
  <si>
    <t>information pathways&lt;br /&gt;</t>
  </si>
  <si>
    <t>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</si>
  <si>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</si>
  <si>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cytosol and cell membrane fraction of M. tuberculosis H37Rv using 2DLC/MS (See Mawuenyega et al., 2005). Identified by mass spectrometry in whole cell lysates of M. tuberculosis H37Rv but not the culture filtrate or membrane protein fraction (See de Souza et al., 2011).</t>
  </si>
  <si>
    <t>conserved hypotheticals&lt;br /&gt;Prediction based on GO and InterPro: information pathways (See Mazandu and Mulder, 2012)</t>
  </si>
  <si>
    <t>Identified by proteomics at the Statens Serum Institute (Denmark) (see Rosenkrands et al., 2000). Identified in the membrane fraction of M. tuberculosis H37Rv using 1D-SDS-PAGE and uLC-MS/MS (See Gu et al., 2003). Identified in the cell wall fraction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</si>
  <si>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</si>
  <si>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cell wall and cell processes&lt;br /&gt;</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</si>
  <si>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</si>
  <si>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</si>
  <si>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The product of this CDS corresponds to spots 4_74, 4_10, 3_328 and 3_361 identified in culture supernatant by proteomics at the Max Planck Institute for Infection Biology, Berlin, Germany, spots 0009 also identified by the Statens Serum Institute (Denmark), and spot identified in the University of California (USA) (see citations below).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Detected by 2-DE and MS in M. tuberculosis H37Rv purified from phagosomes of infected murine bone marrow macrophages but not in H37Rv broth-cultures (See Mattow et al., 2006).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</si>
  <si>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</si>
  <si>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</si>
  <si>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Predicted secreted protein - identified in culture filtrates of M. tuberculosis H37Rv; signal peptide predicted (See Malen et al., 2007). Identified in the cell membrane fraction of M. tuberculosis H37Rv using 2DLC/MS (See Mawuenyega et al., 2005).</t>
  </si>
  <si>
    <t>intermediary metabolism and respiration&lt;br /&gt;</t>
  </si>
  <si>
    <t>Identified in the membrane fraction of M. tuberculosis H37Rv using 1D-SDS-PAGE and uLC-MS/MS (See Gu et al., 2003). Identified by mass spectrometry in whole cell lysates of M. tuberculosis H37Rv but not the culture filtrate or membrane protein fraction (See de Souza et al., 2011).</t>
  </si>
  <si>
    <t>regulatory proteins&lt;br /&gt;</t>
  </si>
  <si>
    <t>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Kelkar et al., 2011).</t>
  </si>
  <si>
    <t>Identified in the cytosol of M. tuberculosis H37Rv using 2DLC/MS (See Mawuenyega et al., 2005). Predicted transmembrane protein - identified in culture filtrates of M. tuberculosis H37Rv; signal peptide predicted (See Malen et al., 2007). Identified by mass spectrometry in M. tuberculosis H37Rv-infected guinea pig lungs at 30 and 90 days (See Kruh et al., 2010).</t>
  </si>
  <si>
    <t>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</si>
  <si>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nanoLC-MS/MS; predicted integral membrane protein (See Xiong et al., 2005). Identified by mass spectrometry in whole cell lysates of M. tuberculosis H37Rv but not the culture filtrate or membrane protein fraction (See de Souza et al., 2011).</t>
  </si>
  <si>
    <t>Identified in the membrane fraction of M. tuberculosis H37Rv using 1D-SDS-PAGE and uLC-MS/MS; predicted transmembrane protein (See Gu et al., 2003). Identified in the cell membrane fraction of M. tuberculosis H37Rv using 2DLC/MS (See Mawuenyega et al., 2005).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</si>
  <si>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Max Planck Institute for Infection Biology, Berlin, Germany and the Statens Serum Institute (Denmark) (see Jungblut et al., 1999). Identified in the culture supernatant of M. tuberculosis H37Rv using mass spectrometry (See Mattow et al., 2003). Identified in the cytosol of M. tuberculosis H37Rv using 2DLC/MS (See Mawuenyega et al., 2005). Putative glycoprotein identified by LC/ESI-MS/MS in the culture filtrate of M. tuberculosis H37Rv (See Gonzalez-Zamorano et al., 2009).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</si>
  <si>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conserved hypotheticals&lt;br /&gt;Prediction based on GO and InterPro: intermediary metabolism and respiration (See Mazandu and Mulder, 2012)</t>
  </si>
  <si>
    <t>Identified in the cell wall fraction of M. tuberculosis H37Rv using 2DLC/MS (See Mawuenyega et al., 2005).</t>
  </si>
  <si>
    <t>virulence, detoxification, adaptation&lt;br /&gt;</t>
  </si>
  <si>
    <t>Identified in the cell membrane fraction of M. tuberculosis H37Rv using 2DLC/MS (See Mawuenyega et al., 2005).</t>
  </si>
  <si>
    <t>conserved hypotheticals&lt;br /&gt;Prediction based on GO and InterPro: regulatory proteins (See Mazandu and Mulder, 2012)</t>
  </si>
  <si>
    <t>Identified by mass spectrometry in whole cell lysates of M. tuberculosis H37Rv but not the culture filtrate or membrane protein fraction (See de Souza et al., 2011). Translational start site supported by proteomics data (See de Souza et al., 2011) (See Kelkar et al., 2011).</t>
  </si>
  <si>
    <t>conserved hypotheticals&lt;br /&gt;Prediction based on GO and InterPro: cell wall and cell processes (See Mazandu and Mulder, 2012)</t>
  </si>
  <si>
    <t>Identified by mass spectrometry in M. tuberculosis H37Rv-infected guinea pig lungs at 30 days but not 90 days (See Kruh et al., 2010).</t>
  </si>
  <si>
    <t>conserved hypotheticals&lt;br /&gt;</t>
  </si>
  <si>
    <t>Identified by mass spectrometry in whole cell lysates of M. tuberculosis H37Rv but not the culture filtrate or membrane protein fraction (See de Souza et al., 2011).</t>
  </si>
  <si>
    <t>Translational start site supported by proteomics data (See Kelkar et al., 2011).</t>
  </si>
  <si>
    <t>Identified in the cytosol of M. tuberculosis H37Rv using 2DLC/MS (See Mawuenyega et al., 2005).</t>
  </si>
  <si>
    <t>conserved hypotheticals&lt;br /&gt;Prediction based on GO and InterPro: insertion seqs and phages (See Mazandu and Mulder, 2012)</t>
  </si>
  <si>
    <t>insertion seqs and phages&lt;br /&gt;</t>
  </si>
  <si>
    <t>Identified in the cell wall fraction of M. tuberculosis H37Rv using 2DLC/MS (See Mawuenyega et al., 2005). Identified by mass spectrometry in M. tuberculosis H37Rv-infected guinea pig lungs at 30 days but not 90 days (See Kruh et al., 2010).</t>
  </si>
  <si>
    <t>lipid metabolism&lt;br /&gt;</t>
  </si>
  <si>
    <t>conserved hypotheticals&lt;br /&gt;Prediction based on GO and InterPro: lipid metabolism (See Mazandu and Mulder, 2012)</t>
  </si>
  <si>
    <t>Identified by mass spectrometry in the membrane protein fraction and whole cell lysates of M. tuberculosis H37Rv but not the culture filtrate (See de Souza et al., 2011).</t>
  </si>
  <si>
    <t>The product of this CDS corresponds to spot 0036c identified in short term culture filtrate by proteomics at the Statens Serum Institute (Denmark), and also at the Max Planck Institute for Infection Biology, Berlin, Germany (see citations below). Identified in the membrane fraction of M. tuberculosis H37Rv using 1D-SDS-PAGE and uLC-MS/MS (See Gu et al., 2003). Identified by mass spectrometry in Triton X-114 extracts of M. tuberculosis H37Rv (See Malen et al., 2010). Identified by mass spectrometry in whole cell lysates of M. tuberculosis H37Rv but not the culture filtrate or membrane protein fraction (See de Souza et al., 2011). Translational start site supported by proteomics data (See Kelkar et al., 2011).</t>
  </si>
  <si>
    <t>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</si>
  <si>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</si>
  <si>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</si>
  <si>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membrane fraction of M. tuberculosis H37Rv using 1D-SDS-PAGE and uLC-MS/MS (See Gu et al., 2003).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</si>
  <si>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</si>
  <si>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</si>
  <si>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</si>
  <si>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</si>
  <si>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 6_26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</si>
  <si>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The product of this CDS corresponds to spot 3_210 identified in culture supernatant by proteomics at the Max Planck Institute for Infection Biology, Berlin, Germany (see citations below). Identified in immunodominant fractions of M. tuberculosis H37Rv cytosol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</si>
  <si>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</si>
  <si>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</si>
  <si>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and cell wall fraction of M. tuberculosis H37Rv using 2DLC/MS (See Mawuenyega et al., 2005).</t>
  </si>
  <si>
    <t>Identified in the cytosol of M. tuberculosis H37Rv using 2DLC/MS (See Mawuenyega et al., 2005). Identified by mass spectrometry in M. tuberculosis H37Rv-infected guinea pig lungs at 30 days but not 90 days (See Kruh et al., 2010).</t>
  </si>
  <si>
    <t>Predicted transmembrane protein - identified in culture filtrates of M. tuberculosis H37Rv; signal peptide predicted (See Malen et al., 2007). Identified by mass spectrometry in the culture filtrate of M. tuberculosis H37Rv but not the membrane protein fraction or whole cell lysates (See de Souza et al., 2011).</t>
  </si>
  <si>
    <t>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the culture filtrate of M. tuberculosis H37Rv but not the membrane protein fraction or whole cell lysates (See de Souza et al., 2011).</t>
  </si>
  <si>
    <t>Predicted transmembrane protein - identified in culture filtrates of M. tuberculosis H37Rv; signal peptide predicted (See Malen et al., 2007). Identified in the cell membrane fraction of M. tuberculosis H37Rv using 2DLC/MS (See Mawuenyega et al., 2005).</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</si>
  <si>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</si>
  <si>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proteomics (See Rosenkrands et al., 2000). Identified in the membrane fraction of M. tuberculosis H37Rv using 1D-SDS-PAGE and uLC-MS/MS (See Gu et al., 2003). Identified by mass spectrometry in whole cell lysates of M. tuberculosis H37Rv but not the culture filtrate or membrane protein fraction (See de Souza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</si>
  <si>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</si>
  <si>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</si>
  <si>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</si>
  <si>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</si>
  <si>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</si>
  <si>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by mass spectrometry in the culture filtrate and whole cell lysates of M. tuberculosis H37Rv but not the membrane protein fraction (See de Souza et al., 2011).</t>
  </si>
  <si>
    <t>Identified in cell lysates and/or culture filtrates of M. tuberculosis H37Rv (See Kelkar et al., 2011).</t>
  </si>
  <si>
    <t>Identified in the membrane fraction of M. tuberculosis H37Rv using 1D-SDS-PAGE and uLC-MS/MS (See Gu et al., 2003). Identified in the cell wall fraction of M. tuberculosis H37Rv using 2DLC/MS (See Mawuenyega et al., 2005).</t>
  </si>
  <si>
    <t>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</si>
  <si>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by proteomics (see Rosenkrands et al., 2000). 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</si>
  <si>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</si>
  <si>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PE/PPE&lt;br /&gt;Prediction based on GO and InterPro: cell wall and cell processes (See Mazandu and Mulder, 2012)</t>
  </si>
  <si>
    <t>Identified by mass spectrometry in M. tuberculosis H37Rv-infected guinea pig lungs at 90 days but not 30 days (See Kruh et al., 2010).</t>
  </si>
  <si>
    <t>Identified by proteomics at the Statens Serum Institute (Denmark) (See Rosenkrands et al., 2000).</t>
  </si>
  <si>
    <t>Identified in the membrane fraction of M. tuberculosis H37Rv using 1D-SDS-PAGE and uLC-MS/MS (See Gu et al., 2003). Identified in the cell membrane fraction of M. tuberculosis H37Rv using 2DLC/MS (See Mawuenyega et al., 2005).</t>
  </si>
  <si>
    <t>Identified in the cell membrane fraction of M. tuberculosis H37Rv using 2DLC/MS (See Mawuenyega et al., 2005). Identified by mass spectrometry in M. tuberculosis H37Rv-infected guinea pig lungs at 90 days but not 30 days (See Kruh et al., 2010).</t>
  </si>
  <si>
    <t>Identified in the cytosol, cell wall, and cell membrane fractions of M. tuberculosis H37Rv using 2DLC/MS (See Mawuenyega et al., 2005). Identified by mass spectrometry in M. tuberculosis H37Rv-infected guinea pig lungs at 30 days but not 90 days (See Kruh et al., 2010).</t>
  </si>
  <si>
    <t>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</si>
  <si>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the cytosol and cell membrane fraction of M. tuberculosis H37Rv using 2DLC/MS (See Mawuenyega et al., 2005). Identified by mass spectrometry in M. tuberculosis H37Rv-infected guinea pig lungs at 90 days but not 30 days (See Kruh et al., 2010).</t>
  </si>
  <si>
    <t>Identified in the cytosol, cell wall, and cell membrane fractions of M. tuberculosis H37Rv using 2DLC/MS (See Mawuenyega et al., 2005). Identified in the membrane fraction of M. tuberculosis H37Rv using nanoLC-MS/MS (See Xiong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</si>
  <si>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PE/PPE&lt;br /&gt;</t>
  </si>
  <si>
    <t>Identified in the cell wall and cell membrane fractions of M. tuberculosis H37Rv using 2DLC/MS (See Mawuenyega et al., 2005).</t>
  </si>
  <si>
    <t>Predicted secreted protein - identified in culture filtrates of M. tuberculosis H37Rv; signal peptide predicted (See Malen et al., 2007). Identified by mass spectrometry in the culture filtrate and whole cell lysates of M. tuberculosis H37Rv but not the membrane protein fraction (See de Souza et al., 2011).</t>
  </si>
  <si>
    <t>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</si>
  <si>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The product of this CDS corresponds to spot 1_187 identified by proteomics at the Max Planck Institute for Infection Biology, Berlin, Germany (See Mattow et al., 2001). 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</si>
  <si>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mass spectrometry in M. tuberculosis H37Rv-infected guinea pig lungs at 30 and 90 days (See Kruh et al., 2010).</t>
  </si>
  <si>
    <t>Identified in the culture supernatant of M. tuberculosis H37Rv using mass spectrometry and Edman degradation (See Mattow et al., 2003). Predicted secreted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</si>
  <si>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</si>
  <si>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</si>
  <si>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3_497 identified in culture supernatant by proteomics at the Max Planck Institute for Infection Biology, Berlin, Germany, and spot 0129c identified in short term culture filtrate by proteomics at the Statens Serum Institute (Denmark) (See Mollenkopf et al., 1999; Jungblut et al., 1999; Rosenkrands et al., 2000a, 2000b). Identified in immunodominant fractions of M. tuberculosis H37Rv culture filtrate using 2D-LPE, 2D-PAGE, and LC-MS or LC-MS/MS (See Covert et al., 2001). Identified in the culture supernatant of M. tuberculosis H37Rv using mass spectrometry and Edman degradation (See Mattow et al., 2003). 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</si>
  <si>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</si>
  <si>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</si>
  <si>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</si>
  <si>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the cell wall and cell membrane fractions of M. tuberculosis H37Rv using 2DLC/MS (See Mawuenyega et al., 2005). Identified by mass spectrometry in whole cell lysates of M. tuberculosis H37Rv but not the culture filtrate or membrane protein fraction (See de Souza et al., 2011).</t>
  </si>
  <si>
    <t>Identified in culture filtrates of M. tuberculosis H37Rv (See Malen et al., 2007). Identified by mass spectrometry in whole cell lysates of M. tuberculosis H37Rv but not the culture filtrate or membrane protein fraction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</si>
  <si>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</si>
  <si>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</si>
  <si>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</si>
  <si>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</si>
  <si>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</si>
  <si>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</si>
  <si>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</si>
  <si>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a spot identified by proteomics at the Max Planck Institute for Infection Biology, Berlin, Germany (See Jungblut et al., 1999).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</si>
  <si>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</si>
  <si>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the culture filtrate, membrane fraction, and whole cell lysates of M. tuberculosis H37Rv (See de Souza et al., 2011). Identified by mass spectrometry in the membrane protein fraction of M. tuberculosis H37Rv but not the culture filtrate or membrane protein fraction (See de Souza et al., 2011).</t>
  </si>
  <si>
    <t>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</si>
  <si>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spots 0164 or TB18.5 identified in cell wall by proteomics at the Statens Serum Institute (Denmark), and at the Max Planck Institute for Infection Biology, Berlin, Germany (see citations below). Identified in the culture supernatant of M. tuberculosis H37Rv using mass spectrometry (See Mattow et al., 2003). Predicted secreted protein - identified in culture filtrates of M. tuberculosis H37Rv; signal peptide predicted (See Malen et al., 2007). Identified by mass spectrometry in the culture filtrate and whole cell lysates of M. tuberculosis H37Rv but not the membrane protein fraction (See de Souza et al., 2011).</t>
  </si>
  <si>
    <t>Identified in the membrane fraction of M. tuberculosis H37Rv using 1D-SDS-PAGE and uLC-MS/MS; predicted transmembrane protein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</si>
  <si>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(see Ahmad et al., 1999).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</si>
  <si>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</si>
  <si>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enriched in the membrane fraction and predicted N-terminal signal peptide is uncleaved (See de Souza et al., 2011).</t>
  </si>
  <si>
    <t>Predicted secreted protein - identified in culture filtrates of M. tuberculosis H37Rv; signal peptide predicted (See Malen et al., 2007).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</si>
  <si>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by proteomics (see Ahmad et al., 1999). Predicted surface lipoprotein - identified in culture filtrates of M. tuberculosis H37Rv; signal peptide predicted (See Malen et al., 2007).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</si>
  <si>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</si>
  <si>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in the membrane fraction of M. tuberculosis H37Rv using nanoLC-MS/MS; predicted integral membrane protein (See Xiong et al., 2005). Identified by mass spectrometry in whole cell lysates of M. tuberculosis H37Rv but not the culture filtrate or membrane protein fraction (See de Souza et al., 2011).</t>
  </si>
  <si>
    <t>Identified in the membrane fraction of M. tuberculosis H37Rv using 1D-SDS-PAGE and uLC-MS/MS; predicted transmembrane protein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</si>
  <si>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conserved hypotheticals&lt;br /&gt;Prediction based on GO and InterPro: virulence, detoxification, adaptation (See Mazandu and Mulder, 2012)</t>
  </si>
  <si>
    <t>Identified in the membrane fraction of M. tuberculosis H37Rv using 1D-SDS-PAGE and uLC-MS/MS; predicted transmembrane protein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</si>
  <si>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</si>
  <si>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</si>
  <si>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cytosol and cell membrane fraction of M. tuberculosis H37Rv using 2DLC/MS (See Mawuenyega et al., 2005).</t>
  </si>
  <si>
    <t>Identified in the cell membrane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</si>
  <si>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The product of this CDS corresponds to spot 3_329 identified in culture supernatant by proteomics at the Max Planck Institute for Infection Biology, Berlin, Germany, and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</si>
  <si>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</si>
  <si>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</si>
  <si>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Kelkar et al., 2011).</t>
  </si>
  <si>
    <t>Identified in culture filtrates of M. tuberculosis H37Rv (See Malen et al., 2007).</t>
  </si>
  <si>
    <t>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</si>
  <si>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in the cell wall and cell membrane fractions of M. tuberculosis H37Rv using 2DLC/MS (See Mawuenyega et al., 2005). Identified by mass spectrometry in the culture filtrate of M. tuberculosis H37Rv but not the membrane protein fraction or whole cell lysates (See de Souza et al., 2011). Translational start site supported by proteomics data (See Kelkar et al., 2011).</t>
  </si>
  <si>
    <t>Identified in the membrane fraction of M. tuberculosis H37Rv using nanoLC-MS/MS; predicted integral membrane protein (See Xiong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 Translational start site supported by proteomics data (See de Souza et al., 2011).</t>
  </si>
  <si>
    <t>Identified in the membrane fraction of M. tuberculosis H37Rv using 1D-SDS-PAGE and uLC-MS/MS; predicted transmembrane protein (See Gu et al., 2003). Identified by mass spectrometry in whole cell lysates of M. tuberculosis H37Rv but not the culture filtrate or membrane protein fraction (See de Souza et al., 2011).</t>
  </si>
  <si>
    <t>Identified in the cytosol, cell wall, and cell membrane fractions of M. tuberculosis H37Rv using 2DLC/MS (See Mawuenyega et al., 2005). Identified by mass spectrometry in M. tuberculosis H37Rv-infected guinea pig lungs at 90 days but not 30 days (See Kruh et al., 2010).</t>
  </si>
  <si>
    <t>Identified in the cell wall and cell membrane fractions of M. tuberculosis H37Rv using 2DLC/MS (See Mawuenyega et al., 2005). Identified by mass spectrometry in the membrane protein fraction of M. tuberculosis H37Rv but not the culture filtrate or membrane protein fraction (See de Souza et al., 2011). Translational start site supported by proteomics data (See Kelkar et al., 2011).</t>
  </si>
  <si>
    <t>Identified in the cell wall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</si>
  <si>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t>
  </si>
  <si>
    <t>Identified by proteomics (see Rosenkrands et al., 2000; Wong et al., 1999). Identified in the membrane fraction of M. tuberculosis H37Rv using 1D-SDS-PAGE and uLC-MS/MS (See Gu et al., 2003). Identified in culture filtrates of M. tuberculosis H37Rv (See Malen et al., 2007).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</si>
  <si>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</si>
  <si>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</si>
  <si>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Predicted transmembrane protein - identified in culture filtrates of M. tuberculosis H37Rv; signal peptide predicted (See Malen et al., 2007).</t>
  </si>
  <si>
    <t>The product of this CDS corresponds to spot 3_257 identified by proteomics at the Max Planck Institute for Infection Biology, Berlin, Germany (See Mattow et al., 2001).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</si>
  <si>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cell membrane fraction of M. tuberculosis H37Rv using 2DLC/MS (See Mawuenyega et al., 2005).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</si>
  <si>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</si>
  <si>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</si>
  <si>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</si>
  <si>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</si>
  <si>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</si>
  <si>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of M. tuberculosis H37Rv but not the culture filtrate or membrane protein fraction (See de Souza et al., 2011). Translational start site supported by proteomics data (See de Souza et al., 2011).</t>
  </si>
  <si>
    <t>Predicted surface lipoprotein - identified in culture filtrates of M. tuberculosis H37Rv; signal peptide predicted (See Malen et al., 2007). Identified in the cell wall fraction of M. tuberculosis H37Rv using 2DLC/MS (See Mawuenyega et al., 2005). Identified in the membrane fraction of M. tuberculosis H37Rv using nanoLC-MS/MS (See Xiong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</si>
  <si>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</si>
  <si>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1_266, 1_305 and 1_329 identified in culture supernatant by proteomics at the Max Planck Institute for Infection Biology, Berlin, Germany (See Mollenkopf et al., 1999; Jungblut et al., 1999). Identified in carbonate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(See Mattow et al., 2003). Identified in the cytosol and cell wall fraction of M. tuberculosis H37Rv using 2DLC/MS (See Mawuenyega et al., 2005). Identified in both the aqueous and detergent phases of Triton X-114 extracts of M. tuberculosis H37Rv membranes using 1-DGE, 2-DGE, and MALDI-TOF-MS (See Sinha et al., 2005). Identified in culture filtrates of M. tuberculosis H37Rv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</si>
  <si>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Triton X-114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</si>
  <si>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</si>
  <si>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whole cell lysates of M. tuberculosis H37Rv but not the culture filtrate or membrane protein fraction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</si>
  <si>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</si>
  <si>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Triton X-114 and carbonate extracts of M. tuberculosis H37Rv membranes using 2DGE and MALDI-MS (See Sinha et al., 2002). Identified in the membrane fraction of M. tuberculosis H37Rv using 1D-SDS-PAGE and uLC-MS/MS (See Gu et al., 2003).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</si>
  <si>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and cell membrane fraction of M. tuberculosis H37Rv using 2DLC/MS (See Mawuenyega et al., 2005). Identified by mass spectrometry in M. tuberculosis H37Rv-infected guinea pig lungs at 30 and 90 days (See Kruh et al., 2010).</t>
  </si>
  <si>
    <t>Identified in the cell wall fraction of M. tuberculosis H37Rv using 2DLC/MS (See Mawuenyega et al., 2005). Translational start site supported by proteomics data (See Kelkar et al., 2011).</t>
  </si>
  <si>
    <t>Identified in the membrane fraction of M. tuberculosis H37Rv using 1D-SDS-PAGE and uLC-MS/MS (See Gu et al., 2003). Translational start site supported by proteomics data (See Kelkar et al., 2011).</t>
  </si>
  <si>
    <t>Predicted surface lipoprotein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</si>
  <si>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</si>
  <si>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cell membrane fraction of M. tuberculosis H37Rv using 2DLC/MS (See Mawuenyega et al., 2005). Identified by mass spectrometry in M. tuberculosis H37Rv-infected guinea pig lungs at 30 days but not 90 days (See Kruh et al., 2010).</t>
  </si>
  <si>
    <t>Identified by proteomics (See Rosenkrands et al., 2000). Identified in Triton X-114 extracts of M. tuberculosis H37Rv membranes using 2DGE and MALDI-MS (See Sinha et al., 2002).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aqueous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</si>
  <si>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</si>
  <si>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mass spectrometry in Triton X-114 extracts of M. tuberculosis H37Rv (See Malen et al., 2010). Identified by mass spectrometry in the culture filtrate and membrane protein fraction of M. tuberculosis H37Rv but not whole cell lysates (See de Souza et al., 2011).</t>
  </si>
  <si>
    <t>PE/PPE&lt;br /&gt;Prediction based on GO and InterPro: virulence, detoxification, adaptation (See Mazandu and Mulder, 2012)</t>
  </si>
  <si>
    <t>Identified in the membrane fraction of M. tuberculosis H37Rv using 1D-SDS-PAGE and uLC-MS/MS (See Gu et al., 2003).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</si>
  <si>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membrane fraction of M. tuberculosis H37Rv using 1D-SDS-PAGE and uLC-MS/MS (See Gu et al., 2003). Identified in the cytosol,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</si>
  <si>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cell wall and cell membrane fractions of M. tuberculosis H37Rv using 2DLC/MS (See Mawuenyega et al., 2005). Identified in the membrane fraction of M. tuberculosis H37Rv using nanoLC-MS/MS; predicted integral membrane protein (See Xiong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</si>
  <si>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cell wall and cell membrane fractions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</si>
  <si>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and membrane protein fraction of M. tuberculosis H37Rv but not whole cell lysates; enriched in the membrane fraction and predicted N-terminal signal peptide is uncleaved (See de Souza et al., 2011).</t>
  </si>
  <si>
    <t>The product of this CDS corresponds to spot 0287 (or TB9.8) identified in short term culture filtrate by proteomics at the Statens Serum Institute (Denmark) (See Rosenkrands et al., 2000a, 2000b). Identified in the culture supernatant of M. tuberculosis H37Rv using mass spectrometry (See Mattow et al., 2003). Identified in culture filtrates of M. tuberculosis H37Rv (See Malen et al., 2007). Identified in the culture filtrate of M. tuberculosis H37Rv using LC-MS/MS; antigen recognized by serum pool from tuberculosis patients (See Malen et al., 2008). Identified by mass spectrometry in Triton X-114 extracts of M. tuberculosis H37Rv (See Malen et al., 2010). Translational start site supported by proteomics data (See de Souza et al., 2011) (See Kelkar et al., 2011).</t>
  </si>
  <si>
    <t>The product of this CDS corresponds to spots 0288 identified in short term culture filtrate by proteomics at the Statens Serum Institute (Denmark) (See Rosenkrands et al., 2000a, 2000b; Skjot et al., 2000).</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</si>
  <si>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</si>
  <si>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Predicted transmembrane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</si>
  <si>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wall fraction of M. tuberculosis H37Rv using 2DLC/MS (See Mawuenyega et al., 2005). Identified by mass spectrometry in whole cell lysates of M. tuberculosis H37Rv but not the culture filtrate or membrane protein fraction (See de Souza et al., 2011).</t>
  </si>
  <si>
    <t>Identified in the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</si>
  <si>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cytosol, cell wall, and cell membrane fractions of M. tuberculosis H37Rv using 2DLC/MS (See Mawuenyega et al., 2005).</t>
  </si>
  <si>
    <t>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</si>
  <si>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</si>
  <si>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</si>
  <si>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</si>
  <si>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unknown&lt;br /&gt;</t>
  </si>
  <si>
    <t>PE/PPE&lt;br /&gt;Prediction based on GO and InterPro: insertion seqs and phages (See Mazandu and Mulder, 2012)</t>
  </si>
  <si>
    <t>Identified in the membrane fraction of M. tuberculosis H37Rv using 1D-SDS-PAGE and uLC-MS/MS; predicted transmembrane protein (See Gu et al., 2003). Identified in the cell wall and cell membrane fractions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</si>
  <si>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culture filtrates of M. tuberculosis H37Rv (See Malen et al., 2007). Identified by mass spectrometry in the culture filtrate of M. tuberculosis H37Rv but not the membrane protein fraction or whole cell lysates (See de Souza et al., 2011).</t>
  </si>
  <si>
    <t>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</si>
  <si>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predicted transmembrane protein (See Gu et al., 2003). Identified in the cell wall and cell membrane fractions of M. tuberculosis H37Rv using 2DLC/MS (See Mawuenyega et al., 2005). Identified by mass spectrometry in M. tuberculosis H37Rv-infected guinea pig lungs at 30 days but not 90 days (See Kruh et al., 2010).</t>
  </si>
  <si>
    <t>Identified in the membrane fraction of M. tuberculosis H37Rv using 1D-SDS-PAGE and uLC-MS/MS (See Gu et al., 2003). Identified in the cytosol and cell membrane fraction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</si>
  <si>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de Souza et al., 2011).</t>
  </si>
  <si>
    <t>Identified in the cell wall fraction of M. tuberculosis H37Rv using 2DLC/MS (See Mawuenyega et al., 2005). Identified by mass spectrometry in whole cell lysates of M. tuberculosis H37Rv but not the culture filtrate or membrane protein fraction (See de Souza et al., 2011).</t>
  </si>
  <si>
    <t>The product of this CDS corresponds to spots 1_447, 1_449, 1_450, 1_451 and 1_459 identified in culture supernatant by proteomics at the Max Planck Institute for Infection Biology, Berlin, Germany, and spots 0350 identified in short term culture filtrate, cell wall and cytosol by proteomics at the Statens Serum Institute (Denmark) (See Mollenkopf et al., 1999; Jungblut et al., 1999; Rosenkrands et al., 2000a, 2000b). Identified in immunodominant fractions of M. tuberculosis H37Rv culture filtrate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the cytosol, cell wall, and cell membrane fractions of M. tuberculosis H37Rv using 2DLC/MS (See Mawuenyega et al., 2005). Identified in the aqueous phase of Triton X-114 extracts of M. tuberculosis H37Rv membranes using 2-DGE and MALDI-TOF-MS (See Sinha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</si>
  <si>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(see proteomics citations). Level decreases during starvation.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</si>
  <si>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</si>
  <si>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</si>
  <si>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proteomics at the Max Planck Institute for Infection Biology, Berlin, Germany, and at the Statens Serum Institute (Denmark) under aerobic and low oxygen conditions (see citations below).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</si>
  <si>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</si>
  <si>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</si>
  <si>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Translational start site supported by proteomics data (See Kelkar et al., 2011).</t>
  </si>
  <si>
    <t>Identified in the membrane fraction of M. tuberculosis H37Rv using 1D-SDS-PAGE and uLC-MS/MS; predicted transmembrane protein (See Gu et al., 2003). 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</si>
  <si>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1_403, 1_404, 1_405 and 1_406 identified in culture supernatant by proteomics at the Max Planck Institute for Infection Biology, Berlin, Germany, and the Statens Serum Institute (Denmark) (see proteomics citations). Identified in the membrane fraction of M. tuberculosis H37Rv using 1D-SDS-PAGE and uLC-MS/MS (See Gu et al., 2003). Identified in the culture supernatant of M. tuberculosis H37Rv using mass spectrometry (See Mattow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</si>
  <si>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</si>
  <si>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</si>
  <si>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</si>
  <si>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culture filtrate, membrane fraction, and whole cell lysates of M. tuberculosis H37Rv (See de Souza et al., 2011). Identified in cell lysates and/or culture filtrates of M. tuberculosis H37Rv (See Kelkar et al., 2011).</t>
  </si>
  <si>
    <t>Predicted secreted protein - identified in culture filtrates of M. tuberculosis H37Rv; signal peptide predicted and cleavable signal sequence confirmed experimentally (See Malen et al., 2007). Identified by mass spectrometry in M. tuberculosis H37Rv-infected guinea pig lungs at 30 days but not 90 days (See Kruh et al., 2010). Identified by mass spectrometry in the culture filtrate and whole cell lysates of M. tuberculosis H37Rv but not the membrane protein fraction (See de Souza et al., 2011).</t>
  </si>
  <si>
    <t>Identified by proteomics at the Statens Serum Institute (Denmark) (See Rosenkrands et al., 2000).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</si>
  <si>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Predicted transmembrane protein - identified in culture filtrates of M. tuberculosis H37Rv; signal peptide predicted (See Malen et al., 2007). Identified in the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</si>
  <si>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by mass spectrometry in the culture filtrate of M. tuberculosis H37Rv but not the membrane protein fraction or whole cell lysates (See de Souza et al., 2011).</t>
  </si>
  <si>
    <t>Identified by proteomics (See Rosenkrands et al., 2000).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</si>
  <si>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culture filtrates of M. tuberculosis H37Rv (See Malen et al., 2007). Identified by mass spectrometry in the culture filtrate and whole cell lysates of M. tuberculosis H37Rv but not the membrane protein fraction (See de Souza et al., 2011). Translational start site supported by proteomics data (See Kelkar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</si>
  <si>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</si>
  <si>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</si>
  <si>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</si>
  <si>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Identified by mass spectrometry in M. tuberculosis H37Rv-infected guinea pig lungs at 30 days but not 90 days (See Kruh et al., 2010). Translational start site supported by proteomics data (See Kelkar et al., 2011).</t>
  </si>
  <si>
    <t>Identified in the cytosol and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</si>
  <si>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Detected by 2-DE and MS in M. tuberculosis H37Rv purified from phagosomes of infected murine bone marrow macrophages but not in H37Rv broth-cultures (See Mattow et al., 2006). Identified by mass spectrometry in the membrane protein fraction and whole cell lysates of M. tuberculosis H37Rv but not the culture filtrate (See de Souza et al., 2011).</t>
  </si>
  <si>
    <t>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enriched in the membrane fraction and predicted N-terminal signal peptide is uncleaved (See de Souza et al., 2011).</t>
  </si>
  <si>
    <t>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1-DGE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</si>
  <si>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wall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</si>
  <si>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</si>
  <si>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1_212, 1_216, 1_233, 1_224, 1_247, 1_249, 1_25, 1_456, 1_457, 1_458 and 1_463 identified in culture supernatant by proteomics at the Max Planck Institute for Infection Biology, Berlin, Germany, and spots GroEL identified in cell wall and cytosol by proteomics at the Statens Serum Institute (Denmark). Note that in Mycobacterium bovis BCG, proteome analysis by 2D-electrophoresis and MS identified this homolog which showed increased expression inside macrophages (see Rosenkrands et al., 2000). Identified in immunodominant fractions of M. tuberculosis H37Rv cytosol using 2D-LPE, 2D-PAGE, and LC-MS or LC-MS/MS (See Covert et al., 2001). Identified in carbonate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(See Mattow et al., 2003). Identified in the cytosol,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</si>
  <si>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</si>
  <si>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</si>
  <si>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t>
  </si>
  <si>
    <t>Identified in the cytosol of M. tuberculosis H37Rv using 2DLC/MS (See Mawuenyega et al., 2005). Predicted secreted protein - identified in culture filtrates of M. tuberculosis H37Rv; signal peptide predicted (See Malen et al., 2007). Identified by mass spectrometry in M. tuberculosis H37Rv-infected guinea pig lungs at 30 days but not 90 days (See Kruh et al., 2010).</t>
  </si>
  <si>
    <t>Identified in the culture supernatant of M. tuberculosis H37Rv using mass spectrometry (See Mattow et al., 2003). Predicted secreted 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t>
  </si>
  <si>
    <t>Identified in the cell membrane fraction of M. tuberculosis H37Rv using 2DLC/MS (See Mawuenyega et al., 2005). Identified by mass spectrometry in the culture filtrate and whole cell lysates of M. tuberculosis H37Rv but not the membrane protein fraction (See de Souza et al., 2011). Translational start site supported by proteomics data (See Kelkar et al., 2011).</t>
  </si>
  <si>
    <t>The product of this CDS corresponds to spots 1_351 and 1_354 identified in culture supernatant by proteomics at the Max Planck Institute for Infection Biology, Berlin, Germany, and spots 0462 and TB49.2 identified in short term culture filtrate by proteomics at the Statens Serum Institute (Denmark) (see proteomics citations).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the aqueous phase of Triton X-114 extracts of M. tuberculosis H37Rv membranes using 2-DGE and MALDI-TOF-MS (See Sinha et al., 2005). Identified in culture filtrates of M. tuberculosis H37Rv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</si>
  <si>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</si>
  <si>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by mass spectrometry in whole cell lysates of M. tuberculosis H37Rv but not the culture filtrate or membrane protein fraction (See de Souza et al., 2011).</t>
  </si>
  <si>
    <t>Identified in the culture supernatant of M. tuberculosis H37Rv using mass spectrometry (See Mattow et al., 2003). Identified in the cytosol and cell membrane fraction of M. tuberculosis H37Rv using 2DLC/MS (See Mawuenyega et al., 2005). Identified by mass spectrometry in the culture filtrate and whole cell lysates of M. tuberculosis H37Rv but not the membrane protein fraction (See de Souza et al., 2011).</t>
  </si>
  <si>
    <t>Identified by proteomics (see Rosenkrands et al., 2000).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</si>
  <si>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has been identified by proteomics in the University of California (USA) (see Wong et al., 1999). 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</si>
  <si>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Predicted secreted protein - identified in culture filtrates of M. tuberculosis H37Rv; signal peptide predicted and cleavable signal sequence confirmed experimentally (See Malen et al., 2007). Identified by mass spectrometry in the culture filtrate of M. tuberculosis H37Rv but not the membrane protein fraction or whole cell lysates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</si>
  <si>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</si>
  <si>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</si>
  <si>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</si>
  <si>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Predicted secreted protein - identified in culture filtrates of M. tuberculosis H37Rv; signal peptide predicted (See Malen et al., 2007).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</si>
  <si>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Proteomics shows upregulation in isoniazid-resistant M. tuberculosis clinical isolates (See Jiang et al., 2006).</t>
  </si>
  <si>
    <t>Identified by mass spectrometry in Triton X-114 extracts of M. tuberculosis H37Rv (See Malen et al., 2010).</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</si>
  <si>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</si>
  <si>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culture filtrates of M. tuberculosis H37Rv (See Malen et al., 2007). Identified in the cytosol and cell membrane fraction of M. tuberculosis H37Rv using 2DLC/MS (See Mawuenyega et al., 2005).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</si>
  <si>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cytosol of M. tuberculosis H37Rv using 2DLC/MS (See Mawuenyega et al., 2005).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</si>
  <si>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whole cell lysates of M. tuberculosis H37Rv but not the culture filtrate or membrane protein fraction (See de Souza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</si>
  <si>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</si>
  <si>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cell wall and cell membrane fractions of M. tuberculosis H37Rv using 2DLC/MS (See Mawuenyega et al., 2005). Identified by mass spectrometry in M. tuberculosis H37Rv-infected guinea pig lungs at 90 days but not 30 days (See Kruh et al., 2010). Identified by mass spectrometry in the culture filtrate of M. tuberculosis H37Rv but not the membrane protein fraction or whole cell lysates (See de Souza et al., 2011).</t>
  </si>
  <si>
    <t>Identified in the cell membrane fraction of M. tuberculosis H37Rv using 2DLC/MS (See Mawuenyega et al., 2005). Identified by mass spectrometry in the culture filtrate of M. tuberculosis H37Rv but not the membrane protein fraction or whole cell lysates (See de Souza et al., 2011).</t>
  </si>
  <si>
    <t>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</si>
  <si>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by mass spectrometry in Triton X-114 extracts of M. tuberculosis H37Rv (See Malen et al., 2010). Identified by mass spectrometry in the membrane protein fraction of M. tuberculosis H37Rv but not the culture filtrate or membrane protein fraction; enriched in the membrane fraction and predicted N-terminal signal peptide is uncleaved (See de Souza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</si>
  <si>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</si>
  <si>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</si>
  <si>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membrane fraction of M. tuberculosis H37Rv using nanoLC-MS/MS (See Xiong et al., 2005). Predicted secreted protein/surface lipoprotein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</si>
  <si>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membrane fraction and whole cell lysates but not culture filtrate of M. tuberculosis H37Rv (See de Souza et al., 2011). Identified in cell lysates and/or culture filtrates of M. tuberculosis H37Rv (See Kelkar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</si>
  <si>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</si>
  <si>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Translational start site supported by proteomics data (See de Souza et al., 2011) (See Kelkar et al., 2011).</t>
  </si>
  <si>
    <t>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</si>
  <si>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Identified in the membrane fraction of M. tuberculosis H37Rv using 1D-SDS-PAGE and uLC-MS/MS; predicted transmembrane protein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</si>
  <si>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</si>
  <si>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and whole cell lysates of M. tuberculosis H37Rv but not the membrane protein fraction (See de Souza et al., 2011).</t>
  </si>
  <si>
    <t>Identified in the membrane fraction of M. tuberculosis H37Rv using nanoLC-MS/MS; predicted integral membrane protein (See Xiong et al., 2005). Predicted transmembrane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</si>
  <si>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 4-35 identified in culture supernatant by proteomics at the Max Planck Institute for Infection Biology, Berlin, Germany (see citations below). Identified in the culture supernatant of M. tuberculosis H37Rv using mass spectrometry (See Mattow et al., 2003). 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</si>
  <si>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of M. tuberculosis H37Rv using 2DLC/MS (See Mawuenyega et al., 2005). Identified by mass spectrometry in whole cell lysates of M. tuberculosis H37Rv but not the culture filtrate or membrane protein fraction (See de Souza et al., 2011).</t>
  </si>
  <si>
    <t>The product of this CDS corresponds to spot 5_125 identified in culture supernatant by proteomics at the Max Planck Institute for Infection Biology, Berlin, Germany (see Jungblut et al., 1999; Mollenkopf et al., 1999). Also identified at the Statens Serum Institute (Denmark) under aerobic and low oxygen conditions (see Rosenkrands et al., 2002). Identified in the culture supernatant of M. tuberculosis H37Rv using mass spectrometry and Edman degradation (See Mattow et al., 2003). Identified in the cytosol of M. tuberculosis H37Rv using 2DLC/MS (See Mawuenyega et al., 2005).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</si>
  <si>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cytosol and cell membrane fraction of M. tuberculosis H37Rv using 2DLC/MS (See Mawuenyega et al., 2005). Identified by mass spectrometry in M. tuberculosis H37Rv-infected guinea pig lungs at 30 and 90 days (See Kruh et al., 2010).</t>
  </si>
  <si>
    <t>Identified in the cytosol and cell wall fraction of M. tuberculosis H37Rv using 2DLC/MS (See Mawuenyega et al., 2005). Identified by mass spectrometry in whole cell lysates of M. tuberculosis H37Rv but not the culture filtrate or membrane protein fraction (See de Souza et al., 2011).</t>
  </si>
  <si>
    <t>The product of this CDS corresponds to spot 0577 identified in short term culture filtrate by proteomics at the Statens Serum Institute (Denmark) (see citations below). Identified in immunodominant fractions of both M. tuberculosis H37Rv culture filtrate and cytosol using 2D-LPE, 2D-PAGE, and LC-MS or LC-MS/MS (See Covert et al., 2001). Identified in culture filtrate and cytosolic fractions of M. tuberculosis H37Rv (See Huard et al., 2003).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</si>
  <si>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</si>
  <si>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</si>
  <si>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</si>
  <si>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enriched in the membrane fraction and predicted N-terminal signal peptide is uncleaved (See de Souza et al., 2011).</t>
  </si>
  <si>
    <t>The product of this CDS corresponds to spot 3_277 identified in culture supernatant by proteomics at the Max Planck Institute for Infection Biology, Berlin, Germany (see citations below). Identified in the culture supernatant of M. tuberculosis H37Rv using mass spectrometry (See Mattow et al., 2003). Identified in the cell wall and cell membrane fractions of M. tuberculosis H37Rv using 2DLC/MS (See Mawuenyega et al., 2005).</t>
  </si>
  <si>
    <t>Identified in the membrane fraction of M. tuberculosis H37Rv using 1D-SDS-PAGE and uLC-MS/MS (See Gu et al., 2003). Identified in the cytosol and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</si>
  <si>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</si>
  <si>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</si>
  <si>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culture filtrates of M. tuberculosis H37Rv (See Malen et al., 2007). Identified in the cell wall and cell membrane fractions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</si>
  <si>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by proteomics (See Rosenkrands et al., 2000).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</si>
  <si>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Corresponds to protein 5_98 identified by proteomics at the Max Planck Institute for Infecktionsbiologie, Germany (See Jungblut et al., 2001).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</si>
  <si>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</si>
  <si>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(See Rosenkrands et al., 2000). Identified in the culture supernatant of M. tuberculosis H37Rv using mass spectrometry (See Mattow et al., 2003). Identified in the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</si>
  <si>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</si>
  <si>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 3_507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</si>
  <si>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wall fraction of M. tuberculosis H37Rv using 2DLC/MS (See Mawuenyega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</si>
  <si>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cytosol and cell membrane fraction of M. tuberculosis H37Rv using 2DLC/MS (See Mawuenyega et al., 2005). Identified in both the aqueous and detergent phases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</si>
  <si>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</si>
  <si>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</si>
  <si>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Identified in the aqueous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</si>
  <si>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0652 identified in short term culture filtrate and cell wall by proteomics at the Statens Serum Institute (Denmark), and at the Max Planck Institute for Infection Biology, Berlin, Germany (see proteomics citations). Identified in immunodominant fractions of M. tuberculosis H37Rv cytosol using 2D-LPE, 2D-PAGE, and LC-MS or LC-MS/MS (See Covert et al., 2001). Identified in the membrane fraction of M. tuberculosis H37Rv using 1D-SDS-PAGE and uLC-MS/MS (See Gu et al., 2003). Identified in the cytosol, cell wall, and cell membrane fractions of M. tuberculosis H37Rv using 2DLC/MS (See Mawuenyega et al., 2005).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</si>
  <si>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</si>
  <si>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</si>
  <si>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</si>
  <si>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</si>
  <si>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wall fraction of M. tuberculosis H37Rv using 2DLC/MS (See Mawuenyega et al., 2005). Identified by mass spectrometry in M. tuberculosis H37Rv-infected guinea pig lungs at 30 days but not 90 days (See Kruh et al., 2010). Identified by mass spectrometry in the culture filtrate and whole cell lysates of M. tuberculosis H37Rv but not the membrane protein fraction (See de Souza et al., 2011).</t>
  </si>
  <si>
    <t>Identified in the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</si>
  <si>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Predicted secreted protein - identified in culture filtrates of M. tuberculosis H37Rv; signal peptide predicted (See Malen et al., 2007).</t>
  </si>
  <si>
    <t>Identified in the cytosol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</si>
  <si>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enriched in the membrane fraction and predicted N-terminal signal peptide is uncleaved (See de Souza et al., 2011).</t>
  </si>
  <si>
    <t>Predicted transmembrane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</si>
  <si>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</si>
  <si>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</si>
  <si>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The product of this CDS corresponds to spots 1_367, 1_362, 1_171 and 1_349 identified in culture supernatant by proteomics at the Max Planck Institute for Infection Biology, Berlin, Germany, spot 0685 (or EF-tu) identified in cell wall by proteomics at the Statens Serum Institute (Denmark), and spot identified in the University of California (USA) (see citations below). Note that in Mycobacterium bovis BCG, proteome analysis by 2D-electrophoresis and MS identified this homolog which showed increased expression inside macrophages (see citation below). Identified in carbonate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(See Mattow et al., 2003). Identified in the cytosol,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</si>
  <si>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Triton X-114 extracts of M. tuberculosis H37Rv membranes using 2DGE and MALDI-MS (See Sinha et al., 2002).</t>
  </si>
  <si>
    <t>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</si>
  <si>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</si>
  <si>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</si>
  <si>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</si>
  <si>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</si>
  <si>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whole cell lysates of M. tuberculosis H37Rv but not the culture filtrate or membrane protein fraction (See de Souza et al., 2011).</t>
  </si>
  <si>
    <t>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</si>
  <si>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</si>
  <si>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CEGE and MALDI-TOF-MS (See Sinha et al., 2005). Identified by mass spectrometry in whole cell lysates of M. tuberculosis H37Rv but not the culture filtrate or membrane protein fraction (See de Souza et al., 2011).</t>
  </si>
  <si>
    <t>Identified by proteomics (see Rosenkrands et al., 2000).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</si>
  <si>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</si>
  <si>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de Souza et al., 2011).</t>
  </si>
  <si>
    <t>Identified by proteomics (see Rosenkrands et al., 2000). Identified in the membrane fraction of M. tuberculosis H37Rv using 1D-SDS-PAGE and uLC-MS/MS (See Gu et al., 2003). Identified in the detergent phase of Triton X-114 extracts of M. tuberculosis H37Rv membranes using CEGE and MALDI-TOF-MS (See Sinha et al., 2005). Identified by mass spectrometry in whole cell lysates of M. tuberculosis H37Rv but not the culture filtrate or membrane protein fraction (See de Souza et al., 2011). Translational start site supported by proteomics data (See Kelkar et al., 2011).</t>
  </si>
  <si>
    <t>Identified by proteomics (see Rosenkrands et al., 2000). 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</si>
  <si>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culture supernatant of M. tuberculosis H37Rv using mass spectrometry (See Mattow et al., 2003). Identified by mass spectrometry in whole cell lysates of M. tuberculosis H37Rv but not the culture filtrate or membrane protein fraction (See de Souza et al., 2011).</t>
  </si>
  <si>
    <t>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</si>
  <si>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</si>
  <si>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</si>
  <si>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(See Rosenkrands et al., 2000).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</si>
  <si>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</si>
  <si>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</si>
  <si>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de Souza et al., 2011) (See Kelkar et al., 2011).</t>
  </si>
  <si>
    <t>Identified in the detergent phase of Triton X-114 extracts of M. tuberculosis H37Rv membranes using CEGE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t>
  </si>
  <si>
    <t>Predicted transmembrane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 Translational start site supported by proteomics data (See de Souza et al., 2011) (See Kelkar et al., 2011).</t>
  </si>
  <si>
    <t>The product of this CDS corresponds to spot 3_194 identified in culture supernatant by proteomics at the Max Planck Institute for Infection Biology, Berlin, Germany, and spot 0733 identified in short term culture filtrate by proteomics at the Statens Serum Institute (Denmark) (see citations below). Identified in immunodominant fractions of M. tuberculosis H37Rv cytosol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</si>
  <si>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</si>
  <si>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PE/PPE&lt;br /&gt;Prediction based on GO and InterPro: lipid metabolism (See Mazandu and Mulder, 2012)</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</si>
  <si>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</si>
  <si>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</si>
  <si>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</si>
  <si>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in the cytosol and cell wall fraction of M. tuberculosis H37Rv using 2DLC/MS (See Mawuenyega et al., 2005). Translational start site supported by proteomics data (See Kelkar et al., 2011).</t>
  </si>
  <si>
    <t>Identified in the cell wall and cell membrane fractions of M. tuberculosis H37Rv using 2DLC/MS (See Mawuenyega et al., 2005). Identified by mass spectrometry in the culture filtrate and whole cell lysates of M. tuberculosis H37Rv but not the membrane protein fraction (See de Souza et al., 2011). Translational start site supported by proteomics data (See Kelkar et al., 2011).</t>
  </si>
  <si>
    <t>Corresponds to protein 5_37 identified by proteomics at the Max Planck Institute for Infecktionsbiologie, Germany (See Jungblut et al., 2001). Identified by mass spectrometry in whole cell lysates of M. tuberculosis H37Rv but not the culture filtrate or membrane protein fraction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</si>
  <si>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Kelkar et al., 2011).</t>
  </si>
  <si>
    <t>The product of this CDS corresponds to spot 0798c identified in both the short term culture filtrate and the membrane fraction by proteomics at the Statens Serum Institute (Denmark) (see citations below). Identified in carbonate extracts of M. tuberculosis H37Rv membranes using 2DGE and MALDI-MS (See Sinha et al., 2002). Identified in the membrane fraction of M. tuberculosis H37Rv using 1D-SDS-PAGE and uLC-MS/MS (See Gu et al., 2003). Identified in the membrane fraction of M. tuberculosis H37Rv using nanoLC-MS/MS (See Xiong et al., 2005). Identified in both the aqueous and detergent phases of Triton X-114 extracts of M. tuberculosis H37Rv membranes using 1-DGE,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</si>
  <si>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</si>
  <si>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cytosol and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</si>
  <si>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mass spectrometry in whole cell lysates of M. tuberculosis H37Rv but not the culture filtrate or membrane protein fraction (See de Souza et al., 2011). Translational start site supported by proteomics data (See de Souza et al., 2011).</t>
  </si>
  <si>
    <t>Identified by proteomics at the Statens Serum Institute (Denmark) (See Rosenkrands et al., 2000). 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</si>
  <si>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in the culture supernatant of M. tuberculosis H37Rv using mass spectrometry (See Mattow et al., 2003).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</si>
  <si>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proteomics at the Max Planck Institute for Infection Biology, Berlin, Germany, and possibly identified in two-dimensional gel electrophoresis and by mass spectrometry in standing cultures (see proteomics citations). Identified in the membrane fraction of M. tuberculosis H37Rv using 1D-SDS-PAGE and uLC-MS/MS (See Gu et al., 2003). Identified in the culture supernatant of M. tuberculosis H37Rv using mass spectrometry (See Mattow et al., 2003). Identified in the cytosol and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</si>
  <si>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Triton X-114 extracts of M. tuberculosis H37Rv membranes using 2DGE and MALDI-MS (See Sinha et al., 2002). Identified by mass spectrometry in the culture filtrate of M. tuberculosis H37Rv but not the membrane protein fraction or whole cell lysates (See de Souza et al., 2011).</t>
  </si>
  <si>
    <t>The product of this CDS corresponds to spot 2_49 identified in culture supernatant by proteomics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in the cytosol, cell wall, and cell membrane fractions of M. tuberculosis H37Rv using 2DLC/MS (See Mawuenyega et al., 2005). Identified in the membrane fraction of M. tuberculosis H37Rv using nanoLC-MS/MS (See Xiong et al., 2005). Identified by mass spectrometry in whole cell lysates of M. tuberculosis H37Rv but not the culture filtrate or membrane protein fraction (See de Souza et al., 2011).</t>
  </si>
  <si>
    <t>Identified in carbonate extracts of M. tuberculosis H37Rv membranes using 2DGE and MALDI-MS (See Sinha et al., 2002). Identified in the membrane fraction of M. tuberculosis H37Rv using 1D-SDS-PAGE and uLC-MS/MS (See Gu et al., 2003). Identified in the cytosol and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</si>
  <si>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the membrane protein fraction and whole cell lysates of M. tuberculosis H37Rv but not the culture filtrate; enriched in the membrane fraction and predicted N-terminal signal peptide is uncleaved (See de Souza et al., 2011).</t>
  </si>
  <si>
    <t>Predicted surface lipoprotein - identified in culture filtrates of M. tuberculosis H37Rv; signal peptide predicted (See Malen et al., 2007). Identified by mass spectrometry in the culture filtrate of M. tuberculosis H37Rv but not the membrane protein fraction or whole cell lysates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</si>
  <si>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</si>
  <si>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by mass spectrometry in M. tuberculosis H37Rv-infected guinea pig lungs at 90 days but not 30 days (See Kruh et al., 2010).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</si>
  <si>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</si>
  <si>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</si>
  <si>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and 90 days (See Kruh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</si>
  <si>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in the cell wall and cell membrane fractions of M. tuberculosis H37Rv using 2DLC/MS (See Mawuenyega et al., 2005).</t>
  </si>
  <si>
    <t>Identified by proteomics at the Statens Serum Institute (Denmark) (See Rosenkrands et al., 2000). Identified in the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</si>
  <si>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Predicted secreted protein - identified in culture filtrates of M. tuberculosis H37Rv; signal peptide predicted and cleavable signal sequence confirmed experimentally (See Malen et al., 2007). Identified by mass spectrometry in M. tuberculosis H37Rv-infected guinea pig lungs at 90 days but not 30 days (See Kruh et al., 2010). Identified by mass spectrometry in the culture filtrate of M. tuberculosis H37Rv but not the membrane protein fraction or whole cell lysates (See de Souza et al., 2011).</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</si>
  <si>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</si>
  <si>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both the aqueous and detergent phases of Triton X-114 extracts of M. tuberculosis H37Rv membranes using 1-DGE,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</si>
  <si>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culture filtrates of M. tuberculosis H37Rv (See Malen et al., 2007). Identified in the cell membrane fraction of M. tuberculosis H37Rv using 2DLC/MS (See Mawuenyega et al., 2005).</t>
  </si>
  <si>
    <t>Identified by mass spectrometry in the membrane protein fraction of M. tuberculosis H37Rv but not the culture filtrate or membrane protein fraction (See de Souza et al., 2011). Translational start site supported by proteomics data (See Kelkar et al., 2011).</t>
  </si>
  <si>
    <t>The product of this CDS corresponds to spot 0884c identified in short term culture filtrate by proteomics at the Statens Serum Institute (Denmark) (See Rosenkrands et al., 2000). 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</si>
  <si>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Translational start site supported by proteomics data (See de Souza et al., 2011).</t>
  </si>
  <si>
    <t>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</si>
  <si>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cytosol and cell wall fraction of M. tuberculosis H37Rv using 2DLC/MS (See Mawuenyega et al., 2005). Identified by mass spectrometry in M. tuberculosis H37Rv-infected guinea pig lungs at 90 days but not 30 days (See Kruh et al., 2010).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</si>
  <si>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the aqueous phase of Triton X-114 extracts of M. tuberculosis H37Rv membranes using 1-DGE, 2-DGE,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</si>
  <si>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t>
  </si>
  <si>
    <t>Identified in the membrane fraction of M. tuberculosis H37Rv using nanoLC-MS/MS; predicted integral membrane protein (See Xiong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</si>
  <si>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</si>
  <si>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culture supernatant of M. tuberculosis H37Rv using mass spectrometry (See Mattow et al., 2003). 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</si>
  <si>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</si>
  <si>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Identified in the cytosol and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</si>
  <si>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the culture filtrate and whole cell lysates of M. tuberculosis H37Rv but not the membrane protein fraction (See de Souza et al., 2011). Translational start site supported by proteomics data (See de Souza et al., 2011) (See Kelkar et al., 2011).</t>
  </si>
  <si>
    <t>PE/PPE&lt;br /&gt;Prediction based on GO and InterPro: intermediary metabolism and respiration (See Mazandu and Mulder, 2012)</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</si>
  <si>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</si>
  <si>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</si>
  <si>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cytosol and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</si>
  <si>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culture supernatant of M. tuberculosis H37Rv using mass spectrometry (See Mattow et al., 2003). Identified in the membrane fraction of M. tuberculosis H37Rv using nanoLC-MS/MS (See Xiong et al., 2005). Predicted surface lipoprotein - identified in culture filtrates of M. tuberculosis H37Rv; signal peptide predicted (See Malen et al., 2007). Identified in the culture filtrate of M. tuberculosis H37Rv using LC-MS/MS; antigen recognized by serum pool from tuberculosis patients (See Malen et al., 2008).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</si>
  <si>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0934 identified in short term culture filtrate by proteomics at the Statens Serum Institute (Denmark) (see proteomics citations). Identified in immunodominant fractions of M. tuberculosis H37Rv culture filtrate using 2D-LPE, 2D-PAGE, and LC-MS or LC-MS/MS (See Covert et al., 2001). Identified in Triton X-114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and Edman degradation (See Mattow et al., 2003). Identified in the cytosol,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Predicted surface lipoprotein - identified in culture filtrates of M. tuberculosis H37Rv; signal peptide predicted (See Malen et al., 2007). Identified in the culture filtrate of M. tuberculosis H37Rv using LC-MS/MS; antigen recognized by serum pool from tuberculosis patients (See Malen et al., 2008). Putative glycoprotein identified by LC/ESI-MS/MS in the culture filtrate of M. tuberculosis H37Rv (See Gonzalez-Zamorano et al., 2009).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</si>
  <si>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of M. tuberculosis H37Rv using 2DLC/MS (See Mawuenyega et al., 2005). Identified by mass spectrometry in M. tuberculosis H37Rv-infected guinea pig lungs at 90 days but not 30 days (See Kruh et al., 2010).</t>
  </si>
  <si>
    <t>Identified by proteomics at the Statens Serum Institute (Denmark) (See Rosenkrands et al., 2000). Identified in the cell membrane fraction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</si>
  <si>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Identified in the cell membrane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</si>
  <si>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cell wall and cell membrane fractions of M. tuberculosis H37Rv using 2DLC/MS (See Mawuenyega et al., 2005). Translational start site supported by proteomics data (See Kelkar et al., 2011).</t>
  </si>
  <si>
    <t>Identified in the cytosol and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</si>
  <si>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3_527 identified by proteomics at the Max Planck Institute for Infection Biology, Berlin, Germany (See Mattow et al., 2001). Identified in immunodominant fractions of M. tuberculosis H37Rv cytosol using 2D-LPE, 2D-PAGE, and LC-MS or LC-MS/MS (See Covert et al., 2001). Identified in the membrane fraction of M. tuberculosis H37Rv using 1D-SDS-PAGE and uLC-MS/MS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</si>
  <si>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M. tuberculosis H37Rv-infected guinea pig lungs at 90 days but not 30 days (See Kruh et al., 2010). Identified by mass spectrometry in the culture filtrate and whole cell lysates of M. tuberculosis H37Rv but not the membrane protein fraction (See de Souza et al., 2011).</t>
  </si>
  <si>
    <t>Identified by proteomics at the Statens Serum Institute (Denmark) (See Rosenkrands et al., 2000).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</si>
  <si>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</si>
  <si>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</si>
  <si>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by mass spectrometry in M. tuberculosis H37Rv-infected guinea pig lungs at 30 days but not 90 days (See Kruh et al., 2010). Translational start site supported by proteomics data (See Kelkar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</si>
  <si>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Kelkar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</si>
  <si>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</si>
  <si>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the culture supernatant of M. tuberculosis H37Rv using mass spectrometry (See Mattow et al., 2003).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</si>
  <si>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by proteomics at the Statens Serum Institute, Denmark (See Rosenkrands et al., 2000).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</si>
  <si>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</si>
  <si>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cell membrane fraction of M. tuberculosis H37Rv using 2DLC/MS (See Mawuenyega et al., 2005). Identified by Western blot predominantly in cell wall, with small amounts in cell membrane and cytosolic fractions (See Lai et al., 2008). Identified by mass spectrometry in M. tuberculosis H37Rv-infected guinea pig lungs at 30 days but not 90 days (See Kruh et al., 2010). Translational start site supported by proteomics data (See Kelkar et al., 2011).</t>
  </si>
  <si>
    <t>Identified in the cytosol and cell membrane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</si>
  <si>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membrane fraction of M. tuberculosis H37Rv using nanoLC-MS/MS (See Xiong et al., 2005). Predicted secreted protein/surface lipoprotein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</si>
  <si>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</si>
  <si>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</si>
  <si>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cell wall and cell membrane fractions of M. tuberculosis H37Rv using 2DLC/MS (See Mawuenyega et al., 2005). Identified in the membrane fraction of M. tuberculosis H37Rv using nanoLC-MS/MS (See Xiong et al., 2005).</t>
  </si>
  <si>
    <t>Identified in the cell membrane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</si>
  <si>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in the membrane fraction of M. tuberculosis H37Rv using nanoLC-MS/MS (See Xiong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</si>
  <si>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</si>
  <si>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</si>
  <si>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Triton X-114 extracts of M. tuberculosis H37Rv membranes using 2DGE and MALDI-MS (See Sinha et al., 2002). Identified in the membrane fraction of M. tuberculosis H37Rv using 1D-SDS-PAGE and uLC-MS/MS (See Gu et al., 2003). Identified in the aqueous phase of Triton X-114 extracts of M. tuberculosis H37Rv membranes using 1-DGE, 2-DGE, and MALDI-TOF-MS (See Sinha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Kelkar et al., 2011).</t>
  </si>
  <si>
    <t>Identified in the cell membrane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</si>
  <si>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in culture filtrates of M. tuberculosis H37Rv (See Malen et al., 2007). Identified in the cell wall fraction of M. tuberculosis H37Rv using 2DLC/MS (See Mawuenyega et al., 2005).</t>
  </si>
  <si>
    <t>The product of this CDS could be spot TB11.0 identified in short term culture filtrate by proteomics at the Statens Serum Institute (Denmark) (see citations below). Identified in the membrane fraction of M. tuberculosis H37Rv using 1D-SDS-PAGE and uLC-MS/MS (See Gu et al., 2003). Identified in the cell wall fraction of M. tuberculosis H37Rv using 2DLC/MS (See Mawuenyega et al., 2005). Identified in culture filtrates of M. tuberculosis H37Rv (See Malen et al., 2007).</t>
  </si>
  <si>
    <t>Identified in the cytosol and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</si>
  <si>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The product of this CDS corresponds to a spot identified in cytosol by proteomics at the Statens Serum Institute (Denmark) (see proteomics citations).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</si>
  <si>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</si>
  <si>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1_18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</si>
  <si>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1077 identified in short term culture filtrate by proteomics at the Statens Serum Institute (Denmark), and at the Max Planck Institute for Infection Biology, Berlin, Germany (see citations below). Identified in the membrane fraction of M. tuberculosis H37Rv using 1D-SDS-PAGE and uLC-MS/MS (See Gu et al., 2003). Detected by 2-DE and MS in M. tuberculosis H37Rv purified from phagosomes of infected murine bone marrow macrophages but not in H37Rv broth-cultures (See Mattow et al., 2006).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</si>
  <si>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spots 5_67 and 5_55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</si>
  <si>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Putative glycoprotein identified by LC/ESI-MS/MS in the culture filtrate of M. tuberculosis H37Rv (See Gonzalez-Zamorano et al., 2009). Identified by mass spectrometry in M. tuberculosis H37Rv-infected guinea pig lungs at 90 days but not 30 days (See Kruh et al., 2010). Identified by mass spectrometry in the culture filtrate of M. tuberculosis H37Rv but not the membrane protein fraction or whole cell lysates (See de Souza et al., 2011).</t>
  </si>
  <si>
    <t>Identified in the cell membrane fraction of M. tuberculosis H37Rv using 2DLC/MS (See Mawuenyega et al., 2005). Identified by mass spectrometry in M. tuberculosis H37Rv-infected guinea pig lungs at 90 days but not 30 days (See Kruh et al., 2010). Translational start site supported by proteomics data (See Kelkar et al., 2011).</t>
  </si>
  <si>
    <t>Identified in the membrane fraction of M. tuberculosis H37Rv using 1D-SDS-PAGE and uLC-MS/MS (See Gu et al., 2003). Identified in the membrane fraction of M. tuberculosis H37Rv using nanoLC-MS/MS (See Xiong et al., 2005). Identified by mass spectrometry in whole cell lysates of M. tuberculosis H37Rv but not the culture filtrate or membrane protein fraction (See de Souza et al., 2011).</t>
  </si>
  <si>
    <t>The product of this CDS corresponds to spot 2_25 identified in culture supernatant by proteomics at the Max Planck Institute for Infection Biology, Berlin, Germany, and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</si>
  <si>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</si>
  <si>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t>
  </si>
  <si>
    <t>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</si>
  <si>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</si>
  <si>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The product of this CDS corresponds to spot 1098c identified in short term culture filtrate by proteomics at the Statens Serum Institute (Denmark), and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</si>
  <si>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(see Rosenkrands et al., 2000).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</si>
  <si>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</si>
  <si>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</si>
  <si>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</si>
  <si>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</si>
  <si>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cytosol and cell wall fraction of M. tuberculosis H37Rv using 2DLC/MS (See Mawuenyega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</si>
  <si>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Detected by 2-DE and MS in M. tuberculosis H37Rv purified from phagosomes of infected murine bone marrow macrophages but not in H37Rv broth-cultures (See Mattow et al., 2006). Identified by mass spectrometry in whole cell lysates of M. tuberculosis H37Rv but not the culture filtrate or membrane protein fraction (See de Souza et al., 2011).</t>
  </si>
  <si>
    <t>Identified by proteomics at the Statens Serum Institute (Denmark) (See Rosenkrands et al., 2000). Identified in the membrane fraction of M. tuberculosis H37Rv using 1D-SDS-PAGE and uLC-MS/MS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</si>
  <si>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by mass spectrometry in the membrane protein fraction of M. tuberculosis H37Rv but not the culture filtrate or membrane protein fraction (See de Souza et al., 2011).</t>
  </si>
  <si>
    <t>Predicted secreted protein - identified in culture filtrates of M. tuberculosis H37Rv; signal peptide predicted and cleavable signal sequence confirmed experimentally (See Malen et al., 2007).</t>
  </si>
  <si>
    <t>Identified by mass spectrometry in M. tuberculosis H37Rv-infected guinea pig lungs at 30 days but not 90 days (See Kruh et al., 2010). Translational start site supported by proteomics data (See Kelkar et al., 2011).</t>
  </si>
  <si>
    <t>Corresponds to spot 5_115 identified by proteomics at the Max Planck Institute for Infection Biology, Berlin, Germany (See Jungblut et al., 2001). Identified in the culture supernatant of M. tuberculosis H37Rv using mass spectrometry (See Mattow et al., 2003).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</si>
  <si>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in culture filtrates of M. tuberculosis H37Rv (See Malen et al., 2007).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</si>
  <si>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of M. tuberculosis H37Rv but not the culture filtrate or membrane protein fraction (See de Souza et al., 2011). Translational start site supported by proteomics data (See Kelkar et al., 2011).</t>
  </si>
  <si>
    <t>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</si>
  <si>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by mass spectrometry in the membrane protein fraction of M. tuberculosis H37Rv but not the culture filtrate or membrane protein fraction (See de Souza et al., 2011).</t>
  </si>
  <si>
    <t>Predicted secreted protein - identified in culture filtrates of M. tuberculosis H37Rv; signal peptide predicted and cleavable signal sequence confirmed experimentally (See Malen et al., 2007). Identified in the cell wall fraction of M. tuberculosis H37Rv using 2DLC/MS (See Mawuenyega et al., 2005). Identified by mass spectrometry in the culture filtrate of M. tuberculosis H37Rv but not the membrane protein fraction or whole cell lysates (See de Souza et al., 2011).</t>
  </si>
  <si>
    <t>Identified in the membrane fraction of M. tuberculosis H37Rv using 1D-SDS-PAGE and uLC-MS/MS (See Gu et al., 2003). Identified in the cytosol and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</si>
  <si>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t>
  </si>
  <si>
    <t>Predicted transmembrane protein - identified in culture filtrates of M. tuberculosis H37Rv; signal peptide predicted (See Malen et al., 2007). 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</si>
  <si>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</si>
  <si>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t>
  </si>
  <si>
    <t>Identified by proteomics at the Statens Serum Institute (Denmark) (See Rosenkrands et al., 2000). Identified by mass spectrometry in whole cell lysates of M. tuberculosis H37Rv but not the culture filtrate or membrane protein fraction (See de Souza et al., 2011). Translational start site supported by proteomics data (See de Souza et al., 2011) (See Kelkar et al., 2011).</t>
  </si>
  <si>
    <t>The product of this CDS could be spot TB11.0 identified in short term culture filtrate by proteomics at the Statens Serum Institute (Denmark) (see citations below). Identified in culture filtrates of M. tuberculosis H37Rv (See Malen et al., 2007).</t>
  </si>
  <si>
    <t>Identified in the membrane fraction of M. tuberculosis H37Rv using 1D-SDS-PAGE and uLC-MS/MS (See Gu et al., 2003). Identified in the culture supernatant of M. tuberculosis H37Rv using mass spectrometry (See Mattow et al., 2003). Identified in the cell wall fraction of M. tuberculosis H37Rv using 2DLC/MS (See Mawuenyega et al., 2005). Identified in culture filtrates of M. tuberculosis H37Rv (See Malen et al., 2007). Identified by mass spectrometry in Triton X-114 extracts of M. tuberculosis H37Rv (See Malen et al., 2010).</t>
  </si>
  <si>
    <t>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</si>
  <si>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(See Rosenkrands et al., 2000). Identified in immunodominant fractions of M. tuberculosis H37Rv cytosol using 2D-LPE, 2D-PAGE, and LC-MS or LC-MS/MS (See Covert et al., 2001). Identified by mass spectrometry in whole cell lysates of M. tuberculosis H37Rv but not the culture filtrate or membrane protein fraction (See de Souza et al., 2011).</t>
  </si>
  <si>
    <t>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</si>
  <si>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Statens Serum Institute (Denmark) (See Rosenkrands et al., 2000).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</si>
  <si>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</si>
  <si>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</si>
  <si>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immunodominant fractions of M. tuberculosis H37Rv cytosol using 2D-LPE, 2D-PAGE, and LC-MS or LC-MS/MS (See Covert et al., 2001). Identified in the membrane fraction of M. tuberculosis H37Rv using 1D-SDS-PAGE and uLC-MS/MS (See Gu et al., 2003). Identified in the cytosol of M. tuberculosis H37Rv using 2DLC/MS (See Mawuenyega et al., 2005).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</si>
  <si>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</si>
  <si>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mass spectrometry in Triton X-114 extracts of M. tuberculosis H37Rv (See Malen et al., 2010).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</si>
  <si>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in the cell membrane fraction of M. tuberculosis H37Rv using 2DLC/MS (See Mawuenyega et al., 2005). Identified in the membrane fraction of M. tuberculosis H37Rv using nanoLC-MS/MS (See Xiong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 Translational start site supported by proteomics data (See de Souza et al., 2011) (See Kelkar et al., 2011).</t>
  </si>
  <si>
    <t>Predicted surface lipoprotein - identified in culture filtrates of M. tuberculosis H37Rv; signal peptide predicted (See Malen et al., 2007).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</si>
  <si>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</si>
  <si>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</si>
  <si>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cell membrane fraction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</si>
  <si>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Predicted secreted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</si>
  <si>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Triton X-114 extracts of M. tuberculosis H37Rv membranes using 2DGE and MALDI-MS (See Sinha et al., 2002). 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</si>
  <si>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M. tuberculosis H37Rv-infected guinea pig lungs at 30 and 90 days (See Kruh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</si>
  <si>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in the membrane fraction of M. tuberculosis H37Rv using nanoLC-MS/MS; predicted integral membrane protein (See Xiong et al., 2005). Identified in the detergent phase of Triton X-114 extracts of M. tuberculosis H37Rv membranes using 1-DGE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</si>
  <si>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</si>
  <si>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(see Rosenkrands et al., 2000).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</si>
  <si>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by mass spectrometry in whole cell lysates of M. tuberculosis H37Rv but not the culture filtrate or membrane protein fraction (See de Souza et al., 2011).</t>
  </si>
  <si>
    <t>Identified by proteomics at the Statens Serum Institute (Denmark) (see Rosenkrands et al., 2000). Identified in the cell membrane fraction of M. tuberculosis H37Rv using 2DLC/MS (See Mawuenyega et al., 2005).</t>
  </si>
  <si>
    <t>Identified in the cytosol and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</si>
  <si>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</si>
  <si>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</si>
  <si>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by proteomics at the Max Planck Institute for Infection Biology, Berlin, Germany (see proteomics citations). Identified in the culture supernatant of M. tuberculosis H37Rv using mass spectrometry (See Mattow et al., 2003). Identified in the cytosol and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</si>
  <si>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proteomics (see Rosenkrands et al., 2000). 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</si>
  <si>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cell membrane fraction of M. tuberculosis H37Rv using 2DLC/MS (See Mawuenyega et al., 2005). Identified in both the aqueous and detergent phases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</si>
  <si>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carbonate extracts of M. tuberculosis H37Rv membranes using 2DGE and MALDI-MS (See Sinha et al., 2002).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</si>
  <si>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carbonate extracts of M. tuberculosis H37Rv membranes using 2DGE and MALDI-MS (See Sinha et al., 2002). 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</si>
  <si>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carbonate extracts of M. tuberculosis H37Rv membranes using 2DGE and MALDI-MS (See Sinha et al., 2002). Identified in the membrane fraction of M. tuberculosis H37Rv using 1D-SDS-PAGE and uLC-MS/MS (See Gu et al., 2003). Identified in the cytosol, cell wall, and cell membrane fractions of M. tuberculosis H37Rv using 2DLC/MS (See Mawuenyega et al., 2005). Identified in the membrane fraction of M. tuberculosis H37Rv using nanoLC-MS/MS (See Xiong et al., 2005). Identified in both the aqueous and detergent phases of Triton X-114 extracts of M. tuberculosis H37Rv membranes using 1-DGE, 2-DGE, and MALDI-TOF-MS (See Sinha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</si>
  <si>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</si>
  <si>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(see Rosenkrands et al., 2000).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</si>
  <si>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Putative glycoprotein identified by LC/ESI-MS/MS in the culture filtrate of M. tuberculosis H37Rv (See Gonzalez-Zamorano et al., 2009).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</si>
  <si>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of M. tuberculosis H37Rv but not the culture filtrate or membrane protein fraction (See de Souza et al., 2011).</t>
  </si>
  <si>
    <t>Identified in the cell membrane fraction of M. tuberculosis H37Rv using 2DLC/MS (See Mawuenyega et al., 2005).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</si>
  <si>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</si>
  <si>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The product of this CDS corresponds to a spot 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</si>
  <si>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Max Planck Institute for Infection Biology, Berlin, Germany (see Mattow et al., 2001). Identified in the culture supernatant of M. tuberculosis H37Rv using mass spectrometry (See Mattow et al., 2003). Identified by mass spectrometry in whole cell lysates of M. tuberculosis H37Rv but not the culture filtrate or membrane protein fraction (See de Souza et al., 2011).</t>
  </si>
  <si>
    <t>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</si>
  <si>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by mass spectrometry in M. tuberculosis H37Rv-infected guinea pig lungs at 30 days but not 90 days (See Kruh et al., 2010). Translational start site supported by proteomics data (See Kelkar et al., 2011).</t>
  </si>
  <si>
    <t>Identified in the membrane fraction of M. tuberculosis H37Rv using 1D-SDS-PAGE and uLC-MS/MS; predicted transmembrane protein (See Gu et al., 2003). Identified by Western blot in the cytoplasmic membrane fraction of M. tuberculosis H37Rv and not the cell wall or cytosol (See Farhana et al., 2008).</t>
  </si>
  <si>
    <t>Identified in the cytosol and cell membrane fraction of M. tuberculosis H37Rv using 2DLC/MS (See Mawuenyega et al., 2005). Identified by Western blot in the cytoplasmic membrane fraction of M. tuberculosis H37Rv and not the cell wall or cytosol (See Farhana et al., 2008). Identified by mass spectrometry in M. tuberculosis H37Rv-infected guinea pig lungs at 30 and 90 days (See Kruh et al., 2010).</t>
  </si>
  <si>
    <t>Identified in the culture supernatant of M. tuberculosis H37Rv using mass spectrometry (See Mattow et al., 2003).</t>
  </si>
  <si>
    <t>Identified in immunodominant fractions of M. tuberculosis H37Rv culture filtrate using 2D-LPE, 2D-PAGE, and LC-MS or LC-MS/MS (See Covert et al., 2001). Identified in the culture supernatant of M. tuberculosis H37Rv using mass spectrometry (See Mattow et al., 2003). Predicted secreted 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t>
  </si>
  <si>
    <t>Identified in the cell membrane fraction of M. tuberculosis H37Rv using 2DLC/MS (See Mawuenyega et al., 2005). Identified by mass spectrometry in M. tuberculosis H37Rv-infected guinea pig lungs at 30 and 90 days (See Kruh et al., 2010).</t>
  </si>
  <si>
    <t>Identified by proteomics at the Statens Serum Institute (Denmark) (See Rosenkrands et al., 2000). Identified in the cell membrane fraction of M. tuberculosis H37Rv using 2DLC/MS (See Mawuenyega et al., 2005).</t>
  </si>
  <si>
    <t>Identified in the membrane fraction of M. tuberculosis H37Rv using 1D-SDS-PAGE and uLC-MS/MS; predicted transmembrane protein (See Gu et al., 2003).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</si>
  <si>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whole cell lysates but not the culture filtrate or membrane fractions of M. tuberculosis H37Rv (See de Souza et al., 2011). Identified in cell lysates and/or culture filtrates of M. tuberculosis H37Rv (See Kelkar et al., 2011).</t>
  </si>
  <si>
    <t>Identified in Triton X-114 extracts of M. tuberculosis H37Rv membranes using 2DGE and MALDI-MS (See Sinha et al., 2002). Identified in the membrane fraction of M. tuberculosis H37Rv using 1D-SDS-PAGE and uLC-MS/MS; predicted transmembrane protein (See Gu et al., 2003). Identified in the membrane fraction of M. tuberculosis H37Rv using nanoLC-MS/MS (See Xiong et al., 2005). Identified in the detergent phase of Triton X-114 extracts of M. tuberculosis H37Rv membranes using 1-DGE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</si>
  <si>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</si>
  <si>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</si>
  <si>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</si>
  <si>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</si>
  <si>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The product of this CDS corresponds to spot 1_264 identified by proteomics at the Max Planck Institute for Infection Biology, Berlin, Germany (see Mattow et al., 2001). Identified in the membrane fraction of M. tuberculosis H37Rv using 1D-SDS-PAGE and uLC-MS/MS (See Gu et al., 2003). Identified in the cytosol and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</si>
  <si>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</si>
  <si>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</si>
  <si>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</si>
  <si>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whole cell lysates of M. tuberculosis H37Rv but not the culture filtrate or membrane protein fraction (See de Souza et al., 2011).</t>
  </si>
  <si>
    <t>Predicted secreted protein - identified in culture filtrates of M. tuberculosis H37Rv; signal peptide predicted (See Malen et al., 2007). Identified by mass spectrometry in the culture filtrate of M. tuberculosis H37Rv but not the membrane protein fraction or whole cell lysates (See de Souza et al., 2011).</t>
  </si>
  <si>
    <t>The product of this CDS corresponds to spot 1_18 identified in culture supernatant by proteomics at the Max Planck Institute for Infection Biology, Berlin, Germany (see Jungblut et al., 1999; Mollenkopf et al., 1999). Also identified in two-dimensional gel electrophoresis and by mass spectrometry, particularly in standing cultures (see Florczyk et al., 2001).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</si>
  <si>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</si>
  <si>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3_302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</si>
  <si>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Proteomics shows upregulation in isoniazid-resistant M. tuberculosis clinical isolates (See Jiang et al., 2006). Identified by mass spectrometry in whole cell lysates of M. tuberculosis H37Rv but not the culture filtrate or membrane protein fraction (See de Souza et al., 2011). Translational start site supported by proteomics data (See Kelkar et al., 2011).</t>
  </si>
  <si>
    <t>Identified in culture filtrates of M. tuberculosis H37Rv (See Malen et al., 2007).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</si>
  <si>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in the cytosol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</si>
  <si>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(See Rosenkrands et al., 2000). Identified in the membrane fraction of M. tuberculosis H37Rv using 1D-SDS-PAGE and uLC-MS/MS (See Gu et al., 2003). Identified in the cell wall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</si>
  <si>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3_371 identified in culture supernatant by proteomics at the Max Planck Institute for Infection Biology, Berlin, Germany, and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</si>
  <si>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</si>
  <si>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of M. tuberculosis H37Rv but not the culture filtrate or membrane protein fraction; enriched in the membrane fraction and predicted N-terminal signal peptide is uncleaved (See de Souza et al., 2011).</t>
  </si>
  <si>
    <t>Identified by proteomics (see citations below). Identified in the membrane fraction of M. tuberculosis H37Rv using 1D-SDS-PAGE and uLC-MS/MS (See Gu et al., 2003). Identified in the cytosol, cell wall, and cell membrane fractions of M. tuberculosis H37Rv using 2DLC/MS (See Mawuenyega et al., 2005). Identified in culture filtrates of M. tuberculosis H37Rv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</si>
  <si>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t>
  </si>
  <si>
    <t>The product of this CDS corresponds to spot 1_345 identified in culture supernatant by proteomics at the Max Planck Institute for Infection Biology, Berlin, Germany, and at the Statens Serum Institute (Denmark) (see citations below). Identified in carbonate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(See Mattow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</si>
  <si>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Note that in Mycobacterium bovis BCG, proteome analysis by 2D-electrophoresis and MS identified this homolog which showed increased expression inside macrophages (see citation below).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</si>
  <si>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</si>
  <si>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Identified in the cytosol, cell wall, and cell membrane fractions of M. tuberculosis H37Rv using 2DLC/MS (See Mawuenyega et al., 2005). Identified by mass spectrometry in the culture filtrate and whole cell lysates of M. tuberculosis H37Rv but not the membrane protein fraction (See de Souza et al., 2011).</t>
  </si>
  <si>
    <t>Identified in the cell membrane fraction of M. tuberculosis H37Rv using 2DLC/MS (See Mawuenyega et al., 2005). Identified by mass spectrometry in M. tuberculosis H37Rv-infected guinea pig lungs at 90 days but not 30 days (See Kruh et al., 2010). Identified by mass spectrometry in the culture filtrate and whole cell lysates of M. tuberculosis H37Rv but not the membrane protein fraction (See de Souza et al., 2011).</t>
  </si>
  <si>
    <t>Corresponds to protein 5_139 identified by proteomics at the Max Planck Institute for Infection Biology, Berlin, Germany (See Jungblut et al., 2001).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</si>
  <si>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</si>
  <si>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The product of this CDS corresponds to spot 2_25 identified by proteomics at the Max Planck Institute for Infection Biology, Berlin, Germany (See Mattow et al., 2001).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</si>
  <si>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spots 4_30, 4_31, 4_118, and 4_119 identified by proteomics at the Max Planck Institute for Infection Biology, Berlin, Germany (See Mattow et al., 2001).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</si>
  <si>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Identified by mass spectrometry in M. tuberculosis H37Rv-infected guinea pig lungs at 30 and 90 days (See Kruh et al., 2010).</t>
  </si>
  <si>
    <t>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</si>
  <si>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Predicted surface lipoprotein - identified in culture filtrates of M. tuberculosis H37Rv; signal peptide predicted (See Malen et al., 2007).</t>
  </si>
  <si>
    <t>Identified by proteomics at the Max Planck Institute for Infection Biology, Berlin, Germany (See Jungblut et al., 1999).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</si>
  <si>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Max Planck Institute for Infection Biology, Berlin, Germany (See Jungblut et al., 1999).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</si>
  <si>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 6_28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</si>
  <si>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by mass spectrometry in whole cell lysates of M. tuberculosis H37Rv but not the culture filtrate or membrane protein fraction (See de Souza et al., 2011). Translational start site supported by proteomics data (See Kelkar et al., 2011).</t>
  </si>
  <si>
    <t>The product of this CDS corresponds to spot 3_266 identified by proteomics at the Max Planck Institute for Infection Biology, Berlin, Germany (see citations below).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</si>
  <si>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nanoLC-MS/MS (See Xiong et al., 2005). Identified in the detergent phase of Triton X-114 extracts of M. tuberculosis H37Rv membranes using CEGE and MALDI-TOF-MS (See Sinha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</si>
  <si>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</si>
  <si>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</si>
  <si>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</si>
  <si>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Max Planck Institute for Infection Biology, Berlin, Germany (See Jungblut et al., 1999). Identified in immunodominant fractions of M. tuberculosis H37Rv cytosol using 2D-LPE, 2D-PAGE, and LC-MS or LC-MS/MS (See Covert et al., 2001).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</si>
  <si>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</si>
  <si>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wall fraction of M. tuberculosis H37Rv using 2DLC/MS (See Mawuenyega et al., 2005). Identified in both the aqueous and detergent phases of Triton X-114 extracts of M. tuberculosis H37Rv membranes using 1-DGE, 2-DGE,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</si>
  <si>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spots 5_100 and 5_113 identified in culture supernatant by proteomics at the Max Planck Institute for Infection Biology, Berlin, Germany, spot TB15.3 identified in cell wall by proteomics at the Statens Serum Institute (Denmark), and spot identified in the University of California (USA) (see citations below). Identified in the membrane fraction of M. tuberculosis H37Rv using 1D-SDS-PAGE and uLC-MS/MS (See Gu et al., 2003). Identified in the culture supernatant of M. tuberculosis H37Rv using mass spectrometry and Edman degradation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</si>
  <si>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1D-SDS-PAGE and uLC-MS/MS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</si>
  <si>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in both the aqueous and detergent phases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</si>
  <si>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</si>
  <si>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t>
  </si>
  <si>
    <t>Identified by proteomics (See Rosenkrands et al., 2000).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</si>
  <si>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</si>
  <si>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by mass spectrometry in whole cell lysates of M. tuberculosis H37Rv but not the culture filtrate or membrane protein fraction (See de Souza et al., 2011).</t>
  </si>
  <si>
    <t>Identified in the cell membrane fraction of M. tuberculosis H37Rv using 2DLC/MS (See Mawuenyega et al., 2005). Translational start site supported by proteomics data (See de Souza et al., 2011) (See Kelkar et al., 2011).</t>
  </si>
  <si>
    <t>Identified in the cytosol and cell membrane fraction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</si>
  <si>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Identified by mass spectrometry in Triton X-114 extracts of M. tuberculosis H37Rv (See Malen et al., 2010). Identified by mass spectrometry in the culture filtrate and membrane protein fraction of M. tuberculosis H37Rv but not whole cell lysates (See de Souza et al., 2011). Translational start site supported by proteomics data (See de Souza et al., 2011) (See Kelkar et al., 2011).</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</si>
  <si>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</si>
  <si>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Statens Serum Institute (Denmark) (See Rosenkrands et al., 2000). Identified in the cell membrane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</si>
  <si>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by mass spectrometry in M. tuberculosis H37Rv-infected guinea pig lungs at 30 days but not 90 days (See Kruh et al., 2010). Identified by mass spectrometry in the culture filtrate and whole cell lysates of M. tuberculosis H37Rv but not the membrane protein fraction (See de Souza et al., 2011). Translational start site supported by proteomics data (See Kelkar et al., 2011).</t>
  </si>
  <si>
    <t>Identified by proteomics (See Rosenkrands et al., 2000). 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</si>
  <si>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</si>
  <si>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 3_180 identified in culture supernatant by proteomics at the Max Planck Institute for Infection Biology, Berlin, Germany (see citations below).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</si>
  <si>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</si>
  <si>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and membrane protein fraction of M. tuberculosis H37Rv but not whole cell lysates (See de Souza et al., 2011). Translational start site supported by proteomics data (See Kelkar et al., 2011).</t>
  </si>
  <si>
    <t>Identified in the cytosol and cell wall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</si>
  <si>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</si>
  <si>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</si>
  <si>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Identified by mass spectrometry in M. tuberculosis H37Rv-infected guinea pig lungs at 30 and 90 days (See Kruh et al., 2010).</t>
  </si>
  <si>
    <t>Identified in Triton X-114 extracts of M. tuberculosis H37Rv membranes using 2DGE and MALDI-MS (See Sinha et al., 2002).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</si>
  <si>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</si>
  <si>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</si>
  <si>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1D-SDS-PAGE and uLC-MS/MS; predicted transmembrane protein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</si>
  <si>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in culture filtrates of M. tuberculosis H37Rv (See Malen et al., 2007).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</si>
  <si>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The product of this CDS could be spot TB11.0 identified in short term culture filtrate by proteomics at the Statens Serum Institute (Denmark) (see proteomics citations).</t>
  </si>
  <si>
    <t>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</si>
  <si>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</si>
  <si>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</si>
  <si>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cytosol and cell membrane fraction of M. tuberculosis H37Rv using 2DLC/MS (See Mawuenyega et al., 2005). Identified by mass spectrometry in M. tuberculosis H37Rv-infected guinea pig lungs at 30 days but not 90 days (See Kruh et al., 2010).</t>
  </si>
  <si>
    <t>Predicted secreted protein - identified in culture filtrates of M. tuberculosis H37Rv; signal peptide predicted and cleavable signal sequence confirmed experimentally (See Malen et al., 2007). Identified by mass spectrometry in whole cell lysates of M. tuberculosis H37Rv but not the culture filtrate or membrane protein fraction (See de Souza et al., 2011).</t>
  </si>
  <si>
    <t>Identified in immunodominant fractions of M. tuberculosis H37Rv culture filtrate using 2D-LPE, 2D-PAGE, and LC-MS or LC-MS/MS (See Covert et al., 2001). Predicted secreted 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</si>
  <si>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</si>
  <si>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by proteomics (See Rosenkrands et al., 2000). Predicted secreted 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 Translational start site supported by proteomics data (See Kelkar et al., 2011).</t>
  </si>
  <si>
    <t>Identified in the cell wall fraction of M. tuberculosis H37Rv using 2DLC/MS (See Mawuenyega et al., 2005).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</si>
  <si>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</si>
  <si>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</si>
  <si>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</si>
  <si>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</si>
  <si>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The product of this CDS corresponds to spots 1827 identified in short term culture filtrate, cell wall and cytosol by proteomics at the Statens Serum Institute (Denmark) (see citations below). Identified in immunodominant fractions of both M. tuberculosis H37Rv culture filtrate and cytosol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</si>
  <si>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</si>
  <si>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</si>
  <si>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</si>
  <si>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by proteomics, in two-dimensional gel electrophoresis and by mass spectrometry, particularly in standing cultures (see Rosenkrands et al., 2000; Florczyk et al., 2001). Identified in the membrane fraction of M. tuberculosis H37Rv using 1D-SDS-PAGE and uLC-MS/MS (See Gu et al., 2003). Identified in the cytosol and cell membrane fraction of M. tuberculosis H37Rv using 2DLC/MS (See Mawuenyega et al., 2005). Identified in culture filtrates of M. tuberculosis H37Rv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M. tuberculosis H37Rv-infected guinea pig lungs at 30 and 90 days (See Kruh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</si>
  <si>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</si>
  <si>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Predicted transmembrane protein - identified in culture filtrates of M. tuberculosis H37Rv; signal peptide predicted and cleavable signal sequence confirmed experimentally (See Malen et al., 2007). Identified in the cell membrane fraction of M. tuberculosis H37Rv using 2DLC/MS (See Mawuenyega et al., 2005).</t>
  </si>
  <si>
    <t>Identified in the cell membrane fraction of M. tuberculosis H37Rv using 2DLC/MS (See Mawuenyega et al., 2005). Identified in the membrane fraction of M. tuberculosis H37Rv using nanoLC-MS/MS; predicted integral membrane protein (See Xiong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</si>
  <si>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The product of this CDS corresponds to spot 3_416 identified by proteomics at the Max Planck Institute for Infection Biology, Berlin, Germany (See Mattow et al., 2001).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</si>
  <si>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1860 identified in short term culture filtrate by proteomics at the Statens Serum Institute (Denmark) (see proteomics citations from 2000). Identified in immunodominant fractions of M. tuberculosis H37Rv culture filtrate using 2D-LPE, 2D-PAGE, and LC-MS or LC-MS/MS (See Covert et al., 2001). Also identified by proteomics during starvation as downregulated (see Betts et al., 2002). Identified in the culture supernatant of M. tuberculosis H37Rv using mass spectrometry (See Mattow et al., 2003). Predicted secreted protein - identified in culture filtrates of M. tuberculosis H37Rv; signal peptide predicted (See Malen et al., 2007). Identified in the culture filtrate of M. tuberculosis H37Rv using LC-MS/MS; antigen recognized by serum pool from tuberculosis patients (See Malen et al., 2008).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</si>
  <si>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fraction of M. tuberculosis H37Rv using 2DLC/MS (See Mawuenyega et al., 2005).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</si>
  <si>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</si>
  <si>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detergent phase of Triton X-114 extracts of M. tuberculosis H37Rv membranes using CEGE and MALDI-TOF-MS (See Sinha et al., 2005).</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</si>
  <si>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</si>
  <si>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Triton X-114 extracts of M. tuberculosis H37Rv membranes using 2DGE and MALDI-MS (See Sinha et al., 2002).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in both the aqueous and detergent phases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</si>
  <si>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</si>
  <si>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carbonate extracts of M. tuberculosis H37Rv membranes using 2DGE and MALDI-MS (See Sinha et al., 2002). Identified in the membrane fraction of M. tuberculosis H37Rv using 1D-SDS-PAGE and uLC-MS/MS (See Gu et al., 2003). Identified in the membrane fraction of M. tuberculosis H37Rv using nanoLC-MS/MS (See Xiong et al., 2005). Identified in the aqueous phase of Triton X-114 extracts of M. tuberculosis H37Rv membranes using 1-DGE, 2-DGE, and MALDI-TOF-MS (See Sinha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</si>
  <si>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</si>
  <si>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The product of this CDS corresponds to spot 3_501 identified in culture supernatant by proteomics at the Max Planck Institute for Infection Biology, Berlin, Germany, and spot 1886c identified in short term culture filtrate by proteomics at the Statens Serum Institute (Denmark) (see proteomics citations). Identified in immunodominant fractions of M. tuberculosis H37Rv culture filtrate using 2D-LPE, 2D-PAGE, and LC-MS or LC-MS/MS (See Covert et al., 2001). Identified in the membrane fraction of M. tuberculosis H37Rv using 1D-SDS-PAGE and uLC-MS/MS; predicted transmembrane protein (See Gu et al., 2003). Identified in the culture supernatant of M. tuberculosis H37Rv using mass spectrometry and Edman degradation (See Mattow et al., 2003). 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</si>
  <si>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and membrane protein fraction of M. tuberculosis H37Rv but not whole cell lysates (See de Souza et al., 2011).</t>
  </si>
  <si>
    <t>Identified by proteomics (See Rosenkrands et al., 2000). Identified in the membrane fraction of M. tuberculosis H37Rv using 1D-SDS-PAGE and uLC-MS/MS (See Gu et al., 2003). Predicted surface lipoprotein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</si>
  <si>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 katG identified in cell wall by proteomics at the Statens Serum Institute (Denmark) (see Rosenkrands et al., 2000a; 2000b). Also identified in two-dimensional gel electrophoresis and by mass spectrometry, particularly in standing cultures (see Florczyk et al., 2001). 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</si>
  <si>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(see proteomics citations).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</si>
  <si>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the culture filtrate and whole cell lysates of M. tuberculosis H37Rv but not the membrane protein fraction (See de Souza et al., 2011).</t>
  </si>
  <si>
    <t>Identified by proteomics at the Statens Serum Institute (Denmark) (See Rosenkrands et al., 2000).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</si>
  <si>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Corresponds to spots 5_44 and 5_31 identified in culture supernatant by proteomics at the Max Planck Institute for Infection Biology, Berlin, Germany (see proteomics citations from 1999), and spot 1926c identified in short term culture filtrate by proteomics at the Statens Serum Institute (Denmark) (see proteomics citations from 2000). Identified in the culture supernatant of M. tuberculosis H37Rv using mass spectrometry (See Mattow et al., 2003). 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</si>
  <si>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3_32 identified in culture supernatant by proteomics at the Max Planck Institute for Infection Biology, Berlin, Germany, and also spots 1932 identified in short term culture filtrate and cell wall by the Statens Serum Institute (Denmark) (see citations below). Identified in immunodominant fractions of both M. tuberculosis H37Rv culture filtrate and cytosol using 2D-LPE, 2D-PAGE, and LC-MS or LC-MS/MS (See Covert et al., 2001).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</si>
  <si>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mass spectrometry in M. tuberculosis H37Rv-infected guinea pig lungs at 90 days but not 30 days (See Kruh et al., 2010). Identified by mass spectrometry in the culture filtrate of M. tuberculosis H37Rv but not the membrane protein fraction or whole cell lysates (See de Souza et al., 2011).</t>
  </si>
  <si>
    <t>The product of this CDS corresponds to spot 4_120 identified by proteomics at the Max Planck Institute for Infection Biology, Berlin, Germany (See Mattow et al., 2001).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</si>
  <si>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Corresponds to spot 3_450 identified in culture supernatant by proteomics at the Max Planck Institute for Infection Biology, Berlin, Germany (see proteomics citations from 1999), and spot 1980c identified in short term culture filtrate by proteomics at the Statens Serum Institute (Denmark) (see proteomics citations from 2000). Identified in immunodominant fractions of M. tuberculosis H37Rv culture filtrate using 2D-LPE, 2D-PAGE, and LC-MS or LC-MS/MS (See Covert et al., 2001). Also identified by proteomics during starvation as downregulated (see Betts et al., 2002). Identified in the culture supernatant of M. tuberculosis H37Rv using mass spectrometry and Edman degradation (See Mattow et al., 2003). Predicted secreted protein - identified in culture filtrates of M. tuberculosis H37Rv; signal peptide predicted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</si>
  <si>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1984 identified in short term culture filtrate by proteomics at the Statens Serum Institute (Denmark) (see citations below). Predicted secreted protein - identified in culture filtrates of M. tuberculosis H37Rv; signal peptide predicted and cleavable signal sequence confirmed experimentally (See Malen et al., 2007). Detected by Western blot in M. tuberculosis H37Rv culture filtrate (See West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</si>
  <si>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M. tuberculosis H37Rv-infected guinea pig lungs at 90 days but not 30 days (See Kruh et al., 2010).</t>
  </si>
  <si>
    <t>Identified by proteomics (See Rosenkrands et al., 2000). Identified in the membrane fraction of M. tuberculosis H37Rv using 1D-SDS-PAGE and uLC-MS/MS (See Gu et al., 2003). Identified in the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</si>
  <si>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cell wall and cell membrane fractions of M. tuberculosis H37Rv using 2DLC/MS (See Mawuenyega et al., 2005). Identified in the membrane fraction of M. tuberculosis H37Rv using nanoLC-MS/MS; predicted integral membrane protein (See Xiong et al., 2005). Identified by mass spectrometry in M. tuberculosis H37Rv-infected guinea pig lungs at 90 days but not 30 days (See Kruh et al., 2010).</t>
  </si>
  <si>
    <t>Identified in the cytosol, cell wall, and cell membrane fractions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</si>
  <si>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by proteomics (see Rosenkrands et al., 2000). Identified in carbonate extracts of M. tuberculosis H37Rv membranes using 2DGE and MALDI-MS (See Sinha et al., 2002). Identified in the membrane fraction of M. tuberculosis H37Rv using 1D-SDS-PAGE and uLC-MS/MS (See Gu et al., 2003). Identified in the cell wall fraction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</si>
  <si>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cell wall and cell membrane fractions of M. tuberculosis H37Rv using 2DLC/MS (See Mawuenyega et al., 2005). Identified in culture filtrates of M. tuberculosis H37Rv (See Malen et al., 2007). Identified by mass spectrometry in M. tuberculosis H37Rv-infected guinea pig lungs at 30 days but not 90 days (See Kruh et al., 2010). Identified by mass spectrometry in the culture filtrate and whole cell lysates of M. tuberculosis H37Rv but not the membrane protein fraction (See de Souza et al., 2011).</t>
  </si>
  <si>
    <t>Identified by mass spectrometry in M. tuberculosis H37Rv-infected guinea pig lungs at 90 days but not 30 days (See Kruh et al., 2010).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</si>
  <si>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</si>
  <si>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and membrane protein fraction of M. tuberculosis H37Rv but not whole cell lysates (See de Souza et al., 2011).</t>
  </si>
  <si>
    <t>The product of this CDS corresponds to spots 5_85, 5_33, 5_141, 5_84, 5_89, 5_146, 5_238 and 5_66 identified in culture supernatant by proteomics at the Max Planck Institute for Infection Biology, Berlin, Germany (see proteomics citations from 1999), and spots 2031c identified in short term culture filtrate and cell wall by proteomics at the Statens Serum Institute (Denmark) (see proteomics citations from 2000). Identified in immunodominant fractions of M. tuberculosis H37Rv cytosol using 2D-LPE, 2D-PAGE, and LC-MS or LC-MS/MS (See Covert et al., 2001). Also identified in two-dimensional gel electrophoresis and by mass spectrometry, particularly in standing cultures (see Florczyk et al., 2001). Also identified by proteomics in the University of California (USA) (see Wong et al., 1999) and upregulated during starvation (see Betts et al., 2002). Note that in Mycobacterium bovis BCG, proteome analysis by 2D-electrophoresis and MS identified this homolog which showed increased expression inside macrophages (see Monahan et al., 2001). Also identified at the Statens Serum Institute (Denmark) under aerobic and low oxygen conditions (see Rosenkrands et al., 2002). Identified in Triton X-114 and carbonate extracts of M. tuberculosis H37Rv membranes using 2DGE and MALDI-MS (See Sinha et al., 2002). Identified in the membrane fraction of M. tuberculosis H37Rv using 1D-SDS-PAGE and uLC-MS/MS (See Gu et al., 2003). Identified in the culture supernatant of M. tuberculosis H37Rv using mass spectrometry and Edman degradation (See Mattow et al., 2003). Identified in the cytosol, cell wall, and cell membrane fractions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</si>
  <si>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cytosol of M. tuberculosis H37Rv using 2DLC/MS (See Mawuenyega et al., 2005). Translational start site supported by proteomics data (See Kelkar et al., 2011).</t>
  </si>
  <si>
    <t>Identified in the cytosol, cell wall, and cell membrane fractions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</si>
  <si>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predicted transmembrane protein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</si>
  <si>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cytosol, cell wall, and cell membrane fractions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</si>
  <si>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</si>
  <si>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</si>
  <si>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6_48 identified by proteomics at the Max Planck Institute for Infection Biology, Berlin, Germany (See Mattow et al., 2001).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</si>
  <si>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predicted integral membrane protein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</si>
  <si>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 2109c identified in short term culture filtrate by proteomics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</si>
  <si>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spots 2110c identified in short term culture filtrate and cytosol by proteomics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the aqueous phase of Triton X-114 extracts of M. tuberculosis H37Rv membranes using 2-DGE and MALDI-TOF-MS (See Sinha et al., 2005). Identified in culture filtrates of M. tuberculosis H37Rv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</si>
  <si>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</si>
  <si>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nanoLC-MS/MS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</si>
  <si>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cytosol, cell wall, and cell membrane fractions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</si>
  <si>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</si>
  <si>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5_101 and 3_203 identified in culture supernatant by proteomics at the Max Planck Institute for Infection Biology, Berlin, Germany, and spots 2140c or TB18.6 identified in short term culture filtrate by proteomics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</si>
  <si>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spots 3_142 and 3_150 identified in culture supernatant by proteomics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in the cell wall fraction of M. tuberculosis H37Rv using 2DLC/MS (See Mawuenyega et al., 2005). Proteomics shows upregulation in isoniazid-resistant M. tuberculosis clinical isolates (See Jiang et al., 2006).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</si>
  <si>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of M. tuberculosis H37Rv using 2DLC/MS (See Mawuenyega et al., 2005). Identified in the membrane fraction of M. tuberculosis H37Rv using nanoLC-MS/MS; predicted integral membrane protein (See Xiong et al., 2005). Translational start site supported by proteomics data (See Kelkar et al., 2011).</t>
  </si>
  <si>
    <t>Identified in the cytosol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</si>
  <si>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in the cytosol and cell membrane fraction of M. tuberculosis H37Rv using 2DLC/MS (See Mawuenyega et al., 2005). Identified by mass spectrometry in the culture filtrate and whole cell lysates of M. tuberculosis H37Rv but not the membrane protein fraction (See de Souza et al., 2011).</t>
  </si>
  <si>
    <t>Identified in carbonate extracts of M. tuberculosis H37Rv membranes using 2DGE and MALDI-MS (See Sinha et al., 2002).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</si>
  <si>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Translational start site supported by proteomics data (See Kelkar et al., 2011).</t>
  </si>
  <si>
    <t>The product of this CDS corresponds to spot TB16.3 identified in cell wall by proteomics at the Statens Serum Institute (Denmark), and at the Max Planck Institute for Infection Biology, Berlin, Germany (see proteomics citations).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</si>
  <si>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</si>
  <si>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cytosol, cell wall, and cell membrane fractions of M. tuberculosis H37Rv using 2DLC/MS (See Mawuenyega et al., 2005). Translational start site supported by proteomics data (See Kelkar et al., 2011).</t>
  </si>
  <si>
    <t>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</si>
  <si>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Identified in the cell wall fraction of M. tuberculosis H37Rv using 2DLC/MS (See Mawuenyega et al., 2005). Identified in the membrane fraction of M. tuberculosis H37Rv using nanoLC-MS/MS; predicted integral membrane protein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</si>
  <si>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</si>
  <si>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</si>
  <si>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Predicted transmembrane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</si>
  <si>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</si>
  <si>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</si>
  <si>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</si>
  <si>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Triton X-114 extracts of M. tuberculosis H37Rv (See Malen et al., 2010). Identified by mass spectrometry in the culture filtrate, membrane protein fraction, and whole cell lysates of M. tuberculosis H37Rv (See de Souza et al., 2011).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</si>
  <si>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the culture filtrate and whole cell lysates of M. tuberculosis H37Rv but not the membrane protein fraction (See de Souza et al., 2011). Translational start site supported by proteomics data (See Kelkar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</si>
  <si>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</si>
  <si>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cytosol of M. tuberculosis H37Rv using 2DLC/MS (See Mawuenyega et al., 2005). Identified in the membrane fraction of M. tuberculosis H37Rv using nanoLC-MS/MS; predicted integral membrane protein (See Xiong et al., 2005).</t>
  </si>
  <si>
    <t>Identified by proteomics (See Rosenkrands et al., 2000). 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</si>
  <si>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 Translational start site supported by proteomics data (See Kelkar et al., 2011).</t>
  </si>
  <si>
    <t>The product of this CDS corresponds to spot 2220 identified in short term culture filtrate by proteomics at the Statens Serum Institute (Denmark) (see proteomics citations).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membrane fraction of M. tuberculosis H37Rv using nanoLC-MS/MS (See Xiong et al., 2005). Identified in both the aqueous and detergent phases of Triton X-114 extracts of M. tuberculosis H37Rv membranes using 1-DGE, 2-DGE, and MALDI-TOF-MS (See Sinha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</si>
  <si>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</si>
  <si>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by mass spectrometry in M. tuberculosis H37Rv-infected guinea pig lungs at 30 days but not 90 days (See Kruh et al., 2010). Identified by mass spectrometry in the culture filtrate of M. tuberculosis H37Rv but not the membrane protein fraction or whole cell lysates (See de Souza et al., 2011).</t>
  </si>
  <si>
    <t>Identified in the membrane fraction of M. tuberculosis H37Rv using 1D-SDS-PAGE and uLC-MS/MS; predicted transmembrane protein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Predicted surface lipoprotein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</si>
  <si>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</si>
  <si>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</si>
  <si>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The product of this CDS corresponds to spots 2244 Identified in short term culture filtrate, cytosol and cell wall by proteomics at the Statens Serum Institute (Denmark) (see proteomics citations). Identified in the membrane fraction of M. tuberculosis H37Rv using 1D-SDS-PAGE and uLC-MS/MS (See Gu et al., 2003). Identified in the cytosol,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</si>
  <si>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</si>
  <si>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</si>
  <si>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</si>
  <si>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cytosol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</si>
  <si>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</si>
  <si>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</si>
  <si>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Max Planck Institute for Infection Biology, Berlin, Germany (See Jungblut et al., 1999). Identified in carbonate extracts of M. tuberculosis H37Rv membranes using 2DGE and MALDI-MS (See Sinha et al., 2002). Identified in the membrane fraction of M. tuberculosis H37Rv using 1D-SDS-PAGE and uLC-MS/MS (See Gu et al., 2003). Identified in the cell wall fraction of M. tuberculosis H37Rv using 2DLC/MS (See Mawuenyega et al., 2005).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</si>
  <si>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</si>
  <si>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</si>
  <si>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 CFP25 identified in short term culture filtrate by proteomics at the Statens Serum Institute, Denmark (see Weldingh et al., 1998). Identified in the culture supernatant of M. tuberculosis H37Rv using mass spectrometry (See Mattow et al., 2003). Predicted secreted protein - identified in culture filtrates of M. tuberculosis H37Rv; signal peptide predicted and cleavable signal sequence confirmed experimentally (See Malen et al., 2007). Detected by Western blot in M. tuberculosis H37Rv culture filtrate (See West et al., 2009).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</si>
  <si>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culture filtrates of M. tuberculosis H37Rv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</si>
  <si>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mass spectrometry in Triton X-114 extracts of M. tuberculosis H37Rv (See Malen et al., 2010). Identified by mass spectrometry in M. tuberculosis H37Rv-infected guinea pig lungs at 30 and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</si>
  <si>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</si>
  <si>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</si>
  <si>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and membrane protein fraction of M. tuberculosis H37Rv but not whole cell lysates (See de Souza et al., 2011). Translational start site supported by proteomics data (See Kelkar et al., 2011).</t>
  </si>
  <si>
    <t>Identified in the cell wall fraction of M. tuberculosis H37Rv using 2DLC/MS (See Mawuenyega et al., 2005).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</si>
  <si>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cell membrane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</si>
  <si>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</si>
  <si>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 Translational start site supported by proteomics data (See de Souza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</si>
  <si>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</si>
  <si>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Translational start site supported by proteomics data (See Kelkar et al., 2011).</t>
  </si>
  <si>
    <t>Identified by proteomics at the Statens Serum Institute (Denmark) (see Rosenkrands et al., 2000). Identified by mass spectrometry in whole cell lysates of M. tuberculosis H37Rv but not the culture filtrate or membrane protein fraction (See de Souza et al., 2011). Translational start site supported by proteomics data (See Kelkar et al., 2011).</t>
  </si>
  <si>
    <t>The product of this CDS corresponds to spot MTB12 identified in short term culture filtrate by proteomics at the Statens Serum Institute (Denmark) (see proteomics citations). Predicted secreted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</si>
  <si>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membrane fraction of M. tuberculosis H37Rv using 2DLC/MS (See Mawuenyega et al., 2005).</t>
  </si>
  <si>
    <t>Identified in the membrane fraction of M. tuberculosis H37Rv using 1D-SDS-PAGE and uLC-MS/MS (See Gu et al., 2003). Identified by mass spectrometry in M. tuberculosis H37Rv-infected guinea pig lungs at 30 and 90 days (See Kruh et al., 2010).</t>
  </si>
  <si>
    <t>Identified in the membrane fraction of M. tuberculosis H37Rv using 1D-SDS-PAGE and uLC-MS/MS (See Gu et al., 2003). Identified in the membrane fraction of M. tuberculosis H37Rv using nanoLC-MS/MS (See Xiong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</si>
  <si>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cytosol and cell wall fraction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</si>
  <si>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cell membrane fraction of M. tuberculosis H37Rv using 2DLC/MS (See Mawuenyega et al., 2005). Identified by mass spectrometry in whole cell lysates of M. tuberculosis H37Rv but not the culture filtrate or membrane protein fraction (See de Souza et al., 2011).</t>
  </si>
  <si>
    <t>Identified by proteomics at the Statens Serum Institute (Denmark) (see Rosenkrands et al., 2000).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</si>
  <si>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in the membrane fraction of M. tuberculosis H37Rv using nanoLC-MS/MS (See Xiong et al., 2005). Identified by mass spectrometry in M. tuberculosis H37Rv-infected guinea pig lungs at 30 days but not 90 days (See Kruh et al., 2010).</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</si>
  <si>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</si>
  <si>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immunodominant fractions of M. tuberculosis H37Rv cytosol using 2D-LPE, 2D-PAGE, and LC-MS or LC-MS/MS (See Covert et al., 2001). Identified in the membrane fraction of M. tuberculosis H37Rv using 1D-SDS-PAGE and uLC-MS/MS (See Gu et al., 2003). Translational start site supported by proteomics data (See Kelkar et al., 2011).</t>
  </si>
  <si>
    <t>Identified by proteomics (see Rosenkrands et al., 2000). Identified in the membrane fraction of M. tuberculosis H37Rv using 1D-SDS-PAGE and uLC-MS/MS (See Gu et al., 2003).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</si>
  <si>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culture filtrates of M. tuberculosis H37Rv (See Malen et al., 2007).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</si>
  <si>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</si>
  <si>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the culture filtrate and whole cell lysates of M. tuberculosis H37Rv but not the membrane protein fraction (See de Souza et al., 2011).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</si>
  <si>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</si>
  <si>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 5_98 identified in culture supernatant by proteomics at the Max Planck Institute for Infection Biology, Berlin, Germany, and also identified in cytosol by proteomics at the Statens Serum Institute (Denmark) (see citations below).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</si>
  <si>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</si>
  <si>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The product of this CDS corresponds to spot 2_69 identified by proteomics at the Max Planck Institute for Infection Biology, Berlin, Germany (See Mattow et al., 2001). Identified in the membrane fraction of M. tuberculosis H37Rv using 1D-SDS-PAGE and uLC-MS/MS (See Gu et al., 2003). Identified in the membrane fraction of M. tuberculosis H37Rv using nanoLC-MS/MS (See Xiong et al., 2005). Identified by mass spectrometry in whole cell lysates of M. tuberculosis H37Rv but not the culture filtrate or membrane protein fraction (See de Souza et al., 2011).</t>
  </si>
  <si>
    <t>Identified in the cytosol and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</si>
  <si>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</si>
  <si>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</si>
  <si>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immunodominant fractions of M. tuberculosis H37Rv cytosol using 2D-LPE, 2D-PAGE, and LC-MS or LC-MS/MS (See Covert et al., 2001). Identified in carbonate extracts of M. tuberculosis H37Rv membranes using 2DGE and MALDI-MS (See Sinha et al., 2002). 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t>
  </si>
  <si>
    <t>The product of this CDS corresponds to spots Tig identified in cell wall and cytosol by proteomics at the Statens Serum Institute (Denmark), and at the Max Planck Institute for Infection Biology, Berlin, Germany (see proteomics citations). Also identified by proteomics during starvation as downregulated (see Betts et al., 2002).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</si>
  <si>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</si>
  <si>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</si>
  <si>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the culture filtrate and whole cell lysates of M. tuberculosis H37Rv but not the membrane protein fraction (See de Souza et al., 2011). Translational start site supported by proteomics data (See Kelkar et al., 2011).</t>
  </si>
  <si>
    <t>PE/PPE&lt;br /&gt;Prediction based on GO and InterPro: regulatory proteins (See Mazandu and Mulder, 2012)</t>
  </si>
  <si>
    <t xml:space="preserve">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</si>
  <si>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the culture filtrate and membrane protein fraction of M. tuberculosis H37Rv but not whole cell lysates (See de Souza et al., 2011). Translational start site supported by proteomics data (See Kelkar et al., 2011).</t>
  </si>
  <si>
    <t>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</si>
  <si>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nanoLC-MS/MS; predicted integral membrane protein (See Xiong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</si>
  <si>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by mass spectrometry in M. tuberculosis H37Rv-infected guinea pig lungs at 90 days but not 30 days (See Kruh et al., 2010).</t>
  </si>
  <si>
    <t>Identified in the membrane fraction of M. tuberculosis H37Rv using 1D-SDS-PAGE and uLC-MS/MS (See Gu et al., 2003). Identified in the cytosol, cell wall, and cell membrane fractions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 Translational start site supported by proteomics data (See Kelkar et al., 2011).</t>
  </si>
  <si>
    <t>The product of this CDS corresponds to spot 3_297 identified in culture supernatant by proteomics at the Max Planck Institute for Infection Biology, Berlin, Germany, and spot 2534c identified in short term culture filtrate by proteomics at the Statens Serum Institute (Denmark) (see proteomics citations).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</si>
  <si>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Statens Serum Institute (Denmark) (See Rosenkrands et al., 2000). Identified in the culture supernatant of M. tuberculosis H37Rv using mass spectrometry (See Mattow et al., 2003). Identified by mass spectrometry in the culture filtrate and whole cell lysates of M. tuberculosis H37Rv but not the membrane protein fraction (See de Souza et al., 2011).</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</si>
  <si>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in the membrane fraction of M. tuberculosis H37Rv using nanoLC-MS/MS (See Xiong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</si>
  <si>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The product of this CDS corresponds to spot 3_144 identified by proteomics at the Max Planck Institute for Infection Biology, Berlin, Germany (see Mattow et al., 2001). Also identified by proteomics during starvation as upregulated (see Betts et al., 2002).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</si>
  <si>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during starvation as upregulated (see Betts et al., 2002). Identified by mass spectrometry in the culture filtrate and whole cell lysates of M. tuberculosis H37Rv but not the membrane protein fraction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</si>
  <si>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Predicted transmembrane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enriched in the membrane fraction and predicted N-terminal signal peptide is uncleaved (See de Souza et al., 2011).</t>
  </si>
  <si>
    <t>Identified in the cytosol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</si>
  <si>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The product of this CDS corresponds to spot 3_278 identified by proteomics at the Max Planck Institute for Infection Biology, Berlin, Germany (see Mattow et al., 2001).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</si>
  <si>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at the Statens Serum Institute (Denmark) (See Rosenkrands et al., 2000).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</si>
  <si>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Putative glycoprotein identified by LC/ESI-MS/MS in the culture filtrate of M. tuberculosis H37Rv (See Gonzalez-Zamorano et al., 2009).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</si>
  <si>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surface lipoprotein - identified in culture filtrates of M. tuberculosis H37Rv; signal peptide predicted (See Malen et al., 2007). Identified in the cytosol of M. tuberculosis H37Rv using 2DLC/MS (See Mawuenyega et al., 2005). Identified by mass spectrometry in whole cell lysates of M. tuberculosis H37Rv but not the culture filtrate or membrane protein fraction (See de Souza et al., 2011).</t>
  </si>
  <si>
    <t>Identified in the membrane fraction of M. tuberculosis H37Rv using 1D-SDS-PAGE and uLC-MS/MS; predicted transmembrane protein (See Gu et al., 2003). Identified in the cell wall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</si>
  <si>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</si>
  <si>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</si>
  <si>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</si>
  <si>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</si>
  <si>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</si>
  <si>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cell wall and cell membrane fractions of M. tuberculosis H37Rv using 2DLC/MS (See Mawuenyega et al., 2005). Identified in the membrane fraction of M. tuberculosis H37Rv using nanoLC-MS/MS (See Xiong et al., 2005). Identified by mass spectrometry in whole cell lysates of M. tuberculosis H37Rv but not the culture filtrate or membrane protein fraction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</si>
  <si>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enriched in the membrane fraction and predicted N-terminal signal peptide is uncleaved (See de Souza et al., 2011). Translational start site supported by proteomics data (See de Souza et al., 2011) (See Kelkar et al., 2011).</t>
  </si>
  <si>
    <t>Identified in the membrane fraction of M. tuberculosis H37Rv using 1D-SDS-PAGE and uLC-MS/MS (See Gu et al., 2003). Identified by mass spectrometry in whole cell lysates of M. tuberculosis H37Rv but not the culture filtrate or membrane protein fraction (See de Souza et al., 2011). Translational start site supported by proteomics data (See de Souza et al., 2011).</t>
  </si>
  <si>
    <t>Identified by proteomics (See Rosenkrands et al., 2000).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</si>
  <si>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 TB31.7 identified in cell wall by proteomics at the Statens Serum Institute (Denmark), and at the Max Planck Institute for Infection Biology, Berlin, Germany (see proteomics citations). Also identified in two-dimensional gel electrophoresis and by mass spectrometry, particularly in standing cultures (see Florczyk et al., 2001). Note that in Mycobacterium bovis BCG, proteome analysis by 2D-electrophoresis and MS identified this homologue which showed increased expression inside macrophages (see Monahan et al., 2001). Also identified at the Statens Serum Institute (Denmark) under aerobic and low oxygen conditions (see Rosenkrands et al., 2002). 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</si>
  <si>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Identified by mass spectrometry in whole cell lysates of M. tuberculosis H37Rv but not the culture filtrate or membrane protein fraction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</si>
  <si>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t>
  </si>
  <si>
    <t>The product of this CDS corresponds to spot 2626c identified in cell wall by proteomics at the Statens Serum Institute (Denmark), and at the Max Planck Institute for Infection Biology, Berlin, Germany (see proteomics citations). Identified in immunodominant fractions of M. tuberculosis H37Rv cytosol using 2D-LPE, 2D-PAGE, and LC-MS or LC-MS/MS (See Covert et al., 2001). Also identified at the Statens Serum Institute (Denmark) under aerobic and low oxygen conditions (see Rosenkrands et al., 2002).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</si>
  <si>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</si>
  <si>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Identified in culture filtrates of M. tuberculosis H37Rv (See Malen et al., 2007). Identified by mass spectrometry in M. tuberculosis H37Rv-infected guinea pig lungs at 30 and 90 days (See Kruh et al., 2010).</t>
  </si>
  <si>
    <t>Identified by proteomics at the Max Planck Institute for Infection Biology, Berlin, Germany (see proteomics citations).</t>
  </si>
  <si>
    <t>The product of this CDS corresponds to spot 5_125 identified by proteomics at the Max Planck Institute for Infection Biology, Berlin, Germany (see Mattow et al., 2001).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</si>
  <si>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</si>
  <si>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</si>
  <si>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nanoLC-MS/MS (See Xiong et al., 2005).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</si>
  <si>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by proteomics at the Statens Serum Institute (Denmark) (See Rosenkrands et al., 2000). Identified in Triton X-114 extracts of M. tuberculosis H37Rv membranes using 2DGE and MALDI-MS (See Sinha et al., 2002). Identified by mass spectrometry in whole cell lysates of M. tuberculosis H37Rv but not the culture filtrate or membrane protein fraction (See de Souza et al., 2011).</t>
  </si>
  <si>
    <t>Predicted transmembrane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</si>
  <si>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 Translational start site supported by proteomics data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</si>
  <si>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</si>
  <si>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</si>
  <si>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</si>
  <si>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</si>
  <si>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 2716 identified in short term culture filtrate by proteomics at the Statens Serum Institute (Denmark) (See Rosenkrands et al., 2000).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</si>
  <si>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nanoLC-MS/MS; predicted integral membrane protein (See Xiong et al., 2005). Predicted transmembrane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</si>
  <si>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in the cytosol, cell wall, and cell membrane fractions of M. tuberculosis H37Rv using 2DLC/MS (See Mawuenyega et al., 2005). Identified in the aqueous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</si>
  <si>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carbonate extracts of M. tuberculosis H37Rv membranes using 2DGE and MALDI-MS (See Sinha et al., 2002).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both the aqueous and detergent phases of Triton X-114 extracts of M. tuberculosis H37Rv membranes using 1-DGE,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</si>
  <si>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culture supernatant of M. tuberculosis H37Rv using mass spectrometry (See Mattow et al., 2003).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</si>
  <si>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by mass spectrometry in the culture filtrate of M. tuberculosis H37Rv but not the membrane protein fraction or whole cell lysates (See de Souza et al., 2011). Translational start site supported by proteomics data (See Kelkar et al., 2011).</t>
  </si>
  <si>
    <t>Identified in the membrane fraction of M. tuberculosis H37Rv using 1D-SDS-PAGE and uLC-MS/MS (See Gu et al., 2003).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</si>
  <si>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 3_296 identified in culture supernatant by proteomics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</si>
  <si>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The product of this CDS corresponds to spots 1_298 and 1_321 identified in culture supernatant by proteomics at the Max Planck Institute for Infection Biology, Berlin, Germany (see Jungblut et al., 1999; Mollenkopf et al., 1999; Mattow et al., 2001), and spots 2780 identified in short term culture filtrate and cell wall by proteomics at the Statens Serum Institute (Denmark) (see Rosenkrands et al., 2000a; 2000b). Also identified at the Statens Serum Institute (Denmark) under aerobic and low oxygen conditions (see Rosenkrands et al., 2002). Identified in the membrane fraction of M. tuberculosis H37Rv using 1D-SDS-PAGE and uLC-MS/MS (See Gu et al., 2003). Identified in the culture supernatant of M. tuberculosis H37Rv using mass spectrometry and Edman degradation (See Mattow et al., 2003). Identified in the cytosol of M. tuberculosis H37Rv using 2DLC/MS (See Mawuenyega et al., 2005). Identified by mass spectrometry in the culture filtrate and whole cell lysates of M. tuberculosis H37Rv but not the membrane protein fraction (See de Souza et al., 2011).</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</si>
  <si>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in the aqueous phase of Triton X-114 extracts of M. tuberculosis H37Rv membranes using 1-DGE and MALDI-TOF-MS (See Sinha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</si>
  <si>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</si>
  <si>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Putative glycoprotein identified by LC/ESI-MS/MS in the culture filtrate of M. tuberculosis H37Rv (See Gonzalez-Zamorano et al., 2009). Identified by mass spectrometry in the culture filtrate and whole cell lysates of M. tuberculosis H37Rv but not the membrane protein fraction (See de Souza et al., 2011).</t>
  </si>
  <si>
    <t>Putative glycoprotein identified by LC/ESI-MS/MS in the culture filtrate of M. tuberculosis H37Rv (See Gonzalez-Zamorano et al., 2009).</t>
  </si>
  <si>
    <t>Identified by proteomics at the Statens Serum Institute (Denmark) (See Rosenkrands et al., 2000).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</si>
  <si>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</si>
  <si>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and cell membrane fractions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</si>
  <si>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in the membrane fraction of M. tuberculosis H37Rv using 1D-SDS-PAGE and uLC-MS/MS (See Gu et al., 2003).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</si>
  <si>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in the aqueous phase of Triton X-114 extracts of M. tuberculosis H37Rv membranes using 1-DGE and MALDI-TOF-MS (See Sinha et al., 2005).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</si>
  <si>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cell membrane fraction of M. tuberculosis H37Rv using 2DLC/MS (See Mawuenyega et al., 2005). Predicted transmembrane protein - identified in culture filtrates of M. tuberculosis H37Rv; signal peptide predicted (See Malen et al., 2007). Identified by mass spectrometry in M. tuberculosis H37Rv-infected guinea pig lungs at 30 days but not 90 days (See Kruh et al., 2010).</t>
  </si>
  <si>
    <t>The product of this CDS corresponds to spot 2878 identified in short term culture filtrate by proteomics at the Statens Serum Institute (Denmark) (see proteomics citations). Predicted secreted protein - identified in culture filtrates of M. tuberculosis H37Rv; signal peptide predicted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</si>
  <si>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t>
  </si>
  <si>
    <t>The product of this CDS corresponds to spots 3_365 and 3_283 identified in culture supernatant by proteomics at the Max Planck Institute for Infection Biology, Berlin, Germany, and spots Frr or 2882c identified in cytosol and short term culture filtrate by proteomics at the Statens Serum Institute (Denmark) (see proteomics citations). Identified in the membrane fraction of M. tuberculosis H37Rv using 1D-SDS-PAGE and uLC-MS/MS (See Gu et al., 2003). Identified in the culture supernatant of M. tuberculosis H37Rv using mass spectrometry and Edman degradation (See Mattow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</si>
  <si>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3_236 identified by proteomics at the Max Planck Institute for Infection Biology, Berlin, Germany (See Mattow et al., 2001).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</si>
  <si>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</si>
  <si>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The product of this CDS corresponds to spot 3_487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</si>
  <si>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</si>
  <si>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culture supernatant of M. tuberculosis H37Rv using mass spectrometry (See Mattow et al., 2003). Identified in the cell membrane fraction of M. tuberculosis H37Rv using 2DLC/MS (See Mawuenyega et al., 2005). Identified by Western blot in the cytoplasmic membrane fraction of M. tuberculosis H37Rv and not the cell wall or cytosol (See Farhana et al., 2008).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</si>
  <si>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</si>
  <si>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</si>
  <si>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CEGE and MALDI-TOF-MS (See Sinha et al., 2005). Identified by mass spectrometry in whole cell lysates of M. tuberculosis H37Rv but not the culture filtrate or membrane protein fraction (See de Souza et al., 2011). Translational start site supported by proteomics data (See Kelkar et al., 2011).</t>
  </si>
  <si>
    <t>Predicted surface lipoprotein - identified in culture filtrates of M. tuberculosis H37Rv; signal peptide predicted (See Malen et al., 2007). Identified by mass spectrometry in whole cell lysates of M. tuberculosis H37Rv but not the culture filtrate or membrane protein fraction (See de Souza et al., 2011).</t>
  </si>
  <si>
    <t>Predicted secreted protein/surface lipoprotein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the culture filtrate and whole cell lysates of M. tuberculosis H37Rv but not the membrane protein fraction (See de Souza et al., 2011).</t>
  </si>
  <si>
    <t>Identified in the cell wall and cell membrane fractions of M. tuberculosis H37Rv using 2DLC/MS (See Mawuenyega et al., 2005). Identified in the membrane fraction of M. tuberculosis H37Rv using nanoLC-MS/MS (See Xiong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</si>
  <si>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t>
  </si>
  <si>
    <t>Identified by mass spectrometry in M. tuberculosis H37Rv-infected guinea pig lungs at 30 and 90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</si>
  <si>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in the cytosol and cell membrane fraction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</si>
  <si>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in the cell membrane fraction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</si>
  <si>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</si>
  <si>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and 90 days (See Kruh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</si>
  <si>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cell wall fraction of M. tuberculosis H37Rv using 2DLC/MS (See Mawuenyega et al., 2005).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</si>
  <si>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(See Rosenkrands et al., 2000).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</si>
  <si>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membrane fraction of M. tuberculosis H37Rv using 2DLC/MS (See Mawuenyega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</si>
  <si>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(see Rosenkrands et al., 2000).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</si>
  <si>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cytosol of M. tuberculosis H37Rv using 2DLC/MS (See Mawuenyega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</si>
  <si>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</si>
  <si>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Identified in the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</si>
  <si>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membrane fraction of M. tuberculosis H37Rv using nanoLC-MS/MS (See Xiong et al., 2005). Identified in the detergent phase of Triton X-114 extracts of M. tuberculosis H37Rv membranes using 1-DGE, CEGE, and MALDI-TOF-MS (See Sinha et al., 2005).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</si>
  <si>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3_125 identified by proteomics at the Max Planck Institute for Infection Biology, Berlin, Germany (see citations below). Identified in the membrane fraction of M. tuberculosis H37Rv using 1D-SDS-PAGE and uLC-MS/MS (See Gu et al., 2003). Proteomics shows upregulation in isoniazid-resistant M. tuberculosis clinical isolates (See Jiang et al., 2006).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</si>
  <si>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(See Gu et al., 2003).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enriched in the membrane fraction and predicted N-terminal signal peptide is uncleaved (See de Souza et al., 2011). Translational start site supported by proteomics data (See de Souza et al., 2011) (See Kelkar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</si>
  <si>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</si>
  <si>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Max Planck Institute for Infection Biology, Berlin, Germany (see Jungblut et al., 1999). Identified in the cell membrane fraction of M. tuberculosis H37Rv using 2DLC/MS (See Mawuenyega et al., 2005).</t>
  </si>
  <si>
    <t>Predicted transmembrane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</si>
  <si>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</si>
  <si>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</si>
  <si>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by mass spectrometry in M. tuberculosis H37Rv-infected guinea pig lungs at 90 days but not 30 days (See Kruh et al., 2010). Identified by mass spectrometry in whole cell lysates of M. tuberculosis H37Rv but not the culture filtrate or membrane protein fraction (See de Souza et al., 2011). Translational start site supported by proteomics data (See Kelkar et al., 2011).</t>
  </si>
  <si>
    <t>Purified from culture filtrate (See Bhaskar et al., 2000).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</si>
  <si>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membrane fraction of M. tuberculosis H37Rv using 1D-SDS-PAGE and uLC-MS/MS (See Gu et al., 2003). Identified in the membrane fraction of M. tuberculosis H37Rv using nanoLC-MS/MS (See Xiong et al., 2005). Predicted surface lipoprotein - identified in culture filtrates of M. tuberculosis H37Rv; signal peptide predicted (See Malen et al., 2007). Identified in the culture filtrate of M. tuberculosis H37Rv using LC-MS/MS; antigen recognized by serum pool from tuberculosis patients (See Malen et al., 2008).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</si>
  <si>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and cell membrane fractions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</si>
  <si>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proteomics (see citation below).</t>
  </si>
  <si>
    <t>Identified by proteomics (see proteomics citations).</t>
  </si>
  <si>
    <t>The product of this CDS corresponds to spots 3_129 and 3_68 identified in culture supernatant by proteomics at the Max Planck Institute for Infection Biology, Berlin, Germany, and spot FixB identified in short term culture filtrate by proteomics at the Statens Serum Institute (Denmark) (see citations below). Identified in immunodominant fractions of M. tuberculosis H37Rv cytosol using 2D-LPE, 2D-PAGE, and LC-MS or LC-MS/MS (See Covert et al., 2001). Identified in the membrane fraction of M. tuberculosis H37Rv using 1D-SDS-PAGE and uLC-MS/MS (See Gu et al., 2003). Identified in the culture supernatant of M. tuberculosis H37Rv using mass spectrometry and Edman degradation (See Mattow et al., 2003). Identified in the cytosol and cell wall fraction of M. tuberculosis H37Rv using 2DLC/MS (See Mawuenyega et al., 2005). Proteomics shows upregulation in isoniazid-resistant M. tuberculosis clinical isolates (See Jiang et al., 2006).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</si>
  <si>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3_122 identified in culture supernatant by proteomics at the Max Planck Institute for Infection Biology, Berlin, Germany, and spot FixA identified in short term culture filtrate by proteomics at the Statens Serum Institute (Denmark) (see citations below). Identified in immunodominant fractions of M. tuberculosis H37Rv cytosol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</si>
  <si>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cytosol of M. tuberculosis H37Rv using 2DLC/MS (See Mawuenyega et al., 2005).</t>
  </si>
  <si>
    <t>Identified in culture filtrates of M. tuberculosis H37Rv (See Malen et al., 2007). Identified in the cell membrane fraction of M. tuberculosis H37Rv using 2DLC/MS (See Mawuenyega et al., 2005). Identified by mass spectrometry in M. tuberculosis H37Rv-infected guinea pig lungs at 30 and 90 days (See Kruh et al., 2010).</t>
  </si>
  <si>
    <t>Identified in the membrane fraction of M. tuberculosis H37Rv using 1D-SDS-PAGE and uLC-MS/MS (See Gu et al., 2003). 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</si>
  <si>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3_147 identified in culture supernatant by proteomics at the Max Planck Institute for Infection Biology, Berlin, Germany, and spot 3036c identified in short term culture filtrate by proteomics at the Statens Serum Institute (Denmark) (see citations below). Identified in the culture supernatant of M. tuberculosis H37Rv using mass spectrometry and Edman degradation (See Mattow et al., 2003). Predicted secreted protein - identified in culture filtrates of M. tuberculosis H37Rv; signal peptide predicted (See Malen et al., 2007).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</si>
  <si>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membrane fraction of M. tuberculosis H37Rv using nanoLC-MS/MS (See Xiong et al., 2005).</t>
  </si>
  <si>
    <t>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t>
  </si>
  <si>
    <t>Identified in immunodominant fractions of M. tuberculosis H37Rv culture filtrate using 2D-LPE, 2D-PAGE, and LC-MS or LC-MS/MS (See Covert et al., 2001). Identified in the membrane fraction of M. tuberculosis H37Rv using 1D-SDS-PAGE and uLC-MS/MS (See Gu et al., 2003).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the culture filtrate and whole cell lysates of M. tuberculosis H37Rv but not the membrane protein fraction (See de Souza et al., 2011).</t>
  </si>
  <si>
    <t>The product of this CDS corresponds to spot 3045 identified in short term culture filtrate by proteomics at the Statens Serum Institute (Denmark), and at the Max Planck Institute for Infection Biology, Berlin, Germany (see citations below). Identified in the membrane fraction of M. tuberculosis H37Rv using 1D-SDS-PAGE and uLC-MS/MS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</si>
  <si>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culture supernatant of M. tuberculosis H37Rv using mass spectrometry (See Mattow et al., 2003).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</si>
  <si>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Identified in the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de Souza et al., 2011) (See Kelkar et al., 2011).</t>
  </si>
  <si>
    <t>Identified in the cell wall fraction of M. tuberculosis H37Rv using 2DLC/MS (See Mawuenyega et al., 2005). Identified in the membrane fraction of M. tuberculosis H37Rv using nanoLC-MS/MS (See Xiong et al., 2005).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</si>
  <si>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by proteomics at the Max Planck Institute for Infection Biology, Berlin, Germany (See Jungblut et al., 1999).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</si>
  <si>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cytosol, cell wall, and cell membrane fractions of M. tuberculosis H37Rv using 2DLC/MS (See Mawuenyega et al., 2005). Detected by Western blot in cell wall fraction (See Kumar et al., 2009). Identified by mass spectrometry in M. tuberculosis H37Rv-infected guinea pig lungs at 30 and 90 days (See Kruh et al., 2010). Identified by mass spectrometry in whole cell lysates of M. tuberculosis H37Rv but not the culture filtrate or membrane protein fraction (See de Souza et al., 2011).</t>
  </si>
  <si>
    <t>Identified in the cytosol of M. tuberculosis H37Rv using 2DLC/MS (See Mawuenyega et al., 2005).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</si>
  <si>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</si>
  <si>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de Souza et al., 2011) (See Kelkar et al., 2011).</t>
  </si>
  <si>
    <t>Identified in carbonate extracts of M. tuberculosis H37Rv membranes using 2DGE and MALDI-MS (See Sinha et al., 2002). 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</si>
  <si>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predicted transmembrane protein (See Gu et al., 2003). Identified in the cell wall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enriched in the membrane fraction and predicted N-terminal signal peptide is uncleaved (See de Souza et al., 2011).</t>
  </si>
  <si>
    <t>Predicted secreted protein - identified in culture filtrates of M. tuberculosis H37Rv; signal peptide predicted (See Malen et al., 2007). Identified by mass spectrometry in whole cell lysates of M. tuberculosis H37Rv but not the culture filtrate or membrane protein fraction (See de Souza et al., 2011).</t>
  </si>
  <si>
    <t>Possibly identified in two-dimensional gel electrophoresis and by mass spectrometry in standing cultures (see Florczyk et al., 2001). Identified in the culture supernatant of M. tuberculosis H37Rv using mass spectrometry (See Mattow et al., 2003).</t>
  </si>
  <si>
    <t>Identified by proteomics at the Max Planck Institute for Infection Biology, Berlin, Germany (see Jungblut et al., 1999). Identified in the membrane fraction of M. tuberculosis H37Rv using 1D-SDS-PAGE and uLC-MS/MS (See Gu et al., 2003). Identified in the cell wall fraction of M. tuberculosis H37Rv using 2DLC/MS (See Mawuenyega et al., 2005).</t>
  </si>
  <si>
    <t>Identified in the cell wall and cell membrane fractions of M. tuberculosis H37Rv using 2DLC/MS (See Mawuenyega et al., 2005). Identified in the membrane fraction of M. tuberculosis H37Rv using nanoLC-MS/MS (See Xiong et al., 2005). Translational start site supported by proteomics data (See Kelkar et al., 2011).</t>
  </si>
  <si>
    <t>The product of this CDS corresponds to spot 3_305 identified in culture supernatant by proteomics at the Max Planck Institute for Infection Biology, Berlin, Germany, and also at the Statens Serum Institute (Denmark) (see proteomics citations).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</si>
  <si>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</si>
  <si>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wall fraction of M. tuberculosis H37Rv using 2DLC/MS (See Mawuenyega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</si>
  <si>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Max Planck Institute for Infection Biology, Berlin, Germany (see Jungblut et al., 1999).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</si>
  <si>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cell wall and cell membrane fractions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</si>
  <si>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nanoLC-MS/MS; predicted integral membrane protein (See Xiong et al., 2005). Predicted secreted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</si>
  <si>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</si>
  <si>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in the membrane fraction but not culture filtrate or whole cell lysates of M. tuberculosis H37Rv (See de Souza et al., 2011). Identified in cell lysates and/or culture filtrates of M. tuberculosis H37Rv (See Kelkar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</si>
  <si>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Predicted transmembrane protein - identified in culture filtrates of M. tuberculosis H37Rv; signal peptide predicted (See Malen et al., 2007).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</si>
  <si>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 Predicted secreted protein - identified in culture filtrates of M. tuberculosis H37Rv; signal peptide predicted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</si>
  <si>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Corresponds to spot 5_123 identified by proteomics at the Max Planck Institute for Infection Biology, Berlin, Germany (See Jungblut et al., 2001).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</si>
  <si>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Predicted secreted protein - identified in culture filtrates of M. tuberculosis H37Rv; signal peptide predicted (See Malen et al., 2007). Identified by mass spectrometry in M. tuberculosis H37Rv-infected guinea pig lungs at 90 days but not 30 days (See Kruh et al., 2010).</t>
  </si>
  <si>
    <t>Identified in the cytosol of M. tuberculosis H37Rv using 2DLC/MS (See Mawuenyega et al., 2005). Identified by mass spectrometry in the culture filtrate of M. tuberculosis H37Rv but not the membrane protein fraction or whole cell lysates (See de Souza et al., 2011).</t>
  </si>
  <si>
    <t>Identified by proteomics at the Statens Serum Institute (Denmark) (See Rosenkrands et al., 2000). Identified in the membrane fraction of M. tuberculosis H37Rv using 1D-SDS-PAGE and uLC-MS/MS (See Gu et al., 2003). Identified by mass spectrometry in whole cell lysates of M. tuberculosis H37Rv but not the culture filtrate or membrane protein fraction (See de Souza et al., 2011).</t>
  </si>
  <si>
    <t>Corresponds to spot 5_53 identified by proteomics at the Max Planck Institute for Infection Biology, Berlin, Germany (See Jungblut et al., 2001), and to spot TB9.4 identified at the Statens Serum Institute (Denmark) (See Rosenkrands et al., 2000). Identified in the culture supernatant of M. tuberculosis H37Rv using mass spectrometry (See Mattow et al., 2003). Identified by mass spectrometry in the culture filtrate and whole cell lysates of M. tuberculosis H37Rv but not the membrane protein fraction (See de Souza et al., 2011).</t>
  </si>
  <si>
    <t>Identified in the cytosol and cell membrane fraction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</si>
  <si>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Max Planck Institute for Infection Biology, Berlin, Germany (see Jungblut et al., 1999). Identified in the cell wall fraction of M. tuberculosis H37Rv using 2DLC/MS (See Mawuenyega et al., 2005). Translational start site supported by proteomics data (See Kelkar et al., 2011).</t>
  </si>
  <si>
    <t>The product of this CDS corresponds to spot TB7.3 identified in short term culture filtrate by proteomics at the Statens Serum Institute (Denmark) (see citations below).</t>
  </si>
  <si>
    <t>The product of this CDS corresponds to a spot identified in cytosol by proteomics at the Statens Serum Institute (Denmark) (see proteomics citations).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</si>
  <si>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Max Planck Institute for Infection Biology, Berlin, Germany and at the University of California (USA) (see proteomics citations). 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</si>
  <si>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(See Gu et al., 2003). Identified in the cytosol and cell membrane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</si>
  <si>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in the membrane fraction of M. tuberculosis H37Rv using nanoLC-MS/MS (See Xiong et al., 2005). Predicted surface lipoprotein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and membrane protein fraction of M. tuberculosis H37Rv but not whole cell lysates (See de Souza et al., 2011).</t>
  </si>
  <si>
    <t>The product of this CDS corresponds to spot 3_277 identified in culture supernatant by proteomics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by mass spectrometry in the culture filtrate and whole cell lysates of M. tuberculosis H37Rv but not the membrane protein fraction (See de Souza et al., 2011). Translational start site supported by proteomics data (See Kelkar et al., 2011).</t>
  </si>
  <si>
    <t>The product of this CDS corresponds to a spots 3248c identified in cytosol and short term culture filtrate by proteomics at the Statens Serum Institute (Denmark) (see citations below). Identified in the membrane fraction of M. tuberculosis H37Rv using 1D-SDS-PAGE and uLC-MS/MS (See Gu et al., 2003). Identified in the cytosol and cell membrane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</si>
  <si>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the culture filtrate of M. tuberculosis H37Rv but not the membrane protein fraction or whole cell lysates (See de Souza et al., 2011).</t>
  </si>
  <si>
    <t>Identified by proteomics (See Rosenkrands et al., 2000).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</si>
  <si>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</si>
  <si>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by proteomics at the Max Planck Institute for Infection Biology, Berlin, Germany (See Jungblut et al., 1999). 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</si>
  <si>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The product of this CDS corresponds to spot 3_407 identified by proteomics at the Max Planck Institute for Infection Biology, Berlin, Germany (See Mattow et al., 2001).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</si>
  <si>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Max Planck Institute for Infection Biology, Berlin, Germany (see Jungblut et al., 1999). Identified in the membrane fraction of M. tuberculosis H37Rv using 1D-SDS-PAGE and uLC-MS/MS (See Gu et al., 2003).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</si>
  <si>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a spot identified in cytosol by proteomics at the Statens Serum Institute (Denmark) (see proteomics citations). Identified in the membrane fraction of M. tuberculosis H37Rv using 1D-SDS-PAGE and uLC-MS/MS (See Gu et al., 2003). Identified in the cytosol and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</si>
  <si>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in the cell membrane fraction of M. tuberculosis H37Rv using 2DLC/MS (See Mawuenyega et al., 2005).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</si>
  <si>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in the cytosol of M. tuberculosis H37Rv using 2DLC/MS (See Mawuenyega et al., 2005). Identified in the membrane fraction of M. tuberculosis H37Rv using nanoLC-MS/MS (See Xiong et al., 2005).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</si>
  <si>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culture supernatant of M. tuberculosis H37Rv using mass spectrometry (See Mattow et al., 2003). Identified by mass spectrometry in the culture filtrate and whole cell lysates of M. tuberculosis H37Rv but not the membrane protein fraction (See de Souza et al., 2011). Translational start site supported by proteomics data (See Kelkar et al., 2011).</t>
  </si>
  <si>
    <t>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</si>
  <si>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cytosol and cell membrane fraction of M. tuberculosis H37Rv using 2DLC/MS (See Mawuenyega et al., 2005). Identified by mass spectrometry in Triton X-114 extracts of M. tuberculosis H37Rv (See Malen et al., 2010). Identified by mass spectrometry in M. tuberculosis H37Rv-infected guinea pig lungs at 30 and 90 days (See Kruh et al., 2010). Identified by mass spectrometry in the culture filtrate, membrane protein fraction, and whole cell lysates of M. tuberculosis H37Rv (See de Souza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</si>
  <si>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 Translational start site supported by proteomics data (See de Souza et al., 2011) (See Kelkar et al., 2011).</t>
  </si>
  <si>
    <t>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of M. tuberculosis H37Rv but not the culture filtrate or membrane protein fraction (See de Souza et al., 2011). Translational start site supported by proteomics data (See de Souza et al., 2011).</t>
  </si>
  <si>
    <t>Predicted secreted protein - identified in culture filtrates of M. tuberculosis H37Rv; signal peptide predicted and cleavable signal sequence confirmed experimentally (See Malen et al., 2007). Identified by mass spectrometry in M. tuberculosis H37Rv-infected guinea pig lungs at 90 days but not 30 days (See Kruh et al., 2010).</t>
  </si>
  <si>
    <t>Identified by proteomics at the Statens Serum Institute (Denmark) (See Rosenkrands et al., 2000). 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</si>
  <si>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Identified in the cytosol and cell membrane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</si>
  <si>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cytosol of M. tuberculosis H37Rv using 2DLC/MS (See Mawuenyega et al., 2005). Identified by mass spectrometry in M. tuberculosis H37Rv-infected guinea pig lungs at 90 days but not 30 days (See Kruh et al., 2010).</t>
  </si>
  <si>
    <t>The product of this CDS corresponds to spot 3_211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</si>
  <si>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membrane fraction of M. tuberculosis H37Rv using 1D-SDS-PAGE and uLC-MS/MS; predicted transmembrane protein (See Gu et al., 2003).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</si>
  <si>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wall and cell membrane fractions of M. tuberculosis H37Rv using 2DLC/MS (See Mawuenyega et al., 2005). Identified by mass spectrometry in M. tuberculosis H37Rv-infected guinea pig lungs at 90 days but not 30 days (See Kruh et al., 2010).</t>
  </si>
  <si>
    <t>Identified by proteomics at the Max Planck Institute for Infection Biology, Berlin, Germany (See Jungblut et al., 1999). Detected by 2-DE and MS in M. tuberculosis H37Rv purified from phagosomes of infected murine bone marrow macrophages but not in H37Rv broth-cultures (See Mattow et al., 2006).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</si>
  <si>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 3_236 identified in culture supernatant by proteomics at the Max Planck Institute for Infection Biology, Berlin, Germany (see citations below).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</si>
  <si>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Statens Serum Institute (Denmark) (See Rosenkrands et al., 2000).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</si>
  <si>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The product of this CDS corresponds to spot 6_52 identified by proteomics at the Max Planck Institute for Infection Biology, Berlin, Germany (see Mattow et al., 2001). Identified by mass spectrometry in whole cell lysates of M. tuberculosis H37Rv but not the culture filtrate or membrane protein fraction (See de Souza et al., 2011).</t>
  </si>
  <si>
    <t>Identified by proteomics at the Max Planck Institute for Infection Biology, Berlin, Germany and the Statens Serum Institute (Denmark) (see citations below). Identified in the cell membrane fraction of M. tuberculosis H37Rv using 2DLC/MS (See Mawuenyega et al., 2005). Identified by mass spectrometry in whole cell lysates of M. tuberculosis H37Rv but not the culture filtrate or membrane protein fraction (See de Souza et al., 2011).</t>
  </si>
  <si>
    <t>Note that in Mycobacterium bovis BCG, proteome analysis by 2D-electrophoresis and MS identified this homolog which showed increased expression inside macrophages (see Mulder et al., 1997). Identified in carbonate extracts of M. tuberculosis H37Rv membranes using 2DGE and MALDI-MS (See Sinha et al., 2002).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</si>
  <si>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spots 5_154, 5_160, 5_157, 5_159 and 5_152 identified in culture supernatant by proteomics at the Max Planck Institute for Infection Biology, Berlin, Germany (see proteomics citations from 1999), and spots 3418c identified in short term culture filtrate, cell wall and cytosol by proteomics at the Statens Serum Institute (Denmark) (see proteomics citations from 2000). Identified in immunodominant fractions of both M. tuberculosis H37Rv culture filtrate and cytosol using 2D-LPE, 2D-PAGE, and LC-MS or LC-MS/MS (See Covert et al., 2001). Identified in the membrane fraction of M. tuberculosis H37Rv using 1D-SDS-PAGE and uLC-MS/MS (See Gu et al., 2003). Identified in the culture supernatant of M. tuberculosis H37Rv using mass spectrometry and Edman degradation (See Mattow et al., 2003). Identified in the cytosol and cell wall fraction of M. tuberculosis H37Rv using 2DLC/MS (See Mawuenyega et al., 2005). Identified in culture filtrates of M. tuberculosis H37Rv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</si>
  <si>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</si>
  <si>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membrane fraction of M. tuberculosis H37Rv using 1D-SDS-PAGE and uLC-MS/MS (See Gu et al., 2003).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</si>
  <si>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in both the aqueous and detergent phases of Triton X-114 extracts of M. tuberculosis H37Rv membranes using 1-DGE, CEGE, and MALDI-TOF-MS (See Sinha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</si>
  <si>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in the cytosol of M. tuberculosis H37Rv using 2DLC/MS (See Mawuenyega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</si>
  <si>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a spot identified in cytosol by proteomics at the Statens Serum Institute (Denmark), and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</si>
  <si>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culture supernatant of M. tuberculosis H37Rv using mass spectrometry (See Mattow et al., 2003).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</si>
  <si>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Max Planck Institute for Infection Biology, Berlin, Germany (see Jungblut et al., 1999). Identified in the cell membrane fraction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</si>
  <si>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by mass spectrometry in the membrane protein fraction and whole cell lysates of M. tuberculosis H37Rv but not the culture filtrate (See de Souza et al., 2011). Translational start site supported by proteomics data (See Kelkar et al., 2011).</t>
  </si>
  <si>
    <t>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</si>
  <si>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Triton X-114 extracts of M. tuberculosis H37Rv (See Malen et al., 2010). Identified by mass spectrometry in the culture filtrate and membrane protein fraction of M. tuberculosis H37Rv but not whole cell lysates (See de Souza et al., 2011).</t>
  </si>
  <si>
    <t>Identified by proteomics at the Max Planck Institute for Infection Biology, Berlin, Germany and the Statens Serum Institute (Denmark) (see citations below). Identified in the membrane fraction of M. tuberculosis H37Rv using 1D-SDS-PAGE and uLC-MS/MS (See Gu et al., 2003). Predicted secreted protein - identified in culture filtrates of M. tuberculosis H37Rv; signal peptide predicted (See Malen et al., 2007). Identified by mass spectrometry in whole cell lysates of M. tuberculosis H37Rv but not the culture filtrate or membrane protein fraction (See de Souza et al., 2011).</t>
  </si>
  <si>
    <t>Predicted secreted protein - identified in culture filtrates of M. tuberculosis H37Rv; signal peptide predicted and cleavable signal sequence confirmed experimentally (See Malen et al., 2007). Putative glycoprotein identified by LC/ESI-MS/MS in the culture filtrate of M. tuberculosis H37Rv (See Gonzalez-Zamorano et al., 2009). Identified by mass spectrometry in M. tuberculosis H37Rv-infected guinea pig lungs at 90 days but not 30 days (See Kruh et al., 2010). Identified by mass spectrometry in the culture filtrate of M. tuberculosis H37Rv but not the membrane protein fraction or whole cell lysates (See de Souza et al., 2011).</t>
  </si>
  <si>
    <t>Identified in the membrane fraction of M. tuberculosis H37Rv using nanoLC-MS/MS; predicted integral membrane protein (See Xiong et al., 2005).</t>
  </si>
  <si>
    <t>Predicted surface lipoprotein - identified in culture filtrates of M. tuberculosis H37Rv; signal peptide predicted (See Malen et al., 2007). Identified in the cell wall fraction of M. tuberculosis H37Rv using 2DLC/MS (See Mawuenyega et al., 2005). Identified by mass spectrometry in whole cell lysates of M. tuberculosis H37Rv but not the culture filtrate or membrane protein fraction (See de Souza et al., 2011).</t>
  </si>
  <si>
    <t>Identified by proteomics at the Max Planck Institute for Infection Biology, Berlin, Germany (See Jungblut et al., 1999). Identified in the membrane fraction of M. tuberculosis H37Rv using 1D-SDS-PAGE and uLC-MS/MS (See Gu et al., 2003).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</si>
  <si>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Identified in the cell wall fraction of M. tuberculosis H37Rv using 2DLC/MS (See Mawuenyega et al., 2005). Identified by mass spectrometry in the culture filtrate and whole cell lysates of M. tuberculosis H37Rv but not the membrane protein fraction (See de Souza et al., 2011). Translational start site supported by proteomics data (See de Souza et al., 2011) (See Kelkar et al., 2011).</t>
  </si>
  <si>
    <t>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</si>
  <si>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in Triton X-114 extracts of M. tuberculosis H37Rv membranes using 2DGE and MALDI-MS (See Sinha et al., 2002). Identified in the membrane fraction of M. tuberculosis H37Rv using 1D-SDS-PAGE and uLC-MS/MS (See Gu et al., 2003). 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CEGE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</si>
  <si>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by proteomics at the Max Planck Institute for Infection Biology, Berlin, Germany (See Jungblut et al., 1999). Identified in the cytosol of M. tuberculosis H37Rv using 2DLC/MS (See Mawuenyega et al., 2005).</t>
  </si>
  <si>
    <t>Identified in the membrane fraction of M. tuberculosis H37Rv using 1D-SDS-PAGE and uLC-MS/MS (See Gu et al., 2003). Identified in the cell wall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</si>
  <si>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cell membrane fraction of M. tuberculosis H37Rv using 2DLC/MS (See Mawuenyega et al., 2005). Identified by mass spectrometry in M. tuberculosis H37Rv-infected guinea pig lungs at 30 and 90 days (See Kruh et al., 2010). Identified by mass spectrometry in whole cell lysates of M. tuberculosis H37Rv but not the culture filtrate or membrane protein fraction (See de Souza et al., 2011). Translational start site supported by proteomics data (See Kelkar et al., 2011).</t>
  </si>
  <si>
    <t>Identified in the detergent phase of Triton X-114 extracts of M. tuberculosis H37Rv membranes using 1-DGE and MALDI-TOF-MS (See Sinha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</si>
  <si>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membrane fraction of M. tuberculosis H37Rv using nanoLC-MS/MS (See Xiong et al., 2005). Predicted surface lipoprotein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</si>
  <si>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and membrane protein fraction of M. tuberculosis H37Rv but not whole cell lysates; enriched in the membrane fraction and predicted N-terminal signal peptide is uncleaved (See de Souza et al., 2011).</t>
  </si>
  <si>
    <t>The product of this CDS corresponds to spot 6_1 identified in culture supernatant by proteomics at the Max Planck Institute for Infection Biology, Berlin, Germany (see proteomics citations from 1999), and spot TB11.2 identified in cell wall by proteomics at the Statens Serum Institute (Denmark) (see proteomics citations from 2000). Identified in the membrane fraction of M. tuberculosis H37Rv using 1D-SDS-PAGE and uLC-MS/MS (See Gu et al., 2003). Identified in the culture supernatant of M. tuberculosis H37Rv using mass spectrometry (See Mattow et al., 2003). Identified by mass spectrometry in whole cell lysates of M. tuberculosis H37Rv but not the culture filtrate or membrane protein fraction (See de Souza et al., 2011).</t>
  </si>
  <si>
    <t>Identified by proteomics at the Statens Serum Institute (Denmark) (see Rosenkrands et al., 2000). 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</si>
  <si>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by proteomics (see proteomics citations). Identified in the membrane fraction of M. tuberculosis H37Rv using 1D-SDS-PAGE and uLC-MS/MS (See Gu et al., 2003). Identified in the cytosol and cell wall fraction of M. tuberculosis H37Rv using 2DLC/MS (See Mawuenyega et al., 2005). Identified in the membrane fraction of M. tuberculosis H37Rv using nanoLC-MS/MS (See Xiong et al., 2005). Identified in the aqueous phase of Triton X-114 extracts of M. tuberculosis H37Rv membranes using 2-DGE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</si>
  <si>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predicted transmembrane protein (See Gu et al., 2003). Identified in the cytosol and cell membrane fraction of M. tuberculosis H37Rv using 2DLC/MS (See Mawuenyega et al., 2005).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</si>
  <si>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in the membrane fraction of M. tuberculosis H37Rv using 1D-SDS-PAGE and uLC-MS/MS (See Gu et al., 2003). Identified in the membrane fraction of M. tuberculosis H37Rv using nanoLC-MS/MS (See Xiong et al., 2005). Identified in culture filtrates of M. tuberculosis H37Rv (See Fortune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</si>
  <si>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</si>
  <si>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 Predicted secreted protein - identified in culture filtrates of M. tuberculosis H37Rv; signal peptide predicted (See Malen et al., 2007). Identified by mass spectrometry in Triton X-114 extracts of M. tuberculosis H37Rv (See Malen et al., 2010). Identified by mass spectrometry in the culture filtrate, membrane protein fraction, and whole cell lysates of M. tuberculosis H37Rv (See de Souza et al., 2011).</t>
  </si>
  <si>
    <t>The product of this CDS corresponds to spot 3_138 identified in culture supernatant by proteomics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and Edman degradation (See Mattow et al., 2003). Identified in the cytosol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</si>
  <si>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</si>
  <si>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The product of this CDS corresponds to spots 5_104 and 5_36 identified in culture supernatant by proteomics at the Max Planck Institute for Infection Biology, Berlin, Germany, and spot 3648c identified in short term culture filtrate and cell wall by proteomics at the Statens Serum Institute (Denmark) (see proteomics citations). Identified in the culture supernatant of M. tuberculosis H37Rv using mass spectrometry (See Mattow et al., 2003). Identified in the cell wall fraction of M. tuberculosis H37Rv using 2DLC/MS (See Mawuenyega et al., 2005). Identified by mass spectrometry in whole cell lysates of M. tuberculosis H37Rv but not the culture filtrate or membrane protein fraction (See de Souza et al., 2011).</t>
  </si>
  <si>
    <t>PE/PPE&lt;br /&gt;Prediction based on GO and InterPro: information pathways (See Mazandu and Mulder, 2012)</t>
  </si>
  <si>
    <t>Identified in the membrane fraction of M. tuberculosis H37Rv using 1D-SDS-PAGE and uLC-MS/MS (See Gu et al., 2003). Identified in the cell wall and cell membrane fractions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</si>
  <si>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Predicted secreted protein/surface lipoprotein - identified in culture filtrates of M. tuberculosis H37Rv; signal peptide predicted and cleavable signal sequence confirmed experimentally (See Malen et al., 2007). Identified by mass spectrometry in the culture filtrate of M. tuberculosis H37Rv but not the membrane protein fraction or whole cell lysates (See de Souza et al., 2011).</t>
  </si>
  <si>
    <t>The product of this CDS corresponds to spot 4_12 identified by proteomics at the Max Planck Institute for Infection Biology, Berlin, Germany (See Mattow et al., 2001). 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</si>
  <si>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The product of this CDS corresponds to spot 5_94 identified in culture supernatant by proteomics at the Max Planck Institute for Infection Biology, Berlin, Germany (see citations below). 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</si>
  <si>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cytosol and cell membrane fraction of M. tuberculosis H37Rv using 2DLC/MS (See Mawuenyega et al., 2005). Predicted secreted protein - identified in culture filtrates of M. tuberculosis H37Rv; signal peptide predicted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enriched in the membrane fraction and predicted N-terminal signal peptide is uncleaved (See de Souza et al., 2011).</t>
  </si>
  <si>
    <t>Identified by proteomics (See Rosenkrands et al., 2000). Identified in the membrane fraction of M. tuberculosis H37Rv using 1D-SDS-PAGE and uLC-MS/MS; predicted transmembrane protein (See Gu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</si>
  <si>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by proteomics at the Statens Serum Institute (Denmark) (See Rosenkrands et al., 2000). Identified in the membrane fraction of M. tuberculosis H37Rv using 1D-SDS-PAGE and uLC-MS/MS (See Gu et al., 2003). Identified in the cytosol of M. tuberculosis H37Rv using 2DLC/MS (See Mawuenyega et al., 2005). Identified by mass spectrometry in Triton X-114 extracts of M. tuberculosis H37Rv (See Malen et al., 2010). Identified by mass spectrometry in the culture filtrate, membrane protein fraction, and whole cell lysates of M. tuberculosis H37Rv (See de Souza et al., 2011).</t>
  </si>
  <si>
    <t>Predicted secreted protein - identified in culture filtrates of M. tuberculosis H37Rv; signal peptide predicted (See Malen et al., 2007). Identified in the cytosol and cell membrane fraction of M. tuberculosis H37Rv using 2DLC/MS (See Mawuenyega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</si>
  <si>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The product of this CDS corresponds to spot 3_93 identified in culture supernatant by proteomics at the Max Planck Institute for Infection Biology, Berlin, Germany (see citations below).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</si>
  <si>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Predicted secreted protein - identified in culture filtrates of M. tuberculosis H37Rv; signal peptide predicted and cleavable signal sequence confirmed experimentally (See Malen et al., 2007). Identified by mass spectrometry in Triton X-114 extracts of M. tuberculosis H37Rv (See Malen et al., 2010). Identified by mass spectrometry in the culture filtrate and membrane protein fraction of M. tuberculosis H37Rv but not whole cell lysates (See de Souza et al., 2011).</t>
  </si>
  <si>
    <t>The product of this CDS corresponds to spot 1_186 identified by proteomics at the Max Planck Institute for Infection Biology, Berlin (Germany) and the Statens Serum Institute (Denmark) (see proteomics citations). Identified in culture filtrates of M. tuberculosis H37Rv (See Malen et al., 2007).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Kelkar et al., 2011).</t>
  </si>
  <si>
    <t>The product of this CDS corresponds to spot 5_28 identified in culture supernatant by proteomics at the Max Planck Institute for Infection Biology, Berlin, Germany (see citations below). Identified in the membrane fraction of M. tuberculosis H37Rv using 1D-SDS-PAGE and uLC-MS/MS (See Gu et al., 2003). Identified in the culture supernatant of M. tuberculosis H37Rv using mass spectrometry (See Mattow et al., 2003).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</si>
  <si>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cell membrane fraction of M. tuberculosis H37Rv using 2DLC/MS (See Mawuenyega et al., 2005). Identified in the membrane fraction of M. tuberculosis H37Rv using nanoLC-MS/MS (See Xiong et al., 2005). Identified in the detergent phase of Triton X-114 extracts of M. tuberculosis H37Rv membranes using 1-DGE and MALDI-TOF-MS (See Sinha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</si>
  <si>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</si>
  <si>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t>
  </si>
  <si>
    <t>Predicted secreted protein/surface lipoprotein - identified in culture filtrates of M. tuberculosis H37Rv; signal peptide predicted and cleavable signal sequence confirmed experimentally (See Malen et al., 2007). Identified by mass spectrometry in the culture filtrate and whole cell lysates of M. tuberculosis H37Rv but not the membrane protein fraction (See de Souza et al., 2011).</t>
  </si>
  <si>
    <t>Predicted transmembrane protein - identified in culture filtrates of M. tuberculosis H37Rv; signal peptide predicted (See Malen et al., 2007). Identified by mass spectrometry in whole cell lysates of M. tuberculosis H37Rv but not the culture filtrate or membrane protein fraction (See de Souza et al., 2011).</t>
  </si>
  <si>
    <t>The product of this CDS corresponds to spots 19kDa or 3763 identified in short term culture filtrate and cell wall by proteomics at the Statens Serum Institute (Denmark) (see proteomics citations). Identified in the membrane fraction of M. tuberculosis H37Rv using 1D-SDS-PAGE and uLC-MS/MS (See Gu et al., 2003). Identified in the membrane fraction of M. tuberculosis H37Rv using nanoLC-MS/MS (See Xiong et al., 2005). Identified in the detergent phase of Triton X-114 extracts of M. tuberculosis H37Rv membranes using CEGE and MALDI-TOF-MS (See Sinha et al., 2005).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t>
  </si>
  <si>
    <t>Identified by proteomics at the Statens Serum Institute (Denmark) (See Rosenkrands et al., 2000).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</si>
  <si>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cell wall and cell membrane fractions of M. tuberculosis H37Rv using 2DLC/MS (See Mawuenyega et al., 2005). Identified by mass spectrometry in the culture filtrate and whole cell lysates of M. tuberculosis H37Rv but not the membrane protein fraction (See de Souza et al., 2011).</t>
  </si>
  <si>
    <t>Identified by proteomics at the Max Planck Institute for Infection Biology, Berlin, Germany (See Jungblut et al., 1999).</t>
  </si>
  <si>
    <t>Identified in the cytosol of M. tuberculosis H37Rv using 2DLC/MS (See Mawuenyega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membrane protein fraction and whole cell lysates of M. tuberculosis H37Rv but not the culture filtrate (See de Souza et al., 2011).</t>
  </si>
  <si>
    <t>Identified in the cytosol and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t>
  </si>
  <si>
    <t>Identified in the membrane fraction of M. tuberculosis H37Rv using 1D-SDS-PAGE and uLC-MS/MS (See Gu et al., 2003). Identified in the membrane fraction of M. tuberculosis H37Rv using nanoLC-MS/MS (See Xiong et al., 2005). Identified by mass spectrometry in the membrane protein fraction and whole cell lysates of M. tuberculosis H37Rv but not the culture filtrate (See de Souza et al., 2011). Translational start site supported by proteomics data (See Kelkar et al., 2011).</t>
  </si>
  <si>
    <t>Identified in the membrane fraction of M. tuberculosis H37Rv using 1D-SDS-PAGE and uLC-MS/MS (See Gu et al., 2003). Identified in the cytosol, cell wall, and cell membrane fractions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Kelkar et al., 2011).</t>
  </si>
  <si>
    <t>Identified by proteomics at the Statens Serum Institute (Denmark) (see Rosenkrands et al., 2000). Identified in the membrane fraction of M. tuberculosis H37Rv using 1D-SDS-PAGE and uLC-MS/MS (See Gu et al., 2003). Identified in the cell wall and cell membrane fractions of M. tuberculosis H37Rv using 2DLC/MS (See Mawuenyega et al., 2005). Identified in the membrane fraction of M. tuberculosis H37Rv using nanoLC-MS/MS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</si>
  <si>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Identified in the membrane fraction of M. tuberculosis H37Rv using nanoLC-MS/MS (See Xiong et al., 2005). Detected by Western blot in M. tuberculosis H37Rv cell wall fraction (See West et al., 2009). Identified by mass spectrometry in Triton X-114 extracts of M. tuberculosis H37Rv (See Malen et al., 2010). Identified by mass spectrometry in the culture filtrate, membrane protein fraction, and whole cell lysates of M. tuberculosis H37Rv (See de Souza et al., 2011).</t>
  </si>
  <si>
    <t>Corresponds to spot 3_250 identified in culture supernatant by proteomics at the Max Planck Institute for Infection Biology, Berlin, Germany, and spot 3803c identified in short term culture filtrate by proteomics at the Statens Serum Institute (Denmark) (see proteomics citations). Identified in the culture supernatant of M. tuberculosis H37Rv using mass spectrometry and Edman degradation (See Mattow et al., 2003). 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the culture filtrate and whole cell lysates of M. tuberculosis H37Rv but not the membrane protein fraction (See de Souza et al., 2011).</t>
  </si>
  <si>
    <t>Corresponds to spots 3_494 and 3_496 identified in culture supernatant by proteomics at the Max Planck Institute for Infection Biology, Berlin, Germany, and spot 3804c identified in short term culture filtrate by proteomics at the Statens Serum Institute (Denmark) (see proteomics citations). Identified in immunodominant fractions of M. tuberculosis H37Rv culture filtrate using 2D-LPE, 2D-PAGE, and LC-MS or LC-MS/MS (See Covert et al., 2001). Identified in the membrane fraction of M. tuberculosis H37Rv using 1D-SDS-PAGE and uLC-MS/MS; predicted transmembrane protein (See Gu et al., 2003). Identified in the culture supernatant of M. tuberculosis H37Rv using mass spectrometry and Edman degradation (See Mattow et al., 2003). Identified in the cell wall fraction of M. tuberculosis H37Rv using 2DLC/MS (See Mawuenyega et al., 2005). Predicted secreted protein - identified in culture filtrates of M. tuberculosis H37Rv; signal peptide predicted and cleavable signal sequence confirmed experimentally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the culture filtrate, membrane protein fraction, and whole cell lysates of M. tuberculosis H37Rv (See de Souza et al., 2011).</t>
  </si>
  <si>
    <t>Identified in the membrane fraction of M. tuberculosis H37Rv using 1D-SDS-PAGE and uLC-MS/MS; predicted transmembrane protein (See Gu et al., 2003).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</si>
  <si>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in the cytosol and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of M. tuberculosis H37Rv but not the culture filtrate or membrane protein fraction (See de Souza et al., 2011). Translational start site supported by proteomics data (See Kelkar et al., 2011).</t>
  </si>
  <si>
    <t>Identified in the membrane fraction of M. tuberculosis H37Rv using 1D-SDS-PAGE and uLC-MS/MS (See Gu et al., 2003). Identified in the detergent phase of Triton X-114 extracts of M. tuberculosis H37Rv membranes using CEGE and MALDI-TOF-MS (See Sinha et al., 2005). Identified by mass spectrometry in whole cell lysates of M. tuberculosis H37Rv but not the culture filtrate or membrane protein fraction (See de Souza et al., 2011). Translational start site supported by proteomics data (See Kelkar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</si>
  <si>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and membrane protein fraction of M. tuberculosis H37Rv but not whole cell lysates (See de Souza et al., 2011). Translational start site supported by proteomics data (See Kelkar et al., 2011).</t>
  </si>
  <si>
    <t>Identified at the Statens Serum Institute (Denmark) under aerobic and low oxygen conditions (see Rosenkrands et al., 2000). Identified in immunodominant fractions of M. tuberculosis H37Rv culture filtrate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the cytosol and cell membrane fraction of M. tuberculosis H37Rv using 2DLC/MS (See Mawuenyega et al., 2005). Identified in the membrane fraction of M. tuberculosis H37Rv using nanoLC-MS/MS (See Xiong et al., 2005). Identified in the aqueous phase of Triton X-114 extracts of M. tuberculosis H37Rv membranes using 1-DGE, 2-DGE, and MALDI-TOF-MS (See Sinha et al., 2005). Identified in culture filtrates of M. tuberculosis H37Rv (See Malen et al., 2007). Putative glycoprotein identified by LC/ESI-MS/MS in the culture filtrate of M. tuberculosis H37Rv (See Gonzalez-Zamorano et al., 2009).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Kelkar et al., 2011).</t>
  </si>
  <si>
    <t>Corresponds to spots SodA identified in short term culture filtrate and cytosol by proteomics at the Statens Serum Institute (Denmark) (see proteomics citations). Identified in the membrane fraction of M. tuberculosis H37Rv using 1D-SDS-PAGE and uLC-MS/MS (See Gu et al., 2003). Identified in the culture supernatant of M. tuberculosis H37Rv using mass spectrometry and Edman degradation (See Mattow et al., 2003). Identified in the cytosol and cell membrane fraction of M. tuberculosis H37Rv using 2DLC/MS (See Mawuenyega et al., 2005). Identified in the membrane fraction of M. tuberculosis H37Rv using nanoLC-MS/MS (See Xiong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</si>
  <si>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by proteomics at the Max Planck Institute for Infection Biology, Berlin, Germany (See Jungblut et al., 1999). Identified in the membrane fraction of M. tuberculosis H37Rv using 1D-SDS-PAGE and uLC-MS/MS (See Gu et al., 2003). Identified in the cell wall fraction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de Souza et al., 2011) (See Kelkar et al., 2011).</t>
  </si>
  <si>
    <t>Identified in the culture supernatant of M. tuberculosis H37Rv using mass spectrometry (See Mattow et al., 2003).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 (See Kelkar et al., 2011).</t>
  </si>
  <si>
    <t>Identified in the membrane fraction of M. tuberculosis H37Rv using 1D-SDS-PAGE and uLC-MS/MS (See Gu et al., 2003). Identified in the cytosol and cell membrane fraction of M. tuberculosis H37Rv using 2DLC/MS (See Mawuenyega et al., 2005). Identified by mass spectrometry in M. tuberculosis H37Rv-infected guinea pig lungs at 30 and 90 days (See Kruh et al., 2010). Identified by mass spectrometry in the culture filtrate and whole cell lysates of M. tuberculosis H37Rv but not the membrane protein fraction (See de Souza et al., 2011).</t>
  </si>
  <si>
    <t>Identified in the membrane fraction of M. tuberculosis H37Rv using 1D-SDS-PAGE and uLC-MS/MS (See Gu et al., 2003). Identified by mass spectrometry in M. tuberculosis H37Rv-infected guinea pig lungs at 30 days but not 90 days (See Kruh et al., 2010). Identified by mass spectrometry in whole cell lysates of M. tuberculosis H37Rv but not the culture filtrate or membrane protein fraction (See de Souza et al., 2011).</t>
  </si>
  <si>
    <t>Identified in the detergent phase of Triton X-114 extracts of M. tuberculosis H37Rv membranes using 1-DGE and MALDI-TOF-MS (See Sinha et al., 2005). Identified by mass spectrometry in Triton X-114 extracts of M. tuberculosis H37Rv (See Malen et al., 2010). Identified by mass spectrometry in M. tuberculosis H37Rv-infected guinea pig lungs at 30 days but not 90 days (See Kruh et al., 2010). Identified by mass spectrometry in the culture filtrate, membrane protein fraction, and whole cell lysates of M. tuberculosis H37Rv (See de Souza et al., 2011).</t>
  </si>
  <si>
    <t>Identified in culture filtrates of M. tuberculosis H37Rv (See Fortune et al., 2005; Malen et al., 2007). Identified by mass spectrometry in the culture filtrate of M. tuberculosis H37Rv but not the membrane protein fraction or whole cell lysates (See de Souza et al., 2011).</t>
  </si>
  <si>
    <t>Corresponds to spot 5_35 identified in culture supernatant by proteomics at the Max Planck Institute for Infection Biology, Berlin, Germany. And corresponds to spots 3874 identified in short term culture filtrate and cytosol by proteomics at the Statens Serum Institute, Denmark (see proteomics citations). Identified in the membrane fraction of M. tuberculosis H37Rv using 1D-SDS-PAGE and uLC-MS/MS (See Gu et al., 2003). Identified in the culture supernatant of M. tuberculosis H37Rv using mass spectrometry (See Mattow et al., 2003). Identified in the cell wall and cell membrane fractions of M. tuberculosis H37Rv using 2DLC/MS (See Mawuenyega et al., 2005). Identified in culture filtrates of M. tuberculosis H37Rv (See Malen et al., 2007). Identified in the culture filtrate of M. tuberculosis H37Rv using LC-MS/MS; antigen recognized by serum pool from tuberculosis patients (See Malen et al., 2008). Identified by mass spectrometry in Triton X-114 extracts of M. tuberculosis H37Rv (See Malen et al., 2010). Translational start site supported by proteomics data (See de Souza et al., 2011) (See Kelkar et al., 2011).</t>
  </si>
  <si>
    <t>The product of this CDS corresponds to spots 3875 identified in short term culture filtrate and cell wall by proteomics at the Statens Serum Institute (Denmark) (see some citations below). Identified in immunodominant fractions of M. tuberculosis H37Rv culture filtrate using 2D-LPE, 2D-PAGE, and LC-MS or LC-MS/MS (See Covert et al., 2001). Identified in the membrane fraction of M. tuberculosis H37Rv using 1D-SDS-PAGE and uLC-MS/MS (See Gu et al., 2003). Identified in the culture supernatant of M. tuberculosis H37Rv using mass spectrometry (See Mattow et al., 2003). Identified in culture filtrates of M. tuberculosis H37Rv (See Malen et al., 2007). Identified by mass spectrometry in Triton X-114 extracts of M. tuberculosis H37Rv (See Malen et al., 2010). Translational start site supported by proteomics data (See de Souza et al., 2011) (See Kelkar et al., 2011).</t>
  </si>
  <si>
    <t>Identified in the cell membrane fraction of M. tuberculosis H37Rv using 2DLC/MS (See Mawuenyega et al., 2005). Identified by mass spectrometry in Triton X-114 extracts of M. tuberculosis H37Rv (See Malen et al., 2010). Identified by mass spectrometry in M. tuberculosis H37Rv-infected guinea pig lungs at 90 days but not 30 days (See Kruh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</si>
  <si>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 1_607 identified by proteomics at the Max Planck Institute for Infection Biology, Berlin, Germany (See Mattow et al., 2001). Identified in the culture supernatant of M. tuberculosis H37Rv using mass spectrometry (See Mattow et al., 2003). Identified in culture filtrates of M. tuberculosis H37Rv (See Malen et al., 2007). Identified in the culture filtrate of M. tuberculosis H37Rv using LC-MS/MS; antigen recognized by serum pool from tuberculosis patients (See Malen et al., 2008). Identified by mass spectrometry in Triton X-114 extracts of M. tuberculosis H37Rv (See Malen et al., 2010). Identified by mass spectrometry in M. tuberculosis H37Rv-infected guinea pig lungs at 90 days but not 30 days (See Kruh et al., 2010). Identified by mass spectrometry in the culture filtrate, membrane protein fraction, and whole cell lysates of M. tuberculosis H37Rv (See de Souza et al., 2011). Translational start site supported by proteomics data (See de Souza et al., 2011) (See Kelkar et al., 2011).</t>
  </si>
  <si>
    <t>Predicted secreted protein - identified in culture filtrates of M. tuberculosis H37Rv; signal peptide predicted (See Malen et al., 2007). Identified by mass spectrometry in M. tuberculosis H37Rv-infected guinea pig lungs at 90 days but not 30 days (See Kruh et al., 2010).</t>
  </si>
  <si>
    <t>Identified in the membrane fraction of M. tuberculosis H37Rv using 1D-SDS-PAGE and uLC-MS/MS (See Gu et al., 2003). Identified in the cell wall fraction of M. tuberculosis H37Rv using 2DLC/MS (See Mawuenyega et al., 2005). Identified by mass spectrometry in whole cell lysates of M. tuberculosis H37Rv but not the culture filtrate or membrane protein fraction (See de Souza et al., 2011). Translational start site supported by proteomics data (See Kelkar et al., 2011).</t>
  </si>
  <si>
    <t>Identified in the membrane fraction of M. tuberculosis H37Rv using 1D-SDS-PAGE and uLC-MS/MS; predicted transmembrane protein (See Gu et al., 2003). Identified in the cell membrane fraction of M. tuberculosis H37Rv using 2DLC/MS (See Mawuenyega et al., 2005). Identified in the membrane fraction of M. tuberculosis H37Rv using nanoLC-MS/MS; predicted integral membrane protein (See Xiong et al., 2005).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</si>
  <si>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Identified by proteomics at the Max Planck Institute for Infection Biology, Berlin, Germany (See Jungblut et al., 1999). Identified by mass spectrometry in Triton X-114 extracts of M. tuberculosis H37Rv (See Malen et al., 2010). Identified by mass spectrometry in the membrane protein fraction and whole cell lysates of M. tuberculosis H37Rv but not the culture filtrate (See de Souza et al., 2011). Translational start site supported by proteomics data (See Kelkar et al., 2011).</t>
  </si>
  <si>
    <t>The product of this CDS corresponds to spots 3914 identified in short term culture filtrate and cell wall by proteomics at the Statens Serum Institute (Denmark), and at the Max Planck Institute for Infection Biology, Berlin, Germany (see proteomics citations). Identified in the membrane fraction of M. tuberculosis H37Rv using 1D-SDS-PAGE and uLC-MS/MS (See Gu et al., 2003). Identified in the culture supernatant of M. tuberculosis H37Rv using mass spectrometry (See Mattow et al., 2003). Identified in the cytosol of M. tuberculosis H37Rv using 2DLC/MS (See Mawuenyega et al., 2005). Identified in culture filtrates of M. tuberculosis H37Rv (See Malen et al., 2007). Identified by mass spectrometry in Triton X-114 extracts of M. tuberculosis H37Rv (See Malen et al., 2010). Identified by mass spectrometry in the culture filtrate, membrane protein fraction, and whole cell lysates of M. tuberculosis H37Rv (See de Souza et al., 2011). Translational start site supported by proteomics data (See de Souza et al., 2011).</t>
  </si>
  <si>
    <t>Predicted secreted protein - identified in culture filtrates of M. tuberculosis H37Rv; signal peptide predicted (See Malen et al., 2007). Identified in the cell membrane fraction of M. tuberculosis H37Rv using 2DLC/MS (See Mawuenyega et al., 2005). Identified by mass spectrometry in Triton X-114 extracts of M. tuberculosis H37Rv (See Malen et al., 2010). Identified by mass spectrometry in the membrane protein fraction and whole cell lysates of M. tuberculosis H37Rv but not the culture filtrate (See de Souza et al., 2011).</t>
  </si>
  <si>
    <t>MtrA upregulate</t>
  </si>
  <si>
    <t>Or.of rep</t>
  </si>
  <si>
    <t>Zur/FurB</t>
  </si>
  <si>
    <t>PhoP</t>
  </si>
  <si>
    <t>IdeR/Dos</t>
  </si>
  <si>
    <t>IdeR/ZUR</t>
  </si>
  <si>
    <t>PhoP (WhiB7?)</t>
  </si>
  <si>
    <t>WhiB7</t>
  </si>
  <si>
    <t>CRP (comp. pred.)</t>
  </si>
  <si>
    <t>IdeR, CRP (comp. pred.)</t>
  </si>
  <si>
    <t>Dos, CRP (comp. pred.)</t>
  </si>
  <si>
    <t>ZUR</t>
  </si>
  <si>
    <t>MprA upregulated</t>
  </si>
  <si>
    <t>Bai et al 2005</t>
  </si>
  <si>
    <t>Characterization of Mycobacterium tuberculosis Rv3676 ( CRP Mt ), a Cyclic AMP Receptor Characterization of Mycobacterium tuberculosis Rv3676 ( CRP Mt ), a Cyclic AMP Receptor Protein-Like DNA Binding Protein</t>
  </si>
  <si>
    <t>Y. akter et al  2008</t>
  </si>
  <si>
    <t>Genome scale portrait of cAMP-receptor protein (CRP) regulons in mycobacteria points to their Genome scale portrain of cAMP receptor protein (CRP) regulons in mycobaceria poits to their role in pathogenesis.</t>
  </si>
  <si>
    <t>Core genes regulated among Mtb  M. leprae, M. avium subsp. paratuberculosis and M. smegmatis</t>
  </si>
  <si>
    <t>WhiB1 regulated</t>
  </si>
  <si>
    <t>PMID 18946503</t>
  </si>
  <si>
    <t>MprA KO upreg</t>
  </si>
  <si>
    <t>Rv1406c</t>
  </si>
  <si>
    <t>Joined predicted CRP regulated genes based on CRP site in operon, marked yellow only based on E. coli CRP binding motif</t>
  </si>
  <si>
    <t>CRP binding site pred or in pred. operon</t>
  </si>
  <si>
    <t>Regulated by</t>
  </si>
  <si>
    <t>CRP binding site pred or in predicted operon |Combining the two studies</t>
  </si>
  <si>
    <t>MntR</t>
  </si>
  <si>
    <t>Mn sufficiency</t>
  </si>
  <si>
    <t>MntR repressed, Mn lim induced</t>
  </si>
  <si>
    <t>Upregulated 24 hour infection macrophage, BCG</t>
  </si>
  <si>
    <t>Provenance PMID:25279447</t>
  </si>
  <si>
    <t>PMID:12065475,1675986,11722747</t>
  </si>
  <si>
    <t>PMID: 19169435,19648245,19648245</t>
  </si>
  <si>
    <t xml:space="preserve">PMID:26337157 </t>
  </si>
  <si>
    <t>PMID:27353316</t>
  </si>
  <si>
    <t>PMID:22479184,18685700</t>
  </si>
  <si>
    <t>PMID:18946503,22072719</t>
  </si>
  <si>
    <t>PMID:22010944,19680450</t>
  </si>
  <si>
    <t>PMID:22388511,17259625</t>
  </si>
  <si>
    <t>PMID:18022770</t>
  </si>
  <si>
    <t>PMID: 16267303</t>
  </si>
  <si>
    <t>PMID:23104803,22689819,17379732</t>
  </si>
  <si>
    <t>PMID:24187094,23104803,22689819,17379732</t>
  </si>
  <si>
    <t>PMID:    25649146</t>
  </si>
  <si>
    <t>PMID: 25649146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</si>
</sst>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rgb="FF000000"/>
      <name val="Calibri"/>
      <family val="2"/>
    </font>
    <font>
      <sz val="11"/>
      <color theme="1"/>
      <name val="Calibri"/>
      <family val="2"/>
      <scheme val="minor"/>
    </font>
    <font>
      <sz val="9"/>
      <color rgb="FF000000"/>
      <name val="Calibri"/>
      <family val="2"/>
    </font>
    <font>
      <b/>
      <u/>
      <sz val="9"/>
      <color rgb="FF0070C0"/>
      <name val="Calibri"/>
      <family val="2"/>
    </font>
    <font>
      <b/>
      <sz val="9"/>
      <color rgb="FF000000"/>
      <name val="Calibri"/>
      <family val="2"/>
    </font>
    <font>
      <b/>
      <u/>
      <sz val="11"/>
      <color rgb="FF0070C0"/>
      <name val="Calibri"/>
      <family val="2"/>
    </font>
    <font>
      <b/>
      <sz val="11"/>
      <color rgb="FF000000"/>
      <name val="Calibri"/>
      <family val="2"/>
    </font>
    <font>
      <sz val="11"/>
      <color rgb="FFFF0000"/>
      <name val="Calibri"/>
      <family val="2"/>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FF0000"/>
      <name val="Calibri"/>
      <family val="2"/>
      <scheme val="minor"/>
    </font>
    <font>
      <sz val="12"/>
      <color rgb="FF00B050"/>
      <name val="Calibri"/>
      <family val="2"/>
      <scheme val="minor"/>
    </font>
    <font>
      <u/>
      <sz val="11"/>
      <color theme="10"/>
      <name val="Calibri"/>
      <family val="2"/>
      <scheme val="minor"/>
    </font>
    <font>
      <sz val="10"/>
      <color rgb="FF000000"/>
      <name val="Calibri"/>
      <family val="2"/>
    </font>
    <font>
      <b/>
      <u/>
      <sz val="10"/>
      <color rgb="FF0070C0"/>
      <name val="Calibri"/>
      <family val="2"/>
    </font>
    <font>
      <b/>
      <sz val="10"/>
      <color rgb="FF000000"/>
      <name val="Calibri"/>
      <family val="2"/>
    </font>
    <font>
      <sz val="10"/>
      <color rgb="FF000000"/>
      <name val="Calibri"/>
      <family val="2"/>
      <scheme val="minor"/>
    </font>
    <font>
      <b/>
      <u/>
      <sz val="10"/>
      <color theme="7" tint="-0.249977111117893"/>
      <name val="Calibri"/>
      <family val="2"/>
    </font>
    <font>
      <b/>
      <sz val="10"/>
      <color rgb="FFFF0000"/>
      <name val="Calibri"/>
      <family val="2"/>
    </font>
    <font>
      <sz val="10"/>
      <color theme="0" tint="-0.499984740745262"/>
      <name val="Calibri"/>
      <family val="2"/>
    </font>
    <font>
      <sz val="11"/>
      <color indexed="55"/>
      <name val="Calibri"/>
      <family val="2"/>
    </font>
    <font>
      <sz val="9"/>
      <color indexed="55"/>
      <name val="Calibri"/>
      <family val="2"/>
    </font>
    <font>
      <sz val="11"/>
      <color theme="0" tint="-0.499984740745262"/>
      <name val="Calibri"/>
      <family val="2"/>
    </font>
    <font>
      <sz val="10"/>
      <color rgb="FF00B050"/>
      <name val="Calibri"/>
      <family val="2"/>
    </font>
    <font>
      <sz val="10"/>
      <name val="Arial"/>
      <family val="2"/>
    </font>
    <font>
      <sz val="10"/>
      <name val="FreeSans"/>
      <family val="2"/>
    </font>
  </fonts>
  <fills count="11">
    <fill>
      <patternFill patternType="none"/>
    </fill>
    <fill>
      <patternFill patternType="gray125"/>
    </fill>
    <fill>
      <patternFill patternType="solid">
        <fgColor rgb="FFFFFF00"/>
        <bgColor indexed="64"/>
      </patternFill>
    </fill>
    <fill>
      <patternFill patternType="solid">
        <fgColor indexed="17"/>
        <bgColor indexed="21"/>
      </patternFill>
    </fill>
    <fill>
      <patternFill patternType="solid">
        <fgColor indexed="11"/>
        <bgColor indexed="49"/>
      </patternFill>
    </fill>
    <fill>
      <patternFill patternType="solid">
        <fgColor indexed="40"/>
        <bgColor indexed="49"/>
      </patternFill>
    </fill>
    <fill>
      <patternFill patternType="solid">
        <fgColor indexed="10"/>
        <bgColor indexed="60"/>
      </patternFill>
    </fill>
    <fill>
      <patternFill patternType="solid">
        <fgColor indexed="43"/>
        <bgColor indexed="26"/>
      </patternFill>
    </fill>
    <fill>
      <patternFill patternType="solid">
        <fgColor indexed="30"/>
        <bgColor indexed="48"/>
      </patternFill>
    </fill>
    <fill>
      <patternFill patternType="solid">
        <fgColor indexed="16"/>
        <bgColor indexed="37"/>
      </patternFill>
    </fill>
    <fill>
      <patternFill patternType="solid">
        <fgColor indexed="13"/>
        <bgColor indexed="34"/>
      </patternFill>
    </fill>
  </fills>
  <borders count="3">
    <border>
      <left/>
      <right/>
      <top/>
      <bottom/>
      <diagonal/>
    </border>
    <border>
      <left/>
      <right style="thick">
        <color auto="1"/>
      </right>
      <top/>
      <bottom/>
      <diagonal/>
    </border>
    <border>
      <left style="thick">
        <color auto="1"/>
      </left>
      <right/>
      <top/>
      <bottom/>
      <diagonal/>
    </border>
  </borders>
  <cellStyleXfs count="31">
    <xf numFmtId="0" fontId="0" fillId="0" borderId="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applyNumberFormat="0" applyFill="0" applyBorder="0" applyAlignment="0" applyProtection="0"/>
    <xf numFmtId="0" fontId="22" fillId="0" borderId="0"/>
    <xf numFmtId="0" fontId="26" fillId="0" borderId="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cellStyleXfs>
  <cellXfs count="45">
    <xf numFmtId="0" fontId="0" fillId="0" borderId="0" xfId="0"/>
    <xf numFmtId="0" fontId="2" fillId="0" borderId="0" xfId="0" applyFont="1"/>
    <xf numFmtId="0" fontId="2" fillId="0" borderId="1" xfId="0" applyFont="1" applyBorder="1"/>
    <xf numFmtId="0" fontId="3" fillId="0" borderId="1" xfId="0" applyFont="1" applyBorder="1"/>
    <xf numFmtId="0" fontId="3" fillId="0" borderId="0" xfId="0" applyFont="1"/>
    <xf numFmtId="0" fontId="4" fillId="0" borderId="0" xfId="0" applyFont="1"/>
    <xf numFmtId="0" fontId="4" fillId="0" borderId="1" xfId="0" applyFont="1" applyBorder="1"/>
    <xf numFmtId="0" fontId="0" fillId="0" borderId="0" xfId="0" applyFont="1"/>
    <xf numFmtId="0" fontId="5" fillId="0" borderId="0" xfId="0" applyFont="1"/>
    <xf numFmtId="0" fontId="6" fillId="0" borderId="0" xfId="0" applyFont="1"/>
    <xf numFmtId="0" fontId="7" fillId="0" borderId="0" xfId="0" applyFont="1"/>
    <xf numFmtId="0" fontId="11" fillId="0" borderId="0" xfId="1" applyFont="1"/>
    <xf numFmtId="0" fontId="12" fillId="0" borderId="0" xfId="0" applyFont="1"/>
    <xf numFmtId="0" fontId="13" fillId="0" borderId="0" xfId="0" applyFont="1"/>
    <xf numFmtId="11" fontId="0" fillId="0" borderId="0" xfId="0" applyNumberFormat="1"/>
    <xf numFmtId="0" fontId="14" fillId="0" borderId="0" xfId="20"/>
    <xf numFmtId="0" fontId="0" fillId="2" borderId="0" xfId="0" applyFill="1"/>
    <xf numFmtId="0" fontId="15" fillId="0" borderId="0" xfId="0" applyFont="1"/>
    <xf numFmtId="0" fontId="15" fillId="0" borderId="1" xfId="0" applyFont="1" applyBorder="1"/>
    <xf numFmtId="0" fontId="16" fillId="0" borderId="1" xfId="0" applyFont="1" applyBorder="1"/>
    <xf numFmtId="0" fontId="16" fillId="0" borderId="0" xfId="0" applyFont="1"/>
    <xf numFmtId="0" fontId="17" fillId="0" borderId="0" xfId="0" applyFont="1"/>
    <xf numFmtId="0" fontId="17" fillId="0" borderId="1" xfId="0" applyFont="1" applyBorder="1"/>
    <xf numFmtId="0" fontId="18" fillId="0" borderId="0" xfId="1" applyFont="1"/>
    <xf numFmtId="0" fontId="23" fillId="0" borderId="1" xfId="21" applyFont="1" applyBorder="1"/>
    <xf numFmtId="0" fontId="24" fillId="0" borderId="0" xfId="0" applyFont="1"/>
    <xf numFmtId="0" fontId="0" fillId="0" borderId="1" xfId="0" applyBorder="1"/>
    <xf numFmtId="0" fontId="6" fillId="0" borderId="2" xfId="0" applyFont="1" applyBorder="1"/>
    <xf numFmtId="0" fontId="0" fillId="0" borderId="2" xfId="0" applyBorder="1"/>
    <xf numFmtId="0" fontId="2" fillId="0" borderId="2" xfId="0" applyFont="1" applyBorder="1"/>
    <xf numFmtId="0" fontId="15" fillId="0" borderId="0" xfId="0" applyFont="1" applyBorder="1"/>
    <xf numFmtId="0" fontId="16" fillId="0" borderId="0" xfId="0" applyFont="1" applyBorder="1"/>
    <xf numFmtId="0" fontId="17" fillId="0" borderId="0" xfId="0" applyFont="1" applyBorder="1"/>
    <xf numFmtId="0" fontId="15" fillId="0" borderId="2" xfId="0" applyFont="1" applyBorder="1"/>
    <xf numFmtId="0" fontId="16" fillId="0" borderId="2" xfId="0" applyFont="1" applyBorder="1"/>
    <xf numFmtId="0" fontId="17" fillId="0" borderId="2" xfId="0" applyFont="1" applyBorder="1"/>
    <xf numFmtId="0" fontId="21" fillId="0" borderId="2" xfId="0" applyFont="1" applyBorder="1"/>
    <xf numFmtId="0" fontId="21" fillId="0" borderId="1" xfId="0" applyFont="1" applyBorder="1"/>
    <xf numFmtId="0" fontId="1" fillId="0" borderId="0" xfId="0" applyFont="1"/>
    <xf numFmtId="0" fontId="25" fillId="0" borderId="1" xfId="0" applyFont="1" applyBorder="1"/>
    <xf numFmtId="0" fontId="15" fillId="0" borderId="1" xfId="0" applyFont="1" applyFill="1" applyBorder="1"/>
    <xf numFmtId="0" fontId="15" fillId="0" borderId="0" xfId="0" applyFont="1" applyFill="1"/>
    <xf numFmtId="0" fontId="19" fillId="0" borderId="0" xfId="0" applyFont="1" applyFill="1"/>
    <xf numFmtId="0" fontId="17" fillId="0" borderId="0" xfId="0" applyFont="1" applyFill="1"/>
    <xf numFmtId="0" fontId="20" fillId="0" borderId="0" xfId="0" applyFont="1" applyFill="1"/>
  </cellXfs>
  <cellStyles count="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green" xfId="23" xr:uid="{00000000-0005-0000-0000-00000900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cellStyle name="light green" xfId="24" xr:uid="{00000000-0005-0000-0000-000014000000}"/>
    <cellStyle name="light orange" xfId="25" xr:uid="{00000000-0005-0000-0000-000015000000}"/>
    <cellStyle name="light red" xfId="26" xr:uid="{00000000-0005-0000-0000-000016000000}"/>
    <cellStyle name="light yello" xfId="27" xr:uid="{00000000-0005-0000-0000-000017000000}"/>
    <cellStyle name="Normal" xfId="0" builtinId="0"/>
    <cellStyle name="Normal 2" xfId="1" xr:uid="{00000000-0005-0000-0000-000019000000}"/>
    <cellStyle name="Normal 3" xfId="22" xr:uid="{00000000-0005-0000-0000-00001A000000}"/>
    <cellStyle name="Normal_Below cutoff" xfId="21" xr:uid="{00000000-0005-0000-0000-00001B000000}"/>
    <cellStyle name="orange" xfId="28" xr:uid="{00000000-0005-0000-0000-00001C000000}"/>
    <cellStyle name="red" xfId="29" xr:uid="{00000000-0005-0000-0000-00001D000000}"/>
    <cellStyle name="yellow" xfId="30" xr:uid="{00000000-0005-0000-0000-00001E000000}"/>
  </cellStyles>
  <dxfs count="10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old_change_list" connectionId="1" xr16:uid="{00000000-0016-0000-0200-000000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customProperty" Target="../customProperty1.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ncbi.nlm.nih.gov/pubmed/189465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9"/>
  <sheetViews>
    <sheetView zoomScaleNormal="100" workbookViewId="0">
      <selection activeCell="S2" sqref="S2"/>
    </sheetView>
  </sheetViews>
  <sheetFormatPr defaultColWidth="9.1796875" defaultRowHeight="13"/>
  <cols>
    <col min="1" max="1" width="7.1796875" style="17"/>
    <col min="2" max="2" width="6.453125" style="18"/>
    <col min="3" max="3" width="6.81640625" style="17"/>
    <col min="4" max="4" width="8.08984375" style="18" bestFit="1" customWidth="1"/>
    <col min="5" max="5" width="9.1796875" style="30"/>
    <col min="6" max="6" width="9.1796875" style="18"/>
    <col min="7" max="7" width="7.54296875" style="17"/>
    <col min="8" max="8" width="6.1796875" style="18"/>
    <col min="9" max="9" width="9.1796875" style="33"/>
    <col min="10" max="10" width="9.1796875" style="18"/>
    <col min="11" max="11" width="6.81640625" style="17"/>
    <col min="12" max="12" width="8" style="18" customWidth="1"/>
    <col min="13" max="13" width="9.1796875" style="17"/>
    <col min="14" max="14" width="9.08984375" style="18" customWidth="1"/>
    <col min="15" max="15" width="9.1796875" style="33"/>
    <col min="16" max="16" width="7.54296875" style="18" customWidth="1"/>
    <col min="17" max="21" width="9.1796875" style="17"/>
    <col min="22" max="22" width="9.7265625" style="17" customWidth="1"/>
    <col min="23" max="16384" width="9.1796875" style="17"/>
  </cols>
  <sheetData>
    <row r="1" spans="1:26">
      <c r="H1" s="19"/>
      <c r="J1" s="19"/>
      <c r="K1" s="20"/>
      <c r="M1" s="33"/>
      <c r="N1" s="19"/>
      <c r="Q1" s="20"/>
    </row>
    <row r="2" spans="1:26">
      <c r="A2" s="20" t="s">
        <v>0</v>
      </c>
      <c r="B2" s="19" t="s">
        <v>20200</v>
      </c>
      <c r="C2" s="20" t="s">
        <v>20171</v>
      </c>
      <c r="D2" s="19" t="s">
        <v>20201</v>
      </c>
      <c r="E2" s="31" t="s">
        <v>20195</v>
      </c>
      <c r="F2" s="19" t="s">
        <v>20202</v>
      </c>
      <c r="G2" s="20" t="s">
        <v>1</v>
      </c>
      <c r="H2" s="19" t="s">
        <v>20204</v>
      </c>
      <c r="I2" s="34" t="s">
        <v>2</v>
      </c>
      <c r="J2" s="34" t="s">
        <v>20205</v>
      </c>
      <c r="K2" s="20" t="s">
        <v>3</v>
      </c>
      <c r="L2" s="19" t="s">
        <v>20199</v>
      </c>
      <c r="M2" s="34" t="s">
        <v>4</v>
      </c>
      <c r="N2" s="34" t="s">
        <v>20206</v>
      </c>
      <c r="O2" s="34" t="s">
        <v>19179</v>
      </c>
      <c r="P2" s="34" t="s">
        <v>20208</v>
      </c>
      <c r="R2" s="34" t="s">
        <v>20198</v>
      </c>
      <c r="S2" s="34" t="s">
        <v>20212</v>
      </c>
      <c r="T2" s="21"/>
      <c r="U2" s="41"/>
      <c r="V2" s="41"/>
      <c r="W2" s="41"/>
      <c r="X2" s="41"/>
      <c r="Y2" s="41"/>
      <c r="Z2" s="41"/>
    </row>
    <row r="3" spans="1:26">
      <c r="A3" s="21" t="s">
        <v>5</v>
      </c>
      <c r="C3" s="21" t="s">
        <v>6</v>
      </c>
      <c r="D3" s="22"/>
      <c r="E3" s="32" t="s">
        <v>20197</v>
      </c>
      <c r="F3" s="22"/>
      <c r="G3" s="21" t="s">
        <v>7</v>
      </c>
      <c r="I3" s="35" t="s">
        <v>9</v>
      </c>
      <c r="J3" s="22" t="s">
        <v>8</v>
      </c>
      <c r="K3" s="21" t="s">
        <v>10</v>
      </c>
      <c r="M3" s="33" t="s">
        <v>11</v>
      </c>
      <c r="N3" s="18" t="str">
        <f>INDEX(AnnotationTuberculist2017!$A$2:$A$4034,MATCH('Regulatory overview'!M3,AnnotationTuberculist2017!$B$2:$B$4034,0))</f>
        <v>pks3</v>
      </c>
      <c r="O3" s="36" t="s">
        <v>996</v>
      </c>
      <c r="P3" s="37" t="str">
        <f>INDEX(AnnotationTuberculist2017!$A$2:$A$4034,MATCH('Regulatory overview'!O3,AnnotationTuberculist2017!$B$2:$B$4034,0))</f>
        <v>dnaN</v>
      </c>
      <c r="R3" s="23" t="s">
        <v>432</v>
      </c>
      <c r="S3" s="17" t="str">
        <f>INDEX(AnnotationTuberculist2017!$A$2:$A$4034,MATCH('Regulatory overview'!R3,AnnotationTuberculist2017!$B$2:$B$4034,0))</f>
        <v>prpD</v>
      </c>
      <c r="U3" s="41"/>
      <c r="V3" s="42"/>
      <c r="W3" s="43"/>
      <c r="X3" s="43"/>
      <c r="Y3" s="43"/>
      <c r="Z3" s="41"/>
    </row>
    <row r="4" spans="1:26">
      <c r="A4" s="17" t="s">
        <v>248</v>
      </c>
      <c r="B4" s="18" t="str">
        <f>INDEX(AnnotationTuberculist2017!$A$2:$A$4034,MATCH('Regulatory overview'!A4,AnnotationTuberculist2017!$B$2:$B$4034,0))</f>
        <v>ldtA</v>
      </c>
      <c r="C4" s="17" t="s">
        <v>102</v>
      </c>
      <c r="D4" s="18" t="str">
        <f>INDEX(AnnotationTuberculist2017!$A$2:$A$4034,MATCH('Regulatory overview'!C4,AnnotationTuberculist2017!$B$2:$B$4034,0))</f>
        <v>rpmB1</v>
      </c>
      <c r="E4" s="30" t="s">
        <v>3273</v>
      </c>
      <c r="F4" s="18" t="str">
        <f>INDEX(AnnotationTuberculist2017!$A$2:$A$4034,MATCH('Regulatory overview'!E4,AnnotationTuberculist2017!$B$2:$B$4034,0))</f>
        <v>Rv0023</v>
      </c>
      <c r="G4" s="17" t="s">
        <v>104</v>
      </c>
      <c r="H4" s="18" t="str">
        <f>INDEX(AnnotationTuberculist2017!$A$2:$A$4034,MATCH('Regulatory overview'!G4,AnnotationTuberculist2017!$B$2:$B$4034,0))</f>
        <v>umaA</v>
      </c>
      <c r="I4" s="33" t="s">
        <v>20</v>
      </c>
      <c r="J4" s="18" t="str">
        <f>INDEX(AnnotationTuberculist2017!$A$2:$A$4034,MATCH('Regulatory overview'!I4,AnnotationTuberculist2017!$B$2:$B$4034,0))</f>
        <v>bglS</v>
      </c>
      <c r="K4" s="17" t="s">
        <v>21</v>
      </c>
      <c r="L4" s="18" t="str">
        <f>INDEX(AnnotationTuberculist2017!$A$2:$A$4034,MATCH('Regulatory overview'!K4,AnnotationTuberculist2017!$B$2:$B$4034,0))</f>
        <v>fadE4</v>
      </c>
      <c r="M4" s="33" t="s">
        <v>17</v>
      </c>
      <c r="N4" s="18" t="str">
        <f>INDEX(AnnotationTuberculist2017!$A$2:$A$4034,MATCH('Regulatory overview'!M4,AnnotationTuberculist2017!$B$2:$B$4034,0))</f>
        <v>fadD26</v>
      </c>
      <c r="O4" s="33" t="s">
        <v>1114</v>
      </c>
      <c r="P4" s="18" t="str">
        <f>INDEX(AnnotationTuberculist2017!$A$2:$A$4034,MATCH('Regulatory overview'!O4,AnnotationTuberculist2017!$B$2:$B$4034,0))</f>
        <v>fhaB</v>
      </c>
      <c r="R4" s="23" t="s">
        <v>108</v>
      </c>
      <c r="S4" s="17" t="str">
        <f>INDEX(AnnotationTuberculist2017!$A$2:$A$4034,MATCH('Regulatory overview'!R4,AnnotationTuberculist2017!$B$2:$B$4034,0))</f>
        <v>Rv0106</v>
      </c>
      <c r="U4" s="41"/>
      <c r="V4" s="43"/>
      <c r="W4" s="41"/>
      <c r="X4" s="41"/>
      <c r="Y4" s="41"/>
      <c r="Z4" s="41"/>
    </row>
    <row r="5" spans="1:26">
      <c r="A5" s="17" t="s">
        <v>3323</v>
      </c>
      <c r="B5" s="18" t="str">
        <f>INDEX(AnnotationTuberculist2017!$A$2:$A$4034,MATCH('Regulatory overview'!A5,AnnotationTuberculist2017!$B$2:$B$4034,0))</f>
        <v>PPE3</v>
      </c>
      <c r="C5" s="17" t="s">
        <v>108</v>
      </c>
      <c r="D5" s="18" t="str">
        <f>INDEX(AnnotationTuberculist2017!$A$2:$A$4034,MATCH('Regulatory overview'!C5,AnnotationTuberculist2017!$B$2:$B$4034,0))</f>
        <v>Rv0106</v>
      </c>
      <c r="E5" s="30" t="s">
        <v>102</v>
      </c>
      <c r="F5" s="18" t="str">
        <f>INDEX(AnnotationTuberculist2017!$A$2:$A$4034,MATCH('Regulatory overview'!E5,AnnotationTuberculist2017!$B$2:$B$4034,0))</f>
        <v>rpmB1</v>
      </c>
      <c r="G5" s="17" t="s">
        <v>78</v>
      </c>
      <c r="H5" s="18" t="str">
        <f>INDEX(AnnotationTuberculist2017!$A$2:$A$4034,MATCH('Regulatory overview'!G5,AnnotationTuberculist2017!$B$2:$B$4034,0))</f>
        <v>Rv0986</v>
      </c>
      <c r="I5" s="33" t="s">
        <v>29</v>
      </c>
      <c r="J5" s="18" t="str">
        <f>INDEX(AnnotationTuberculist2017!$A$2:$A$4034,MATCH('Regulatory overview'!I5,AnnotationTuberculist2017!$B$2:$B$4034,0))</f>
        <v>Rv0250c</v>
      </c>
      <c r="K5" s="17" t="s">
        <v>30</v>
      </c>
      <c r="L5" s="18" t="str">
        <f>INDEX(AnnotationTuberculist2017!$A$2:$A$4034,MATCH('Regulatory overview'!K5,AnnotationTuberculist2017!$B$2:$B$4034,0))</f>
        <v>fdxC</v>
      </c>
      <c r="M5" s="33" t="s">
        <v>32</v>
      </c>
      <c r="N5" s="18" t="str">
        <f>INDEX(AnnotationTuberculist2017!$A$2:$A$4034,MATCH('Regulatory overview'!M5,AnnotationTuberculist2017!$B$2:$B$4034,0))</f>
        <v>ppsA</v>
      </c>
      <c r="O5" s="33" t="s">
        <v>878</v>
      </c>
      <c r="P5" s="18" t="str">
        <f>INDEX(AnnotationTuberculist2017!$A$2:$A$4034,MATCH('Regulatory overview'!O5,AnnotationTuberculist2017!$B$2:$B$4034,0))</f>
        <v>ctpB</v>
      </c>
      <c r="R5" s="23" t="s">
        <v>433</v>
      </c>
      <c r="S5" s="17" t="str">
        <f>INDEX(AnnotationTuberculist2017!$A$2:$A$4034,MATCH('Regulatory overview'!R5,AnnotationTuberculist2017!$B$2:$B$4034,0))</f>
        <v>prpC</v>
      </c>
      <c r="U5" s="41"/>
      <c r="V5" s="43"/>
      <c r="W5" s="41"/>
      <c r="X5" s="41"/>
      <c r="Y5" s="41"/>
      <c r="Z5" s="41"/>
    </row>
    <row r="6" spans="1:26">
      <c r="A6" s="17" t="s">
        <v>13</v>
      </c>
      <c r="B6" s="18" t="str">
        <f>INDEX(AnnotationTuberculist2017!$A$2:$A$4034,MATCH('Regulatory overview'!A6,AnnotationTuberculist2017!$B$2:$B$4034,0))</f>
        <v>eccA3</v>
      </c>
      <c r="C6" s="17" t="s">
        <v>113</v>
      </c>
      <c r="D6" s="40" t="str">
        <f>INDEX(AnnotationTuberculist2017!$A$2:$A$4034,MATCH('Regulatory overview'!C6,AnnotationTuberculist2017!$B$2:$B$4034,0))</f>
        <v>Rv0232</v>
      </c>
      <c r="E6" s="30" t="s">
        <v>108</v>
      </c>
      <c r="F6" s="18" t="str">
        <f>INDEX(AnnotationTuberculist2017!$A$2:$A$4034,MATCH('Regulatory overview'!E6,AnnotationTuberculist2017!$B$2:$B$4034,0))</f>
        <v>Rv0106</v>
      </c>
      <c r="G6" s="17" t="s">
        <v>46</v>
      </c>
      <c r="H6" s="18" t="str">
        <f>INDEX(AnnotationTuberculist2017!$A$2:$A$4034,MATCH('Regulatory overview'!G6,AnnotationTuberculist2017!$B$2:$B$4034,0))</f>
        <v>PE_PGRS19</v>
      </c>
      <c r="I6" s="33" t="s">
        <v>39</v>
      </c>
      <c r="J6" s="18" t="str">
        <f>INDEX(AnnotationTuberculist2017!$A$2:$A$4034,MATCH('Regulatory overview'!I6,AnnotationTuberculist2017!$B$2:$B$4034,0))</f>
        <v>hsp</v>
      </c>
      <c r="K6" s="17" t="s">
        <v>40</v>
      </c>
      <c r="L6" s="18" t="str">
        <f>INDEX(AnnotationTuberculist2017!$A$2:$A$4034,MATCH('Regulatory overview'!K6,AnnotationTuberculist2017!$B$2:$B$4034,0))</f>
        <v>Rv1734c</v>
      </c>
      <c r="M6" s="33" t="s">
        <v>41</v>
      </c>
      <c r="N6" s="18" t="str">
        <f>INDEX(AnnotationTuberculist2017!$A$2:$A$4034,MATCH('Regulatory overview'!M6,AnnotationTuberculist2017!$B$2:$B$4034,0))</f>
        <v>mas</v>
      </c>
      <c r="O6" s="33" t="s">
        <v>1458</v>
      </c>
      <c r="P6" s="18" t="str">
        <f>INDEX(AnnotationTuberculist2017!$A$2:$A$4034,MATCH('Regulatory overview'!O6,AnnotationTuberculist2017!$B$2:$B$4034,0))</f>
        <v>Rv0104</v>
      </c>
      <c r="R6" s="23" t="s">
        <v>226</v>
      </c>
      <c r="S6" s="17" t="str">
        <f>INDEX(AnnotationTuberculist2017!$A$2:$A$4034,MATCH('Regulatory overview'!R6,AnnotationTuberculist2017!$B$2:$B$4034,0))</f>
        <v>Rv1405c</v>
      </c>
      <c r="U6" s="41"/>
      <c r="V6" s="43"/>
      <c r="W6" s="41"/>
      <c r="X6" s="41"/>
      <c r="Y6" s="41"/>
      <c r="Z6" s="41"/>
    </row>
    <row r="7" spans="1:26">
      <c r="A7" s="17" t="s">
        <v>23</v>
      </c>
      <c r="B7" s="18" t="str">
        <f>INDEX(AnnotationTuberculist2017!$A$2:$A$4034,MATCH('Regulatory overview'!A7,AnnotationTuberculist2017!$B$2:$B$4034,0))</f>
        <v>eccB3</v>
      </c>
      <c r="C7" s="17" t="s">
        <v>118</v>
      </c>
      <c r="D7" s="18" t="str">
        <f>INDEX(AnnotationTuberculist2017!$A$2:$A$4034,MATCH('Regulatory overview'!C7,AnnotationTuberculist2017!$B$2:$B$4034,0))</f>
        <v>Rv0281</v>
      </c>
      <c r="E7" s="30" t="s">
        <v>3323</v>
      </c>
      <c r="F7" s="18" t="str">
        <f>INDEX(AnnotationTuberculist2017!$A$2:$A$4034,MATCH('Regulatory overview'!E7,AnnotationTuberculist2017!$B$2:$B$4034,0))</f>
        <v>PPE3</v>
      </c>
      <c r="G7" s="17" t="s">
        <v>86</v>
      </c>
      <c r="H7" s="18" t="str">
        <f>INDEX(AnnotationTuberculist2017!$A$2:$A$4034,MATCH('Regulatory overview'!G7,AnnotationTuberculist2017!$B$2:$B$4034,0))</f>
        <v>PE_PGRS20</v>
      </c>
      <c r="I7" s="33" t="s">
        <v>48</v>
      </c>
      <c r="J7" s="18" t="str">
        <f>INDEX(AnnotationTuberculist2017!$A$2:$A$4034,MATCH('Regulatory overview'!I7,AnnotationTuberculist2017!$B$2:$B$4034,0))</f>
        <v>groEL2</v>
      </c>
      <c r="K7" s="17" t="s">
        <v>49</v>
      </c>
      <c r="L7" s="18" t="str">
        <f>INDEX(AnnotationTuberculist2017!$A$2:$A$4034,MATCH('Regulatory overview'!K7,AnnotationTuberculist2017!$B$2:$B$4034,0))</f>
        <v>Rv1998c</v>
      </c>
      <c r="M7" s="33" t="s">
        <v>50</v>
      </c>
      <c r="N7" s="18" t="str">
        <f>INDEX(AnnotationTuberculist2017!$A$2:$A$4034,MATCH('Regulatory overview'!M7,AnnotationTuberculist2017!$B$2:$B$4034,0))</f>
        <v>fadD28</v>
      </c>
      <c r="O7" s="36" t="s">
        <v>9902</v>
      </c>
      <c r="P7" s="37" t="str">
        <f>INDEX(AnnotationTuberculist2017!$A$2:$A$4034,MATCH('Regulatory overview'!O7,AnnotationTuberculist2017!$B$2:$B$4034,0))</f>
        <v>ephF</v>
      </c>
      <c r="R7" s="23" t="s">
        <v>191</v>
      </c>
      <c r="S7" s="17" t="str">
        <f>INDEX(AnnotationTuberculist2017!$A$2:$A$4034,MATCH('Regulatory overview'!R7,AnnotationTuberculist2017!$B$2:$B$4034,0))</f>
        <v>mbtA</v>
      </c>
      <c r="U7" s="41"/>
      <c r="V7" s="43"/>
      <c r="W7" s="41"/>
      <c r="X7" s="41"/>
      <c r="Y7" s="41"/>
      <c r="Z7" s="41"/>
    </row>
    <row r="8" spans="1:26">
      <c r="A8" s="17" t="s">
        <v>34</v>
      </c>
      <c r="B8" s="18" t="str">
        <f>INDEX(AnnotationTuberculist2017!$A$2:$A$4034,MATCH('Regulatory overview'!A8,AnnotationTuberculist2017!$B$2:$B$4034,0))</f>
        <v>eccC3</v>
      </c>
      <c r="C8" s="17" t="s">
        <v>13</v>
      </c>
      <c r="D8" s="18" t="str">
        <f>INDEX(AnnotationTuberculist2017!$A$2:$A$4034,MATCH('Regulatory overview'!C8,AnnotationTuberculist2017!$B$2:$B$4034,0))</f>
        <v>eccA3</v>
      </c>
      <c r="E8" s="30" t="s">
        <v>118</v>
      </c>
      <c r="F8" s="18" t="str">
        <f>INDEX(AnnotationTuberculist2017!$A$2:$A$4034,MATCH('Regulatory overview'!E8,AnnotationTuberculist2017!$B$2:$B$4034,0))</f>
        <v>Rv0281</v>
      </c>
      <c r="G8" s="17" t="s">
        <v>27</v>
      </c>
      <c r="H8" s="18" t="str">
        <f>INDEX(AnnotationTuberculist2017!$A$2:$A$4034,MATCH('Regulatory overview'!G8,AnnotationTuberculist2017!$B$2:$B$4034,0))</f>
        <v>Rv1490</v>
      </c>
      <c r="I8" s="33" t="s">
        <v>58</v>
      </c>
      <c r="J8" s="18" t="str">
        <f>INDEX(AnnotationTuberculist2017!$A$2:$A$4034,MATCH('Regulatory overview'!I8,AnnotationTuberculist2017!$B$2:$B$4034,0))</f>
        <v>mmpS5</v>
      </c>
      <c r="K8" s="17" t="s">
        <v>59</v>
      </c>
      <c r="L8" s="18" t="str">
        <f>INDEX(AnnotationTuberculist2017!$A$2:$A$4034,MATCH('Regulatory overview'!K8,AnnotationTuberculist2017!$B$2:$B$4034,0))</f>
        <v>Rv3126c</v>
      </c>
      <c r="M8" s="33" t="s">
        <v>60</v>
      </c>
      <c r="N8" s="18" t="str">
        <f>INDEX(AnnotationTuberculist2017!$A$2:$A$4034,MATCH('Regulatory overview'!M8,AnnotationTuberculist2017!$B$2:$B$4034,0))</f>
        <v>fbpA</v>
      </c>
      <c r="O8" s="33" t="s">
        <v>2602</v>
      </c>
      <c r="P8" s="18" t="str">
        <f>INDEX(AnnotationTuberculist2017!$A$2:$A$4034,MATCH('Regulatory overview'!O8,AnnotationTuberculist2017!$B$2:$B$4034,0))</f>
        <v>Rv0249c</v>
      </c>
      <c r="R8" s="23" t="s">
        <v>232</v>
      </c>
      <c r="S8" s="17" t="str">
        <f>INDEX(AnnotationTuberculist2017!$A$2:$A$4034,MATCH('Regulatory overview'!R8,AnnotationTuberculist2017!$B$2:$B$4034,0))</f>
        <v>mbtJ</v>
      </c>
      <c r="U8" s="41"/>
      <c r="V8" s="43"/>
      <c r="W8" s="41"/>
      <c r="X8" s="41"/>
      <c r="Y8" s="41"/>
      <c r="Z8" s="41"/>
    </row>
    <row r="9" spans="1:26">
      <c r="A9" s="17" t="s">
        <v>43</v>
      </c>
      <c r="B9" s="18" t="str">
        <f>INDEX(AnnotationTuberculist2017!$A$2:$A$4034,MATCH('Regulatory overview'!A9,AnnotationTuberculist2017!$B$2:$B$4034,0))</f>
        <v>PE5</v>
      </c>
      <c r="C9" s="17" t="s">
        <v>23</v>
      </c>
      <c r="D9" s="18" t="str">
        <f>INDEX(AnnotationTuberculist2017!$A$2:$A$4034,MATCH('Regulatory overview'!C9,AnnotationTuberculist2017!$B$2:$B$4034,0))</f>
        <v>eccB3</v>
      </c>
      <c r="E9" s="30" t="s">
        <v>13</v>
      </c>
      <c r="F9" s="18" t="str">
        <f>INDEX(AnnotationTuberculist2017!$A$2:$A$4034,MATCH('Regulatory overview'!E9,AnnotationTuberculist2017!$B$2:$B$4034,0))</f>
        <v>eccA3</v>
      </c>
      <c r="G9" s="17" t="s">
        <v>66</v>
      </c>
      <c r="H9" s="18" t="str">
        <f>INDEX(AnnotationTuberculist2017!$A$2:$A$4034,MATCH('Regulatory overview'!G9,AnnotationTuberculist2017!$B$2:$B$4034,0))</f>
        <v>PPE24</v>
      </c>
      <c r="I9" s="33" t="s">
        <v>69</v>
      </c>
      <c r="J9" s="18" t="str">
        <f>INDEX(AnnotationTuberculist2017!$A$2:$A$4034,MATCH('Regulatory overview'!I9,AnnotationTuberculist2017!$B$2:$B$4034,0))</f>
        <v>phoP</v>
      </c>
      <c r="K9" s="17" t="s">
        <v>70</v>
      </c>
      <c r="L9" s="18" t="str">
        <f>INDEX(AnnotationTuberculist2017!$A$2:$A$4034,MATCH('Regulatory overview'!K9,AnnotationTuberculist2017!$B$2:$B$4034,0))</f>
        <v>Rv3128c</v>
      </c>
      <c r="M9" s="33" t="s">
        <v>72</v>
      </c>
      <c r="N9" s="18" t="str">
        <f>INDEX(AnnotationTuberculist2017!$A$2:$A$4034,MATCH('Regulatory overview'!M9,AnnotationTuberculist2017!$B$2:$B$4034,0))</f>
        <v>pks2</v>
      </c>
      <c r="O9" s="36" t="s">
        <v>1903</v>
      </c>
      <c r="P9" s="18" t="str">
        <f>INDEX(AnnotationTuberculist2017!$A$2:$A$4034,MATCH('Regulatory overview'!O9,AnnotationTuberculist2017!$B$2:$B$4034,0))</f>
        <v>PPE2</v>
      </c>
      <c r="R9" s="23" t="s">
        <v>227</v>
      </c>
      <c r="S9" s="17" t="str">
        <f>INDEX(AnnotationTuberculist2017!$A$2:$A$4034,MATCH('Regulatory overview'!R9,AnnotationTuberculist2017!$B$2:$B$4034,0))</f>
        <v>mbtI</v>
      </c>
      <c r="U9" s="41"/>
      <c r="V9" s="44"/>
      <c r="W9" s="41"/>
      <c r="X9" s="41"/>
      <c r="Y9" s="41"/>
      <c r="Z9" s="41"/>
    </row>
    <row r="10" spans="1:26">
      <c r="A10" s="17" t="s">
        <v>52</v>
      </c>
      <c r="B10" s="18" t="str">
        <f>INDEX(AnnotationTuberculist2017!$A$2:$A$4034,MATCH('Regulatory overview'!A10,AnnotationTuberculist2017!$B$2:$B$4034,0))</f>
        <v>PPE4</v>
      </c>
      <c r="C10" s="17" t="s">
        <v>34</v>
      </c>
      <c r="D10" s="18" t="str">
        <f>INDEX(AnnotationTuberculist2017!$A$2:$A$4034,MATCH('Regulatory overview'!C10,AnnotationTuberculist2017!$B$2:$B$4034,0))</f>
        <v>eccC3</v>
      </c>
      <c r="E10" s="30" t="s">
        <v>23</v>
      </c>
      <c r="F10" s="18" t="str">
        <f>INDEX(AnnotationTuberculist2017!$A$2:$A$4034,MATCH('Regulatory overview'!E10,AnnotationTuberculist2017!$B$2:$B$4034,0))</f>
        <v>eccB3</v>
      </c>
      <c r="G10" s="17" t="s">
        <v>37</v>
      </c>
      <c r="H10" s="18" t="str">
        <f>INDEX(AnnotationTuberculist2017!$A$2:$A$4034,MATCH('Regulatory overview'!G10,AnnotationTuberculist2017!$B$2:$B$4034,0))</f>
        <v>Rv2929</v>
      </c>
      <c r="I10" s="33" t="s">
        <v>80</v>
      </c>
      <c r="J10" s="18" t="str">
        <f>INDEX(AnnotationTuberculist2017!$A$2:$A$4034,MATCH('Regulatory overview'!I10,AnnotationTuberculist2017!$B$2:$B$4034,0))</f>
        <v>phoR</v>
      </c>
      <c r="K10" s="17" t="s">
        <v>81</v>
      </c>
      <c r="L10" s="18" t="str">
        <f>INDEX(AnnotationTuberculist2017!$A$2:$A$4034,MATCH('Regulatory overview'!K10,AnnotationTuberculist2017!$B$2:$B$4034,0))</f>
        <v>Rv3129</v>
      </c>
      <c r="M10" s="33"/>
      <c r="O10" s="36" t="s">
        <v>1834</v>
      </c>
      <c r="P10" s="18" t="str">
        <f>INDEX(AnnotationTuberculist2017!$A$2:$A$4034,MATCH('Regulatory overview'!O10,AnnotationTuberculist2017!$B$2:$B$4034,0))</f>
        <v>def</v>
      </c>
      <c r="R10" s="23" t="s">
        <v>196</v>
      </c>
      <c r="S10" s="17" t="str">
        <f>INDEX(AnnotationTuberculist2017!$A$2:$A$4034,MATCH('Regulatory overview'!R10,AnnotationTuberculist2017!$B$2:$B$4034,0))</f>
        <v>mbtB</v>
      </c>
      <c r="U10" s="41"/>
      <c r="V10" s="43"/>
      <c r="W10" s="41"/>
      <c r="X10" s="41"/>
      <c r="Y10" s="41"/>
      <c r="Z10" s="41"/>
    </row>
    <row r="11" spans="1:26">
      <c r="A11" s="17" t="s">
        <v>62</v>
      </c>
      <c r="B11" s="18" t="str">
        <f>INDEX(AnnotationTuberculist2017!$A$2:$A$4034,MATCH('Regulatory overview'!A11,AnnotationTuberculist2017!$B$2:$B$4034,0))</f>
        <v>esxG</v>
      </c>
      <c r="C11" s="17" t="s">
        <v>43</v>
      </c>
      <c r="D11" s="18" t="str">
        <f>INDEX(AnnotationTuberculist2017!$A$2:$A$4034,MATCH('Regulatory overview'!C11,AnnotationTuberculist2017!$B$2:$B$4034,0))</f>
        <v>PE5</v>
      </c>
      <c r="E11" s="30" t="s">
        <v>34</v>
      </c>
      <c r="F11" s="18" t="str">
        <f>INDEX(AnnotationTuberculist2017!$A$2:$A$4034,MATCH('Regulatory overview'!E11,AnnotationTuberculist2017!$B$2:$B$4034,0))</f>
        <v>eccC3</v>
      </c>
      <c r="G11" s="17" t="s">
        <v>17</v>
      </c>
      <c r="H11" s="18" t="str">
        <f>INDEX(AnnotationTuberculist2017!$A$2:$A$4034,MATCH('Regulatory overview'!G11,AnnotationTuberculist2017!$B$2:$B$4034,0))</f>
        <v>fadD26</v>
      </c>
      <c r="I11" s="33" t="s">
        <v>88</v>
      </c>
      <c r="J11" s="18" t="str">
        <f>INDEX(AnnotationTuberculist2017!$A$2:$A$4034,MATCH('Regulatory overview'!I11,AnnotationTuberculist2017!$B$2:$B$4034,0))</f>
        <v>phoY2</v>
      </c>
      <c r="K11" s="17" t="s">
        <v>89</v>
      </c>
      <c r="L11" s="18" t="str">
        <f>INDEX(AnnotationTuberculist2017!$A$2:$A$4034,MATCH('Regulatory overview'!K11,AnnotationTuberculist2017!$B$2:$B$4034,0))</f>
        <v>bfrB</v>
      </c>
      <c r="M11" s="34" t="s">
        <v>405</v>
      </c>
      <c r="N11" s="34" t="s">
        <v>20207</v>
      </c>
      <c r="O11" s="36" t="s">
        <v>116</v>
      </c>
      <c r="P11" s="18" t="str">
        <f>INDEX(AnnotationTuberculist2017!$A$2:$A$4034,MATCH('Regulatory overview'!O11,AnnotationTuberculist2017!$B$2:$B$4034,0))</f>
        <v>mmpS4</v>
      </c>
      <c r="R11" s="23" t="s">
        <v>200</v>
      </c>
      <c r="S11" s="17" t="str">
        <f>INDEX(AnnotationTuberculist2017!$A$2:$A$4034,MATCH('Regulatory overview'!R11,AnnotationTuberculist2017!$B$2:$B$4034,0))</f>
        <v>mbtC</v>
      </c>
      <c r="U11" s="41"/>
      <c r="V11" s="43"/>
      <c r="W11" s="41"/>
      <c r="X11" s="41"/>
      <c r="Y11" s="41"/>
      <c r="Z11" s="41"/>
    </row>
    <row r="12" spans="1:26">
      <c r="A12" s="17" t="s">
        <v>74</v>
      </c>
      <c r="B12" s="18" t="str">
        <f>INDEX(AnnotationTuberculist2017!$A$2:$A$4034,MATCH('Regulatory overview'!A12,AnnotationTuberculist2017!$B$2:$B$4034,0))</f>
        <v>esxH</v>
      </c>
      <c r="C12" s="17" t="s">
        <v>52</v>
      </c>
      <c r="D12" s="18" t="str">
        <f>INDEX(AnnotationTuberculist2017!$A$2:$A$4034,MATCH('Regulatory overview'!C12,AnnotationTuberculist2017!$B$2:$B$4034,0))</f>
        <v>PPE4</v>
      </c>
      <c r="E12" s="30" t="s">
        <v>43</v>
      </c>
      <c r="F12" s="18" t="str">
        <f>INDEX(AnnotationTuberculist2017!$A$2:$A$4034,MATCH('Regulatory overview'!E12,AnnotationTuberculist2017!$B$2:$B$4034,0))</f>
        <v>PE5</v>
      </c>
      <c r="G12" s="17" t="s">
        <v>95</v>
      </c>
      <c r="H12" s="18" t="str">
        <f>INDEX(AnnotationTuberculist2017!$A$2:$A$4034,MATCH('Regulatory overview'!G12,AnnotationTuberculist2017!$B$2:$B$4034,0))</f>
        <v>lipF</v>
      </c>
      <c r="I12" s="33" t="s">
        <v>98</v>
      </c>
      <c r="J12" s="18" t="str">
        <f>INDEX(AnnotationTuberculist2017!$A$2:$A$4034,MATCH('Regulatory overview'!I12,AnnotationTuberculist2017!$B$2:$B$4034,0))</f>
        <v>lpqS</v>
      </c>
      <c r="K12" s="17" t="s">
        <v>99</v>
      </c>
      <c r="L12" s="18" t="str">
        <f>INDEX(AnnotationTuberculist2017!$A$2:$A$4034,MATCH('Regulatory overview'!K12,AnnotationTuberculist2017!$B$2:$B$4034,0))</f>
        <v>Rv0064</v>
      </c>
      <c r="M12" s="33" t="s">
        <v>3068</v>
      </c>
      <c r="N12" s="18" t="str">
        <f>INDEX(AnnotationTuberculist2017!$A$2:$A$4034,MATCH('Regulatory overview'!M12,AnnotationTuberculist2017!$B$2:$B$4034,0))</f>
        <v>Rv1258c</v>
      </c>
      <c r="O12" s="33" t="s">
        <v>2929</v>
      </c>
      <c r="P12" s="18" t="str">
        <f>INDEX(AnnotationTuberculist2017!$A$2:$A$4034,MATCH('Regulatory overview'!O12,AnnotationTuberculist2017!$B$2:$B$4034,0))</f>
        <v>Rv0452</v>
      </c>
      <c r="R12" s="23" t="s">
        <v>434</v>
      </c>
      <c r="S12" s="17" t="str">
        <f>INDEX(AnnotationTuberculist2017!$A$2:$A$4034,MATCH('Regulatory overview'!R12,AnnotationTuberculist2017!$B$2:$B$4034,0))</f>
        <v>PPE11</v>
      </c>
      <c r="U12" s="41"/>
      <c r="V12" s="43"/>
      <c r="W12" s="41"/>
      <c r="X12" s="41"/>
      <c r="Y12" s="41"/>
      <c r="Z12" s="41"/>
    </row>
    <row r="13" spans="1:26">
      <c r="A13" s="17" t="s">
        <v>82</v>
      </c>
      <c r="B13" s="18" t="str">
        <f>INDEX(AnnotationTuberculist2017!$A$2:$A$4034,MATCH('Regulatory overview'!A13,AnnotationTuberculist2017!$B$2:$B$4034,0))</f>
        <v>espG3</v>
      </c>
      <c r="C13" s="17" t="s">
        <v>62</v>
      </c>
      <c r="D13" s="18" t="str">
        <f>INDEX(AnnotationTuberculist2017!$A$2:$A$4034,MATCH('Regulatory overview'!C13,AnnotationTuberculist2017!$B$2:$B$4034,0))</f>
        <v>esxG</v>
      </c>
      <c r="E13" s="30" t="s">
        <v>52</v>
      </c>
      <c r="F13" s="18" t="str">
        <f>INDEX(AnnotationTuberculist2017!$A$2:$A$4034,MATCH('Regulatory overview'!E13,AnnotationTuberculist2017!$B$2:$B$4034,0))</f>
        <v>PPE4</v>
      </c>
      <c r="G13" s="17" t="s">
        <v>55</v>
      </c>
      <c r="H13" s="18" t="str">
        <f>INDEX(AnnotationTuberculist2017!$A$2:$A$4034,MATCH('Regulatory overview'!G13,AnnotationTuberculist2017!$B$2:$B$4034,0))</f>
        <v>espA</v>
      </c>
      <c r="I13" s="33" t="s">
        <v>106</v>
      </c>
      <c r="J13" s="18" t="str">
        <f>INDEX(AnnotationTuberculist2017!$A$2:$A$4034,MATCH('Regulatory overview'!I13,AnnotationTuberculist2017!$B$2:$B$4034,0))</f>
        <v>csoR</v>
      </c>
      <c r="K13" s="17" t="s">
        <v>107</v>
      </c>
      <c r="L13" s="18" t="str">
        <f>INDEX(AnnotationTuberculist2017!$A$2:$A$4034,MATCH('Regulatory overview'!K13,AnnotationTuberculist2017!$B$2:$B$4034,0))</f>
        <v>Rv0079</v>
      </c>
      <c r="M13" s="33" t="s">
        <v>2860</v>
      </c>
      <c r="N13" s="18" t="str">
        <f>INDEX(AnnotationTuberculist2017!$A$2:$A$4034,MATCH('Regulatory overview'!M13,AnnotationTuberculist2017!$B$2:$B$4034,0))</f>
        <v>Rv1473</v>
      </c>
      <c r="O13" s="33" t="s">
        <v>434</v>
      </c>
      <c r="P13" s="18" t="str">
        <f>INDEX(AnnotationTuberculist2017!$A$2:$A$4034,MATCH('Regulatory overview'!O13,AnnotationTuberculist2017!$B$2:$B$4034,0))</f>
        <v>PPE11</v>
      </c>
      <c r="R13" s="23" t="s">
        <v>435</v>
      </c>
      <c r="S13" s="17" t="str">
        <f>INDEX(AnnotationTuberculist2017!$A$2:$A$4034,MATCH('Regulatory overview'!R13,AnnotationTuberculist2017!$B$2:$B$4034,0))</f>
        <v>Rv1831</v>
      </c>
      <c r="U13" s="41"/>
      <c r="V13" s="43"/>
      <c r="W13" s="41"/>
      <c r="X13" s="41"/>
      <c r="Y13" s="41"/>
      <c r="Z13" s="41"/>
    </row>
    <row r="14" spans="1:26">
      <c r="A14" s="17" t="s">
        <v>91</v>
      </c>
      <c r="B14" s="18" t="str">
        <f>INDEX(AnnotationTuberculist2017!$A$2:$A$4034,MATCH('Regulatory overview'!A14,AnnotationTuberculist2017!$B$2:$B$4034,0))</f>
        <v>eccD3</v>
      </c>
      <c r="C14" s="17" t="s">
        <v>74</v>
      </c>
      <c r="D14" s="18" t="str">
        <f>INDEX(AnnotationTuberculist2017!$A$2:$A$4034,MATCH('Regulatory overview'!C14,AnnotationTuberculist2017!$B$2:$B$4034,0))</f>
        <v>esxH</v>
      </c>
      <c r="E14" s="30" t="s">
        <v>62</v>
      </c>
      <c r="F14" s="18" t="str">
        <f>INDEX(AnnotationTuberculist2017!$A$2:$A$4034,MATCH('Regulatory overview'!E14,AnnotationTuberculist2017!$B$2:$B$4034,0))</f>
        <v>esxG</v>
      </c>
      <c r="G14" s="21" t="s">
        <v>18771</v>
      </c>
      <c r="I14" s="33" t="s">
        <v>109</v>
      </c>
      <c r="J14" s="18" t="str">
        <f>INDEX(AnnotationTuberculist2017!$A$2:$A$4034,MATCH('Regulatory overview'!I14,AnnotationTuberculist2017!$B$2:$B$4034,0))</f>
        <v>Rv0968</v>
      </c>
      <c r="K14" s="17" t="s">
        <v>110</v>
      </c>
      <c r="L14" s="18" t="str">
        <f>INDEX(AnnotationTuberculist2017!$A$2:$A$4034,MATCH('Regulatory overview'!K14,AnnotationTuberculist2017!$B$2:$B$4034,0))</f>
        <v>Rv0080</v>
      </c>
      <c r="M14" s="33" t="s">
        <v>9538</v>
      </c>
      <c r="N14" s="18" t="str">
        <f>INDEX(AnnotationTuberculist2017!$A$2:$A$4034,MATCH('Regulatory overview'!M14,AnnotationTuberculist2017!$B$2:$B$4034,0))</f>
        <v>erm(37)</v>
      </c>
      <c r="O14" s="33" t="s">
        <v>1996</v>
      </c>
      <c r="P14" s="18" t="str">
        <f>INDEX(AnnotationTuberculist2017!$A$2:$A$4034,MATCH('Regulatory overview'!O14,AnnotationTuberculist2017!$B$2:$B$4034,0))</f>
        <v>Rv0457c</v>
      </c>
      <c r="R14" s="23" t="s">
        <v>39</v>
      </c>
      <c r="S14" s="17" t="str">
        <f>INDEX(AnnotationTuberculist2017!$A$2:$A$4034,MATCH('Regulatory overview'!R14,AnnotationTuberculist2017!$B$2:$B$4034,0))</f>
        <v>hsp</v>
      </c>
      <c r="U14" s="41"/>
      <c r="V14" s="41"/>
      <c r="W14" s="41"/>
      <c r="X14" s="41"/>
      <c r="Y14" s="41"/>
      <c r="Z14" s="41"/>
    </row>
    <row r="15" spans="1:26">
      <c r="A15" s="17" t="s">
        <v>100</v>
      </c>
      <c r="B15" s="18" t="str">
        <f>INDEX(AnnotationTuberculist2017!$A$2:$A$4034,MATCH('Regulatory overview'!A15,AnnotationTuberculist2017!$B$2:$B$4034,0))</f>
        <v>mycP3</v>
      </c>
      <c r="C15" s="17" t="s">
        <v>82</v>
      </c>
      <c r="D15" s="18" t="str">
        <f>INDEX(AnnotationTuberculist2017!$A$2:$A$4034,MATCH('Regulatory overview'!C15,AnnotationTuberculist2017!$B$2:$B$4034,0))</f>
        <v>espG3</v>
      </c>
      <c r="E15" s="30" t="s">
        <v>74</v>
      </c>
      <c r="F15" s="18" t="str">
        <f>INDEX(AnnotationTuberculist2017!$A$2:$A$4034,MATCH('Regulatory overview'!E15,AnnotationTuberculist2017!$B$2:$B$4034,0))</f>
        <v>esxH</v>
      </c>
      <c r="G15" s="17" t="s">
        <v>149</v>
      </c>
      <c r="H15" s="18" t="str">
        <f>INDEX(AnnotationTuberculist2017!$A$2:$A$4034,MATCH('Regulatory overview'!G15,AnnotationTuberculist2017!$B$2:$B$4034,0))</f>
        <v>nrdF1</v>
      </c>
      <c r="I15" s="33" t="s">
        <v>11</v>
      </c>
      <c r="J15" s="18" t="str">
        <f>INDEX(AnnotationTuberculist2017!$A$2:$A$4034,MATCH('Regulatory overview'!I15,AnnotationTuberculist2017!$B$2:$B$4034,0))</f>
        <v>pks3</v>
      </c>
      <c r="K15" s="17" t="s">
        <v>115</v>
      </c>
      <c r="L15" s="18" t="str">
        <f>INDEX(AnnotationTuberculist2017!$A$2:$A$4034,MATCH('Regulatory overview'!K15,AnnotationTuberculist2017!$B$2:$B$4034,0))</f>
        <v>Rv0081</v>
      </c>
      <c r="M15" s="33" t="s">
        <v>9540</v>
      </c>
      <c r="N15" s="18" t="str">
        <f>INDEX(AnnotationTuberculist2017!$A$2:$A$4034,MATCH('Regulatory overview'!M15,AnnotationTuberculist2017!$B$2:$B$4034,0))</f>
        <v>whiB7</v>
      </c>
      <c r="O15" s="33" t="s">
        <v>968</v>
      </c>
      <c r="P15" s="18" t="str">
        <f>INDEX(AnnotationTuberculist2017!$A$2:$A$4034,MATCH('Regulatory overview'!O15,AnnotationTuberculist2017!$B$2:$B$4034,0))</f>
        <v>Rv0458</v>
      </c>
      <c r="R15" s="23" t="s">
        <v>204</v>
      </c>
      <c r="S15" s="17" t="str">
        <f>INDEX(AnnotationTuberculist2017!$A$2:$A$4034,MATCH('Regulatory overview'!R15,AnnotationTuberculist2017!$B$2:$B$4034,0))</f>
        <v>mbtD</v>
      </c>
      <c r="U15" s="41"/>
      <c r="V15" s="41"/>
      <c r="W15" s="41"/>
      <c r="X15" s="41"/>
      <c r="Y15" s="41"/>
      <c r="Z15" s="41"/>
    </row>
    <row r="16" spans="1:26">
      <c r="A16" s="17" t="s">
        <v>100</v>
      </c>
      <c r="B16" s="18" t="str">
        <f>INDEX(AnnotationTuberculist2017!$A$2:$A$4034,MATCH('Regulatory overview'!A16,AnnotationTuberculist2017!$B$2:$B$4034,0))</f>
        <v>mycP3</v>
      </c>
      <c r="C16" s="17" t="s">
        <v>91</v>
      </c>
      <c r="D16" s="18" t="str">
        <f>INDEX(AnnotationTuberculist2017!$A$2:$A$4034,MATCH('Regulatory overview'!C16,AnnotationTuberculist2017!$B$2:$B$4034,0))</f>
        <v>eccD3</v>
      </c>
      <c r="E16" s="30" t="s">
        <v>82</v>
      </c>
      <c r="F16" s="18" t="str">
        <f>INDEX(AnnotationTuberculist2017!$A$2:$A$4034,MATCH('Regulatory overview'!E16,AnnotationTuberculist2017!$B$2:$B$4034,0))</f>
        <v>espG3</v>
      </c>
      <c r="G16" s="17" t="s">
        <v>157</v>
      </c>
      <c r="H16" s="18" t="str">
        <f>INDEX(AnnotationTuberculist2017!$A$2:$A$4034,MATCH('Regulatory overview'!G16,AnnotationTuberculist2017!$B$2:$B$4034,0))</f>
        <v>vapC36</v>
      </c>
      <c r="I16" s="33" t="s">
        <v>120</v>
      </c>
      <c r="J16" s="18" t="str">
        <f>INDEX(AnnotationTuberculist2017!$A$2:$A$4034,MATCH('Regulatory overview'!I16,AnnotationTuberculist2017!$B$2:$B$4034,0))</f>
        <v>Rv1184c</v>
      </c>
      <c r="K16" s="17" t="s">
        <v>121</v>
      </c>
      <c r="L16" s="18" t="str">
        <f>INDEX(AnnotationTuberculist2017!$A$2:$A$4034,MATCH('Regulatory overview'!K16,AnnotationTuberculist2017!$B$2:$B$4034,0))</f>
        <v>Rv0082</v>
      </c>
      <c r="M16" s="33"/>
      <c r="O16" s="33" t="s">
        <v>10758</v>
      </c>
      <c r="P16" s="18" t="str">
        <f>INDEX(AnnotationTuberculist2017!$A$2:$A$4034,MATCH('Regulatory overview'!O16,AnnotationTuberculist2017!$B$2:$B$4034,0))</f>
        <v>Rv0520</v>
      </c>
      <c r="R16" s="23" t="s">
        <v>436</v>
      </c>
      <c r="S16" s="17" t="str">
        <f>INDEX(AnnotationTuberculist2017!$A$2:$A$4034,MATCH('Regulatory overview'!R16,AnnotationTuberculist2017!$B$2:$B$4034,0))</f>
        <v>argC</v>
      </c>
    </row>
    <row r="17" spans="1:19">
      <c r="A17" s="17" t="s">
        <v>111</v>
      </c>
      <c r="B17" s="18" t="str">
        <f>INDEX(AnnotationTuberculist2017!$A$2:$A$4034,MATCH('Regulatory overview'!A17,AnnotationTuberculist2017!$B$2:$B$4034,0))</f>
        <v>mmpL4</v>
      </c>
      <c r="C17" s="17" t="s">
        <v>100</v>
      </c>
      <c r="D17" s="18" t="str">
        <f>INDEX(AnnotationTuberculist2017!$A$2:$A$4034,MATCH('Regulatory overview'!C17,AnnotationTuberculist2017!$B$2:$B$4034,0))</f>
        <v>mycP3</v>
      </c>
      <c r="E17" s="30" t="s">
        <v>91</v>
      </c>
      <c r="F17" s="18" t="str">
        <f>INDEX(AnnotationTuberculist2017!$A$2:$A$4034,MATCH('Regulatory overview'!E17,AnnotationTuberculist2017!$B$2:$B$4034,0))</f>
        <v>eccD3</v>
      </c>
      <c r="G17" s="17" t="s">
        <v>114</v>
      </c>
      <c r="H17" s="18" t="str">
        <f>INDEX(AnnotationTuberculist2017!$A$2:$A$4034,MATCH('Regulatory overview'!G17,AnnotationTuberculist2017!$B$2:$B$4034,0))</f>
        <v>Rv3612c</v>
      </c>
      <c r="I17" s="33" t="s">
        <v>129</v>
      </c>
      <c r="J17" s="18" t="str">
        <f>INDEX(AnnotationTuberculist2017!$A$2:$A$4034,MATCH('Regulatory overview'!I17,AnnotationTuberculist2017!$B$2:$B$4034,0))</f>
        <v>fadD21</v>
      </c>
      <c r="K17" s="17" t="s">
        <v>130</v>
      </c>
      <c r="L17" s="18" t="str">
        <f>INDEX(AnnotationTuberculist2017!$A$2:$A$4034,MATCH('Regulatory overview'!K17,AnnotationTuberculist2017!$B$2:$B$4034,0))</f>
        <v>Rv0158</v>
      </c>
      <c r="M17" s="33"/>
      <c r="O17" s="33" t="s">
        <v>627</v>
      </c>
      <c r="P17" s="18" t="str">
        <f>INDEX(AnnotationTuberculist2017!$A$2:$A$4034,MATCH('Regulatory overview'!O17,AnnotationTuberculist2017!$B$2:$B$4034,0))</f>
        <v>mmaA3</v>
      </c>
      <c r="R17" s="23" t="s">
        <v>437</v>
      </c>
      <c r="S17" s="17" t="str">
        <f>INDEX(AnnotationTuberculist2017!$A$2:$A$4034,MATCH('Regulatory overview'!R17,AnnotationTuberculist2017!$B$2:$B$4034,0))</f>
        <v>whiB7</v>
      </c>
    </row>
    <row r="18" spans="1:19">
      <c r="A18" s="17" t="s">
        <v>116</v>
      </c>
      <c r="B18" s="18" t="str">
        <f>INDEX(AnnotationTuberculist2017!$A$2:$A$4034,MATCH('Regulatory overview'!A18,AnnotationTuberculist2017!$B$2:$B$4034,0))</f>
        <v>mmpS4</v>
      </c>
      <c r="C18" s="17" t="s">
        <v>124</v>
      </c>
      <c r="D18" s="40" t="str">
        <f>INDEX(AnnotationTuberculist2017!$A$2:$A$4034,MATCH('Regulatory overview'!C18,AnnotationTuberculist2017!$B$2:$B$4034,0))</f>
        <v>PE13</v>
      </c>
      <c r="E18" s="30" t="s">
        <v>100</v>
      </c>
      <c r="F18" s="18" t="str">
        <f>INDEX(AnnotationTuberculist2017!$A$2:$A$4034,MATCH('Regulatory overview'!E18,AnnotationTuberculist2017!$B$2:$B$4034,0))</f>
        <v>mycP3</v>
      </c>
      <c r="G18" s="17" t="s">
        <v>119</v>
      </c>
      <c r="H18" s="18" t="str">
        <f>INDEX(AnnotationTuberculist2017!$A$2:$A$4034,MATCH('Regulatory overview'!G18,AnnotationTuberculist2017!$B$2:$B$4034,0))</f>
        <v>Rv3613c</v>
      </c>
      <c r="I18" s="33" t="s">
        <v>137</v>
      </c>
      <c r="J18" s="18" t="str">
        <f>INDEX(AnnotationTuberculist2017!$A$2:$A$4034,MATCH('Regulatory overview'!I18,AnnotationTuberculist2017!$B$2:$B$4034,0))</f>
        <v>Rv1217c</v>
      </c>
      <c r="K18" s="17" t="s">
        <v>138</v>
      </c>
      <c r="L18" s="18" t="str">
        <f>INDEX(AnnotationTuberculist2017!$A$2:$A$4034,MATCH('Regulatory overview'!K18,AnnotationTuberculist2017!$B$2:$B$4034,0))</f>
        <v>nirB</v>
      </c>
      <c r="M18" s="34" t="s">
        <v>406</v>
      </c>
      <c r="N18" s="34" t="s">
        <v>20209</v>
      </c>
      <c r="O18" s="36" t="s">
        <v>1055</v>
      </c>
      <c r="P18" s="37" t="str">
        <f>INDEX(AnnotationTuberculist2017!$A$2:$A$4034,MATCH('Regulatory overview'!O18,AnnotationTuberculist2017!$B$2:$B$4034,0))</f>
        <v>rplJ</v>
      </c>
      <c r="R18" s="23" t="s">
        <v>438</v>
      </c>
      <c r="S18" s="17" t="str">
        <f>INDEX(AnnotationTuberculist2017!$A$2:$A$4034,MATCH('Regulatory overview'!R18,AnnotationTuberculist2017!$B$2:$B$4034,0))</f>
        <v>PPE31</v>
      </c>
    </row>
    <row r="19" spans="1:19">
      <c r="A19" s="17" t="s">
        <v>122</v>
      </c>
      <c r="B19" s="18" t="str">
        <f>INDEX(AnnotationTuberculist2017!$A$2:$A$4034,MATCH('Regulatory overview'!A19,AnnotationTuberculist2017!$B$2:$B$4034,0))</f>
        <v>murB</v>
      </c>
      <c r="C19" s="17" t="s">
        <v>133</v>
      </c>
      <c r="D19" s="40" t="str">
        <f>INDEX(AnnotationTuberculist2017!$A$2:$A$4034,MATCH('Regulatory overview'!C19,AnnotationTuberculist2017!$B$2:$B$4034,0))</f>
        <v>modA</v>
      </c>
      <c r="E19" s="30" t="s">
        <v>10789</v>
      </c>
      <c r="F19" s="18" t="str">
        <f>INDEX(AnnotationTuberculist2017!$A$2:$A$4034,MATCH('Regulatory overview'!E19,AnnotationTuberculist2017!$B$2:$B$4034,0))</f>
        <v>PE_PGRS6</v>
      </c>
      <c r="G19" s="17" t="s">
        <v>126</v>
      </c>
      <c r="H19" s="18" t="str">
        <f>INDEX(AnnotationTuberculist2017!$A$2:$A$4034,MATCH('Regulatory overview'!G19,AnnotationTuberculist2017!$B$2:$B$4034,0))</f>
        <v>espD</v>
      </c>
      <c r="I19" s="33" t="s">
        <v>143</v>
      </c>
      <c r="J19" s="18" t="str">
        <f>INDEX(AnnotationTuberculist2017!$A$2:$A$4034,MATCH('Regulatory overview'!I19,AnnotationTuberculist2017!$B$2:$B$4034,0))</f>
        <v>Rv1218c</v>
      </c>
      <c r="K19" s="17" t="s">
        <v>144</v>
      </c>
      <c r="L19" s="18" t="str">
        <f>INDEX(AnnotationTuberculist2017!$A$2:$A$4034,MATCH('Regulatory overview'!K19,AnnotationTuberculist2017!$B$2:$B$4034,0))</f>
        <v>narU</v>
      </c>
      <c r="M19" s="35" t="s">
        <v>411</v>
      </c>
      <c r="O19" s="33" t="s">
        <v>2282</v>
      </c>
      <c r="P19" s="18" t="str">
        <f>INDEX(AnnotationTuberculist2017!$A$2:$A$4034,MATCH('Regulatory overview'!O19,AnnotationTuberculist2017!$B$2:$B$4034,0))</f>
        <v>Rv0658c</v>
      </c>
      <c r="R19" s="23" t="s">
        <v>439</v>
      </c>
      <c r="S19" s="17" t="str">
        <f>INDEX(AnnotationTuberculist2017!$A$2:$A$4034,MATCH('Regulatory overview'!R19,AnnotationTuberculist2017!$B$2:$B$4034,0))</f>
        <v>fdxB</v>
      </c>
    </row>
    <row r="20" spans="1:19">
      <c r="A20" s="17" t="s">
        <v>131</v>
      </c>
      <c r="B20" s="18" t="str">
        <f>INDEX(AnnotationTuberculist2017!$A$2:$A$4034,MATCH('Regulatory overview'!A20,AnnotationTuberculist2017!$B$2:$B$4034,0))</f>
        <v>yrbE2A</v>
      </c>
      <c r="C20" s="17" t="s">
        <v>142</v>
      </c>
      <c r="D20" s="40" t="str">
        <f>INDEX(AnnotationTuberculist2017!$A$2:$A$4034,MATCH('Regulatory overview'!C20,AnnotationTuberculist2017!$B$2:$B$4034,0))</f>
        <v>Rv1870c</v>
      </c>
      <c r="E20" s="30" t="s">
        <v>1032</v>
      </c>
      <c r="F20" s="18" t="str">
        <f>INDEX(AnnotationTuberculist2017!$A$2:$A$4034,MATCH('Regulatory overview'!E20,AnnotationTuberculist2017!$B$2:$B$4034,0))</f>
        <v>Rv0822c</v>
      </c>
      <c r="G20" s="17" t="s">
        <v>135</v>
      </c>
      <c r="H20" s="18" t="str">
        <f>INDEX(AnnotationTuberculist2017!$A$2:$A$4034,MATCH('Regulatory overview'!G20,AnnotationTuberculist2017!$B$2:$B$4034,0))</f>
        <v>espC</v>
      </c>
      <c r="I20" s="33" t="s">
        <v>151</v>
      </c>
      <c r="J20" s="18" t="str">
        <f>INDEX(AnnotationTuberculist2017!$A$2:$A$4034,MATCH('Regulatory overview'!I20,AnnotationTuberculist2017!$B$2:$B$4034,0))</f>
        <v>Rv1219c</v>
      </c>
      <c r="K20" s="17" t="s">
        <v>152</v>
      </c>
      <c r="L20" s="18" t="str">
        <f>INDEX(AnnotationTuberculist2017!$A$2:$A$4034,MATCH('Regulatory overview'!K20,AnnotationTuberculist2017!$B$2:$B$4034,0))</f>
        <v>Rv0318c</v>
      </c>
      <c r="M20" s="33" t="s">
        <v>412</v>
      </c>
      <c r="N20" s="18" t="str">
        <f>INDEX(AnnotationTuberculist2017!$A$2:$A$4034,MATCH('Regulatory overview'!M20,AnnotationTuberculist2017!$B$2:$B$4034,0))</f>
        <v>fadD10</v>
      </c>
      <c r="O20" s="33" t="s">
        <v>2644</v>
      </c>
      <c r="P20" s="18" t="str">
        <f>INDEX(AnnotationTuberculist2017!$A$2:$A$4034,MATCH('Regulatory overview'!O20,AnnotationTuberculist2017!$B$2:$B$4034,0))</f>
        <v>Rv0680c</v>
      </c>
      <c r="R20" s="23" t="s">
        <v>440</v>
      </c>
      <c r="S20" s="17" t="str">
        <f>INDEX(AnnotationTuberculist2017!$A$2:$A$4034,MATCH('Regulatory overview'!R20,AnnotationTuberculist2017!$B$2:$B$4034,0))</f>
        <v>Rv0193c</v>
      </c>
    </row>
    <row r="21" spans="1:19">
      <c r="A21" s="17" t="s">
        <v>253</v>
      </c>
      <c r="B21" s="18" t="str">
        <f>INDEX(AnnotationTuberculist2017!$A$2:$A$4034,MATCH('Regulatory overview'!A21,AnnotationTuberculist2017!$B$2:$B$4034,0))</f>
        <v>cyp123</v>
      </c>
      <c r="C21" s="17" t="s">
        <v>64</v>
      </c>
      <c r="D21" s="18" t="str">
        <f>INDEX(AnnotationTuberculist2017!$A$2:$A$4034,MATCH('Regulatory overview'!C21,AnnotationTuberculist2017!$B$2:$B$4034,0))</f>
        <v>rpsR2</v>
      </c>
      <c r="E21" s="30" t="s">
        <v>3133</v>
      </c>
      <c r="F21" s="18" t="str">
        <f>INDEX(AnnotationTuberculist2017!$A$2:$A$4034,MATCH('Regulatory overview'!E21,AnnotationTuberculist2017!$B$2:$B$4034,0))</f>
        <v>Rv0823c</v>
      </c>
      <c r="G21" s="17" t="s">
        <v>55</v>
      </c>
      <c r="H21" s="18" t="str">
        <f>INDEX(AnnotationTuberculist2017!$A$2:$A$4034,MATCH('Regulatory overview'!G21,AnnotationTuberculist2017!$B$2:$B$4034,0))</f>
        <v>espA</v>
      </c>
      <c r="I21" s="33" t="s">
        <v>159</v>
      </c>
      <c r="J21" s="18" t="str">
        <f>INDEX(AnnotationTuberculist2017!$A$2:$A$4034,MATCH('Regulatory overview'!I21,AnnotationTuberculist2017!$B$2:$B$4034,0))</f>
        <v>Rv1639c</v>
      </c>
      <c r="K21" s="17" t="s">
        <v>160</v>
      </c>
      <c r="L21" s="18" t="str">
        <f>INDEX(AnnotationTuberculist2017!$A$2:$A$4034,MATCH('Regulatory overview'!K21,AnnotationTuberculist2017!$B$2:$B$4034,0))</f>
        <v>Rv0349</v>
      </c>
      <c r="M21" s="33" t="s">
        <v>414</v>
      </c>
      <c r="N21" s="18" t="str">
        <f>INDEX(AnnotationTuberculist2017!$A$2:$A$4034,MATCH('Regulatory overview'!M21,AnnotationTuberculist2017!$B$2:$B$4034,0))</f>
        <v>Rv0188</v>
      </c>
      <c r="O21" s="33" t="s">
        <v>905</v>
      </c>
      <c r="P21" s="18" t="str">
        <f>INDEX(AnnotationTuberculist2017!$A$2:$A$4034,MATCH('Regulatory overview'!O21,AnnotationTuberculist2017!$B$2:$B$4034,0))</f>
        <v>Rv0681</v>
      </c>
      <c r="R21" s="23" t="s">
        <v>100</v>
      </c>
      <c r="S21" s="17" t="str">
        <f>INDEX(AnnotationTuberculist2017!$A$2:$A$4034,MATCH('Regulatory overview'!R21,AnnotationTuberculist2017!$B$2:$B$4034,0))</f>
        <v>mycP3</v>
      </c>
    </row>
    <row r="22" spans="1:19">
      <c r="A22" s="17" t="s">
        <v>260</v>
      </c>
      <c r="B22" s="18" t="str">
        <f>INDEX(AnnotationTuberculist2017!$A$2:$A$4034,MATCH('Regulatory overview'!A22,AnnotationTuberculist2017!$B$2:$B$4034,0))</f>
        <v>lprD</v>
      </c>
      <c r="C22" s="17" t="s">
        <v>76</v>
      </c>
      <c r="D22" s="18" t="str">
        <f>INDEX(AnnotationTuberculist2017!$A$2:$A$4034,MATCH('Regulatory overview'!C22,AnnotationTuberculist2017!$B$2:$B$4034,0))</f>
        <v>rpsN2</v>
      </c>
      <c r="E22" s="30" t="s">
        <v>12110</v>
      </c>
      <c r="F22" s="18" t="str">
        <f>INDEX(AnnotationTuberculist2017!$A$2:$A$4034,MATCH('Regulatory overview'!E22,AnnotationTuberculist2017!$B$2:$B$4034,0))</f>
        <v>PE_PGRS21</v>
      </c>
      <c r="I22" s="33" t="s">
        <v>165</v>
      </c>
      <c r="J22" s="18" t="str">
        <f>INDEX(AnnotationTuberculist2017!$A$2:$A$4034,MATCH('Regulatory overview'!I22,AnnotationTuberculist2017!$B$2:$B$4034,0))</f>
        <v>Rv1687c</v>
      </c>
      <c r="K22" s="17" t="s">
        <v>166</v>
      </c>
      <c r="L22" s="18" t="str">
        <f>INDEX(AnnotationTuberculist2017!$A$2:$A$4034,MATCH('Regulatory overview'!K22,AnnotationTuberculist2017!$B$2:$B$4034,0))</f>
        <v>menC</v>
      </c>
      <c r="M22" s="33" t="s">
        <v>415</v>
      </c>
      <c r="N22" s="18" t="str">
        <f>INDEX(AnnotationTuberculist2017!$A$2:$A$4034,MATCH('Regulatory overview'!M22,AnnotationTuberculist2017!$B$2:$B$4034,0))</f>
        <v>cydA</v>
      </c>
      <c r="O22" s="33" t="s">
        <v>2509</v>
      </c>
      <c r="P22" s="18" t="str">
        <f>INDEX(AnnotationTuberculist2017!$A$2:$A$4034,MATCH('Regulatory overview'!O22,AnnotationTuberculist2017!$B$2:$B$4034,0))</f>
        <v>mmsB</v>
      </c>
      <c r="R22" s="23" t="s">
        <v>441</v>
      </c>
      <c r="S22" s="17" t="str">
        <f>INDEX(AnnotationTuberculist2017!$A$2:$A$4034,MATCH('Regulatory overview'!R22,AnnotationTuberculist2017!$B$2:$B$4034,0))</f>
        <v>Rv2917</v>
      </c>
    </row>
    <row r="23" spans="1:19">
      <c r="A23" s="17" t="s">
        <v>140</v>
      </c>
      <c r="B23" s="18" t="str">
        <f>INDEX(AnnotationTuberculist2017!$A$2:$A$4034,MATCH('Regulatory overview'!A23,AnnotationTuberculist2017!$B$2:$B$4034,0))</f>
        <v>mbtM</v>
      </c>
      <c r="C23" s="17" t="s">
        <v>84</v>
      </c>
      <c r="D23" s="18" t="str">
        <f>INDEX(AnnotationTuberculist2017!$A$2:$A$4034,MATCH('Regulatory overview'!C23,AnnotationTuberculist2017!$B$2:$B$4034,0))</f>
        <v>rpmG1</v>
      </c>
      <c r="E23" s="30" t="s">
        <v>124</v>
      </c>
      <c r="F23" s="18" t="str">
        <f>INDEX(AnnotationTuberculist2017!$A$2:$A$4034,MATCH('Regulatory overview'!E23,AnnotationTuberculist2017!$B$2:$B$4034,0))</f>
        <v>PE13</v>
      </c>
      <c r="I23" s="33" t="s">
        <v>172</v>
      </c>
      <c r="J23" s="18" t="str">
        <f>INDEX(AnnotationTuberculist2017!$A$2:$A$4034,MATCH('Regulatory overview'!I23,AnnotationTuberculist2017!$B$2:$B$4034,0))</f>
        <v>Rv1812c</v>
      </c>
      <c r="K23" s="17" t="s">
        <v>173</v>
      </c>
      <c r="L23" s="18" t="str">
        <f>INDEX(AnnotationTuberculist2017!$A$2:$A$4034,MATCH('Regulatory overview'!K23,AnnotationTuberculist2017!$B$2:$B$4034,0))</f>
        <v>cyp135B1</v>
      </c>
      <c r="M23" s="33" t="s">
        <v>417</v>
      </c>
      <c r="N23" s="18" t="str">
        <f>INDEX(AnnotationTuberculist2017!$A$2:$A$4034,MATCH('Regulatory overview'!M23,AnnotationTuberculist2017!$B$2:$B$4034,0))</f>
        <v>lipQ</v>
      </c>
      <c r="O23" s="33" t="s">
        <v>1802</v>
      </c>
      <c r="P23" s="18" t="str">
        <f>INDEX(AnnotationTuberculist2017!$A$2:$A$4034,MATCH('Regulatory overview'!O23,AnnotationTuberculist2017!$B$2:$B$4034,0))</f>
        <v>fadE9</v>
      </c>
      <c r="R23" s="23" t="s">
        <v>442</v>
      </c>
      <c r="S23" s="17" t="str">
        <f>INDEX(AnnotationTuberculist2017!$A$2:$A$4034,MATCH('Regulatory overview'!R23,AnnotationTuberculist2017!$B$2:$B$4034,0))</f>
        <v>Rv3611</v>
      </c>
    </row>
    <row r="24" spans="1:19">
      <c r="A24" s="17" t="s">
        <v>146</v>
      </c>
      <c r="B24" s="18" t="str">
        <f>INDEX(AnnotationTuberculist2017!$A$2:$A$4034,MATCH('Regulatory overview'!A24,AnnotationTuberculist2017!$B$2:$B$4034,0))</f>
        <v>mbtN</v>
      </c>
      <c r="C24" s="17" t="s">
        <v>93</v>
      </c>
      <c r="D24" s="18" t="str">
        <f>INDEX(AnnotationTuberculist2017!$A$2:$A$4034,MATCH('Regulatory overview'!C24,AnnotationTuberculist2017!$B$2:$B$4034,0))</f>
        <v>rpmB2</v>
      </c>
      <c r="E24" s="30" t="s">
        <v>137</v>
      </c>
      <c r="F24" s="18" t="str">
        <f>INDEX(AnnotationTuberculist2017!$A$2:$A$4034,MATCH('Regulatory overview'!E24,AnnotationTuberculist2017!$B$2:$B$4034,0))</f>
        <v>Rv1217c</v>
      </c>
      <c r="I24" s="33" t="s">
        <v>179</v>
      </c>
      <c r="J24" s="18" t="str">
        <f>INDEX(AnnotationTuberculist2017!$A$2:$A$4034,MATCH('Regulatory overview'!I24,AnnotationTuberculist2017!$B$2:$B$4034,0))</f>
        <v>Rv1986</v>
      </c>
      <c r="K24" s="17" t="s">
        <v>180</v>
      </c>
      <c r="L24" s="18" t="str">
        <f>INDEX(AnnotationTuberculist2017!$A$2:$A$4034,MATCH('Regulatory overview'!K24,AnnotationTuberculist2017!$B$2:$B$4034,0))</f>
        <v>Rv0569</v>
      </c>
      <c r="M24" s="33" t="s">
        <v>119</v>
      </c>
      <c r="N24" s="18" t="str">
        <f>INDEX(AnnotationTuberculist2017!$A$2:$A$4034,MATCH('Regulatory overview'!M24,AnnotationTuberculist2017!$B$2:$B$4034,0))</f>
        <v>Rv3613c</v>
      </c>
      <c r="O24" s="33" t="s">
        <v>2800</v>
      </c>
      <c r="P24" s="18" t="str">
        <f>INDEX(AnnotationTuberculist2017!$A$2:$A$4034,MATCH('Regulatory overview'!O24,AnnotationTuberculist2017!$B$2:$B$4034,0))</f>
        <v>Rv0805</v>
      </c>
      <c r="R24" s="23" t="s">
        <v>443</v>
      </c>
      <c r="S24" s="17" t="str">
        <f>INDEX(AnnotationTuberculist2017!$A$2:$A$4034,MATCH('Regulatory overview'!R24,AnnotationTuberculist2017!$B$2:$B$4034,0))</f>
        <v>nrdH</v>
      </c>
    </row>
    <row r="25" spans="1:19">
      <c r="A25" s="17" t="s">
        <v>153</v>
      </c>
      <c r="B25" s="18" t="str">
        <f>INDEX(AnnotationTuberculist2017!$A$2:$A$4034,MATCH('Regulatory overview'!A25,AnnotationTuberculist2017!$B$2:$B$4034,0))</f>
        <v>mbtK</v>
      </c>
      <c r="C25" s="17" t="s">
        <v>36</v>
      </c>
      <c r="D25" s="18" t="str">
        <f>INDEX(AnnotationTuberculist2017!$A$2:$A$4034,MATCH('Regulatory overview'!C25,AnnotationTuberculist2017!$B$2:$B$4034,0))</f>
        <v>Rv2059</v>
      </c>
      <c r="E25" s="30" t="s">
        <v>151</v>
      </c>
      <c r="F25" s="18" t="str">
        <f>INDEX(AnnotationTuberculist2017!$A$2:$A$4034,MATCH('Regulatory overview'!E25,AnnotationTuberculist2017!$B$2:$B$4034,0))</f>
        <v>Rv1219c</v>
      </c>
      <c r="I25" s="33" t="s">
        <v>184</v>
      </c>
      <c r="J25" s="18" t="str">
        <f>INDEX(AnnotationTuberculist2017!$A$2:$A$4034,MATCH('Regulatory overview'!I25,AnnotationTuberculist2017!$B$2:$B$4034,0))</f>
        <v>Rv1996</v>
      </c>
      <c r="K25" s="17" t="s">
        <v>185</v>
      </c>
      <c r="L25" s="18" t="str">
        <f>INDEX(AnnotationTuberculist2017!$A$2:$A$4034,MATCH('Regulatory overview'!K25,AnnotationTuberculist2017!$B$2:$B$4034,0))</f>
        <v>nrdZ</v>
      </c>
      <c r="M25" s="33" t="s">
        <v>126</v>
      </c>
      <c r="N25" s="18" t="str">
        <f>INDEX(AnnotationTuberculist2017!$A$2:$A$4034,MATCH('Regulatory overview'!M25,AnnotationTuberculist2017!$B$2:$B$4034,0))</f>
        <v>espD</v>
      </c>
      <c r="O25" s="33" t="s">
        <v>1705</v>
      </c>
      <c r="P25" s="18" t="str">
        <f>INDEX(AnnotationTuberculist2017!$A$2:$A$4034,MATCH('Regulatory overview'!O25,AnnotationTuberculist2017!$B$2:$B$4034,0))</f>
        <v>Rv0851c</v>
      </c>
      <c r="R25" s="23" t="s">
        <v>444</v>
      </c>
      <c r="S25" s="17" t="str">
        <f>INDEX(AnnotationTuberculist2017!$A$2:$A$4034,MATCH('Regulatory overview'!R25,AnnotationTuberculist2017!$B$2:$B$4034,0))</f>
        <v>Rv0726c</v>
      </c>
    </row>
    <row r="26" spans="1:19">
      <c r="A26" s="17" t="s">
        <v>161</v>
      </c>
      <c r="B26" s="18" t="str">
        <f>INDEX(AnnotationTuberculist2017!$A$2:$A$4034,MATCH('Regulatory overview'!A26,AnnotationTuberculist2017!$B$2:$B$4034,0))</f>
        <v>irtA</v>
      </c>
      <c r="C26" s="17" t="s">
        <v>45</v>
      </c>
      <c r="D26" s="18" t="str">
        <f>INDEX(AnnotationTuberculist2017!$A$2:$A$4034,MATCH('Regulatory overview'!C26,AnnotationTuberculist2017!$B$2:$B$4034,0))</f>
        <v>Rv2060</v>
      </c>
      <c r="E26" s="30" t="s">
        <v>1607</v>
      </c>
      <c r="F26" s="18" t="str">
        <f>INDEX(AnnotationTuberculist2017!$A$2:$A$4034,MATCH('Regulatory overview'!E26,AnnotationTuberculist2017!$B$2:$B$4034,0))</f>
        <v>oppB</v>
      </c>
      <c r="I26" s="33" t="s">
        <v>189</v>
      </c>
      <c r="J26" s="18" t="str">
        <f>INDEX(AnnotationTuberculist2017!$A$2:$A$4034,MATCH('Regulatory overview'!I26,AnnotationTuberculist2017!$B$2:$B$4034,0))</f>
        <v>Rv2137c</v>
      </c>
      <c r="K26" s="17" t="s">
        <v>190</v>
      </c>
      <c r="L26" s="18" t="str">
        <f>INDEX(AnnotationTuberculist2017!$A$2:$A$4034,MATCH('Regulatory overview'!K26,AnnotationTuberculist2017!$B$2:$B$4034,0))</f>
        <v>Rv0571c</v>
      </c>
      <c r="M26" s="33" t="s">
        <v>135</v>
      </c>
      <c r="N26" s="18" t="str">
        <f>INDEX(AnnotationTuberculist2017!$A$2:$A$4034,MATCH('Regulatory overview'!M26,AnnotationTuberculist2017!$B$2:$B$4034,0))</f>
        <v>espC</v>
      </c>
      <c r="O26" s="33" t="s">
        <v>3053</v>
      </c>
      <c r="P26" s="18" t="str">
        <f>INDEX(AnnotationTuberculist2017!$A$2:$A$4034,MATCH('Regulatory overview'!O26,AnnotationTuberculist2017!$B$2:$B$4034,0))</f>
        <v>fadD16</v>
      </c>
      <c r="R26" s="23" t="s">
        <v>445</v>
      </c>
      <c r="S26" s="17" t="str">
        <f>INDEX(AnnotationTuberculist2017!$A$2:$A$4034,MATCH('Regulatory overview'!R26,AnnotationTuberculist2017!$B$2:$B$4034,0))</f>
        <v>alkB</v>
      </c>
    </row>
    <row r="27" spans="1:19">
      <c r="A27" s="17" t="s">
        <v>168</v>
      </c>
      <c r="B27" s="18" t="str">
        <f>INDEX(AnnotationTuberculist2017!$A$2:$A$4034,MATCH('Regulatory overview'!A27,AnnotationTuberculist2017!$B$2:$B$4034,0))</f>
        <v>irtB</v>
      </c>
      <c r="C27" s="17" t="s">
        <v>54</v>
      </c>
      <c r="D27" s="18" t="str">
        <f>INDEX(AnnotationTuberculist2017!$A$2:$A$4034,MATCH('Regulatory overview'!C27,AnnotationTuberculist2017!$B$2:$B$4034,0))</f>
        <v>Rv2061c</v>
      </c>
      <c r="E27" s="30" t="s">
        <v>1435</v>
      </c>
      <c r="F27" s="18" t="str">
        <f>INDEX(AnnotationTuberculist2017!$A$2:$A$4034,MATCH('Regulatory overview'!E27,AnnotationTuberculist2017!$B$2:$B$4034,0))</f>
        <v>PPE19</v>
      </c>
      <c r="I27" s="33" t="s">
        <v>194</v>
      </c>
      <c r="J27" s="18" t="str">
        <f>INDEX(AnnotationTuberculist2017!$A$2:$A$4034,MATCH('Regulatory overview'!I27,AnnotationTuberculist2017!$B$2:$B$4034,0))</f>
        <v>narK1</v>
      </c>
      <c r="K27" s="17" t="s">
        <v>195</v>
      </c>
      <c r="L27" s="18" t="str">
        <f>INDEX(AnnotationTuberculist2017!$A$2:$A$4034,MATCH('Regulatory overview'!K27,AnnotationTuberculist2017!$B$2:$B$4034,0))</f>
        <v>Rv0572c</v>
      </c>
      <c r="M27" s="33" t="s">
        <v>55</v>
      </c>
      <c r="N27" s="18" t="str">
        <f>INDEX(AnnotationTuberculist2017!$A$2:$A$4034,MATCH('Regulatory overview'!M27,AnnotationTuberculist2017!$B$2:$B$4034,0))</f>
        <v>espA</v>
      </c>
      <c r="O27" s="33" t="s">
        <v>422</v>
      </c>
      <c r="P27" s="18" t="str">
        <f>INDEX(AnnotationTuberculist2017!$A$2:$A$4034,MATCH('Regulatory overview'!O27,AnnotationTuberculist2017!$B$2:$B$4034,0))</f>
        <v>rpfA</v>
      </c>
      <c r="R27" s="23" t="s">
        <v>13</v>
      </c>
      <c r="S27" s="17" t="str">
        <f>INDEX(AnnotationTuberculist2017!$A$2:$A$4034,MATCH('Regulatory overview'!R27,AnnotationTuberculist2017!$B$2:$B$4034,0))</f>
        <v>eccA3</v>
      </c>
    </row>
    <row r="28" spans="1:19">
      <c r="A28" s="17" t="s">
        <v>267</v>
      </c>
      <c r="B28" s="18" t="str">
        <f>INDEX(AnnotationTuberculist2017!$A$2:$A$4034,MATCH('Regulatory overview'!A28,AnnotationTuberculist2017!$B$2:$B$4034,0))</f>
        <v>Rv1519</v>
      </c>
      <c r="C28" s="17" t="s">
        <v>15</v>
      </c>
      <c r="D28" s="18" t="str">
        <f>INDEX(AnnotationTuberculist2017!$A$2:$A$4034,MATCH('Regulatory overview'!C28,AnnotationTuberculist2017!$B$2:$B$4034,0))</f>
        <v>smtB</v>
      </c>
      <c r="E28" s="30" t="s">
        <v>424</v>
      </c>
      <c r="F28" s="18" t="str">
        <f>INDEX(AnnotationTuberculist2017!$A$2:$A$4034,MATCH('Regulatory overview'!E28,AnnotationTuberculist2017!$B$2:$B$4034,0))</f>
        <v>PPE20</v>
      </c>
      <c r="I28" s="33" t="s">
        <v>198</v>
      </c>
      <c r="J28" s="18" t="str">
        <f>INDEX(AnnotationTuberculist2017!$A$2:$A$4034,MATCH('Regulatory overview'!I28,AnnotationTuberculist2017!$B$2:$B$4034,0))</f>
        <v>cfp2</v>
      </c>
      <c r="K28" s="17" t="s">
        <v>199</v>
      </c>
      <c r="L28" s="18" t="str">
        <f>INDEX(AnnotationTuberculist2017!$A$2:$A$4034,MATCH('Regulatory overview'!K28,AnnotationTuberculist2017!$B$2:$B$4034,0))</f>
        <v>pncB2</v>
      </c>
      <c r="M28" s="35" t="s">
        <v>419</v>
      </c>
      <c r="O28" s="33" t="s">
        <v>2252</v>
      </c>
      <c r="P28" s="18" t="str">
        <f>INDEX(AnnotationTuberculist2017!$A$2:$A$4034,MATCH('Regulatory overview'!O28,AnnotationTuberculist2017!$B$2:$B$4034,0))</f>
        <v>serC</v>
      </c>
      <c r="R28" s="23" t="s">
        <v>446</v>
      </c>
      <c r="S28" s="17" t="str">
        <f>INDEX(AnnotationTuberculist2017!$A$2:$A$4034,MATCH('Regulatory overview'!R28,AnnotationTuberculist2017!$B$2:$B$4034,0))</f>
        <v>clgR</v>
      </c>
    </row>
    <row r="29" spans="1:19">
      <c r="A29" s="17" t="s">
        <v>175</v>
      </c>
      <c r="B29" s="18" t="str">
        <f>INDEX(AnnotationTuberculist2017!$A$2:$A$4034,MATCH('Regulatory overview'!A29,AnnotationTuberculist2017!$B$2:$B$4034,0))</f>
        <v>bfrA</v>
      </c>
      <c r="C29" s="17" t="s">
        <v>25</v>
      </c>
      <c r="D29" s="39" t="str">
        <f>INDEX(AnnotationTuberculist2017!$A$2:$A$4034,MATCH('Regulatory overview'!C29,AnnotationTuberculist2017!$B$2:$B$4034,0))</f>
        <v>zur</v>
      </c>
      <c r="E29" s="30" t="s">
        <v>13641</v>
      </c>
      <c r="F29" s="18" t="str">
        <f>INDEX(AnnotationTuberculist2017!$A$2:$A$4034,MATCH('Regulatory overview'!E29,AnnotationTuberculist2017!$B$2:$B$4034,0))</f>
        <v>Rv1719</v>
      </c>
      <c r="I29" s="33" t="s">
        <v>202</v>
      </c>
      <c r="J29" s="18" t="str">
        <f>INDEX(AnnotationTuberculist2017!$A$2:$A$4034,MATCH('Regulatory overview'!I29,AnnotationTuberculist2017!$B$2:$B$4034,0))</f>
        <v>rpfD</v>
      </c>
      <c r="K29" s="17" t="s">
        <v>203</v>
      </c>
      <c r="L29" s="18" t="str">
        <f>INDEX(AnnotationTuberculist2017!$A$2:$A$4034,MATCH('Regulatory overview'!K29,AnnotationTuberculist2017!$B$2:$B$4034,0))</f>
        <v>Rv0574c</v>
      </c>
      <c r="M29" s="33" t="s">
        <v>420</v>
      </c>
      <c r="N29" s="18" t="str">
        <f>INDEX(AnnotationTuberculist2017!$A$2:$A$4034,MATCH('Regulatory overview'!M29,AnnotationTuberculist2017!$B$2:$B$4034,0))</f>
        <v>lprQ</v>
      </c>
      <c r="O29" s="33" t="s">
        <v>2513</v>
      </c>
      <c r="P29" s="18" t="str">
        <f>INDEX(AnnotationTuberculist2017!$A$2:$A$4034,MATCH('Regulatory overview'!O29,AnnotationTuberculist2017!$B$2:$B$4034,0))</f>
        <v>Rv0885</v>
      </c>
      <c r="R29" s="23" t="s">
        <v>23</v>
      </c>
      <c r="S29" s="17" t="str">
        <f>INDEX(AnnotationTuberculist2017!$A$2:$A$4034,MATCH('Regulatory overview'!R29,AnnotationTuberculist2017!$B$2:$B$4034,0))</f>
        <v>eccB3</v>
      </c>
    </row>
    <row r="30" spans="1:19">
      <c r="A30" s="17" t="s">
        <v>181</v>
      </c>
      <c r="B30" s="18" t="str">
        <f>INDEX(AnnotationTuberculist2017!$A$2:$A$4034,MATCH('Regulatory overview'!A30,AnnotationTuberculist2017!$B$2:$B$4034,0))</f>
        <v>hisE</v>
      </c>
      <c r="C30" s="17" t="s">
        <v>148</v>
      </c>
      <c r="D30" s="18" t="str">
        <f>INDEX(AnnotationTuberculist2017!$A$2:$A$4034,MATCH('Regulatory overview'!C30,AnnotationTuberculist2017!$B$2:$B$4034,0))</f>
        <v>Rv2990c</v>
      </c>
      <c r="E30" s="30" t="s">
        <v>149</v>
      </c>
      <c r="F30" s="18" t="str">
        <f>INDEX(AnnotationTuberculist2017!$A$2:$A$4034,MATCH('Regulatory overview'!E30,AnnotationTuberculist2017!$B$2:$B$4034,0))</f>
        <v>nrdF1</v>
      </c>
      <c r="I30" s="33" t="s">
        <v>206</v>
      </c>
      <c r="J30" s="18" t="str">
        <f>INDEX(AnnotationTuberculist2017!$A$2:$A$4034,MATCH('Regulatory overview'!I30,AnnotationTuberculist2017!$B$2:$B$4034,0))</f>
        <v>Rv2390c</v>
      </c>
      <c r="K30" s="17" t="s">
        <v>207</v>
      </c>
      <c r="L30" s="18" t="str">
        <f>INDEX(AnnotationTuberculist2017!$A$2:$A$4034,MATCH('Regulatory overview'!K30,AnnotationTuberculist2017!$B$2:$B$4034,0))</f>
        <v>Rv0634c</v>
      </c>
      <c r="M30" s="33" t="s">
        <v>422</v>
      </c>
      <c r="N30" s="18" t="str">
        <f>INDEX(AnnotationTuberculist2017!$A$2:$A$4034,MATCH('Regulatory overview'!M30,AnnotationTuberculist2017!$B$2:$B$4034,0))</f>
        <v>rpfA</v>
      </c>
      <c r="O30" s="33" t="s">
        <v>2222</v>
      </c>
      <c r="P30" s="18" t="str">
        <f>INDEX(AnnotationTuberculist2017!$A$2:$A$4034,MATCH('Regulatory overview'!O30,AnnotationTuberculist2017!$B$2:$B$4034,0))</f>
        <v>accD3</v>
      </c>
      <c r="R30" s="23" t="s">
        <v>447</v>
      </c>
      <c r="S30" s="17" t="str">
        <f>INDEX(AnnotationTuberculist2017!$A$2:$A$4034,MATCH('Regulatory overview'!R30,AnnotationTuberculist2017!$B$2:$B$4034,0))</f>
        <v>argB</v>
      </c>
    </row>
    <row r="31" spans="1:19">
      <c r="A31" s="17" t="s">
        <v>187</v>
      </c>
      <c r="B31" s="18" t="str">
        <f>INDEX(AnnotationTuberculist2017!$A$2:$A$4034,MATCH('Regulatory overview'!A31,AnnotationTuberculist2017!$B$2:$B$4034,0))</f>
        <v>PPE37</v>
      </c>
      <c r="C31" s="17" t="s">
        <v>155</v>
      </c>
      <c r="D31" s="18" t="str">
        <f>INDEX(AnnotationTuberculist2017!$A$2:$A$4034,MATCH('Regulatory overview'!C31,AnnotationTuberculist2017!$B$2:$B$4034,0))</f>
        <v>esxQ</v>
      </c>
      <c r="E31" s="30" t="s">
        <v>64</v>
      </c>
      <c r="F31" s="18" t="str">
        <f>INDEX(AnnotationTuberculist2017!$A$2:$A$4034,MATCH('Regulatory overview'!E31,AnnotationTuberculist2017!$B$2:$B$4034,0))</f>
        <v>rpsR2</v>
      </c>
      <c r="I31" s="33" t="s">
        <v>211</v>
      </c>
      <c r="J31" s="18" t="str">
        <f>INDEX(AnnotationTuberculist2017!$A$2:$A$4034,MATCH('Regulatory overview'!I31,AnnotationTuberculist2017!$B$2:$B$4034,0))</f>
        <v>sirA</v>
      </c>
      <c r="K31" s="17" t="s">
        <v>212</v>
      </c>
      <c r="L31" s="18" t="str">
        <f>INDEX(AnnotationTuberculist2017!$A$2:$A$4034,MATCH('Regulatory overview'!K31,AnnotationTuberculist2017!$B$2:$B$4034,0))</f>
        <v>Rv0907</v>
      </c>
      <c r="M31" s="33" t="s">
        <v>424</v>
      </c>
      <c r="N31" s="18" t="str">
        <f>INDEX(AnnotationTuberculist2017!$A$2:$A$4034,MATCH('Regulatory overview'!M31,AnnotationTuberculist2017!$B$2:$B$4034,0))</f>
        <v>PPE20</v>
      </c>
      <c r="O31" s="33" t="s">
        <v>2528</v>
      </c>
      <c r="P31" s="18" t="str">
        <f>INDEX(AnnotationTuberculist2017!$A$2:$A$4034,MATCH('Regulatory overview'!O31,AnnotationTuberculist2017!$B$2:$B$4034,0))</f>
        <v>echA6</v>
      </c>
      <c r="R31" s="23" t="s">
        <v>161</v>
      </c>
      <c r="S31" s="17" t="str">
        <f>INDEX(AnnotationTuberculist2017!$A$2:$A$4034,MATCH('Regulatory overview'!R31,AnnotationTuberculist2017!$B$2:$B$4034,0))</f>
        <v>irtA</v>
      </c>
    </row>
    <row r="32" spans="1:19">
      <c r="A32" s="17" t="s">
        <v>222</v>
      </c>
      <c r="B32" s="18" t="str">
        <f>INDEX(AnnotationTuberculist2017!$A$2:$A$4034,MATCH('Regulatory overview'!A32,AnnotationTuberculist2017!$B$2:$B$4034,0))</f>
        <v>mbtH</v>
      </c>
      <c r="C32" s="17" t="s">
        <v>163</v>
      </c>
      <c r="D32" s="18" t="str">
        <f>INDEX(AnnotationTuberculist2017!$A$2:$A$4034,MATCH('Regulatory overview'!C32,AnnotationTuberculist2017!$B$2:$B$4034,0))</f>
        <v>esxR</v>
      </c>
      <c r="E32" s="30" t="s">
        <v>76</v>
      </c>
      <c r="F32" s="18" t="str">
        <f>INDEX(AnnotationTuberculist2017!$A$2:$A$4034,MATCH('Regulatory overview'!E32,AnnotationTuberculist2017!$B$2:$B$4034,0))</f>
        <v>rpsN2</v>
      </c>
      <c r="I32" s="33" t="s">
        <v>216</v>
      </c>
      <c r="J32" s="18" t="str">
        <f>INDEX(AnnotationTuberculist2017!$A$2:$A$4034,MATCH('Regulatory overview'!I32,AnnotationTuberculist2017!$B$2:$B$4034,0))</f>
        <v>cysH</v>
      </c>
      <c r="K32" s="17" t="s">
        <v>217</v>
      </c>
      <c r="L32" s="18" t="str">
        <f>INDEX(AnnotationTuberculist2017!$A$2:$A$4034,MATCH('Regulatory overview'!K32,AnnotationTuberculist2017!$B$2:$B$4034,0))</f>
        <v>Rv1065</v>
      </c>
      <c r="M32" s="33" t="s">
        <v>425</v>
      </c>
      <c r="N32" s="18" t="str">
        <f>INDEX(AnnotationTuberculist2017!$A$2:$A$4034,MATCH('Regulatory overview'!M32,AnnotationTuberculist2017!$B$2:$B$4034,0))</f>
        <v>Rv1592c</v>
      </c>
      <c r="O32" s="33" t="s">
        <v>2704</v>
      </c>
      <c r="P32" s="18" t="str">
        <f>INDEX(AnnotationTuberculist2017!$A$2:$A$4034,MATCH('Regulatory overview'!O32,AnnotationTuberculist2017!$B$2:$B$4034,0))</f>
        <v>Rv0906</v>
      </c>
      <c r="R32" s="23" t="s">
        <v>52</v>
      </c>
      <c r="S32" s="17" t="str">
        <f>INDEX(AnnotationTuberculist2017!$A$2:$A$4034,MATCH('Regulatory overview'!R32,AnnotationTuberculist2017!$B$2:$B$4034,0))</f>
        <v>PPE4</v>
      </c>
    </row>
    <row r="33" spans="1:19">
      <c r="A33" s="17" t="s">
        <v>218</v>
      </c>
      <c r="B33" s="18" t="str">
        <f>INDEX(AnnotationTuberculist2017!$A$2:$A$4034,MATCH('Regulatory overview'!A33,AnnotationTuberculist2017!$B$2:$B$4034,0))</f>
        <v>mbtG</v>
      </c>
      <c r="C33" s="17" t="s">
        <v>170</v>
      </c>
      <c r="D33" s="18" t="str">
        <f>INDEX(AnnotationTuberculist2017!$A$2:$A$4034,MATCH('Regulatory overview'!C33,AnnotationTuberculist2017!$B$2:$B$4034,0))</f>
        <v>esxS</v>
      </c>
      <c r="E33" s="30" t="s">
        <v>84</v>
      </c>
      <c r="F33" s="18" t="str">
        <f>INDEX(AnnotationTuberculist2017!$A$2:$A$4034,MATCH('Regulatory overview'!E33,AnnotationTuberculist2017!$B$2:$B$4034,0))</f>
        <v>rpmG1</v>
      </c>
      <c r="I33" s="33" t="s">
        <v>220</v>
      </c>
      <c r="J33" s="18" t="str">
        <f>INDEX(AnnotationTuberculist2017!$A$2:$A$4034,MATCH('Regulatory overview'!I33,AnnotationTuberculist2017!$B$2:$B$4034,0))</f>
        <v>che1</v>
      </c>
      <c r="K33" s="17" t="s">
        <v>221</v>
      </c>
      <c r="L33" s="18" t="str">
        <f>INDEX(AnnotationTuberculist2017!$A$2:$A$4034,MATCH('Regulatory overview'!K33,AnnotationTuberculist2017!$B$2:$B$4034,0))</f>
        <v>Rv1367c</v>
      </c>
      <c r="M33" s="33" t="s">
        <v>426</v>
      </c>
      <c r="N33" s="18" t="str">
        <f>INDEX(AnnotationTuberculist2017!$A$2:$A$4034,MATCH('Regulatory overview'!M33,AnnotationTuberculist2017!$B$2:$B$4034,0))</f>
        <v>ahpC</v>
      </c>
      <c r="O33" s="33" t="s">
        <v>212</v>
      </c>
      <c r="P33" s="18" t="str">
        <f>INDEX(AnnotationTuberculist2017!$A$2:$A$4034,MATCH('Regulatory overview'!O33,AnnotationTuberculist2017!$B$2:$B$4034,0))</f>
        <v>Rv0907</v>
      </c>
      <c r="R33" s="23" t="s">
        <v>327</v>
      </c>
      <c r="S33" s="17" t="str">
        <f>INDEX(AnnotationTuberculist2017!$A$2:$A$4034,MATCH('Regulatory overview'!R33,AnnotationTuberculist2017!$B$2:$B$4034,0))</f>
        <v>Rv3197</v>
      </c>
    </row>
    <row r="34" spans="1:19">
      <c r="A34" s="17" t="s">
        <v>449</v>
      </c>
      <c r="B34" s="18" t="str">
        <f>INDEX(AnnotationTuberculist2017!$A$2:$A$4034,MATCH('Regulatory overview'!A34,AnnotationTuberculist2017!$B$2:$B$4034,0))</f>
        <v>mbtF</v>
      </c>
      <c r="C34" s="17" t="s">
        <v>177</v>
      </c>
      <c r="D34" s="18" t="str">
        <f>INDEX(AnnotationTuberculist2017!$A$2:$A$4034,MATCH('Regulatory overview'!C34,AnnotationTuberculist2017!$B$2:$B$4034,0))</f>
        <v>PPE48</v>
      </c>
      <c r="E34" s="30" t="s">
        <v>93</v>
      </c>
      <c r="F34" s="18" t="str">
        <f>INDEX(AnnotationTuberculist2017!$A$2:$A$4034,MATCH('Regulatory overview'!E34,AnnotationTuberculist2017!$B$2:$B$4034,0))</f>
        <v>rpmB2</v>
      </c>
      <c r="I34" s="33" t="s">
        <v>225</v>
      </c>
      <c r="J34" s="18" t="str">
        <f>INDEX(AnnotationTuberculist2017!$A$2:$A$4034,MATCH('Regulatory overview'!I34,AnnotationTuberculist2017!$B$2:$B$4034,0))</f>
        <v>PE_PGRS41</v>
      </c>
      <c r="K34" s="17" t="s">
        <v>226</v>
      </c>
      <c r="L34" s="18" t="str">
        <f>INDEX(AnnotationTuberculist2017!$A$2:$A$4034,MATCH('Regulatory overview'!K34,AnnotationTuberculist2017!$B$2:$B$4034,0))</f>
        <v>Rv1405c</v>
      </c>
      <c r="M34" s="33" t="s">
        <v>17</v>
      </c>
      <c r="N34" s="18" t="str">
        <f>INDEX(AnnotationTuberculist2017!$A$2:$A$4034,MATCH('Regulatory overview'!M34,AnnotationTuberculist2017!$B$2:$B$4034,0))</f>
        <v>fadD26</v>
      </c>
      <c r="O34" s="33" t="s">
        <v>2234</v>
      </c>
      <c r="P34" s="18" t="str">
        <f>INDEX(AnnotationTuberculist2017!$A$2:$A$4034,MATCH('Regulatory overview'!O34,AnnotationTuberculist2017!$B$2:$B$4034,0))</f>
        <v>ctpE</v>
      </c>
      <c r="R34" s="23" t="s">
        <v>448</v>
      </c>
      <c r="S34" s="17" t="str">
        <f>INDEX(AnnotationTuberculist2017!$A$2:$A$4034,MATCH('Regulatory overview'!R34,AnnotationTuberculist2017!$B$2:$B$4034,0))</f>
        <v>dnaK</v>
      </c>
    </row>
    <row r="35" spans="1:19">
      <c r="A35" s="17" t="s">
        <v>208</v>
      </c>
      <c r="B35" s="18" t="str">
        <f>INDEX(AnnotationTuberculist2017!$A$2:$A$4034,MATCH('Regulatory overview'!A35,AnnotationTuberculist2017!$B$2:$B$4034,0))</f>
        <v>mbtE</v>
      </c>
      <c r="C35" s="17" t="s">
        <v>182</v>
      </c>
      <c r="D35" s="18" t="str">
        <f>INDEX(AnnotationTuberculist2017!$A$2:$A$4034,MATCH('Regulatory overview'!C35,AnnotationTuberculist2017!$B$2:$B$4034,0))</f>
        <v>desA3</v>
      </c>
      <c r="E35" s="30" t="s">
        <v>36</v>
      </c>
      <c r="F35" s="18" t="str">
        <f>INDEX(AnnotationTuberculist2017!$A$2:$A$4034,MATCH('Regulatory overview'!E35,AnnotationTuberculist2017!$B$2:$B$4034,0))</f>
        <v>Rv2059</v>
      </c>
      <c r="I35" s="33" t="s">
        <v>230</v>
      </c>
      <c r="J35" s="18" t="str">
        <f>INDEX(AnnotationTuberculist2017!$A$2:$A$4034,MATCH('Regulatory overview'!I35,AnnotationTuberculist2017!$B$2:$B$4034,0))</f>
        <v>fas</v>
      </c>
      <c r="K35" s="17" t="s">
        <v>231</v>
      </c>
      <c r="L35" s="18" t="str">
        <f>INDEX(AnnotationTuberculist2017!$A$2:$A$4034,MATCH('Regulatory overview'!K35,AnnotationTuberculist2017!$B$2:$B$4034,0))</f>
        <v>Rv1733c</v>
      </c>
      <c r="M35" s="33" t="s">
        <v>289</v>
      </c>
      <c r="N35" s="18" t="str">
        <f>INDEX(AnnotationTuberculist2017!$A$2:$A$4034,MATCH('Regulatory overview'!M35,AnnotationTuberculist2017!$B$2:$B$4034,0))</f>
        <v>PPE51</v>
      </c>
      <c r="O35" s="33" t="s">
        <v>1853</v>
      </c>
      <c r="P35" s="18" t="str">
        <f>INDEX(AnnotationTuberculist2017!$A$2:$A$4034,MATCH('Regulatory overview'!O35,AnnotationTuberculist2017!$B$2:$B$4034,0))</f>
        <v>Rv0950c</v>
      </c>
      <c r="R35" s="23" t="s">
        <v>449</v>
      </c>
      <c r="S35" s="17" t="str">
        <f>INDEX(AnnotationTuberculist2017!$A$2:$A$4034,MATCH('Regulatory overview'!R35,AnnotationTuberculist2017!$B$2:$B$4034,0))</f>
        <v>mbtF</v>
      </c>
    </row>
    <row r="36" spans="1:19">
      <c r="A36" s="17" t="s">
        <v>204</v>
      </c>
      <c r="B36" s="18" t="str">
        <f>INDEX(AnnotationTuberculist2017!$A$2:$A$4034,MATCH('Regulatory overview'!A36,AnnotationTuberculist2017!$B$2:$B$4034,0))</f>
        <v>mbtD</v>
      </c>
      <c r="C36" s="17" t="s">
        <v>114</v>
      </c>
      <c r="D36" s="18" t="str">
        <f>INDEX(AnnotationTuberculist2017!$A$2:$A$4034,MATCH('Regulatory overview'!C36,AnnotationTuberculist2017!$B$2:$B$4034,0))</f>
        <v>Rv3612c</v>
      </c>
      <c r="E36" s="30" t="s">
        <v>15781</v>
      </c>
      <c r="F36" s="18" t="str">
        <f>INDEX(AnnotationTuberculist2017!$A$2:$A$4034,MATCH('Regulatory overview'!E36,AnnotationTuberculist2017!$B$2:$B$4034,0))</f>
        <v>Rv2645</v>
      </c>
      <c r="I36" s="33" t="s">
        <v>235</v>
      </c>
      <c r="J36" s="18" t="str">
        <f>INDEX(AnnotationTuberculist2017!$A$2:$A$4034,MATCH('Regulatory overview'!I36,AnnotationTuberculist2017!$B$2:$B$4034,0))</f>
        <v>fadD9</v>
      </c>
      <c r="K36" s="17" t="s">
        <v>236</v>
      </c>
      <c r="L36" s="18" t="str">
        <f>INDEX(AnnotationTuberculist2017!$A$2:$A$4034,MATCH('Regulatory overview'!K36,AnnotationTuberculist2017!$B$2:$B$4034,0))</f>
        <v>narX</v>
      </c>
      <c r="M36" s="33" t="s">
        <v>429</v>
      </c>
      <c r="N36" s="39" t="str">
        <f>INDEX(AnnotationTuberculist2017!$A$2:$A$4034,MATCH('Regulatory overview'!M36,AnnotationTuberculist2017!$B$2:$B$4034,0))</f>
        <v>whiB1</v>
      </c>
      <c r="O36" s="33" t="s">
        <v>2162</v>
      </c>
      <c r="P36" s="18" t="str">
        <f>INDEX(AnnotationTuberculist2017!$A$2:$A$4034,MATCH('Regulatory overview'!O36,AnnotationTuberculist2017!$B$2:$B$4034,0))</f>
        <v>sucC</v>
      </c>
      <c r="R36" s="23" t="s">
        <v>450</v>
      </c>
      <c r="S36" s="17" t="str">
        <f>INDEX(AnnotationTuberculist2017!$A$2:$A$4034,MATCH('Regulatory overview'!R36,AnnotationTuberculist2017!$B$2:$B$4034,0))</f>
        <v>Rv2791c</v>
      </c>
    </row>
    <row r="37" spans="1:19">
      <c r="A37" s="17" t="s">
        <v>200</v>
      </c>
      <c r="B37" s="18" t="str">
        <f>INDEX(AnnotationTuberculist2017!$A$2:$A$4034,MATCH('Regulatory overview'!A37,AnnotationTuberculist2017!$B$2:$B$4034,0))</f>
        <v>mbtC</v>
      </c>
      <c r="E37" s="30" t="s">
        <v>2544</v>
      </c>
      <c r="F37" s="18" t="str">
        <f>INDEX(AnnotationTuberculist2017!$A$2:$A$4034,MATCH('Regulatory overview'!E37,AnnotationTuberculist2017!$B$2:$B$4034,0))</f>
        <v>ppsC</v>
      </c>
      <c r="I37" s="33" t="s">
        <v>239</v>
      </c>
      <c r="J37" s="18" t="str">
        <f>INDEX(AnnotationTuberculist2017!$A$2:$A$4034,MATCH('Regulatory overview'!I37,AnnotationTuberculist2017!$B$2:$B$4034,0))</f>
        <v>Rv2621c</v>
      </c>
      <c r="K37" s="17" t="s">
        <v>240</v>
      </c>
      <c r="L37" s="18" t="str">
        <f>INDEX(AnnotationTuberculist2017!$A$2:$A$4034,MATCH('Regulatory overview'!K37,AnnotationTuberculist2017!$B$2:$B$4034,0))</f>
        <v>narK2</v>
      </c>
      <c r="M37" s="33"/>
      <c r="O37" s="33" t="s">
        <v>1922</v>
      </c>
      <c r="P37" s="18" t="str">
        <f>INDEX(AnnotationTuberculist2017!$A$2:$A$4034,MATCH('Regulatory overview'!O37,AnnotationTuberculist2017!$B$2:$B$4034,0))</f>
        <v>sucD</v>
      </c>
      <c r="R37" s="23" t="s">
        <v>34</v>
      </c>
      <c r="S37" s="17" t="str">
        <f>INDEX(AnnotationTuberculist2017!$A$2:$A$4034,MATCH('Regulatory overview'!R37,AnnotationTuberculist2017!$B$2:$B$4034,0))</f>
        <v>eccC3</v>
      </c>
    </row>
    <row r="38" spans="1:19">
      <c r="A38" s="17" t="s">
        <v>196</v>
      </c>
      <c r="B38" s="18" t="str">
        <f>INDEX(AnnotationTuberculist2017!$A$2:$A$4034,MATCH('Regulatory overview'!A38,AnnotationTuberculist2017!$B$2:$B$4034,0))</f>
        <v>mbtB</v>
      </c>
      <c r="E38" s="30" t="s">
        <v>148</v>
      </c>
      <c r="F38" s="18" t="str">
        <f>INDEX(AnnotationTuberculist2017!$A$2:$A$4034,MATCH('Regulatory overview'!E38,AnnotationTuberculist2017!$B$2:$B$4034,0))</f>
        <v>Rv2990c</v>
      </c>
      <c r="I38" s="33" t="s">
        <v>242</v>
      </c>
      <c r="J38" s="18" t="str">
        <f>INDEX(AnnotationTuberculist2017!$A$2:$A$4034,MATCH('Regulatory overview'!I38,AnnotationTuberculist2017!$B$2:$B$4034,0))</f>
        <v>Rv2628</v>
      </c>
      <c r="K38" s="17" t="s">
        <v>243</v>
      </c>
      <c r="L38" s="18" t="str">
        <f>INDEX(AnnotationTuberculist2017!$A$2:$A$4034,MATCH('Regulatory overview'!K38,AnnotationTuberculist2017!$B$2:$B$4034,0))</f>
        <v>Rv1738</v>
      </c>
      <c r="M38" s="34" t="s">
        <v>410</v>
      </c>
      <c r="O38" s="33" t="s">
        <v>2211</v>
      </c>
      <c r="P38" s="18" t="str">
        <f>INDEX(AnnotationTuberculist2017!$A$2:$A$4034,MATCH('Regulatory overview'!O38,AnnotationTuberculist2017!$B$2:$B$4034,0))</f>
        <v>Rv0992c</v>
      </c>
      <c r="R38" s="23" t="s">
        <v>451</v>
      </c>
      <c r="S38" s="17" t="str">
        <f>INDEX(AnnotationTuberculist2017!$A$2:$A$4034,MATCH('Regulatory overview'!R38,AnnotationTuberculist2017!$B$2:$B$4034,0))</f>
        <v>fadB</v>
      </c>
    </row>
    <row r="39" spans="1:19">
      <c r="A39" s="17" t="s">
        <v>191</v>
      </c>
      <c r="B39" s="18" t="str">
        <f>INDEX(AnnotationTuberculist2017!$A$2:$A$4034,MATCH('Regulatory overview'!A39,AnnotationTuberculist2017!$B$2:$B$4034,0))</f>
        <v>mbtA</v>
      </c>
      <c r="C39" s="20" t="s">
        <v>246</v>
      </c>
      <c r="D39" s="20" t="s">
        <v>20203</v>
      </c>
      <c r="E39" s="30" t="s">
        <v>163</v>
      </c>
      <c r="F39" s="18" t="str">
        <f>INDEX(AnnotationTuberculist2017!$A$2:$A$4034,MATCH('Regulatory overview'!E39,AnnotationTuberculist2017!$B$2:$B$4034,0))</f>
        <v>esxR</v>
      </c>
      <c r="I39" s="33" t="s">
        <v>247</v>
      </c>
      <c r="J39" s="18" t="str">
        <f>INDEX(AnnotationTuberculist2017!$A$2:$A$4034,MATCH('Regulatory overview'!I39,AnnotationTuberculist2017!$B$2:$B$4034,0))</f>
        <v>Rv2630</v>
      </c>
      <c r="K39" s="17" t="s">
        <v>172</v>
      </c>
      <c r="L39" s="18" t="str">
        <f>INDEX(AnnotationTuberculist2017!$A$2:$A$4034,MATCH('Regulatory overview'!K39,AnnotationTuberculist2017!$B$2:$B$4034,0))</f>
        <v>Rv1812c</v>
      </c>
      <c r="M39" s="33" t="s">
        <v>9537</v>
      </c>
      <c r="O39" s="33" t="s">
        <v>1769</v>
      </c>
      <c r="P39" s="18" t="str">
        <f>INDEX(AnnotationTuberculist2017!$A$2:$A$4034,MATCH('Regulatory overview'!O39,AnnotationTuberculist2017!$B$2:$B$4034,0))</f>
        <v>galU</v>
      </c>
      <c r="R39" s="23" t="s">
        <v>452</v>
      </c>
      <c r="S39" s="17" t="str">
        <f>INDEX(AnnotationTuberculist2017!$A$2:$A$4034,MATCH('Regulatory overview'!R39,AnnotationTuberculist2017!$B$2:$B$4034,0))</f>
        <v>fadE5</v>
      </c>
    </row>
    <row r="40" spans="1:19">
      <c r="A40" s="17" t="s">
        <v>232</v>
      </c>
      <c r="B40" s="18" t="str">
        <f>INDEX(AnnotationTuberculist2017!$A$2:$A$4034,MATCH('Regulatory overview'!A40,AnnotationTuberculist2017!$B$2:$B$4034,0))</f>
        <v>mbtJ</v>
      </c>
      <c r="C40" s="21" t="s">
        <v>250</v>
      </c>
      <c r="E40" s="30" t="s">
        <v>170</v>
      </c>
      <c r="F40" s="18" t="str">
        <f>INDEX(AnnotationTuberculist2017!$A$2:$A$4034,MATCH('Regulatory overview'!E40,AnnotationTuberculist2017!$B$2:$B$4034,0))</f>
        <v>esxS</v>
      </c>
      <c r="I40" s="33" t="s">
        <v>251</v>
      </c>
      <c r="J40" s="18" t="str">
        <f>INDEX(AnnotationTuberculist2017!$A$2:$A$4034,MATCH('Regulatory overview'!I40,AnnotationTuberculist2017!$B$2:$B$4034,0))</f>
        <v>cadI</v>
      </c>
      <c r="K40" s="17" t="s">
        <v>252</v>
      </c>
      <c r="L40" s="18" t="str">
        <f>INDEX(AnnotationTuberculist2017!$A$2:$A$4034,MATCH('Regulatory overview'!K40,AnnotationTuberculist2017!$B$2:$B$4034,0))</f>
        <v>Rv1813c</v>
      </c>
      <c r="M40" s="33" t="s">
        <v>48</v>
      </c>
      <c r="N40" s="18" t="str">
        <f>INDEX(AnnotationTuberculist2017!$A$2:$A$4034,MATCH('Regulatory overview'!M40,AnnotationTuberculist2017!$B$2:$B$4034,0))</f>
        <v>groEL2</v>
      </c>
      <c r="O40" s="33" t="s">
        <v>550</v>
      </c>
      <c r="P40" s="18" t="str">
        <f>INDEX(AnnotationTuberculist2017!$A$2:$A$4034,MATCH('Regulatory overview'!O40,AnnotationTuberculist2017!$B$2:$B$4034,0))</f>
        <v>Rv0996</v>
      </c>
      <c r="R40" s="23" t="s">
        <v>453</v>
      </c>
      <c r="S40" s="17" t="str">
        <f>INDEX(AnnotationTuberculist2017!$A$2:$A$4034,MATCH('Regulatory overview'!R40,AnnotationTuberculist2017!$B$2:$B$4034,0))</f>
        <v>Rv2585c</v>
      </c>
    </row>
    <row r="41" spans="1:19">
      <c r="A41" s="17" t="s">
        <v>227</v>
      </c>
      <c r="B41" s="18" t="str">
        <f>INDEX(AnnotationTuberculist2017!$A$2:$A$4034,MATCH('Regulatory overview'!A41,AnnotationTuberculist2017!$B$2:$B$4034,0))</f>
        <v>mbtI</v>
      </c>
      <c r="C41" s="17" t="s">
        <v>255</v>
      </c>
      <c r="D41" s="18" t="str">
        <f>INDEX(AnnotationTuberculist2017!$A$2:$A$4034,MATCH('Regulatory overview'!C41,AnnotationTuberculist2017!$B$2:$B$4034,0))</f>
        <v>katG</v>
      </c>
      <c r="E41" s="30" t="s">
        <v>1143</v>
      </c>
      <c r="F41" s="18" t="str">
        <f>INDEX(AnnotationTuberculist2017!$A$2:$A$4034,MATCH('Regulatory overview'!E41,AnnotationTuberculist2017!$B$2:$B$4034,0))</f>
        <v>fadE22</v>
      </c>
      <c r="I41" s="33" t="s">
        <v>257</v>
      </c>
      <c r="J41" s="18" t="str">
        <f>INDEX(AnnotationTuberculist2017!$A$2:$A$4034,MATCH('Regulatory overview'!I41,AnnotationTuberculist2017!$B$2:$B$4034,0))</f>
        <v>Rv2642</v>
      </c>
      <c r="K41" s="17" t="s">
        <v>258</v>
      </c>
      <c r="L41" s="18" t="str">
        <f>INDEX(AnnotationTuberculist2017!$A$2:$A$4034,MATCH('Regulatory overview'!K41,AnnotationTuberculist2017!$B$2:$B$4034,0))</f>
        <v>PE_PGRS33</v>
      </c>
      <c r="M41" s="33" t="s">
        <v>1844</v>
      </c>
      <c r="N41" s="18" t="str">
        <f>INDEX(AnnotationTuberculist2017!$A$2:$A$4034,MATCH('Regulatory overview'!M41,AnnotationTuberculist2017!$B$2:$B$4034,0))</f>
        <v>mdh</v>
      </c>
      <c r="O41" s="36" t="s">
        <v>3046</v>
      </c>
      <c r="P41" s="37" t="str">
        <f>INDEX(AnnotationTuberculist2017!$A$2:$A$4034,MATCH('Regulatory overview'!O41,AnnotationTuberculist2017!$B$2:$B$4034,0))</f>
        <v>coaA</v>
      </c>
      <c r="R41" s="23" t="s">
        <v>454</v>
      </c>
      <c r="S41" s="17" t="str">
        <f>INDEX(AnnotationTuberculist2017!$A$2:$A$4034,MATCH('Regulatory overview'!R41,AnnotationTuberculist2017!$B$2:$B$4034,0))</f>
        <v>pks1</v>
      </c>
    </row>
    <row r="42" spans="1:19">
      <c r="A42" s="17" t="s">
        <v>238</v>
      </c>
      <c r="B42" s="18" t="str">
        <f>INDEX(AnnotationTuberculist2017!$A$2:$A$4034,MATCH('Regulatory overview'!A42,AnnotationTuberculist2017!$B$2:$B$4034,0))</f>
        <v>Rv3402c</v>
      </c>
      <c r="C42" s="17" t="s">
        <v>262</v>
      </c>
      <c r="D42" s="18" t="str">
        <f>INDEX(AnnotationTuberculist2017!$A$2:$A$4034,MATCH('Regulatory overview'!C42,AnnotationTuberculist2017!$B$2:$B$4034,0))</f>
        <v>furA</v>
      </c>
      <c r="E42" s="30" t="s">
        <v>2102</v>
      </c>
      <c r="F42" s="18" t="str">
        <f>INDEX(AnnotationTuberculist2017!$A$2:$A$4034,MATCH('Regulatory overview'!E42,AnnotationTuberculist2017!$B$2:$B$4034,0))</f>
        <v>Rv3092c</v>
      </c>
      <c r="I42" s="33" t="s">
        <v>265</v>
      </c>
      <c r="J42" s="18" t="str">
        <f>INDEX(AnnotationTuberculist2017!$A$2:$A$4034,MATCH('Regulatory overview'!I42,AnnotationTuberculist2017!$B$2:$B$4034,0))</f>
        <v>35kd_ag</v>
      </c>
      <c r="K42" s="17" t="s">
        <v>266</v>
      </c>
      <c r="L42" s="18" t="str">
        <f>INDEX(AnnotationTuberculist2017!$A$2:$A$4034,MATCH('Regulatory overview'!K42,AnnotationTuberculist2017!$B$2:$B$4034,0))</f>
        <v>Rv1977</v>
      </c>
      <c r="M42" s="33" t="s">
        <v>408</v>
      </c>
      <c r="N42" s="18" t="str">
        <f>INDEX(AnnotationTuberculist2017!$A$2:$A$4034,MATCH('Regulatory overview'!M42,AnnotationTuberculist2017!$B$2:$B$4034,0))</f>
        <v>Rv1265</v>
      </c>
      <c r="O42" s="33" t="s">
        <v>1433</v>
      </c>
      <c r="P42" s="18" t="str">
        <f>INDEX(AnnotationTuberculist2017!$A$2:$A$4034,MATCH('Regulatory overview'!O42,AnnotationTuberculist2017!$B$2:$B$4034,0))</f>
        <v>Rv1158c</v>
      </c>
      <c r="R42" s="23" t="s">
        <v>455</v>
      </c>
      <c r="S42" s="17" t="str">
        <f>INDEX(AnnotationTuberculist2017!$A$2:$A$4034,MATCH('Regulatory overview'!R42,AnnotationTuberculist2017!$B$2:$B$4034,0))</f>
        <v>ppsE</v>
      </c>
    </row>
    <row r="43" spans="1:19">
      <c r="A43" s="17" t="s">
        <v>238</v>
      </c>
      <c r="B43" s="18" t="str">
        <f>INDEX(AnnotationTuberculist2017!$A$2:$A$4034,MATCH('Regulatory overview'!A43,AnnotationTuberculist2017!$B$2:$B$4034,0))</f>
        <v>Rv3402c</v>
      </c>
      <c r="E43" s="30" t="s">
        <v>1830</v>
      </c>
      <c r="F43" s="18" t="str">
        <f>INDEX(AnnotationTuberculist2017!$A$2:$A$4034,MATCH('Regulatory overview'!E43,AnnotationTuberculist2017!$B$2:$B$4034,0))</f>
        <v>Rv3094c</v>
      </c>
      <c r="I43" s="33" t="s">
        <v>269</v>
      </c>
      <c r="J43" s="18" t="str">
        <f>INDEX(AnnotationTuberculist2017!$A$2:$A$4034,MATCH('Regulatory overview'!I43,AnnotationTuberculist2017!$B$2:$B$4034,0))</f>
        <v>ald</v>
      </c>
      <c r="K43" s="17" t="s">
        <v>270</v>
      </c>
      <c r="L43" s="18" t="str">
        <f>INDEX(AnnotationTuberculist2017!$A$2:$A$4034,MATCH('Regulatory overview'!K43,AnnotationTuberculist2017!$B$2:$B$4034,0))</f>
        <v>ctpG</v>
      </c>
      <c r="M43" s="33"/>
      <c r="O43" s="33" t="s">
        <v>1100</v>
      </c>
      <c r="P43" s="18" t="str">
        <f>INDEX(AnnotationTuberculist2017!$A$2:$A$4034,MATCH('Regulatory overview'!O43,AnnotationTuberculist2017!$B$2:$B$4034,0))</f>
        <v>pimE</v>
      </c>
      <c r="R43" s="23" t="s">
        <v>456</v>
      </c>
      <c r="S43" s="17" t="str">
        <f>INDEX(AnnotationTuberculist2017!$A$2:$A$4034,MATCH('Regulatory overview'!R43,AnnotationTuberculist2017!$B$2:$B$4034,0))</f>
        <v>rho</v>
      </c>
    </row>
    <row r="44" spans="1:19">
      <c r="A44" s="17" t="s">
        <v>238</v>
      </c>
      <c r="B44" s="18" t="str">
        <f>INDEX(AnnotationTuberculist2017!$A$2:$A$4034,MATCH('Regulatory overview'!A44,AnnotationTuberculist2017!$B$2:$B$4034,0))</f>
        <v>Rv3402c</v>
      </c>
      <c r="E44" s="30" t="s">
        <v>3043</v>
      </c>
      <c r="F44" s="18" t="str">
        <f>INDEX(AnnotationTuberculist2017!$A$2:$A$4034,MATCH('Regulatory overview'!E44,AnnotationTuberculist2017!$B$2:$B$4034,0))</f>
        <v>Rv3095</v>
      </c>
      <c r="I44" s="33" t="s">
        <v>272</v>
      </c>
      <c r="J44" s="18" t="str">
        <f>INDEX(AnnotationTuberculist2017!$A$2:$A$4034,MATCH('Regulatory overview'!I44,AnnotationTuberculist2017!$B$2:$B$4034,0))</f>
        <v>Rv3127</v>
      </c>
      <c r="K44" s="17" t="s">
        <v>184</v>
      </c>
      <c r="L44" s="18" t="str">
        <f>INDEX(AnnotationTuberculist2017!$A$2:$A$4034,MATCH('Regulatory overview'!K44,AnnotationTuberculist2017!$B$2:$B$4034,0))</f>
        <v>Rv1996</v>
      </c>
      <c r="M44" s="33"/>
      <c r="O44" s="33" t="s">
        <v>129</v>
      </c>
      <c r="P44" s="18" t="str">
        <f>INDEX(AnnotationTuberculist2017!$A$2:$A$4034,MATCH('Regulatory overview'!O44,AnnotationTuberculist2017!$B$2:$B$4034,0))</f>
        <v>fadD21</v>
      </c>
      <c r="R44" s="23" t="s">
        <v>457</v>
      </c>
      <c r="S44" s="17" t="str">
        <f>INDEX(AnnotationTuberculist2017!$A$2:$A$4034,MATCH('Regulatory overview'!R44,AnnotationTuberculist2017!$B$2:$B$4034,0))</f>
        <v>lat</v>
      </c>
    </row>
    <row r="45" spans="1:19">
      <c r="A45" s="17" t="s">
        <v>114</v>
      </c>
      <c r="B45" s="18" t="str">
        <f>INDEX(AnnotationTuberculist2017!$A$2:$A$4034,MATCH('Regulatory overview'!A45,AnnotationTuberculist2017!$B$2:$B$4034,0))</f>
        <v>Rv3612c</v>
      </c>
      <c r="E45" s="30" t="s">
        <v>1154</v>
      </c>
      <c r="F45" s="18" t="str">
        <f>INDEX(AnnotationTuberculist2017!$A$2:$A$4034,MATCH('Regulatory overview'!E45,AnnotationTuberculist2017!$B$2:$B$4034,0))</f>
        <v>Rv3485c</v>
      </c>
      <c r="I45" s="33" t="s">
        <v>81</v>
      </c>
      <c r="J45" s="18" t="str">
        <f>INDEX(AnnotationTuberculist2017!$A$2:$A$4034,MATCH('Regulatory overview'!I45,AnnotationTuberculist2017!$B$2:$B$4034,0))</f>
        <v>Rv3129</v>
      </c>
      <c r="K45" s="17" t="s">
        <v>274</v>
      </c>
      <c r="L45" s="18" t="str">
        <f>INDEX(AnnotationTuberculist2017!$A$2:$A$4034,MATCH('Regulatory overview'!K45,AnnotationTuberculist2017!$B$2:$B$4034,0))</f>
        <v>ctpF</v>
      </c>
      <c r="M45" s="33"/>
      <c r="O45" s="33" t="s">
        <v>852</v>
      </c>
      <c r="P45" s="18" t="str">
        <f>INDEX(AnnotationTuberculist2017!$A$2:$A$4034,MATCH('Regulatory overview'!O45,AnnotationTuberculist2017!$B$2:$B$4034,0))</f>
        <v>Rv1230c</v>
      </c>
      <c r="R45" s="23" t="s">
        <v>458</v>
      </c>
      <c r="S45" s="17" t="str">
        <f>INDEX(AnnotationTuberculist2017!$A$2:$A$4034,MATCH('Regulatory overview'!R45,AnnotationTuberculist2017!$B$2:$B$4034,0))</f>
        <v>atpH</v>
      </c>
    </row>
    <row r="46" spans="1:19">
      <c r="A46" s="17" t="s">
        <v>244</v>
      </c>
      <c r="B46" s="18" t="str">
        <f>INDEX(AnnotationTuberculist2017!$A$2:$A$4034,MATCH('Regulatory overview'!A46,AnnotationTuberculist2017!$B$2:$B$4034,0))</f>
        <v>pheA</v>
      </c>
      <c r="E46" s="30" t="s">
        <v>18094</v>
      </c>
      <c r="F46" s="18" t="str">
        <f>INDEX(AnnotationTuberculist2017!$A$2:$A$4034,MATCH('Regulatory overview'!E46,AnnotationTuberculist2017!$B$2:$B$4034,0))</f>
        <v>esxW</v>
      </c>
      <c r="I46" s="33" t="s">
        <v>278</v>
      </c>
      <c r="J46" s="18" t="str">
        <f>INDEX(AnnotationTuberculist2017!$A$2:$A$4034,MATCH('Regulatory overview'!I46,AnnotationTuberculist2017!$B$2:$B$4034,0))</f>
        <v>devS</v>
      </c>
      <c r="K46" s="17" t="s">
        <v>279</v>
      </c>
      <c r="L46" s="18" t="str">
        <f>INDEX(AnnotationTuberculist2017!$A$2:$A$4034,MATCH('Regulatory overview'!K46,AnnotationTuberculist2017!$B$2:$B$4034,0))</f>
        <v>Rv2004c</v>
      </c>
      <c r="M46" s="33"/>
      <c r="O46" s="36" t="s">
        <v>12536</v>
      </c>
      <c r="P46" s="37" t="str">
        <f>INDEX(AnnotationTuberculist2017!$A$2:$A$4034,MATCH('Regulatory overview'!O46,AnnotationTuberculist2017!$B$2:$B$4034,0))</f>
        <v>cyp130</v>
      </c>
      <c r="R46" s="23" t="s">
        <v>459</v>
      </c>
      <c r="S46" s="17" t="str">
        <f>INDEX(AnnotationTuberculist2017!$A$2:$A$4034,MATCH('Regulatory overview'!R46,AnnotationTuberculist2017!$B$2:$B$4034,0))</f>
        <v>qcrB</v>
      </c>
    </row>
    <row r="47" spans="1:19">
      <c r="A47" s="17" t="s">
        <v>276</v>
      </c>
      <c r="B47" s="18" t="str">
        <f>INDEX(AnnotationTuberculist2017!$A$2:$A$4034,MATCH('Regulatory overview'!A47,AnnotationTuberculist2017!$B$2:$B$4034,0))</f>
        <v>Rv3839</v>
      </c>
      <c r="E47" s="30" t="s">
        <v>18169</v>
      </c>
      <c r="F47" s="18" t="str">
        <f>INDEX(AnnotationTuberculist2017!$A$2:$A$4034,MATCH('Regulatory overview'!E47,AnnotationTuberculist2017!$B$2:$B$4034,0))</f>
        <v>PE_PGRS61</v>
      </c>
      <c r="I47" s="33" t="s">
        <v>282</v>
      </c>
      <c r="J47" s="18" t="str">
        <f>INDEX(AnnotationTuberculist2017!$A$2:$A$4034,MATCH('Regulatory overview'!I47,AnnotationTuberculist2017!$B$2:$B$4034,0))</f>
        <v>devR</v>
      </c>
      <c r="K47" s="17" t="s">
        <v>283</v>
      </c>
      <c r="L47" s="18" t="str">
        <f>INDEX(AnnotationTuberculist2017!$A$2:$A$4034,MATCH('Regulatory overview'!K47,AnnotationTuberculist2017!$B$2:$B$4034,0))</f>
        <v>Rv2005c</v>
      </c>
      <c r="M47" s="34" t="s">
        <v>20169</v>
      </c>
      <c r="N47" s="34" t="s">
        <v>20211</v>
      </c>
      <c r="O47" s="33" t="s">
        <v>12842</v>
      </c>
      <c r="P47" s="18" t="str">
        <f>INDEX(AnnotationTuberculist2017!$A$2:$A$4034,MATCH('Regulatory overview'!O47,AnnotationTuberculist2017!$B$2:$B$4034,0))</f>
        <v>PE15</v>
      </c>
      <c r="R47" s="23" t="s">
        <v>460</v>
      </c>
      <c r="S47" s="17" t="str">
        <f>INDEX(AnnotationTuberculist2017!$A$2:$A$4034,MATCH('Regulatory overview'!R47,AnnotationTuberculist2017!$B$2:$B$4034,0))</f>
        <v>Rv3583c</v>
      </c>
    </row>
    <row r="48" spans="1:19">
      <c r="A48" s="17" t="s">
        <v>280</v>
      </c>
      <c r="B48" s="18" t="str">
        <f>INDEX(AnnotationTuberculist2017!$A$2:$A$4034,MATCH('Regulatory overview'!A48,AnnotationTuberculist2017!$B$2:$B$4034,0))</f>
        <v>Rv3840</v>
      </c>
      <c r="E48" s="30" t="s">
        <v>18182</v>
      </c>
      <c r="F48" s="18" t="str">
        <f>INDEX(AnnotationTuberculist2017!$A$2:$A$4034,MATCH('Regulatory overview'!E48,AnnotationTuberculist2017!$B$2:$B$4034,0))</f>
        <v>Rv3659c</v>
      </c>
      <c r="I48" s="33" t="s">
        <v>285</v>
      </c>
      <c r="J48" s="18" t="str">
        <f>INDEX(AnnotationTuberculist2017!$A$2:$A$4034,MATCH('Regulatory overview'!I48,AnnotationTuberculist2017!$B$2:$B$4034,0))</f>
        <v>PPE50</v>
      </c>
      <c r="K48" s="17" t="s">
        <v>286</v>
      </c>
      <c r="L48" s="18" t="str">
        <f>INDEX(AnnotationTuberculist2017!$A$2:$A$4034,MATCH('Regulatory overview'!K48,AnnotationTuberculist2017!$B$2:$B$4034,0))</f>
        <v>otsB1</v>
      </c>
      <c r="M48" s="33" t="s">
        <v>20170</v>
      </c>
      <c r="O48" s="33" t="s">
        <v>226</v>
      </c>
      <c r="P48" s="18" t="str">
        <f>INDEX(AnnotationTuberculist2017!$A$2:$A$4034,MATCH('Regulatory overview'!O48,AnnotationTuberculist2017!$B$2:$B$4034,0))</f>
        <v>Rv1405c</v>
      </c>
      <c r="R48" s="23" t="s">
        <v>461</v>
      </c>
      <c r="S48" s="17" t="str">
        <f>INDEX(AnnotationTuberculist2017!$A$2:$A$4034,MATCH('Regulatory overview'!R48,AnnotationTuberculist2017!$B$2:$B$4034,0))</f>
        <v>nuoG</v>
      </c>
    </row>
    <row r="49" spans="1:19">
      <c r="A49" s="21" t="s">
        <v>18772</v>
      </c>
      <c r="E49" s="30" t="s">
        <v>1456</v>
      </c>
      <c r="F49" s="18" t="str">
        <f>INDEX(AnnotationTuberculist2017!$A$2:$A$4034,MATCH('Regulatory overview'!E49,AnnotationTuberculist2017!$B$2:$B$4034,0))</f>
        <v>Rv3741c</v>
      </c>
      <c r="I49" s="33" t="s">
        <v>289</v>
      </c>
      <c r="J49" s="18" t="str">
        <f>INDEX(AnnotationTuberculist2017!$A$2:$A$4034,MATCH('Regulatory overview'!I49,AnnotationTuberculist2017!$B$2:$B$4034,0))</f>
        <v>PPE51</v>
      </c>
      <c r="K49" s="17" t="s">
        <v>290</v>
      </c>
      <c r="L49" s="18" t="str">
        <f>INDEX(AnnotationTuberculist2017!$A$2:$A$4034,MATCH('Regulatory overview'!K49,AnnotationTuberculist2017!$B$2:$B$4034,0))</f>
        <v>fdxA</v>
      </c>
      <c r="M49" s="33" t="s">
        <v>3163</v>
      </c>
      <c r="N49" s="18" t="str">
        <f>INDEX(AnnotationTuberculist2017!$A$2:$A$4034,MATCH('Regulatory overview'!M49,AnnotationTuberculist2017!$B$2:$B$4034,0))</f>
        <v>dnaA</v>
      </c>
      <c r="O49" s="33" t="s">
        <v>817</v>
      </c>
      <c r="P49" s="18" t="str">
        <f>INDEX(AnnotationTuberculist2017!$A$2:$A$4034,MATCH('Regulatory overview'!O49,AnnotationTuberculist2017!$B$2:$B$4034,0))</f>
        <v>fmt</v>
      </c>
      <c r="R49" s="23" t="s">
        <v>89</v>
      </c>
      <c r="S49" s="17" t="str">
        <f>INDEX(AnnotationTuberculist2017!$A$2:$A$4034,MATCH('Regulatory overview'!R49,AnnotationTuberculist2017!$B$2:$B$4034,0))</f>
        <v>bfrB</v>
      </c>
    </row>
    <row r="50" spans="1:19">
      <c r="A50" s="17" t="s">
        <v>294</v>
      </c>
      <c r="B50" s="18" t="str">
        <f>INDEX(AnnotationTuberculist2017!$A$2:$A$4034,MATCH('Regulatory overview'!A50,AnnotationTuberculist2017!$B$2:$B$4034,0))</f>
        <v>ppiA</v>
      </c>
      <c r="E50" s="30" t="s">
        <v>346</v>
      </c>
      <c r="F50" s="39" t="str">
        <f>INDEX(AnnotationTuberculist2017!$A$2:$A$4034,MATCH('Regulatory overview'!E50,AnnotationTuberculist2017!$B$2:$B$4034,0))</f>
        <v>whiB6</v>
      </c>
      <c r="I50" s="33" t="s">
        <v>292</v>
      </c>
      <c r="J50" s="18" t="str">
        <f>INDEX(AnnotationTuberculist2017!$A$2:$A$4034,MATCH('Regulatory overview'!I50,AnnotationTuberculist2017!$B$2:$B$4034,0))</f>
        <v>Rv3137</v>
      </c>
      <c r="K50" s="17" t="s">
        <v>293</v>
      </c>
      <c r="L50" s="18" t="str">
        <f>INDEX(AnnotationTuberculist2017!$A$2:$A$4034,MATCH('Regulatory overview'!K50,AnnotationTuberculist2017!$B$2:$B$4034,0))</f>
        <v>Rv2008c</v>
      </c>
      <c r="M50" s="33" t="s">
        <v>2505</v>
      </c>
      <c r="N50" s="18" t="str">
        <f>INDEX(AnnotationTuberculist2017!$A$2:$A$4034,MATCH('Regulatory overview'!M50,AnnotationTuberculist2017!$B$2:$B$4034,0))</f>
        <v>ripA</v>
      </c>
      <c r="O50" s="33" t="s">
        <v>13222</v>
      </c>
      <c r="P50" s="18" t="str">
        <f>INDEX(AnnotationTuberculist2017!$A$2:$A$4034,MATCH('Regulatory overview'!O50,AnnotationTuberculist2017!$B$2:$B$4034,0))</f>
        <v>frdA</v>
      </c>
      <c r="R50" s="23" t="s">
        <v>462</v>
      </c>
      <c r="S50" s="17" t="str">
        <f>INDEX(AnnotationTuberculist2017!$A$2:$A$4034,MATCH('Regulatory overview'!R50,AnnotationTuberculist2017!$B$2:$B$4034,0))</f>
        <v>vapB10</v>
      </c>
    </row>
    <row r="51" spans="1:19">
      <c r="A51" s="17" t="s">
        <v>299</v>
      </c>
      <c r="B51" s="18" t="str">
        <f>INDEX(AnnotationTuberculist2017!$A$2:$A$4034,MATCH('Regulatory overview'!A51,AnnotationTuberculist2017!$B$2:$B$4034,0))</f>
        <v>PPE9</v>
      </c>
      <c r="I51" s="33" t="s">
        <v>297</v>
      </c>
      <c r="J51" s="18" t="str">
        <f>INDEX(AnnotationTuberculist2017!$A$2:$A$4034,MATCH('Regulatory overview'!I51,AnnotationTuberculist2017!$B$2:$B$4034,0))</f>
        <v>fadB4</v>
      </c>
      <c r="K51" s="17" t="s">
        <v>298</v>
      </c>
      <c r="L51" s="18" t="e">
        <f>INDEX(AnnotationTuberculist2017!$A$2:$A$4034,MATCH('Regulatory overview'!K51,AnnotationTuberculist2017!$B$2:$B$4034,0))</f>
        <v>#N/A</v>
      </c>
      <c r="M51" s="33" t="s">
        <v>992</v>
      </c>
      <c r="N51" s="18" t="str">
        <f>INDEX(AnnotationTuberculist2017!$A$2:$A$4034,MATCH('Regulatory overview'!M51,AnnotationTuberculist2017!$B$2:$B$4034,0))</f>
        <v>fbpB</v>
      </c>
      <c r="O51" s="36" t="s">
        <v>630</v>
      </c>
      <c r="P51" s="37" t="str">
        <f>INDEX(AnnotationTuberculist2017!$A$2:$A$4034,MATCH('Regulatory overview'!O51,AnnotationTuberculist2017!$B$2:$B$4034,0))</f>
        <v>Rv1566c</v>
      </c>
      <c r="R51" s="23" t="s">
        <v>463</v>
      </c>
      <c r="S51" s="17" t="str">
        <f>INDEX(AnnotationTuberculist2017!$A$2:$A$4034,MATCH('Regulatory overview'!R51,AnnotationTuberculist2017!$B$2:$B$4034,0))</f>
        <v>atpG</v>
      </c>
    </row>
    <row r="52" spans="1:19">
      <c r="A52" s="17" t="s">
        <v>238</v>
      </c>
      <c r="B52" s="18" t="str">
        <f>INDEX(AnnotationTuberculist2017!$A$2:$A$4034,MATCH('Regulatory overview'!A52,AnnotationTuberculist2017!$B$2:$B$4034,0))</f>
        <v>Rv3402c</v>
      </c>
      <c r="E52" s="32" t="s">
        <v>20196</v>
      </c>
      <c r="I52" s="33" t="s">
        <v>300</v>
      </c>
      <c r="J52" s="18" t="str">
        <f>INDEX(AnnotationTuberculist2017!$A$2:$A$4034,MATCH('Regulatory overview'!I52,AnnotationTuberculist2017!$B$2:$B$4034,0))</f>
        <v>Rv3143</v>
      </c>
      <c r="K52" s="17" t="s">
        <v>301</v>
      </c>
      <c r="L52" s="18" t="str">
        <f>INDEX(AnnotationTuberculist2017!$A$2:$A$4034,MATCH('Regulatory overview'!K52,AnnotationTuberculist2017!$B$2:$B$4034,0))</f>
        <v>pfkB</v>
      </c>
      <c r="M52" s="33"/>
      <c r="O52" s="33" t="s">
        <v>13303</v>
      </c>
      <c r="P52" s="18" t="str">
        <f>INDEX(AnnotationTuberculist2017!$A$2:$A$4034,MATCH('Regulatory overview'!O52,AnnotationTuberculist2017!$B$2:$B$4034,0))</f>
        <v>Rv1581c</v>
      </c>
      <c r="R52" s="23" t="s">
        <v>333</v>
      </c>
      <c r="S52" s="17" t="str">
        <f>INDEX(AnnotationTuberculist2017!$A$2:$A$4034,MATCH('Regulatory overview'!R52,AnnotationTuberculist2017!$B$2:$B$4034,0))</f>
        <v>ctpC</v>
      </c>
    </row>
    <row r="53" spans="1:19">
      <c r="A53" s="17" t="s">
        <v>89</v>
      </c>
      <c r="B53" s="18" t="str">
        <f>INDEX(AnnotationTuberculist2017!$A$2:$A$4034,MATCH('Regulatory overview'!A53,AnnotationTuberculist2017!$B$2:$B$4034,0))</f>
        <v>bfrB</v>
      </c>
      <c r="E53" s="30" t="s">
        <v>15</v>
      </c>
      <c r="F53" s="39" t="str">
        <f>INDEX(AnnotationTuberculist2017!$A$2:$A$4034,MATCH('Regulatory overview'!E53,AnnotationTuberculist2017!$B$2:$B$4034,0))</f>
        <v>smtB</v>
      </c>
      <c r="I53" s="33" t="s">
        <v>305</v>
      </c>
      <c r="J53" s="18" t="str">
        <f>INDEX(AnnotationTuberculist2017!$A$2:$A$4034,MATCH('Regulatory overview'!I53,AnnotationTuberculist2017!$B$2:$B$4034,0))</f>
        <v>nuoB</v>
      </c>
      <c r="K53" s="17" t="s">
        <v>306</v>
      </c>
      <c r="L53" s="18" t="str">
        <f>INDEX(AnnotationTuberculist2017!$A$2:$A$4034,MATCH('Regulatory overview'!K53,AnnotationTuberculist2017!$B$2:$B$4034,0))</f>
        <v>Rv2030c</v>
      </c>
      <c r="M53" s="34" t="s">
        <v>20181</v>
      </c>
      <c r="N53" s="34" t="s">
        <v>20210</v>
      </c>
      <c r="O53" s="33" t="s">
        <v>13725</v>
      </c>
      <c r="P53" s="18" t="str">
        <f>INDEX(AnnotationTuberculist2017!$A$2:$A$4034,MATCH('Regulatory overview'!O53,AnnotationTuberculist2017!$B$2:$B$4034,0))</f>
        <v>wag22</v>
      </c>
      <c r="R53" s="23" t="s">
        <v>464</v>
      </c>
      <c r="S53" s="17" t="str">
        <f>INDEX(AnnotationTuberculist2017!$A$2:$A$4034,MATCH('Regulatory overview'!R53,AnnotationTuberculist2017!$B$2:$B$4034,0))</f>
        <v>trpC</v>
      </c>
    </row>
    <row r="54" spans="1:19">
      <c r="E54" s="30" t="s">
        <v>330</v>
      </c>
      <c r="F54" s="18" t="str">
        <f>INDEX(AnnotationTuberculist2017!$A$2:$A$4034,MATCH('Regulatory overview'!E54,AnnotationTuberculist2017!$B$2:$B$4034,0))</f>
        <v>Rv3269</v>
      </c>
      <c r="I54" s="33" t="s">
        <v>309</v>
      </c>
      <c r="J54" s="18" t="str">
        <f>INDEX(AnnotationTuberculist2017!$A$2:$A$4034,MATCH('Regulatory overview'!I54,AnnotationTuberculist2017!$B$2:$B$4034,0))</f>
        <v>nuoC</v>
      </c>
      <c r="K54" s="17" t="s">
        <v>310</v>
      </c>
      <c r="L54" s="18" t="str">
        <f>INDEX(AnnotationTuberculist2017!$A$2:$A$4034,MATCH('Regulatory overview'!K54,AnnotationTuberculist2017!$B$2:$B$4034,0))</f>
        <v>hspX</v>
      </c>
      <c r="M54" s="33" t="s">
        <v>115</v>
      </c>
      <c r="N54" s="18" t="str">
        <f>INDEX(AnnotationTuberculist2017!$A$2:$A$4034,MATCH('Regulatory overview'!M54,AnnotationTuberculist2017!$B$2:$B$4034,0))</f>
        <v>Rv0081</v>
      </c>
      <c r="O54" s="33" t="s">
        <v>1074</v>
      </c>
      <c r="P54" s="18" t="str">
        <f>INDEX(AnnotationTuberculist2017!$A$2:$A$4034,MATCH('Regulatory overview'!O54,AnnotationTuberculist2017!$B$2:$B$4034,0))</f>
        <v>Rv1760</v>
      </c>
      <c r="R54" s="23" t="s">
        <v>465</v>
      </c>
      <c r="S54" s="17" t="str">
        <f>INDEX(AnnotationTuberculist2017!$A$2:$A$4034,MATCH('Regulatory overview'!R54,AnnotationTuberculist2017!$B$2:$B$4034,0))</f>
        <v>Rv3060c</v>
      </c>
    </row>
    <row r="55" spans="1:19">
      <c r="A55" s="20" t="s">
        <v>303</v>
      </c>
      <c r="E55" s="30" t="s">
        <v>2005</v>
      </c>
      <c r="F55" s="18" t="str">
        <f>INDEX(AnnotationTuberculist2017!$A$2:$A$4034,MATCH('Regulatory overview'!E55,AnnotationTuberculist2017!$B$2:$B$4034,0))</f>
        <v>groES</v>
      </c>
      <c r="I55" s="33" t="s">
        <v>314</v>
      </c>
      <c r="J55" s="18" t="str">
        <f>INDEX(AnnotationTuberculist2017!$A$2:$A$4034,MATCH('Regulatory overview'!I55,AnnotationTuberculist2017!$B$2:$B$4034,0))</f>
        <v>nuoD</v>
      </c>
      <c r="K55" s="17" t="s">
        <v>315</v>
      </c>
      <c r="L55" s="18" t="str">
        <f>INDEX(AnnotationTuberculist2017!$A$2:$A$4034,MATCH('Regulatory overview'!K55,AnnotationTuberculist2017!$B$2:$B$4034,0))</f>
        <v>acg</v>
      </c>
      <c r="M55" s="33" t="s">
        <v>121</v>
      </c>
      <c r="N55" s="18" t="str">
        <f>INDEX(AnnotationTuberculist2017!$A$2:$A$4034,MATCH('Regulatory overview'!M55,AnnotationTuberculist2017!$B$2:$B$4034,0))</f>
        <v>Rv0082</v>
      </c>
      <c r="O55" s="33" t="s">
        <v>3279</v>
      </c>
      <c r="P55" s="18" t="str">
        <f>INDEX(AnnotationTuberculist2017!$A$2:$A$4034,MATCH('Regulatory overview'!O55,AnnotationTuberculist2017!$B$2:$B$4034,0))</f>
        <v>Rv1779c</v>
      </c>
      <c r="R55" s="23" t="s">
        <v>466</v>
      </c>
      <c r="S55" s="17" t="str">
        <f>INDEX(AnnotationTuberculist2017!$A$2:$A$4034,MATCH('Regulatory overview'!R55,AnnotationTuberculist2017!$B$2:$B$4034,0))</f>
        <v>Rv3173c</v>
      </c>
    </row>
    <row r="56" spans="1:19">
      <c r="A56" s="17" t="s">
        <v>312</v>
      </c>
      <c r="B56" s="18" t="str">
        <f>INDEX(AnnotationTuberculist2017!$A$2:$A$4034,MATCH('Regulatory overview'!A56,AnnotationTuberculist2017!$B$2:$B$4034,0))</f>
        <v>Rv1460</v>
      </c>
      <c r="E56" s="30" t="s">
        <v>1442</v>
      </c>
      <c r="F56" s="18" t="str">
        <f>INDEX(AnnotationTuberculist2017!$A$2:$A$4034,MATCH('Regulatory overview'!E56,AnnotationTuberculist2017!$B$2:$B$4034,0))</f>
        <v>Rv3848</v>
      </c>
      <c r="I56" s="33" t="s">
        <v>319</v>
      </c>
      <c r="J56" s="18" t="str">
        <f>INDEX(AnnotationTuberculist2017!$A$2:$A$4034,MATCH('Regulatory overview'!I56,AnnotationTuberculist2017!$B$2:$B$4034,0))</f>
        <v>nuoK</v>
      </c>
      <c r="K56" s="17" t="s">
        <v>320</v>
      </c>
      <c r="L56" s="18" t="str">
        <f>INDEX(AnnotationTuberculist2017!$A$2:$A$4034,MATCH('Regulatory overview'!K56,AnnotationTuberculist2017!$B$2:$B$4034,0))</f>
        <v>mshC</v>
      </c>
      <c r="M56" s="33" t="s">
        <v>2526</v>
      </c>
      <c r="N56" s="18" t="str">
        <f>INDEX(AnnotationTuberculist2017!$A$2:$A$4034,MATCH('Regulatory overview'!M56,AnnotationTuberculist2017!$B$2:$B$4034,0))</f>
        <v>Rv0083</v>
      </c>
      <c r="O56" s="33" t="s">
        <v>3349</v>
      </c>
      <c r="P56" s="18" t="str">
        <f>INDEX(AnnotationTuberculist2017!$A$2:$A$4034,MATCH('Regulatory overview'!O56,AnnotationTuberculist2017!$B$2:$B$4034,0))</f>
        <v>Rv1780</v>
      </c>
      <c r="R56" s="23" t="s">
        <v>467</v>
      </c>
      <c r="S56" s="17" t="str">
        <f>INDEX(AnnotationTuberculist2017!$A$2:$A$4034,MATCH('Regulatory overview'!R56,AnnotationTuberculist2017!$B$2:$B$4034,0))</f>
        <v>Rv2366c</v>
      </c>
    </row>
    <row r="57" spans="1:19">
      <c r="A57" s="17" t="s">
        <v>317</v>
      </c>
      <c r="B57" s="18" t="str">
        <f>INDEX(AnnotationTuberculist2017!$A$2:$A$4034,MATCH('Regulatory overview'!A57,AnnotationTuberculist2017!$B$2:$B$4034,0))</f>
        <v>Rv1461</v>
      </c>
      <c r="I57" s="33" t="s">
        <v>323</v>
      </c>
      <c r="J57" s="18" t="str">
        <f>INDEX(AnnotationTuberculist2017!$A$2:$A$4034,MATCH('Regulatory overview'!I57,AnnotationTuberculist2017!$B$2:$B$4034,0))</f>
        <v>Rv3161c</v>
      </c>
      <c r="K57" s="17" t="s">
        <v>324</v>
      </c>
      <c r="L57" s="18" t="str">
        <f>INDEX(AnnotationTuberculist2017!$A$2:$A$4034,MATCH('Regulatory overview'!K57,AnnotationTuberculist2017!$B$2:$B$4034,0))</f>
        <v>cysQ</v>
      </c>
      <c r="M57" s="33" t="s">
        <v>3204</v>
      </c>
      <c r="N57" s="18" t="str">
        <f>INDEX(AnnotationTuberculist2017!$A$2:$A$4034,MATCH('Regulatory overview'!M57,AnnotationTuberculist2017!$B$2:$B$4034,0))</f>
        <v>hycD</v>
      </c>
      <c r="O57" s="33" t="s">
        <v>13846</v>
      </c>
      <c r="P57" s="18" t="str">
        <f>INDEX(AnnotationTuberculist2017!$A$2:$A$4034,MATCH('Regulatory overview'!O57,AnnotationTuberculist2017!$B$2:$B$4034,0))</f>
        <v>Rv1810</v>
      </c>
      <c r="R57" s="23" t="s">
        <v>230</v>
      </c>
      <c r="S57" s="17" t="str">
        <f>INDEX(AnnotationTuberculist2017!$A$2:$A$4034,MATCH('Regulatory overview'!R57,AnnotationTuberculist2017!$B$2:$B$4034,0))</f>
        <v>fas</v>
      </c>
    </row>
    <row r="58" spans="1:19">
      <c r="A58" s="17" t="s">
        <v>322</v>
      </c>
      <c r="B58" s="18" t="str">
        <f>INDEX(AnnotationTuberculist2017!$A$2:$A$4034,MATCH('Regulatory overview'!A58,AnnotationTuberculist2017!$B$2:$B$4034,0))</f>
        <v>Rv1462</v>
      </c>
      <c r="I58" s="33" t="s">
        <v>327</v>
      </c>
      <c r="J58" s="18" t="str">
        <f>INDEX(AnnotationTuberculist2017!$A$2:$A$4034,MATCH('Regulatory overview'!I58,AnnotationTuberculist2017!$B$2:$B$4034,0))</f>
        <v>Rv3197</v>
      </c>
      <c r="K58" s="17" t="s">
        <v>328</v>
      </c>
      <c r="L58" s="18" t="str">
        <f>INDEX(AnnotationTuberculist2017!$A$2:$A$4034,MATCH('Regulatory overview'!K58,AnnotationTuberculist2017!$B$2:$B$4034,0))</f>
        <v>Rv2367c</v>
      </c>
      <c r="M58" s="33" t="s">
        <v>2198</v>
      </c>
      <c r="N58" s="18" t="str">
        <f>INDEX(AnnotationTuberculist2017!$A$2:$A$4034,MATCH('Regulatory overview'!M58,AnnotationTuberculist2017!$B$2:$B$4034,0))</f>
        <v>hycP</v>
      </c>
      <c r="O58" s="33" t="s">
        <v>14222</v>
      </c>
      <c r="P58" s="18" t="str">
        <f>INDEX(AnnotationTuberculist2017!$A$2:$A$4034,MATCH('Regulatory overview'!O58,AnnotationTuberculist2017!$B$2:$B$4034,0))</f>
        <v>Rv1976c</v>
      </c>
      <c r="R58" s="23" t="s">
        <v>468</v>
      </c>
      <c r="S58" s="17" t="str">
        <f>INDEX(AnnotationTuberculist2017!$A$2:$A$4034,MATCH('Regulatory overview'!R58,AnnotationTuberculist2017!$B$2:$B$4034,0))</f>
        <v>Rv2781c</v>
      </c>
    </row>
    <row r="59" spans="1:19">
      <c r="A59" s="17" t="s">
        <v>326</v>
      </c>
      <c r="B59" s="18" t="str">
        <f>INDEX(AnnotationTuberculist2017!$A$2:$A$4034,MATCH('Regulatory overview'!A59,AnnotationTuberculist2017!$B$2:$B$4034,0))</f>
        <v>Rv1463</v>
      </c>
      <c r="I59" s="33" t="s">
        <v>330</v>
      </c>
      <c r="J59" s="18" t="str">
        <f>INDEX(AnnotationTuberculist2017!$A$2:$A$4034,MATCH('Regulatory overview'!I59,AnnotationTuberculist2017!$B$2:$B$4034,0))</f>
        <v>Rv3269</v>
      </c>
      <c r="K59" s="17" t="s">
        <v>239</v>
      </c>
      <c r="L59" s="18" t="str">
        <f>INDEX(AnnotationTuberculist2017!$A$2:$A$4034,MATCH('Regulatory overview'!K59,AnnotationTuberculist2017!$B$2:$B$4034,0))</f>
        <v>Rv2621c</v>
      </c>
      <c r="M59" s="33" t="s">
        <v>2815</v>
      </c>
      <c r="N59" s="18" t="str">
        <f>INDEX(AnnotationTuberculist2017!$A$2:$A$4034,MATCH('Regulatory overview'!M59,AnnotationTuberculist2017!$B$2:$B$4034,0))</f>
        <v>hycQ</v>
      </c>
      <c r="O59" s="33" t="s">
        <v>266</v>
      </c>
      <c r="P59" s="18" t="str">
        <f>INDEX(AnnotationTuberculist2017!$A$2:$A$4034,MATCH('Regulatory overview'!O59,AnnotationTuberculist2017!$B$2:$B$4034,0))</f>
        <v>Rv1977</v>
      </c>
      <c r="R59" s="23" t="s">
        <v>469</v>
      </c>
      <c r="S59" s="17" t="str">
        <f>INDEX(AnnotationTuberculist2017!$A$2:$A$4034,MATCH('Regulatory overview'!R59,AnnotationTuberculist2017!$B$2:$B$4034,0))</f>
        <v>echA21</v>
      </c>
    </row>
    <row r="60" spans="1:19">
      <c r="A60" s="17" t="s">
        <v>329</v>
      </c>
      <c r="B60" s="18" t="str">
        <f>INDEX(AnnotationTuberculist2017!$A$2:$A$4034,MATCH('Regulatory overview'!A60,AnnotationTuberculist2017!$B$2:$B$4034,0))</f>
        <v>csd</v>
      </c>
      <c r="I60" s="33" t="s">
        <v>333</v>
      </c>
      <c r="J60" s="18" t="str">
        <f>INDEX(AnnotationTuberculist2017!$A$2:$A$4034,MATCH('Regulatory overview'!I60,AnnotationTuberculist2017!$B$2:$B$4034,0))</f>
        <v>ctpC</v>
      </c>
      <c r="K60" s="17" t="s">
        <v>334</v>
      </c>
      <c r="L60" s="18" t="str">
        <f>INDEX(AnnotationTuberculist2017!$A$2:$A$4034,MATCH('Regulatory overview'!K60,AnnotationTuberculist2017!$B$2:$B$4034,0))</f>
        <v>TB31.7</v>
      </c>
      <c r="M60" s="33" t="s">
        <v>2527</v>
      </c>
      <c r="N60" s="18" t="str">
        <f>INDEX(AnnotationTuberculist2017!$A$2:$A$4034,MATCH('Regulatory overview'!M60,AnnotationTuberculist2017!$B$2:$B$4034,0))</f>
        <v>hycE</v>
      </c>
      <c r="O60" s="33" t="s">
        <v>14268</v>
      </c>
      <c r="P60" s="18" t="str">
        <f>INDEX(AnnotationTuberculist2017!$A$2:$A$4034,MATCH('Regulatory overview'!O60,AnnotationTuberculist2017!$B$2:$B$4034,0))</f>
        <v>Rv1990c</v>
      </c>
      <c r="R60" s="23" t="s">
        <v>470</v>
      </c>
      <c r="S60" s="17" t="str">
        <f>INDEX(AnnotationTuberculist2017!$A$2:$A$4034,MATCH('Regulatory overview'!R60,AnnotationTuberculist2017!$B$2:$B$4034,0))</f>
        <v>Rv1502</v>
      </c>
    </row>
    <row r="61" spans="1:19">
      <c r="A61" s="17" t="s">
        <v>331</v>
      </c>
      <c r="B61" s="18" t="str">
        <f>INDEX(AnnotationTuberculist2017!$A$2:$A$4034,MATCH('Regulatory overview'!A61,AnnotationTuberculist2017!$B$2:$B$4034,0))</f>
        <v>Rv1465</v>
      </c>
      <c r="I61" s="33" t="s">
        <v>338</v>
      </c>
      <c r="J61" s="18" t="str">
        <f>INDEX(AnnotationTuberculist2017!$A$2:$A$4034,MATCH('Regulatory overview'!I61,AnnotationTuberculist2017!$B$2:$B$4034,0))</f>
        <v>PE31</v>
      </c>
      <c r="K61" s="17" t="s">
        <v>339</v>
      </c>
      <c r="L61" s="18" t="str">
        <f>INDEX(AnnotationTuberculist2017!$A$2:$A$4034,MATCH('Regulatory overview'!K61,AnnotationTuberculist2017!$B$2:$B$4034,0))</f>
        <v>Rv2624c</v>
      </c>
      <c r="M61" s="33" t="s">
        <v>1293</v>
      </c>
      <c r="N61" s="18" t="str">
        <f>INDEX(AnnotationTuberculist2017!$A$2:$A$4034,MATCH('Regulatory overview'!M61,AnnotationTuberculist2017!$B$2:$B$4034,0))</f>
        <v>Rv0088</v>
      </c>
      <c r="O61" s="33" t="s">
        <v>572</v>
      </c>
      <c r="P61" s="18" t="str">
        <f>INDEX(AnnotationTuberculist2017!$A$2:$A$4034,MATCH('Regulatory overview'!O61,AnnotationTuberculist2017!$B$2:$B$4034,0))</f>
        <v>Rv2077c</v>
      </c>
      <c r="R61" s="23" t="s">
        <v>471</v>
      </c>
      <c r="S61" s="17" t="str">
        <f>INDEX(AnnotationTuberculist2017!$A$2:$A$4034,MATCH('Regulatory overview'!R61,AnnotationTuberculist2017!$B$2:$B$4034,0))</f>
        <v>impA</v>
      </c>
    </row>
    <row r="62" spans="1:19">
      <c r="A62" s="17" t="s">
        <v>336</v>
      </c>
      <c r="B62" s="18" t="str">
        <f>INDEX(AnnotationTuberculist2017!$A$2:$A$4034,MATCH('Regulatory overview'!A62,AnnotationTuberculist2017!$B$2:$B$4034,0))</f>
        <v>Rv1466</v>
      </c>
      <c r="I62" s="33" t="s">
        <v>95</v>
      </c>
      <c r="J62" s="18" t="str">
        <f>INDEX(AnnotationTuberculist2017!$A$2:$A$4034,MATCH('Regulatory overview'!I62,AnnotationTuberculist2017!$B$2:$B$4034,0))</f>
        <v>lipF</v>
      </c>
      <c r="K62" s="17" t="s">
        <v>340</v>
      </c>
      <c r="L62" s="18" t="str">
        <f>INDEX(AnnotationTuberculist2017!$A$2:$A$4034,MATCH('Regulatory overview'!K62,AnnotationTuberculist2017!$B$2:$B$4034,0))</f>
        <v>Rv2625c</v>
      </c>
      <c r="M62" s="33" t="s">
        <v>39</v>
      </c>
      <c r="N62" s="18" t="str">
        <f>INDEX(AnnotationTuberculist2017!$A$2:$A$4034,MATCH('Regulatory overview'!M62,AnnotationTuberculist2017!$B$2:$B$4034,0))</f>
        <v>hsp</v>
      </c>
      <c r="O62" s="33" t="s">
        <v>14466</v>
      </c>
      <c r="P62" s="18" t="str">
        <f>INDEX(AnnotationTuberculist2017!$A$2:$A$4034,MATCH('Regulatory overview'!O62,AnnotationTuberculist2017!$B$2:$B$4034,0))</f>
        <v>Rv2078</v>
      </c>
      <c r="R62" s="23" t="s">
        <v>220</v>
      </c>
      <c r="S62" s="17" t="str">
        <f>INDEX(AnnotationTuberculist2017!$A$2:$A$4034,MATCH('Regulatory overview'!R62,AnnotationTuberculist2017!$B$2:$B$4034,0))</f>
        <v>che1</v>
      </c>
    </row>
    <row r="63" spans="1:19">
      <c r="I63" s="33" t="s">
        <v>341</v>
      </c>
      <c r="J63" s="18" t="str">
        <f>INDEX(AnnotationTuberculist2017!$A$2:$A$4034,MATCH('Regulatory overview'!I63,AnnotationTuberculist2017!$B$2:$B$4034,0))</f>
        <v>Rv3822</v>
      </c>
      <c r="K63" s="17" t="s">
        <v>342</v>
      </c>
      <c r="L63" s="18" t="str">
        <f>INDEX(AnnotationTuberculist2017!$A$2:$A$4034,MATCH('Regulatory overview'!K63,AnnotationTuberculist2017!$B$2:$B$4034,0))</f>
        <v>hrp1</v>
      </c>
      <c r="M63" s="33" t="s">
        <v>2240</v>
      </c>
      <c r="N63" s="18" t="str">
        <f>INDEX(AnnotationTuberculist2017!$A$2:$A$4034,MATCH('Regulatory overview'!M63,AnnotationTuberculist2017!$B$2:$B$4034,0))</f>
        <v>mprA</v>
      </c>
      <c r="O63" s="36" t="s">
        <v>2085</v>
      </c>
      <c r="P63" s="37" t="str">
        <f>INDEX(AnnotationTuberculist2017!$A$2:$A$4034,MATCH('Regulatory overview'!O63,AnnotationTuberculist2017!$B$2:$B$4034,0))</f>
        <v>metH</v>
      </c>
    </row>
    <row r="64" spans="1:19">
      <c r="I64" s="33" t="s">
        <v>72</v>
      </c>
      <c r="J64" s="18" t="str">
        <f>INDEX(AnnotationTuberculist2017!$A$2:$A$4034,MATCH('Regulatory overview'!I64,AnnotationTuberculist2017!$B$2:$B$4034,0))</f>
        <v>pks2</v>
      </c>
      <c r="K64" s="17" t="s">
        <v>343</v>
      </c>
      <c r="L64" s="18" t="str">
        <f>INDEX(AnnotationTuberculist2017!$A$2:$A$4034,MATCH('Regulatory overview'!K64,AnnotationTuberculist2017!$B$2:$B$4034,0))</f>
        <v>Rv2627c</v>
      </c>
      <c r="M64" s="33" t="s">
        <v>1867</v>
      </c>
      <c r="N64" s="18" t="str">
        <f>INDEX(AnnotationTuberculist2017!$A$2:$A$4034,MATCH('Regulatory overview'!M64,AnnotationTuberculist2017!$B$2:$B$4034,0))</f>
        <v>mprB</v>
      </c>
      <c r="O64" s="33" t="s">
        <v>2172</v>
      </c>
      <c r="P64" s="18" t="str">
        <f>INDEX(AnnotationTuberculist2017!$A$2:$A$4034,MATCH('Regulatory overview'!O64,AnnotationTuberculist2017!$B$2:$B$4034,0))</f>
        <v>Rv2336</v>
      </c>
    </row>
    <row r="65" spans="9:16">
      <c r="I65" s="33" t="s">
        <v>344</v>
      </c>
      <c r="J65" s="18" t="str">
        <f>INDEX(AnnotationTuberculist2017!$A$2:$A$4034,MATCH('Regulatory overview'!I65,AnnotationTuberculist2017!$B$2:$B$4034,0))</f>
        <v>espR</v>
      </c>
      <c r="K65" s="17" t="s">
        <v>242</v>
      </c>
      <c r="L65" s="18" t="str">
        <f>INDEX(AnnotationTuberculist2017!$A$2:$A$4034,MATCH('Regulatory overview'!K65,AnnotationTuberculist2017!$B$2:$B$4034,0))</f>
        <v>Rv2628</v>
      </c>
      <c r="M65" s="33" t="s">
        <v>3070</v>
      </c>
      <c r="N65" s="18" t="str">
        <f>INDEX(AnnotationTuberculist2017!$A$2:$A$4034,MATCH('Regulatory overview'!M65,AnnotationTuberculist2017!$B$2:$B$4034,0))</f>
        <v>pepD</v>
      </c>
      <c r="O65" s="33" t="s">
        <v>15052</v>
      </c>
      <c r="P65" s="18" t="str">
        <f>INDEX(AnnotationTuberculist2017!$A$2:$A$4034,MATCH('Regulatory overview'!O65,AnnotationTuberculist2017!$B$2:$B$4034,0))</f>
        <v>Rv2342</v>
      </c>
    </row>
    <row r="66" spans="9:16">
      <c r="I66" s="33" t="s">
        <v>346</v>
      </c>
      <c r="J66" s="39" t="str">
        <f>INDEX(AnnotationTuberculist2017!$A$2:$A$4034,MATCH('Regulatory overview'!I66,AnnotationTuberculist2017!$B$2:$B$4034,0))</f>
        <v>whiB6</v>
      </c>
      <c r="K66" s="17" t="s">
        <v>347</v>
      </c>
      <c r="L66" s="18" t="str">
        <f>INDEX(AnnotationTuberculist2017!$A$2:$A$4034,MATCH('Regulatory overview'!K66,AnnotationTuberculist2017!$B$2:$B$4034,0))</f>
        <v>Rv2629</v>
      </c>
      <c r="M66" s="33" t="s">
        <v>2746</v>
      </c>
      <c r="N66" s="18" t="str">
        <f>INDEX(AnnotationTuberculist2017!$A$2:$A$4034,MATCH('Regulatory overview'!M66,AnnotationTuberculist2017!$B$2:$B$4034,0))</f>
        <v>moaB2</v>
      </c>
      <c r="O66" s="36" t="s">
        <v>232</v>
      </c>
      <c r="P66" s="18" t="str">
        <f>INDEX(AnnotationTuberculist2017!$A$2:$A$4034,MATCH('Regulatory overview'!O66,AnnotationTuberculist2017!$B$2:$B$4034,0))</f>
        <v>mbtJ</v>
      </c>
    </row>
    <row r="67" spans="9:16">
      <c r="I67" s="33" t="s">
        <v>348</v>
      </c>
      <c r="J67" s="18" t="str">
        <f>INDEX(AnnotationTuberculist2017!$A$2:$A$4034,MATCH('Regulatory overview'!I67,AnnotationTuberculist2017!$B$2:$B$4034,0))</f>
        <v>espE</v>
      </c>
      <c r="K67" s="17" t="s">
        <v>247</v>
      </c>
      <c r="L67" s="18" t="str">
        <f>INDEX(AnnotationTuberculist2017!$A$2:$A$4034,MATCH('Regulatory overview'!K67,AnnotationTuberculist2017!$B$2:$B$4034,0))</f>
        <v>Rv2630</v>
      </c>
      <c r="M67" s="33" t="s">
        <v>3205</v>
      </c>
      <c r="N67" s="18" t="str">
        <f>INDEX(AnnotationTuberculist2017!$A$2:$A$4034,MATCH('Regulatory overview'!M67,AnnotationTuberculist2017!$B$2:$B$4034,0))</f>
        <v>Rv1057</v>
      </c>
      <c r="O67" s="36" t="s">
        <v>225</v>
      </c>
      <c r="P67" s="18" t="str">
        <f>INDEX(AnnotationTuberculist2017!$A$2:$A$4034,MATCH('Regulatory overview'!O67,AnnotationTuberculist2017!$B$2:$B$4034,0))</f>
        <v>PE_PGRS41</v>
      </c>
    </row>
    <row r="68" spans="9:16">
      <c r="I68" s="33" t="s">
        <v>349</v>
      </c>
      <c r="J68" s="18" t="str">
        <f>INDEX(AnnotationTuberculist2017!$A$2:$A$4034,MATCH('Regulatory overview'!I68,AnnotationTuberculist2017!$B$2:$B$4034,0))</f>
        <v>espF</v>
      </c>
      <c r="K68" s="17" t="s">
        <v>350</v>
      </c>
      <c r="L68" s="18" t="str">
        <f>INDEX(AnnotationTuberculist2017!$A$2:$A$4034,MATCH('Regulatory overview'!K68,AnnotationTuberculist2017!$B$2:$B$4034,0))</f>
        <v>Rv2631</v>
      </c>
      <c r="M68" s="33" t="s">
        <v>172</v>
      </c>
      <c r="N68" s="18" t="str">
        <f>INDEX(AnnotationTuberculist2017!$A$2:$A$4034,MATCH('Regulatory overview'!M68,AnnotationTuberculist2017!$B$2:$B$4034,0))</f>
        <v>Rv1812c</v>
      </c>
      <c r="O68" s="33" t="s">
        <v>724</v>
      </c>
      <c r="P68" s="18" t="str">
        <f>INDEX(AnnotationTuberculist2017!$A$2:$A$4034,MATCH('Regulatory overview'!O68,AnnotationTuberculist2017!$B$2:$B$4034,0))</f>
        <v>Rv2406c</v>
      </c>
    </row>
    <row r="69" spans="9:16">
      <c r="I69" s="33" t="s">
        <v>351</v>
      </c>
      <c r="J69" s="18" t="str">
        <f>INDEX(AnnotationTuberculist2017!$A$2:$A$4034,MATCH('Regulatory overview'!I69,AnnotationTuberculist2017!$B$2:$B$4034,0))</f>
        <v>espG1</v>
      </c>
      <c r="K69" s="17" t="s">
        <v>352</v>
      </c>
      <c r="L69" s="18" t="str">
        <f>INDEX(AnnotationTuberculist2017!$A$2:$A$4034,MATCH('Regulatory overview'!K69,AnnotationTuberculist2017!$B$2:$B$4034,0))</f>
        <v>Rv2708c</v>
      </c>
      <c r="M69" s="33" t="s">
        <v>252</v>
      </c>
      <c r="N69" s="18" t="str">
        <f>INDEX(AnnotationTuberculist2017!$A$2:$A$4034,MATCH('Regulatory overview'!M69,AnnotationTuberculist2017!$B$2:$B$4034,0))</f>
        <v>Rv1813c</v>
      </c>
      <c r="O69" s="33" t="s">
        <v>2042</v>
      </c>
      <c r="P69" s="18" t="str">
        <f>INDEX(AnnotationTuberculist2017!$A$2:$A$4034,MATCH('Regulatory overview'!O69,AnnotationTuberculist2017!$B$2:$B$4034,0))</f>
        <v>Rv2407</v>
      </c>
    </row>
    <row r="70" spans="9:16">
      <c r="I70" s="33" t="s">
        <v>353</v>
      </c>
      <c r="J70" s="18" t="str">
        <f>INDEX(AnnotationTuberculist2017!$A$2:$A$4034,MATCH('Regulatory overview'!I70,AnnotationTuberculist2017!$B$2:$B$4034,0))</f>
        <v>espH</v>
      </c>
      <c r="K70" s="17" t="s">
        <v>354</v>
      </c>
      <c r="L70" s="18" t="str">
        <f>INDEX(AnnotationTuberculist2017!$A$2:$A$4034,MATCH('Regulatory overview'!K70,AnnotationTuberculist2017!$B$2:$B$4034,0))</f>
        <v>Rv2751</v>
      </c>
      <c r="M70" s="33" t="s">
        <v>114</v>
      </c>
      <c r="N70" s="18" t="str">
        <f>INDEX(AnnotationTuberculist2017!$A$2:$A$4034,MATCH('Regulatory overview'!M70,AnnotationTuberculist2017!$B$2:$B$4034,0))</f>
        <v>Rv3612c</v>
      </c>
      <c r="O70" s="33" t="s">
        <v>717</v>
      </c>
      <c r="P70" s="18" t="str">
        <f>INDEX(AnnotationTuberculist2017!$A$2:$A$4034,MATCH('Regulatory overview'!O70,AnnotationTuberculist2017!$B$2:$B$4034,0))</f>
        <v>PE24</v>
      </c>
    </row>
    <row r="71" spans="9:16">
      <c r="I71" s="33" t="s">
        <v>355</v>
      </c>
      <c r="J71" s="18" t="str">
        <f>INDEX(AnnotationTuberculist2017!$A$2:$A$4034,MATCH('Regulatory overview'!I71,AnnotationTuberculist2017!$B$2:$B$4034,0))</f>
        <v>PPE68</v>
      </c>
      <c r="K71" s="17" t="s">
        <v>356</v>
      </c>
      <c r="L71" s="18" t="str">
        <f>INDEX(AnnotationTuberculist2017!$A$2:$A$4034,MATCH('Regulatory overview'!K71,AnnotationTuberculist2017!$B$2:$B$4034,0))</f>
        <v>amt</v>
      </c>
      <c r="M71" s="33" t="s">
        <v>119</v>
      </c>
      <c r="N71" s="18" t="str">
        <f>INDEX(AnnotationTuberculist2017!$A$2:$A$4034,MATCH('Regulatory overview'!M71,AnnotationTuberculist2017!$B$2:$B$4034,0))</f>
        <v>Rv3613c</v>
      </c>
      <c r="O71" s="33" t="s">
        <v>652</v>
      </c>
      <c r="P71" s="18" t="str">
        <f>INDEX(AnnotationTuberculist2017!$A$2:$A$4034,MATCH('Regulatory overview'!O71,AnnotationTuberculist2017!$B$2:$B$4034,0))</f>
        <v>bkdC</v>
      </c>
    </row>
    <row r="72" spans="9:16">
      <c r="I72" s="33" t="s">
        <v>358</v>
      </c>
      <c r="J72" s="18" t="str">
        <f>INDEX(AnnotationTuberculist2017!$A$2:$A$4034,MATCH('Regulatory overview'!I72,AnnotationTuberculist2017!$B$2:$B$4034,0))</f>
        <v>espI</v>
      </c>
      <c r="K72" s="17" t="s">
        <v>359</v>
      </c>
      <c r="L72" s="18" t="str">
        <f>INDEX(AnnotationTuberculist2017!$A$2:$A$4034,MATCH('Regulatory overview'!K72,AnnotationTuberculist2017!$B$2:$B$4034,0))</f>
        <v>Rv3046c</v>
      </c>
      <c r="M72" s="33" t="s">
        <v>126</v>
      </c>
      <c r="N72" s="18" t="str">
        <f>INDEX(AnnotationTuberculist2017!$A$2:$A$4034,MATCH('Regulatory overview'!M72,AnnotationTuberculist2017!$B$2:$B$4034,0))</f>
        <v>espD</v>
      </c>
      <c r="O72" s="33" t="s">
        <v>2285</v>
      </c>
      <c r="P72" s="18" t="str">
        <f>INDEX(AnnotationTuberculist2017!$A$2:$A$4034,MATCH('Regulatory overview'!O72,AnnotationTuberculist2017!$B$2:$B$4034,0))</f>
        <v>PE_PGRS44</v>
      </c>
    </row>
    <row r="73" spans="9:16">
      <c r="I73" s="33" t="s">
        <v>360</v>
      </c>
      <c r="J73" s="18" t="str">
        <f>INDEX(AnnotationTuberculist2017!$A$2:$A$4034,MATCH('Regulatory overview'!I73,AnnotationTuberculist2017!$B$2:$B$4034,0))</f>
        <v>eccD1</v>
      </c>
      <c r="K73" s="17" t="s">
        <v>361</v>
      </c>
      <c r="L73" s="18" t="str">
        <f>INDEX(AnnotationTuberculist2017!$A$2:$A$4034,MATCH('Regulatory overview'!K73,AnnotationTuberculist2017!$B$2:$B$4034,0))</f>
        <v>mmr</v>
      </c>
      <c r="M73" s="33" t="s">
        <v>135</v>
      </c>
      <c r="N73" s="18" t="str">
        <f>INDEX(AnnotationTuberculist2017!$A$2:$A$4034,MATCH('Regulatory overview'!M73,AnnotationTuberculist2017!$B$2:$B$4034,0))</f>
        <v>espC</v>
      </c>
      <c r="O73" s="33" t="s">
        <v>15794</v>
      </c>
      <c r="P73" s="18" t="str">
        <f>INDEX(AnnotationTuberculist2017!$A$2:$A$4034,MATCH('Regulatory overview'!O73,AnnotationTuberculist2017!$B$2:$B$4034,0))</f>
        <v>Rv2650c</v>
      </c>
    </row>
    <row r="74" spans="9:16">
      <c r="I74" s="33" t="s">
        <v>363</v>
      </c>
      <c r="J74" s="18" t="str">
        <f>INDEX(AnnotationTuberculist2017!$A$2:$A$4034,MATCH('Regulatory overview'!I74,AnnotationTuberculist2017!$B$2:$B$4034,0))</f>
        <v>espJ</v>
      </c>
      <c r="K74" s="17" t="s">
        <v>272</v>
      </c>
      <c r="L74" s="18" t="str">
        <f>INDEX(AnnotationTuberculist2017!$A$2:$A$4034,MATCH('Regulatory overview'!K74,AnnotationTuberculist2017!$B$2:$B$4034,0))</f>
        <v>Rv3127</v>
      </c>
      <c r="M74" s="33" t="s">
        <v>55</v>
      </c>
      <c r="N74" s="18" t="str">
        <f>INDEX(AnnotationTuberculist2017!$A$2:$A$4034,MATCH('Regulatory overview'!M74,AnnotationTuberculist2017!$B$2:$B$4034,0))</f>
        <v>espA</v>
      </c>
      <c r="O74" s="33" t="s">
        <v>2063</v>
      </c>
      <c r="P74" s="18" t="str">
        <f>INDEX(AnnotationTuberculist2017!$A$2:$A$4034,MATCH('Regulatory overview'!O74,AnnotationTuberculist2017!$B$2:$B$4034,0))</f>
        <v>Rv2699c</v>
      </c>
    </row>
    <row r="75" spans="9:16">
      <c r="I75" s="33" t="s">
        <v>364</v>
      </c>
      <c r="J75" s="18" t="str">
        <f>INDEX(AnnotationTuberculist2017!$A$2:$A$4034,MATCH('Regulatory overview'!I75,AnnotationTuberculist2017!$B$2:$B$4034,0))</f>
        <v>espK</v>
      </c>
      <c r="K75" s="17" t="s">
        <v>365</v>
      </c>
      <c r="L75" s="18" t="str">
        <f>INDEX(AnnotationTuberculist2017!$A$2:$A$4034,MATCH('Regulatory overview'!K75,AnnotationTuberculist2017!$B$2:$B$4034,0))</f>
        <v>tgs1</v>
      </c>
      <c r="M75" s="33"/>
      <c r="O75" s="33" t="s">
        <v>2112</v>
      </c>
      <c r="P75" s="18" t="str">
        <f>INDEX(AnnotationTuberculist2017!$A$2:$A$4034,MATCH('Regulatory overview'!O75,AnnotationTuberculist2017!$B$2:$B$4034,0))</f>
        <v>Rv2700</v>
      </c>
    </row>
    <row r="76" spans="9:16">
      <c r="I76" s="33" t="s">
        <v>367</v>
      </c>
      <c r="J76" s="18" t="str">
        <f>INDEX(AnnotationTuberculist2017!$A$2:$A$4034,MATCH('Regulatory overview'!I76,AnnotationTuberculist2017!$B$2:$B$4034,0))</f>
        <v>espL</v>
      </c>
      <c r="K76" s="17" t="s">
        <v>368</v>
      </c>
      <c r="L76" s="18" t="str">
        <f>INDEX(AnnotationTuberculist2017!$A$2:$A$4034,MATCH('Regulatory overview'!K76,AnnotationTuberculist2017!$B$2:$B$4034,0))</f>
        <v>Rv3131</v>
      </c>
      <c r="M76" s="34" t="s">
        <v>20189</v>
      </c>
      <c r="N76" s="34" t="s">
        <v>20210</v>
      </c>
      <c r="O76" s="33" t="s">
        <v>2779</v>
      </c>
      <c r="P76" s="18" t="str">
        <f>INDEX(AnnotationTuberculist2017!$A$2:$A$4034,MATCH('Regulatory overview'!O76,AnnotationTuberculist2017!$B$2:$B$4034,0))</f>
        <v>glnD</v>
      </c>
    </row>
    <row r="77" spans="9:16">
      <c r="I77" s="33" t="s">
        <v>370</v>
      </c>
      <c r="J77" s="18" t="str">
        <f>INDEX(AnnotationTuberculist2017!$A$2:$A$4034,MATCH('Regulatory overview'!I77,AnnotationTuberculist2017!$B$2:$B$4034,0))</f>
        <v>espB</v>
      </c>
      <c r="K77" s="17" t="s">
        <v>278</v>
      </c>
      <c r="L77" s="18" t="str">
        <f>INDEX(AnnotationTuberculist2017!$A$2:$A$4034,MATCH('Regulatory overview'!K77,AnnotationTuberculist2017!$B$2:$B$4034,0))</f>
        <v>devS</v>
      </c>
      <c r="M77" s="33" t="s">
        <v>107</v>
      </c>
      <c r="N77" s="18" t="str">
        <f>INDEX(AnnotationTuberculist2017!$A$2:$A$4034,MATCH('Regulatory overview'!M77,AnnotationTuberculist2017!$B$2:$B$4034,0))</f>
        <v>Rv0079</v>
      </c>
      <c r="O77" s="33" t="s">
        <v>2254</v>
      </c>
      <c r="P77" s="18" t="str">
        <f>INDEX(AnnotationTuberculist2017!$A$2:$A$4034,MATCH('Regulatory overview'!O77,AnnotationTuberculist2017!$B$2:$B$4034,0))</f>
        <v>Rv3031</v>
      </c>
    </row>
    <row r="78" spans="9:16">
      <c r="I78" s="35" t="s">
        <v>431</v>
      </c>
      <c r="K78" s="17" t="s">
        <v>282</v>
      </c>
      <c r="L78" s="18" t="str">
        <f>INDEX(AnnotationTuberculist2017!$A$2:$A$4034,MATCH('Regulatory overview'!K78,AnnotationTuberculist2017!$B$2:$B$4034,0))</f>
        <v>devR</v>
      </c>
      <c r="M78" s="33" t="s">
        <v>180</v>
      </c>
      <c r="N78" s="18" t="str">
        <f>INDEX(AnnotationTuberculist2017!$A$2:$A$4034,MATCH('Regulatory overview'!M78,AnnotationTuberculist2017!$B$2:$B$4034,0))</f>
        <v>Rv0569</v>
      </c>
      <c r="O78" s="33" t="s">
        <v>2737</v>
      </c>
      <c r="P78" s="37" t="str">
        <f>INDEX(AnnotationTuberculist2017!$A$2:$A$4034,MATCH('Regulatory overview'!O78,AnnotationTuberculist2017!$B$2:$B$4034,0))</f>
        <v>Rv3050c</v>
      </c>
    </row>
    <row r="79" spans="9:16">
      <c r="I79" s="33" t="s">
        <v>374</v>
      </c>
      <c r="J79" s="18" t="str">
        <f>INDEX(AnnotationTuberculist2017!$A$2:$A$4034,MATCH('Regulatory overview'!I79,AnnotationTuberculist2017!$B$2:$B$4034,0))</f>
        <v>icl1</v>
      </c>
      <c r="K79" s="17" t="s">
        <v>375</v>
      </c>
      <c r="L79" s="18" t="str">
        <f>INDEX(AnnotationTuberculist2017!$A$2:$A$4034,MATCH('Regulatory overview'!K79,AnnotationTuberculist2017!$B$2:$B$4034,0))</f>
        <v>Rv3134c</v>
      </c>
      <c r="M79" s="33" t="s">
        <v>880</v>
      </c>
      <c r="N79" s="18" t="str">
        <f>INDEX(AnnotationTuberculist2017!$A$2:$A$4034,MATCH('Regulatory overview'!M79,AnnotationTuberculist2017!$B$2:$B$4034,0))</f>
        <v>pks4</v>
      </c>
      <c r="O79" s="36" t="s">
        <v>1416</v>
      </c>
      <c r="P79" s="37" t="str">
        <f>INDEX(AnnotationTuberculist2017!$A$2:$A$4034,MATCH('Regulatory overview'!O79,AnnotationTuberculist2017!$B$2:$B$4034,0))</f>
        <v>cstA</v>
      </c>
    </row>
    <row r="80" spans="9:16">
      <c r="I80" s="33" t="s">
        <v>377</v>
      </c>
      <c r="J80" s="18" t="str">
        <f>INDEX(AnnotationTuberculist2017!$A$2:$A$4034,MATCH('Regulatory overview'!I80,AnnotationTuberculist2017!$B$2:$B$4034,0))</f>
        <v>fadB2</v>
      </c>
      <c r="K80" s="17" t="s">
        <v>378</v>
      </c>
      <c r="L80" s="18" t="str">
        <f>INDEX(AnnotationTuberculist2017!$A$2:$A$4034,MATCH('Regulatory overview'!K80,AnnotationTuberculist2017!$B$2:$B$4034,0))</f>
        <v>hsaC</v>
      </c>
      <c r="M80" s="33" t="s">
        <v>2395</v>
      </c>
      <c r="N80" s="18" t="str">
        <f>INDEX(AnnotationTuberculist2017!$A$2:$A$4034,MATCH('Regulatory overview'!M80,AnnotationTuberculist2017!$B$2:$B$4034,0))</f>
        <v>mmpL10</v>
      </c>
      <c r="O80" s="33" t="s">
        <v>16878</v>
      </c>
      <c r="P80" s="18" t="str">
        <f>INDEX(AnnotationTuberculist2017!$A$2:$A$4034,MATCH('Regulatory overview'!O80,AnnotationTuberculist2017!$B$2:$B$4034,0))</f>
        <v>Rv3113</v>
      </c>
    </row>
    <row r="81" spans="9:16">
      <c r="I81" s="33" t="s">
        <v>104</v>
      </c>
      <c r="J81" s="18" t="str">
        <f>INDEX(AnnotationTuberculist2017!$A$2:$A$4034,MATCH('Regulatory overview'!I81,AnnotationTuberculist2017!$B$2:$B$4034,0))</f>
        <v>umaA</v>
      </c>
      <c r="M81" s="33" t="s">
        <v>231</v>
      </c>
      <c r="N81" s="18" t="str">
        <f>INDEX(AnnotationTuberculist2017!$A$2:$A$4034,MATCH('Regulatory overview'!M81,AnnotationTuberculist2017!$B$2:$B$4034,0))</f>
        <v>Rv1733c</v>
      </c>
      <c r="O81" s="33" t="s">
        <v>917</v>
      </c>
      <c r="P81" s="18" t="str">
        <f>INDEX(AnnotationTuberculist2017!$A$2:$A$4034,MATCH('Regulatory overview'!O81,AnnotationTuberculist2017!$B$2:$B$4034,0))</f>
        <v>Rv3295</v>
      </c>
    </row>
    <row r="82" spans="9:16">
      <c r="I82" s="33" t="s">
        <v>381</v>
      </c>
      <c r="J82" s="18" t="str">
        <f>INDEX(AnnotationTuberculist2017!$A$2:$A$4034,MATCH('Regulatory overview'!I82,AnnotationTuberculist2017!$B$2:$B$4034,0))</f>
        <v>PE8</v>
      </c>
      <c r="M82" s="33" t="s">
        <v>240</v>
      </c>
      <c r="N82" s="18" t="str">
        <f>INDEX(AnnotationTuberculist2017!$A$2:$A$4034,MATCH('Regulatory overview'!M82,AnnotationTuberculist2017!$B$2:$B$4034,0))</f>
        <v>narK2</v>
      </c>
      <c r="O82" s="33" t="s">
        <v>2732</v>
      </c>
      <c r="P82" s="18" t="str">
        <f>INDEX(AnnotationTuberculist2017!$A$2:$A$4034,MATCH('Regulatory overview'!O82,AnnotationTuberculist2017!$B$2:$B$4034,0))</f>
        <v>moaX</v>
      </c>
    </row>
    <row r="83" spans="9:16">
      <c r="M83" s="33" t="s">
        <v>243</v>
      </c>
      <c r="N83" s="18" t="str">
        <f>INDEX(AnnotationTuberculist2017!$A$2:$A$4034,MATCH('Regulatory overview'!M83,AnnotationTuberculist2017!$B$2:$B$4034,0))</f>
        <v>Rv1738</v>
      </c>
      <c r="O83" s="33" t="s">
        <v>1798</v>
      </c>
      <c r="P83" s="18" t="str">
        <f>INDEX(AnnotationTuberculist2017!$A$2:$A$4034,MATCH('Regulatory overview'!O83,AnnotationTuberculist2017!$B$2:$B$4034,0))</f>
        <v>Rv3454</v>
      </c>
    </row>
    <row r="84" spans="9:16">
      <c r="M84" s="33" t="s">
        <v>252</v>
      </c>
      <c r="N84" s="18" t="str">
        <f>INDEX(AnnotationTuberculist2017!$A$2:$A$4034,MATCH('Regulatory overview'!M84,AnnotationTuberculist2017!$B$2:$B$4034,0))</f>
        <v>Rv1813c</v>
      </c>
      <c r="O84" s="33" t="s">
        <v>3375</v>
      </c>
      <c r="P84" s="18" t="str">
        <f>INDEX(AnnotationTuberculist2017!$A$2:$A$4034,MATCH('Regulatory overview'!O84,AnnotationTuberculist2017!$B$2:$B$4034,0))</f>
        <v>fadE27</v>
      </c>
    </row>
    <row r="85" spans="9:16">
      <c r="M85" s="33" t="s">
        <v>2408</v>
      </c>
      <c r="N85" s="18" t="str">
        <f>INDEX(AnnotationTuberculist2017!$A$2:$A$4034,MATCH('Regulatory overview'!M85,AnnotationTuberculist2017!$B$2:$B$4034,0))</f>
        <v>erg3</v>
      </c>
      <c r="O85" s="33" t="s">
        <v>18083</v>
      </c>
      <c r="P85" s="18" t="str">
        <f>INDEX(AnnotationTuberculist2017!$A$2:$A$4034,MATCH('Regulatory overview'!O85,AnnotationTuberculist2017!$B$2:$B$4034,0))</f>
        <v>ephA</v>
      </c>
    </row>
    <row r="86" spans="9:16">
      <c r="M86" s="33" t="s">
        <v>2992</v>
      </c>
      <c r="N86" s="18" t="str">
        <f>INDEX(AnnotationTuberculist2017!$A$2:$A$4034,MATCH('Regulatory overview'!M86,AnnotationTuberculist2017!$B$2:$B$4034,0))</f>
        <v>Rv1815</v>
      </c>
      <c r="O86" s="33" t="s">
        <v>991</v>
      </c>
      <c r="P86" s="18" t="str">
        <f>INDEX(AnnotationTuberculist2017!$A$2:$A$4034,MATCH('Regulatory overview'!O86,AnnotationTuberculist2017!$B$2:$B$4034,0))</f>
        <v>Rv3645</v>
      </c>
    </row>
    <row r="87" spans="9:16">
      <c r="M87" s="33" t="s">
        <v>3101</v>
      </c>
      <c r="N87" s="18" t="str">
        <f>INDEX(AnnotationTuberculist2017!$A$2:$A$4034,MATCH('Regulatory overview'!M87,AnnotationTuberculist2017!$B$2:$B$4034,0))</f>
        <v>Rv1883c</v>
      </c>
      <c r="O87" s="33" t="s">
        <v>18160</v>
      </c>
      <c r="P87" s="18" t="str">
        <f>INDEX(AnnotationTuberculist2017!$A$2:$A$4034,MATCH('Regulatory overview'!O87,AnnotationTuberculist2017!$B$2:$B$4034,0))</f>
        <v>PE33</v>
      </c>
    </row>
    <row r="88" spans="9:16">
      <c r="M88" s="33" t="s">
        <v>3392</v>
      </c>
      <c r="N88" s="18" t="str">
        <f>INDEX(AnnotationTuberculist2017!$A$2:$A$4034,MATCH('Regulatory overview'!M88,AnnotationTuberculist2017!$B$2:$B$4034,0))</f>
        <v>rpfC</v>
      </c>
      <c r="O88" s="36" t="s">
        <v>18165</v>
      </c>
      <c r="P88" s="37" t="str">
        <f>INDEX(AnnotationTuberculist2017!$A$2:$A$4034,MATCH('Regulatory overview'!O88,AnnotationTuberculist2017!$B$2:$B$4034,0))</f>
        <v>PE_PGRS60</v>
      </c>
    </row>
    <row r="89" spans="9:16">
      <c r="M89" s="33" t="s">
        <v>184</v>
      </c>
      <c r="N89" s="18" t="str">
        <f>INDEX(AnnotationTuberculist2017!$A$2:$A$4034,MATCH('Regulatory overview'!M89,AnnotationTuberculist2017!$B$2:$B$4034,0))</f>
        <v>Rv1996</v>
      </c>
      <c r="O89" s="33" t="s">
        <v>18251</v>
      </c>
      <c r="P89" s="18" t="str">
        <f>INDEX(AnnotationTuberculist2017!$A$2:$A$4034,MATCH('Regulatory overview'!O89,AnnotationTuberculist2017!$B$2:$B$4034,0))</f>
        <v>Rv3690</v>
      </c>
    </row>
    <row r="90" spans="9:16">
      <c r="M90" s="33" t="s">
        <v>315</v>
      </c>
      <c r="N90" s="18" t="str">
        <f>INDEX(AnnotationTuberculist2017!$A$2:$A$4034,MATCH('Regulatory overview'!M90,AnnotationTuberculist2017!$B$2:$B$4034,0))</f>
        <v>acg</v>
      </c>
      <c r="O90" s="36" t="s">
        <v>18318</v>
      </c>
      <c r="P90" s="37" t="str">
        <f>INDEX(AnnotationTuberculist2017!$A$2:$A$4034,MATCH('Regulatory overview'!O90,AnnotationTuberculist2017!$B$2:$B$4034,0))</f>
        <v>cut5a</v>
      </c>
    </row>
    <row r="91" spans="9:16">
      <c r="M91" s="33" t="s">
        <v>591</v>
      </c>
      <c r="N91" s="18" t="str">
        <f>INDEX(AnnotationTuberculist2017!$A$2:$A$4034,MATCH('Regulatory overview'!M91,AnnotationTuberculist2017!$B$2:$B$4034,0))</f>
        <v>Rv2557</v>
      </c>
      <c r="O91" s="33" t="s">
        <v>2838</v>
      </c>
      <c r="P91" s="18" t="str">
        <f>INDEX(AnnotationTuberculist2017!$A$2:$A$4034,MATCH('Regulatory overview'!O91,AnnotationTuberculist2017!$B$2:$B$4034,0))</f>
        <v>Rv3729</v>
      </c>
    </row>
    <row r="92" spans="9:16">
      <c r="M92" s="33" t="s">
        <v>334</v>
      </c>
      <c r="N92" s="18" t="str">
        <f>INDEX(AnnotationTuberculist2017!$A$2:$A$4034,MATCH('Regulatory overview'!M92,AnnotationTuberculist2017!$B$2:$B$4034,0))</f>
        <v>TB31.7</v>
      </c>
      <c r="O92" s="33" t="s">
        <v>1390</v>
      </c>
      <c r="P92" s="18" t="str">
        <f>INDEX(AnnotationTuberculist2017!$A$2:$A$4034,MATCH('Regulatory overview'!O92,AnnotationTuberculist2017!$B$2:$B$4034,0))</f>
        <v>fbpD</v>
      </c>
    </row>
    <row r="93" spans="9:16">
      <c r="M93" s="33" t="s">
        <v>342</v>
      </c>
      <c r="N93" s="18" t="str">
        <f>INDEX(AnnotationTuberculist2017!$A$2:$A$4034,MATCH('Regulatory overview'!M93,AnnotationTuberculist2017!$B$2:$B$4034,0))</f>
        <v>hrp1</v>
      </c>
      <c r="O93" s="33" t="s">
        <v>1148</v>
      </c>
      <c r="P93" s="18" t="str">
        <f>INDEX(AnnotationTuberculist2017!$A$2:$A$4034,MATCH('Regulatory overview'!O93,AnnotationTuberculist2017!$B$2:$B$4034,0))</f>
        <v>Rv3843c</v>
      </c>
    </row>
    <row r="94" spans="9:16">
      <c r="M94" s="33" t="s">
        <v>343</v>
      </c>
      <c r="N94" s="18" t="str">
        <f>INDEX(AnnotationTuberculist2017!$A$2:$A$4034,MATCH('Regulatory overview'!M94,AnnotationTuberculist2017!$B$2:$B$4034,0))</f>
        <v>Rv2627c</v>
      </c>
      <c r="O94" s="33" t="s">
        <v>18576</v>
      </c>
      <c r="P94" s="18" t="str">
        <f>INDEX(AnnotationTuberculist2017!$A$2:$A$4034,MATCH('Regulatory overview'!O94,AnnotationTuberculist2017!$B$2:$B$4034,0))</f>
        <v>Rv3844</v>
      </c>
    </row>
    <row r="95" spans="9:16">
      <c r="M95" s="33" t="s">
        <v>242</v>
      </c>
      <c r="N95" s="18" t="str">
        <f>INDEX(AnnotationTuberculist2017!$A$2:$A$4034,MATCH('Regulatory overview'!M95,AnnotationTuberculist2017!$B$2:$B$4034,0))</f>
        <v>Rv2628</v>
      </c>
      <c r="O95" s="33" t="s">
        <v>3404</v>
      </c>
      <c r="P95" s="18" t="str">
        <f>INDEX(AnnotationTuberculist2017!$A$2:$A$4034,MATCH('Regulatory overview'!O95,AnnotationTuberculist2017!$B$2:$B$4034,0))</f>
        <v>Rv3857c</v>
      </c>
    </row>
    <row r="96" spans="9:16">
      <c r="M96" s="33" t="s">
        <v>15758</v>
      </c>
      <c r="N96" s="18" t="str">
        <f>INDEX(AnnotationTuberculist2017!$A$2:$A$4034,MATCH('Regulatory overview'!M96,AnnotationTuberculist2017!$B$2:$B$4034,0))</f>
        <v>Rv2632c</v>
      </c>
      <c r="O96" s="36" t="s">
        <v>364</v>
      </c>
      <c r="P96" s="18" t="str">
        <f>INDEX(AnnotationTuberculist2017!$A$2:$A$4034,MATCH('Regulatory overview'!O96,AnnotationTuberculist2017!$B$2:$B$4034,0))</f>
        <v>espK</v>
      </c>
    </row>
    <row r="97" spans="13:16">
      <c r="M97" s="33" t="s">
        <v>2852</v>
      </c>
      <c r="N97" s="18" t="str">
        <f>INDEX(AnnotationTuberculist2017!$A$2:$A$4034,MATCH('Regulatory overview'!M97,AnnotationTuberculist2017!$B$2:$B$4034,0))</f>
        <v>Rv3083</v>
      </c>
      <c r="O97" s="36" t="s">
        <v>2070</v>
      </c>
      <c r="P97" s="37" t="str">
        <f>INDEX(AnnotationTuberculist2017!$A$2:$A$4034,MATCH('Regulatory overview'!O97,AnnotationTuberculist2017!$B$2:$B$4034,0))</f>
        <v>PE36</v>
      </c>
    </row>
    <row r="98" spans="13:16">
      <c r="M98" s="33" t="s">
        <v>272</v>
      </c>
      <c r="N98" s="18" t="str">
        <f>INDEX(AnnotationTuberculist2017!$A$2:$A$4034,MATCH('Regulatory overview'!M98,AnnotationTuberculist2017!$B$2:$B$4034,0))</f>
        <v>Rv3127</v>
      </c>
    </row>
    <row r="99" spans="13:16">
      <c r="M99" s="33" t="s">
        <v>365</v>
      </c>
      <c r="N99" s="18" t="str">
        <f>INDEX(AnnotationTuberculist2017!$A$2:$A$4034,MATCH('Regulatory overview'!M99,AnnotationTuberculist2017!$B$2:$B$4034,0))</f>
        <v>tgs1</v>
      </c>
    </row>
    <row r="100" spans="13:16">
      <c r="M100" s="33" t="s">
        <v>368</v>
      </c>
      <c r="N100" s="18" t="str">
        <f>INDEX(AnnotationTuberculist2017!$A$2:$A$4034,MATCH('Regulatory overview'!M100,AnnotationTuberculist2017!$B$2:$B$4034,0))</f>
        <v>Rv3131</v>
      </c>
    </row>
    <row r="101" spans="13:16">
      <c r="M101" s="33" t="s">
        <v>375</v>
      </c>
      <c r="N101" s="18" t="str">
        <f>INDEX(AnnotationTuberculist2017!$A$2:$A$4034,MATCH('Regulatory overview'!M101,AnnotationTuberculist2017!$B$2:$B$4034,0))</f>
        <v>Rv3134c</v>
      </c>
    </row>
    <row r="102" spans="13:16">
      <c r="M102" s="33" t="s">
        <v>182</v>
      </c>
      <c r="N102" s="18" t="str">
        <f>INDEX(AnnotationTuberculist2017!$A$2:$A$4034,MATCH('Regulatory overview'!M102,AnnotationTuberculist2017!$B$2:$B$4034,0))</f>
        <v>desA3</v>
      </c>
    </row>
    <row r="103" spans="13:16">
      <c r="M103" s="33" t="s">
        <v>126</v>
      </c>
      <c r="N103" s="18" t="str">
        <f>INDEX(AnnotationTuberculist2017!$A$2:$A$4034,MATCH('Regulatory overview'!M103,AnnotationTuberculist2017!$B$2:$B$4034,0))</f>
        <v>espD</v>
      </c>
    </row>
    <row r="104" spans="13:16">
      <c r="M104" s="33" t="s">
        <v>55</v>
      </c>
      <c r="N104" s="18" t="str">
        <f>INDEX(AnnotationTuberculist2017!$A$2:$A$4034,MATCH('Regulatory overview'!M104,AnnotationTuberculist2017!$B$2:$B$4034,0))</f>
        <v>espA</v>
      </c>
    </row>
    <row r="105" spans="13:16">
      <c r="M105" s="33"/>
    </row>
    <row r="106" spans="13:16">
      <c r="M106" s="33"/>
    </row>
    <row r="107" spans="13:16">
      <c r="M107" s="33"/>
    </row>
    <row r="108" spans="13:16">
      <c r="M108" s="33"/>
    </row>
    <row r="109" spans="13:16">
      <c r="M109" s="33"/>
    </row>
  </sheetData>
  <sortState ref="M74:N102">
    <sortCondition ref="M74"/>
  </sortState>
  <conditionalFormatting sqref="V5:V13">
    <cfRule type="duplicateValues" priority="124"/>
  </conditionalFormatting>
  <conditionalFormatting sqref="C1:C1048576 G1:G1048576 I1:I1048576 K1:K1048576 M1:M1048576 O1:O1048576 A1:A1048576">
    <cfRule type="duplicateValues" dxfId="106" priority="84"/>
    <cfRule type="duplicateValues" dxfId="105" priority="85"/>
  </conditionalFormatting>
  <conditionalFormatting sqref="R3:R62 O1:O1048576 K1:K1048576 I1:I1048576 G1:G1048576 A1:A1048576">
    <cfRule type="duplicateValues" dxfId="104" priority="86"/>
  </conditionalFormatting>
  <conditionalFormatting sqref="C1:C1048576 G1:G1048576 I1:I1048576 K1:K1048576 M1:M1048576 O1:O1048576 E1:E1048576 A1:A1048576">
    <cfRule type="duplicateValues" dxfId="103" priority="83"/>
  </conditionalFormatting>
  <conditionalFormatting sqref="P4:P6">
    <cfRule type="duplicateValues" dxfId="102" priority="80"/>
    <cfRule type="duplicateValues" dxfId="101" priority="81"/>
  </conditionalFormatting>
  <conditionalFormatting sqref="P4:P6">
    <cfRule type="duplicateValues" dxfId="100" priority="82"/>
  </conditionalFormatting>
  <conditionalFormatting sqref="P4:P6">
    <cfRule type="duplicateValues" dxfId="99" priority="79"/>
  </conditionalFormatting>
  <conditionalFormatting sqref="P8:P10">
    <cfRule type="duplicateValues" dxfId="98" priority="76"/>
    <cfRule type="duplicateValues" dxfId="97" priority="77"/>
  </conditionalFormatting>
  <conditionalFormatting sqref="P8:P10">
    <cfRule type="duplicateValues" dxfId="96" priority="78"/>
  </conditionalFormatting>
  <conditionalFormatting sqref="P8:P10">
    <cfRule type="duplicateValues" dxfId="95" priority="75"/>
  </conditionalFormatting>
  <conditionalFormatting sqref="P11:P13">
    <cfRule type="duplicateValues" dxfId="94" priority="72"/>
    <cfRule type="duplicateValues" dxfId="93" priority="73"/>
  </conditionalFormatting>
  <conditionalFormatting sqref="P11:P13">
    <cfRule type="duplicateValues" dxfId="92" priority="74"/>
  </conditionalFormatting>
  <conditionalFormatting sqref="P11:P13">
    <cfRule type="duplicateValues" dxfId="91" priority="71"/>
  </conditionalFormatting>
  <conditionalFormatting sqref="P14:P17">
    <cfRule type="duplicateValues" dxfId="90" priority="68"/>
    <cfRule type="duplicateValues" dxfId="89" priority="69"/>
  </conditionalFormatting>
  <conditionalFormatting sqref="P14:P17">
    <cfRule type="duplicateValues" dxfId="88" priority="70"/>
  </conditionalFormatting>
  <conditionalFormatting sqref="P14:P17">
    <cfRule type="duplicateValues" dxfId="87" priority="67"/>
  </conditionalFormatting>
  <conditionalFormatting sqref="P19:P40">
    <cfRule type="duplicateValues" dxfId="86" priority="64"/>
    <cfRule type="duplicateValues" dxfId="85" priority="65"/>
  </conditionalFormatting>
  <conditionalFormatting sqref="P19:P40">
    <cfRule type="duplicateValues" dxfId="84" priority="66"/>
  </conditionalFormatting>
  <conditionalFormatting sqref="P19:P40">
    <cfRule type="duplicateValues" dxfId="83" priority="63"/>
  </conditionalFormatting>
  <conditionalFormatting sqref="P42:P45">
    <cfRule type="duplicateValues" dxfId="82" priority="60"/>
    <cfRule type="duplicateValues" dxfId="81" priority="61"/>
  </conditionalFormatting>
  <conditionalFormatting sqref="P42:P45">
    <cfRule type="duplicateValues" dxfId="80" priority="62"/>
  </conditionalFormatting>
  <conditionalFormatting sqref="P42:P45">
    <cfRule type="duplicateValues" dxfId="79" priority="59"/>
  </conditionalFormatting>
  <conditionalFormatting sqref="P47:P50">
    <cfRule type="duplicateValues" dxfId="78" priority="56"/>
    <cfRule type="duplicateValues" dxfId="77" priority="57"/>
  </conditionalFormatting>
  <conditionalFormatting sqref="P47:P50">
    <cfRule type="duplicateValues" dxfId="76" priority="58"/>
  </conditionalFormatting>
  <conditionalFormatting sqref="P47:P50">
    <cfRule type="duplicateValues" dxfId="75" priority="55"/>
  </conditionalFormatting>
  <conditionalFormatting sqref="P52:P62">
    <cfRule type="duplicateValues" dxfId="74" priority="52"/>
    <cfRule type="duplicateValues" dxfId="73" priority="53"/>
  </conditionalFormatting>
  <conditionalFormatting sqref="P52:P62">
    <cfRule type="duplicateValues" dxfId="72" priority="54"/>
  </conditionalFormatting>
  <conditionalFormatting sqref="P52:P62">
    <cfRule type="duplicateValues" dxfId="71" priority="51"/>
  </conditionalFormatting>
  <conditionalFormatting sqref="P64:P77">
    <cfRule type="duplicateValues" dxfId="70" priority="48"/>
    <cfRule type="duplicateValues" dxfId="69" priority="49"/>
  </conditionalFormatting>
  <conditionalFormatting sqref="P64:P77">
    <cfRule type="duplicateValues" dxfId="68" priority="50"/>
  </conditionalFormatting>
  <conditionalFormatting sqref="P64:P77">
    <cfRule type="duplicateValues" dxfId="67" priority="47"/>
  </conditionalFormatting>
  <conditionalFormatting sqref="P80:P87">
    <cfRule type="duplicateValues" dxfId="66" priority="44"/>
    <cfRule type="duplicateValues" dxfId="65" priority="45"/>
  </conditionalFormatting>
  <conditionalFormatting sqref="P80:P87">
    <cfRule type="duplicateValues" dxfId="64" priority="46"/>
  </conditionalFormatting>
  <conditionalFormatting sqref="P80:P87">
    <cfRule type="duplicateValues" dxfId="63" priority="43"/>
  </conditionalFormatting>
  <conditionalFormatting sqref="P89">
    <cfRule type="duplicateValues" dxfId="62" priority="40"/>
    <cfRule type="duplicateValues" dxfId="61" priority="41"/>
  </conditionalFormatting>
  <conditionalFormatting sqref="P89">
    <cfRule type="duplicateValues" dxfId="60" priority="42"/>
  </conditionalFormatting>
  <conditionalFormatting sqref="P89">
    <cfRule type="duplicateValues" dxfId="59" priority="39"/>
  </conditionalFormatting>
  <conditionalFormatting sqref="P91:P96">
    <cfRule type="duplicateValues" dxfId="58" priority="36"/>
    <cfRule type="duplicateValues" dxfId="57" priority="37"/>
  </conditionalFormatting>
  <conditionalFormatting sqref="P91:P96">
    <cfRule type="duplicateValues" dxfId="56" priority="38"/>
  </conditionalFormatting>
  <conditionalFormatting sqref="P91:P96">
    <cfRule type="duplicateValues" dxfId="55" priority="35"/>
  </conditionalFormatting>
  <conditionalFormatting sqref="J2">
    <cfRule type="duplicateValues" dxfId="54" priority="32"/>
    <cfRule type="duplicateValues" dxfId="53" priority="33"/>
  </conditionalFormatting>
  <conditionalFormatting sqref="J2">
    <cfRule type="duplicateValues" dxfId="52" priority="34"/>
  </conditionalFormatting>
  <conditionalFormatting sqref="J2">
    <cfRule type="duplicateValues" dxfId="51" priority="31"/>
  </conditionalFormatting>
  <conditionalFormatting sqref="D39">
    <cfRule type="duplicateValues" dxfId="50" priority="29"/>
    <cfRule type="duplicateValues" dxfId="49" priority="30"/>
  </conditionalFormatting>
  <conditionalFormatting sqref="D39">
    <cfRule type="duplicateValues" dxfId="48" priority="28"/>
  </conditionalFormatting>
  <conditionalFormatting sqref="N2">
    <cfRule type="duplicateValues" dxfId="47" priority="26"/>
    <cfRule type="duplicateValues" dxfId="46" priority="27"/>
  </conditionalFormatting>
  <conditionalFormatting sqref="N2">
    <cfRule type="duplicateValues" dxfId="45" priority="25"/>
  </conditionalFormatting>
  <conditionalFormatting sqref="N11">
    <cfRule type="duplicateValues" dxfId="44" priority="23"/>
    <cfRule type="duplicateValues" dxfId="43" priority="24"/>
  </conditionalFormatting>
  <conditionalFormatting sqref="N11">
    <cfRule type="duplicateValues" dxfId="42" priority="22"/>
  </conditionalFormatting>
  <conditionalFormatting sqref="P2">
    <cfRule type="duplicateValues" dxfId="41" priority="19"/>
    <cfRule type="duplicateValues" dxfId="40" priority="20"/>
  </conditionalFormatting>
  <conditionalFormatting sqref="P2">
    <cfRule type="duplicateValues" dxfId="39" priority="21"/>
  </conditionalFormatting>
  <conditionalFormatting sqref="P2">
    <cfRule type="duplicateValues" dxfId="38" priority="18"/>
  </conditionalFormatting>
  <conditionalFormatting sqref="N18">
    <cfRule type="duplicateValues" dxfId="37" priority="15"/>
    <cfRule type="duplicateValues" dxfId="36" priority="16"/>
  </conditionalFormatting>
  <conditionalFormatting sqref="N18">
    <cfRule type="duplicateValues" dxfId="35" priority="17"/>
  </conditionalFormatting>
  <conditionalFormatting sqref="N18">
    <cfRule type="duplicateValues" dxfId="34" priority="14"/>
  </conditionalFormatting>
  <conditionalFormatting sqref="N76">
    <cfRule type="duplicateValues" dxfId="33" priority="12"/>
    <cfRule type="duplicateValues" dxfId="32" priority="13"/>
  </conditionalFormatting>
  <conditionalFormatting sqref="N76">
    <cfRule type="duplicateValues" dxfId="31" priority="11"/>
  </conditionalFormatting>
  <conditionalFormatting sqref="N53">
    <cfRule type="duplicateValues" dxfId="30" priority="9"/>
    <cfRule type="duplicateValues" dxfId="29" priority="10"/>
  </conditionalFormatting>
  <conditionalFormatting sqref="N53">
    <cfRule type="duplicateValues" dxfId="28" priority="8"/>
  </conditionalFormatting>
  <conditionalFormatting sqref="N47">
    <cfRule type="duplicateValues" dxfId="27" priority="6"/>
    <cfRule type="duplicateValues" dxfId="26" priority="7"/>
  </conditionalFormatting>
  <conditionalFormatting sqref="N47">
    <cfRule type="duplicateValues" dxfId="25" priority="5"/>
  </conditionalFormatting>
  <conditionalFormatting sqref="R2:S2">
    <cfRule type="duplicateValues" dxfId="24" priority="2"/>
    <cfRule type="duplicateValues" dxfId="23" priority="3"/>
  </conditionalFormatting>
  <conditionalFormatting sqref="R2:S2">
    <cfRule type="duplicateValues" dxfId="22" priority="4"/>
  </conditionalFormatting>
  <conditionalFormatting sqref="R2:S2">
    <cfRule type="duplicateValues" dxfId="21" priority="1"/>
  </conditionalFormatting>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217"/>
  <sheetViews>
    <sheetView topLeftCell="P1" zoomScaleNormal="100" workbookViewId="0">
      <selection activeCell="R1" sqref="R1"/>
    </sheetView>
  </sheetViews>
  <sheetFormatPr defaultRowHeight="14.5"/>
  <cols>
    <col min="1" max="6" width="8.54296875"/>
    <col min="7" max="7" width="9.1796875" style="1"/>
    <col min="8" max="8" width="9.1796875" style="2"/>
    <col min="9" max="12" width="8.54296875"/>
    <col min="16" max="23" width="8.54296875"/>
    <col min="24" max="24" width="23.81640625" bestFit="1" customWidth="1"/>
    <col min="25" max="1028" width="8.54296875"/>
  </cols>
  <sheetData>
    <row r="1" spans="1:24">
      <c r="A1" s="1"/>
      <c r="B1" s="2"/>
      <c r="C1" s="1"/>
      <c r="D1" s="2"/>
      <c r="E1" s="1"/>
      <c r="F1" s="3"/>
      <c r="H1" s="3"/>
      <c r="I1" s="4"/>
      <c r="J1" s="2"/>
      <c r="K1" s="1"/>
      <c r="L1" s="4"/>
      <c r="M1" s="4"/>
      <c r="N1" s="4"/>
      <c r="O1" s="1"/>
      <c r="R1" s="34" t="s">
        <v>20213</v>
      </c>
      <c r="S1" s="1"/>
      <c r="T1" s="1"/>
      <c r="U1" s="1"/>
      <c r="X1" s="9" t="s">
        <v>474</v>
      </c>
    </row>
    <row r="2" spans="1:24">
      <c r="A2" s="4" t="s">
        <v>0</v>
      </c>
      <c r="B2" s="3"/>
      <c r="C2" s="4" t="s">
        <v>20171</v>
      </c>
      <c r="D2" s="3"/>
      <c r="E2" s="4" t="s">
        <v>1</v>
      </c>
      <c r="F2" s="3"/>
      <c r="G2" s="3" t="s">
        <v>2</v>
      </c>
      <c r="I2" s="4" t="s">
        <v>3</v>
      </c>
      <c r="J2" s="3"/>
      <c r="K2" s="4" t="s">
        <v>4</v>
      </c>
      <c r="L2" s="2"/>
      <c r="M2" s="4" t="s">
        <v>19179</v>
      </c>
      <c r="N2" s="2"/>
      <c r="O2" s="1"/>
      <c r="P2" s="1"/>
      <c r="Q2" s="1"/>
      <c r="R2" s="9" t="s">
        <v>473</v>
      </c>
      <c r="S2" s="5" t="s">
        <v>472</v>
      </c>
      <c r="T2" s="1"/>
      <c r="U2" s="5" t="s">
        <v>20193</v>
      </c>
      <c r="X2" t="s">
        <v>475</v>
      </c>
    </row>
    <row r="3" spans="1:24" ht="15.5">
      <c r="A3" s="5" t="s">
        <v>5</v>
      </c>
      <c r="B3" s="2"/>
      <c r="C3" s="5" t="s">
        <v>6</v>
      </c>
      <c r="D3" s="6"/>
      <c r="E3" s="5" t="s">
        <v>7</v>
      </c>
      <c r="F3" s="2"/>
      <c r="G3" s="5" t="s">
        <v>9</v>
      </c>
      <c r="H3" s="6" t="s">
        <v>8</v>
      </c>
      <c r="I3" s="5" t="s">
        <v>10</v>
      </c>
      <c r="J3" s="2"/>
      <c r="K3" s="1" t="s">
        <v>11</v>
      </c>
      <c r="L3" s="1" t="str">
        <f>LOOKUP(K3,AnnotationTuberculist2017!B:B,AnnotationTuberculist2017!A:A)</f>
        <v>pks3</v>
      </c>
      <c r="M3" s="1" t="s">
        <v>996</v>
      </c>
      <c r="N3" s="2" t="str">
        <f>LOOKUP(M3,AnnotationTuberculist2017!B:B,AnnotationTuberculist2017!A:A)</f>
        <v>dnaN</v>
      </c>
      <c r="O3" s="1"/>
      <c r="P3" s="1"/>
      <c r="Q3" s="1"/>
      <c r="R3" s="13">
        <v>5.228914499</v>
      </c>
      <c r="S3" s="11" t="s">
        <v>432</v>
      </c>
      <c r="T3" s="1" t="str">
        <f>INDEX(AnnotationTuberculist2017!$A:$A,MATCH(S3,AnnotationTuberculist2017!$B:$B,0))</f>
        <v>prpD</v>
      </c>
      <c r="U3" s="1"/>
      <c r="X3" t="s">
        <v>476</v>
      </c>
    </row>
    <row r="4" spans="1:24" ht="15.5">
      <c r="A4" s="1" t="s">
        <v>248</v>
      </c>
      <c r="B4" s="2" t="str">
        <f>LOOKUP(A4,AnnotationTuberculist2017!B:B,AnnotationTuberculist2017!A:A)</f>
        <v>ldtA</v>
      </c>
      <c r="C4" s="1" t="s">
        <v>102</v>
      </c>
      <c r="D4" s="2" t="str">
        <f>LOOKUP(C4,AnnotationTuberculist2017!B:B,AnnotationTuberculist2017!A:A)</f>
        <v>rpmB1</v>
      </c>
      <c r="E4" s="1" t="s">
        <v>104</v>
      </c>
      <c r="F4" s="2" t="str">
        <f>LOOKUP(E4,AnnotationTuberculist2017!B:B,AnnotationTuberculist2017!A:A)</f>
        <v>umaA</v>
      </c>
      <c r="G4" s="1" t="s">
        <v>20</v>
      </c>
      <c r="H4" s="2" t="str">
        <f>LOOKUP(G4,AnnotationTuberculist2017!B:B,AnnotationTuberculist2017!A:A)</f>
        <v>bglS</v>
      </c>
      <c r="I4" s="1" t="s">
        <v>21</v>
      </c>
      <c r="J4" s="2" t="str">
        <f>LOOKUP(I4,AnnotationTuberculist2017!B:B,AnnotationTuberculist2017!A:A)</f>
        <v>fadE4</v>
      </c>
      <c r="K4" s="1" t="s">
        <v>17</v>
      </c>
      <c r="L4" s="1" t="str">
        <f>LOOKUP(K4,AnnotationTuberculist2017!B:B,AnnotationTuberculist2017!A:A)</f>
        <v>fadD26</v>
      </c>
      <c r="M4" s="1" t="s">
        <v>1114</v>
      </c>
      <c r="N4" s="2" t="str">
        <f>LOOKUP(M4,AnnotationTuberculist2017!B:B,AnnotationTuberculist2017!A:A)</f>
        <v>fhaB</v>
      </c>
      <c r="O4" s="1"/>
      <c r="P4" s="1"/>
      <c r="Q4" s="1"/>
      <c r="R4" s="13">
        <v>4.6790114320000002</v>
      </c>
      <c r="S4" s="11" t="s">
        <v>108</v>
      </c>
      <c r="T4" s="1" t="str">
        <f>INDEX(AnnotationTuberculist2017!$A:$A,MATCH(S4,AnnotationTuberculist2017!$B:$B,0))</f>
        <v>Rv0106</v>
      </c>
      <c r="U4" s="1" t="s">
        <v>20180</v>
      </c>
      <c r="X4" t="s">
        <v>477</v>
      </c>
    </row>
    <row r="5" spans="1:24" ht="15.5">
      <c r="A5" s="1" t="s">
        <v>13</v>
      </c>
      <c r="B5" s="2" t="str">
        <f>LOOKUP(A5,AnnotationTuberculist2017!B:B,AnnotationTuberculist2017!A:A)</f>
        <v>eccA3</v>
      </c>
      <c r="C5" s="1" t="s">
        <v>108</v>
      </c>
      <c r="D5" s="2" t="str">
        <f>LOOKUP(C5,AnnotationTuberculist2017!B:B,AnnotationTuberculist2017!A:A)</f>
        <v>Rv0106</v>
      </c>
      <c r="E5" s="1" t="s">
        <v>78</v>
      </c>
      <c r="F5" s="2" t="str">
        <f>LOOKUP(E5,AnnotationTuberculist2017!B:B,AnnotationTuberculist2017!A:A)</f>
        <v>Rv0986</v>
      </c>
      <c r="G5" s="1" t="s">
        <v>29</v>
      </c>
      <c r="H5" s="2" t="str">
        <f>LOOKUP(G5,AnnotationTuberculist2017!B:B,AnnotationTuberculist2017!A:A)</f>
        <v>Rv0250c</v>
      </c>
      <c r="I5" s="1" t="s">
        <v>30</v>
      </c>
      <c r="J5" s="2" t="str">
        <f>LOOKUP(I5,AnnotationTuberculist2017!B:B,AnnotationTuberculist2017!A:A)</f>
        <v>fdxC</v>
      </c>
      <c r="K5" s="1" t="s">
        <v>32</v>
      </c>
      <c r="L5" s="1" t="str">
        <f>LOOKUP(K5,AnnotationTuberculist2017!B:B,AnnotationTuberculist2017!A:A)</f>
        <v>ppsA</v>
      </c>
      <c r="M5" s="1" t="s">
        <v>9902</v>
      </c>
      <c r="N5" s="2" t="str">
        <f>LOOKUP(M5,AnnotationTuberculist2017!B:B,AnnotationTuberculist2017!A:A)</f>
        <v>ephF</v>
      </c>
      <c r="O5" s="1"/>
      <c r="P5" s="1"/>
      <c r="Q5" s="1"/>
      <c r="R5" s="13">
        <v>4.361005746</v>
      </c>
      <c r="S5" s="11" t="s">
        <v>433</v>
      </c>
      <c r="T5" s="1" t="str">
        <f>INDEX(AnnotationTuberculist2017!$A:$A,MATCH(S5,AnnotationTuberculist2017!$B:$B,0))</f>
        <v>prpC</v>
      </c>
      <c r="U5" s="1"/>
      <c r="X5" t="s">
        <v>478</v>
      </c>
    </row>
    <row r="6" spans="1:24" ht="15.5">
      <c r="A6" s="1" t="s">
        <v>23</v>
      </c>
      <c r="B6" s="2" t="str">
        <f>LOOKUP(A6,AnnotationTuberculist2017!B:B,AnnotationTuberculist2017!A:A)</f>
        <v>eccB3</v>
      </c>
      <c r="C6" s="1" t="s">
        <v>113</v>
      </c>
      <c r="D6" s="2" t="str">
        <f>LOOKUP(C6,AnnotationTuberculist2017!B:B,AnnotationTuberculist2017!A:A)</f>
        <v>Rv0232</v>
      </c>
      <c r="E6" s="1" t="s">
        <v>46</v>
      </c>
      <c r="F6" s="2" t="str">
        <f>LOOKUP(E6,AnnotationTuberculist2017!B:B,AnnotationTuberculist2017!A:A)</f>
        <v>PE_PGRS19</v>
      </c>
      <c r="G6" s="1" t="s">
        <v>39</v>
      </c>
      <c r="H6" s="2" t="str">
        <f>LOOKUP(G6,AnnotationTuberculist2017!B:B,AnnotationTuberculist2017!A:A)</f>
        <v>hsp</v>
      </c>
      <c r="I6" s="1" t="s">
        <v>40</v>
      </c>
      <c r="J6" s="2" t="str">
        <f>LOOKUP(I6,AnnotationTuberculist2017!B:B,AnnotationTuberculist2017!A:A)</f>
        <v>Rv1734c</v>
      </c>
      <c r="K6" s="1" t="s">
        <v>41</v>
      </c>
      <c r="L6" s="1" t="str">
        <f>LOOKUP(K6,AnnotationTuberculist2017!B:B,AnnotationTuberculist2017!A:A)</f>
        <v>mas</v>
      </c>
      <c r="M6" s="1" t="s">
        <v>2602</v>
      </c>
      <c r="N6" s="2" t="str">
        <f>LOOKUP(M6,AnnotationTuberculist2017!B:B,AnnotationTuberculist2017!A:A)</f>
        <v>Rv0249c</v>
      </c>
      <c r="O6" s="1"/>
      <c r="P6" s="1"/>
      <c r="Q6" s="1"/>
      <c r="R6" s="13">
        <v>4.0774561990000002</v>
      </c>
      <c r="S6" s="11" t="s">
        <v>226</v>
      </c>
      <c r="T6" s="1" t="str">
        <f>INDEX(AnnotationTuberculist2017!$A:$A,MATCH(S6,AnnotationTuberculist2017!$B:$B,0))</f>
        <v>Rv1405c</v>
      </c>
      <c r="U6" s="1" t="s">
        <v>20179</v>
      </c>
      <c r="X6" t="s">
        <v>479</v>
      </c>
    </row>
    <row r="7" spans="1:24" ht="15.5">
      <c r="A7" s="1" t="s">
        <v>34</v>
      </c>
      <c r="B7" s="2" t="str">
        <f>LOOKUP(A7,AnnotationTuberculist2017!B:B,AnnotationTuberculist2017!A:A)</f>
        <v>eccC3</v>
      </c>
      <c r="C7" s="1" t="s">
        <v>118</v>
      </c>
      <c r="D7" s="2" t="str">
        <f>LOOKUP(C7,AnnotationTuberculist2017!B:B,AnnotationTuberculist2017!A:A)</f>
        <v>Rv0281</v>
      </c>
      <c r="E7" s="1" t="s">
        <v>86</v>
      </c>
      <c r="F7" s="2" t="str">
        <f>LOOKUP(E7,AnnotationTuberculist2017!B:B,AnnotationTuberculist2017!A:A)</f>
        <v>PE_PGRS20</v>
      </c>
      <c r="G7" s="1" t="s">
        <v>48</v>
      </c>
      <c r="H7" s="2" t="str">
        <f>LOOKUP(G7,AnnotationTuberculist2017!B:B,AnnotationTuberculist2017!A:A)</f>
        <v>groEL2</v>
      </c>
      <c r="I7" s="1" t="s">
        <v>49</v>
      </c>
      <c r="J7" s="2" t="str">
        <f>LOOKUP(I7,AnnotationTuberculist2017!B:B,AnnotationTuberculist2017!A:A)</f>
        <v>Rv1998c</v>
      </c>
      <c r="K7" s="1" t="s">
        <v>50</v>
      </c>
      <c r="L7" s="1" t="str">
        <f>LOOKUP(K7,AnnotationTuberculist2017!B:B,AnnotationTuberculist2017!A:A)</f>
        <v>fadD28</v>
      </c>
      <c r="M7" s="1" t="s">
        <v>1903</v>
      </c>
      <c r="N7" s="2" t="str">
        <f>LOOKUP(M7,AnnotationTuberculist2017!B:B,AnnotationTuberculist2017!A:A)</f>
        <v>PPE2</v>
      </c>
      <c r="O7" s="1"/>
      <c r="P7" s="1"/>
      <c r="Q7" s="1"/>
      <c r="R7" s="13">
        <v>3.7832253570000001</v>
      </c>
      <c r="S7" s="11" t="s">
        <v>191</v>
      </c>
      <c r="T7" s="1" t="str">
        <f>INDEX(AnnotationTuberculist2017!$A:$A,MATCH(S7,AnnotationTuberculist2017!$B:$B,0))</f>
        <v>mbtA</v>
      </c>
      <c r="U7" s="1" t="s">
        <v>0</v>
      </c>
      <c r="X7" t="s">
        <v>480</v>
      </c>
    </row>
    <row r="8" spans="1:24" ht="15.5">
      <c r="A8" s="1" t="s">
        <v>43</v>
      </c>
      <c r="B8" s="2" t="str">
        <f>LOOKUP(A8,AnnotationTuberculist2017!B:B,AnnotationTuberculist2017!A:A)</f>
        <v>PE5</v>
      </c>
      <c r="C8" s="1" t="s">
        <v>13</v>
      </c>
      <c r="D8" s="2" t="str">
        <f>LOOKUP(C8,AnnotationTuberculist2017!B:B,AnnotationTuberculist2017!A:A)</f>
        <v>eccA3</v>
      </c>
      <c r="E8" s="1" t="s">
        <v>27</v>
      </c>
      <c r="F8" s="2" t="str">
        <f>LOOKUP(E8,AnnotationTuberculist2017!B:B,AnnotationTuberculist2017!A:A)</f>
        <v>Rv1490</v>
      </c>
      <c r="G8" s="1" t="s">
        <v>58</v>
      </c>
      <c r="H8" s="2" t="str">
        <f>LOOKUP(G8,AnnotationTuberculist2017!B:B,AnnotationTuberculist2017!A:A)</f>
        <v>mmpS5</v>
      </c>
      <c r="I8" s="1" t="s">
        <v>59</v>
      </c>
      <c r="J8" s="2" t="str">
        <f>LOOKUP(I8,AnnotationTuberculist2017!B:B,AnnotationTuberculist2017!A:A)</f>
        <v>Rv3126c</v>
      </c>
      <c r="K8" s="1" t="s">
        <v>60</v>
      </c>
      <c r="L8" s="1" t="str">
        <f>LOOKUP(K8,AnnotationTuberculist2017!B:B,AnnotationTuberculist2017!A:A)</f>
        <v>fbpA</v>
      </c>
      <c r="M8" s="1" t="s">
        <v>1834</v>
      </c>
      <c r="N8" s="2" t="str">
        <f>LOOKUP(M8,AnnotationTuberculist2017!B:B,AnnotationTuberculist2017!A:A)</f>
        <v>def</v>
      </c>
      <c r="O8" s="1"/>
      <c r="P8" s="1"/>
      <c r="Q8" s="1"/>
      <c r="R8" s="13">
        <v>3.593647415</v>
      </c>
      <c r="S8" s="11" t="s">
        <v>232</v>
      </c>
      <c r="T8" s="1" t="str">
        <f>INDEX(AnnotationTuberculist2017!$A:$A,MATCH(S8,AnnotationTuberculist2017!$B:$B,0))</f>
        <v>mbtJ</v>
      </c>
      <c r="U8" s="1" t="s">
        <v>20178</v>
      </c>
      <c r="X8" t="s">
        <v>481</v>
      </c>
    </row>
    <row r="9" spans="1:24" ht="15.5">
      <c r="A9" s="1" t="s">
        <v>52</v>
      </c>
      <c r="B9" s="2" t="str">
        <f>LOOKUP(A9,AnnotationTuberculist2017!B:B,AnnotationTuberculist2017!A:A)</f>
        <v>PPE4</v>
      </c>
      <c r="C9" s="1" t="s">
        <v>23</v>
      </c>
      <c r="D9" s="2" t="str">
        <f>LOOKUP(C9,AnnotationTuberculist2017!B:B,AnnotationTuberculist2017!A:A)</f>
        <v>eccB3</v>
      </c>
      <c r="E9" s="1" t="s">
        <v>66</v>
      </c>
      <c r="F9" s="2" t="str">
        <f>LOOKUP(E9,AnnotationTuberculist2017!B:B,AnnotationTuberculist2017!A:A)</f>
        <v>PPE24</v>
      </c>
      <c r="G9" s="1" t="s">
        <v>69</v>
      </c>
      <c r="H9" s="2" t="str">
        <f>LOOKUP(G9,AnnotationTuberculist2017!B:B,AnnotationTuberculist2017!A:A)</f>
        <v>phoP</v>
      </c>
      <c r="I9" s="1" t="s">
        <v>70</v>
      </c>
      <c r="J9" s="2" t="str">
        <f>LOOKUP(I9,AnnotationTuberculist2017!B:B,AnnotationTuberculist2017!A:A)</f>
        <v>Rv3128c</v>
      </c>
      <c r="K9" s="1" t="s">
        <v>72</v>
      </c>
      <c r="L9" s="2" t="str">
        <f>LOOKUP(K9,AnnotationTuberculist2017!B:B,AnnotationTuberculist2017!A:A)</f>
        <v>pks2</v>
      </c>
      <c r="M9" s="1" t="s">
        <v>116</v>
      </c>
      <c r="N9" s="2" t="str">
        <f>LOOKUP(M9,AnnotationTuberculist2017!B:B,AnnotationTuberculist2017!A:A)</f>
        <v>mmpS4</v>
      </c>
      <c r="O9" s="1"/>
      <c r="P9" s="1"/>
      <c r="Q9" s="1"/>
      <c r="R9" s="13">
        <v>3.1655606789999999</v>
      </c>
      <c r="S9" s="11" t="s">
        <v>227</v>
      </c>
      <c r="T9" s="1" t="str">
        <f>INDEX(AnnotationTuberculist2017!$A:$A,MATCH(S9,AnnotationTuberculist2017!$B:$B,0))</f>
        <v>mbtI</v>
      </c>
      <c r="U9" s="1" t="s">
        <v>0</v>
      </c>
      <c r="X9" t="s">
        <v>482</v>
      </c>
    </row>
    <row r="10" spans="1:24" ht="15.5">
      <c r="A10" s="1" t="s">
        <v>62</v>
      </c>
      <c r="B10" s="2" t="str">
        <f>LOOKUP(A10,AnnotationTuberculist2017!B:B,AnnotationTuberculist2017!A:A)</f>
        <v>esxG</v>
      </c>
      <c r="C10" s="1" t="s">
        <v>34</v>
      </c>
      <c r="D10" s="2" t="str">
        <f>LOOKUP(C10,AnnotationTuberculist2017!B:B,AnnotationTuberculist2017!A:A)</f>
        <v>eccC3</v>
      </c>
      <c r="E10" s="1" t="s">
        <v>37</v>
      </c>
      <c r="F10" s="2" t="str">
        <f>LOOKUP(E10,AnnotationTuberculist2017!B:B,AnnotationTuberculist2017!A:A)</f>
        <v>Rv2929</v>
      </c>
      <c r="G10" s="1" t="s">
        <v>80</v>
      </c>
      <c r="H10" s="2" t="str">
        <f>LOOKUP(G10,AnnotationTuberculist2017!B:B,AnnotationTuberculist2017!A:A)</f>
        <v>phoR</v>
      </c>
      <c r="I10" s="1" t="s">
        <v>81</v>
      </c>
      <c r="J10" s="2" t="str">
        <f>LOOKUP(I10,AnnotationTuberculist2017!B:B,AnnotationTuberculist2017!A:A)</f>
        <v>Rv3129</v>
      </c>
      <c r="K10" s="1"/>
      <c r="L10" s="2"/>
      <c r="M10" s="1" t="s">
        <v>434</v>
      </c>
      <c r="N10" s="2" t="str">
        <f>LOOKUP(M10,AnnotationTuberculist2017!B:B,AnnotationTuberculist2017!A:A)</f>
        <v>PPE11</v>
      </c>
      <c r="O10" s="1"/>
      <c r="P10" s="1"/>
      <c r="Q10" s="1"/>
      <c r="R10" s="13">
        <v>2.7706627500000001</v>
      </c>
      <c r="S10" s="11" t="s">
        <v>196</v>
      </c>
      <c r="T10" s="1" t="str">
        <f>INDEX(AnnotationTuberculist2017!$A:$A,MATCH(S10,AnnotationTuberculist2017!$B:$B,0))</f>
        <v>mbtB</v>
      </c>
      <c r="U10" s="1" t="s">
        <v>0</v>
      </c>
      <c r="X10" t="s">
        <v>58</v>
      </c>
    </row>
    <row r="11" spans="1:24" ht="15.5">
      <c r="A11" s="1" t="s">
        <v>74</v>
      </c>
      <c r="B11" s="2" t="str">
        <f>LOOKUP(A11,AnnotationTuberculist2017!B:B,AnnotationTuberculist2017!A:A)</f>
        <v>esxH</v>
      </c>
      <c r="C11" s="1" t="s">
        <v>43</v>
      </c>
      <c r="D11" s="2" t="str">
        <f>LOOKUP(C11,AnnotationTuberculist2017!B:B,AnnotationTuberculist2017!A:A)</f>
        <v>PE5</v>
      </c>
      <c r="E11" s="1" t="s">
        <v>17</v>
      </c>
      <c r="F11" s="2" t="str">
        <f>LOOKUP(E11,AnnotationTuberculist2017!B:B,AnnotationTuberculist2017!A:A)</f>
        <v>fadD26</v>
      </c>
      <c r="G11" s="1" t="s">
        <v>88</v>
      </c>
      <c r="H11" s="2" t="str">
        <f>LOOKUP(G11,AnnotationTuberculist2017!B:B,AnnotationTuberculist2017!A:A)</f>
        <v>phoY2</v>
      </c>
      <c r="I11" s="1" t="s">
        <v>89</v>
      </c>
      <c r="J11" s="2" t="str">
        <f>LOOKUP(I11,AnnotationTuberculist2017!B:B,AnnotationTuberculist2017!A:A)</f>
        <v>bfrB</v>
      </c>
      <c r="K11" s="4" t="s">
        <v>405</v>
      </c>
      <c r="L11" s="2"/>
      <c r="M11" s="1" t="s">
        <v>19167</v>
      </c>
      <c r="N11" s="2" t="str">
        <f>LOOKUP(M11,AnnotationTuberculist2017!B:B,AnnotationTuberculist2017!A:A)</f>
        <v>Rv0457c</v>
      </c>
      <c r="O11" s="1"/>
      <c r="P11" s="1"/>
      <c r="Q11" s="1"/>
      <c r="R11" s="13">
        <v>2.6636304439999998</v>
      </c>
      <c r="S11" s="11" t="s">
        <v>200</v>
      </c>
      <c r="T11" s="1" t="str">
        <f>INDEX(AnnotationTuberculist2017!$A:$A,MATCH(S11,AnnotationTuberculist2017!$B:$B,0))</f>
        <v>mbtC</v>
      </c>
      <c r="U11" s="1" t="s">
        <v>0</v>
      </c>
      <c r="X11" t="s">
        <v>483</v>
      </c>
    </row>
    <row r="12" spans="1:24" ht="15.5">
      <c r="A12" s="1" t="s">
        <v>82</v>
      </c>
      <c r="B12" s="2" t="str">
        <f>LOOKUP(A12,AnnotationTuberculist2017!B:B,AnnotationTuberculist2017!A:A)</f>
        <v>espG3</v>
      </c>
      <c r="C12" s="1" t="s">
        <v>52</v>
      </c>
      <c r="D12" s="2" t="str">
        <f>LOOKUP(C12,AnnotationTuberculist2017!B:B,AnnotationTuberculist2017!A:A)</f>
        <v>PPE4</v>
      </c>
      <c r="E12" s="1" t="s">
        <v>95</v>
      </c>
      <c r="F12" s="2" t="str">
        <f>LOOKUP(E12,AnnotationTuberculist2017!B:B,AnnotationTuberculist2017!A:A)</f>
        <v>lipF</v>
      </c>
      <c r="G12" s="1" t="s">
        <v>98</v>
      </c>
      <c r="H12" s="2" t="str">
        <f>LOOKUP(G12,AnnotationTuberculist2017!B:B,AnnotationTuberculist2017!A:A)</f>
        <v>lpqS</v>
      </c>
      <c r="I12" s="1" t="s">
        <v>99</v>
      </c>
      <c r="J12" s="2" t="str">
        <f>LOOKUP(I12,AnnotationTuberculist2017!B:B,AnnotationTuberculist2017!A:A)</f>
        <v>Rv0064</v>
      </c>
      <c r="K12" s="1" t="s">
        <v>3068</v>
      </c>
      <c r="L12" s="2" t="str">
        <f>LOOKUP(K12,AnnotationTuberculist2017!B:B,AnnotationTuberculist2017!A:A)</f>
        <v>Rv1258c</v>
      </c>
      <c r="M12" s="1" t="s">
        <v>1055</v>
      </c>
      <c r="N12" s="2" t="str">
        <f>LOOKUP(M12,AnnotationTuberculist2017!B:B,AnnotationTuberculist2017!A:A)</f>
        <v>rplJ</v>
      </c>
      <c r="O12" s="1"/>
      <c r="P12" s="1"/>
      <c r="Q12" s="1"/>
      <c r="R12" s="13">
        <v>2.5779285270000001</v>
      </c>
      <c r="S12" s="11" t="s">
        <v>434</v>
      </c>
      <c r="T12" s="1" t="str">
        <f>INDEX(AnnotationTuberculist2017!$A:$A,MATCH(S12,AnnotationTuberculist2017!$B:$B,0))</f>
        <v>PPE11</v>
      </c>
      <c r="U12" s="1" t="s">
        <v>20177</v>
      </c>
      <c r="X12" t="s">
        <v>484</v>
      </c>
    </row>
    <row r="13" spans="1:24" ht="15.5">
      <c r="A13" s="1" t="s">
        <v>91</v>
      </c>
      <c r="B13" s="2" t="str">
        <f>LOOKUP(A13,AnnotationTuberculist2017!B:B,AnnotationTuberculist2017!A:A)</f>
        <v>eccD3</v>
      </c>
      <c r="C13" s="1" t="s">
        <v>62</v>
      </c>
      <c r="D13" s="2" t="str">
        <f>LOOKUP(C13,AnnotationTuberculist2017!B:B,AnnotationTuberculist2017!A:A)</f>
        <v>esxG</v>
      </c>
      <c r="E13" s="1" t="s">
        <v>55</v>
      </c>
      <c r="F13" s="2" t="str">
        <f>LOOKUP(E13,AnnotationTuberculist2017!B:B,AnnotationTuberculist2017!A:A)</f>
        <v>espA</v>
      </c>
      <c r="G13" s="1" t="s">
        <v>106</v>
      </c>
      <c r="H13" s="2" t="str">
        <f>LOOKUP(G13,AnnotationTuberculist2017!B:B,AnnotationTuberculist2017!A:A)</f>
        <v>csoR</v>
      </c>
      <c r="I13" s="1" t="s">
        <v>107</v>
      </c>
      <c r="J13" s="2" t="str">
        <f>LOOKUP(I13,AnnotationTuberculist2017!B:B,AnnotationTuberculist2017!A:A)</f>
        <v>Rv0079</v>
      </c>
      <c r="K13" s="1" t="s">
        <v>2860</v>
      </c>
      <c r="L13" s="2" t="str">
        <f>LOOKUP(K13,AnnotationTuberculist2017!B:B,AnnotationTuberculist2017!A:A)</f>
        <v>Rv1473</v>
      </c>
      <c r="M13" s="1" t="s">
        <v>2282</v>
      </c>
      <c r="N13" s="2" t="str">
        <f>LOOKUP(M13,AnnotationTuberculist2017!B:B,AnnotationTuberculist2017!A:A)</f>
        <v>Rv0658c</v>
      </c>
      <c r="O13" s="1"/>
      <c r="P13" s="1"/>
      <c r="Q13" s="1"/>
      <c r="R13" s="13">
        <v>2.2768792040000001</v>
      </c>
      <c r="S13" s="11" t="s">
        <v>435</v>
      </c>
      <c r="T13" s="1" t="str">
        <f>INDEX(AnnotationTuberculist2017!$A:$A,MATCH(S13,AnnotationTuberculist2017!$B:$B,0))</f>
        <v>Rv1831</v>
      </c>
      <c r="U13" s="1"/>
      <c r="X13" t="s">
        <v>485</v>
      </c>
    </row>
    <row r="14" spans="1:24" ht="15.5">
      <c r="A14" s="1" t="s">
        <v>100</v>
      </c>
      <c r="B14" s="2" t="str">
        <f>LOOKUP(A14,AnnotationTuberculist2017!B:B,AnnotationTuberculist2017!A:A)</f>
        <v>mycP3</v>
      </c>
      <c r="C14" s="1" t="s">
        <v>74</v>
      </c>
      <c r="D14" s="2" t="str">
        <f>LOOKUP(C14,AnnotationTuberculist2017!B:B,AnnotationTuberculist2017!A:A)</f>
        <v>esxH</v>
      </c>
      <c r="E14" s="5" t="s">
        <v>18771</v>
      </c>
      <c r="F14" s="2"/>
      <c r="G14" s="5" t="s">
        <v>109</v>
      </c>
      <c r="H14" s="2" t="str">
        <f>LOOKUP(G14,AnnotationTuberculist2017!B:B,AnnotationTuberculist2017!A:A)</f>
        <v>Rv0968</v>
      </c>
      <c r="I14" s="1" t="s">
        <v>110</v>
      </c>
      <c r="J14" s="2" t="str">
        <f>LOOKUP(I14,AnnotationTuberculist2017!B:B,AnnotationTuberculist2017!A:A)</f>
        <v>Rv0080</v>
      </c>
      <c r="K14" s="1" t="s">
        <v>9538</v>
      </c>
      <c r="L14" s="2" t="str">
        <f>LOOKUP(K14,AnnotationTuberculist2017!B:B,AnnotationTuberculist2017!A:A)</f>
        <v>erm(37)</v>
      </c>
      <c r="M14" s="1" t="s">
        <v>19168</v>
      </c>
      <c r="N14" s="2" t="str">
        <f>LOOKUP(M14,AnnotationTuberculist2017!B:B,AnnotationTuberculist2017!A:A)</f>
        <v>Rv0680c</v>
      </c>
      <c r="O14" s="1"/>
      <c r="P14" s="1"/>
      <c r="Q14" s="1"/>
      <c r="R14" s="13">
        <v>2.1842219030000001</v>
      </c>
      <c r="S14" s="11" t="s">
        <v>39</v>
      </c>
      <c r="T14" s="1" t="str">
        <f>INDEX(AnnotationTuberculist2017!$A:$A,MATCH(S14,AnnotationTuberculist2017!$B:$B,0))</f>
        <v>hsp</v>
      </c>
      <c r="U14" s="1" t="s">
        <v>20172</v>
      </c>
      <c r="X14" t="s">
        <v>486</v>
      </c>
    </row>
    <row r="15" spans="1:24" ht="15.5">
      <c r="A15" s="1" t="s">
        <v>100</v>
      </c>
      <c r="B15" s="2" t="str">
        <f>LOOKUP(A15,AnnotationTuberculist2017!B:B,AnnotationTuberculist2017!A:A)</f>
        <v>mycP3</v>
      </c>
      <c r="C15" s="1" t="s">
        <v>82</v>
      </c>
      <c r="D15" s="2" t="str">
        <f>LOOKUP(C15,AnnotationTuberculist2017!B:B,AnnotationTuberculist2017!A:A)</f>
        <v>espG3</v>
      </c>
      <c r="E15" s="1" t="s">
        <v>149</v>
      </c>
      <c r="F15" s="2" t="str">
        <f>LOOKUP(E15,AnnotationTuberculist2017!B:B,AnnotationTuberculist2017!A:A)</f>
        <v>nrdF1</v>
      </c>
      <c r="G15" s="1" t="s">
        <v>11</v>
      </c>
      <c r="H15" s="2" t="str">
        <f>LOOKUP(G15,AnnotationTuberculist2017!B:B,AnnotationTuberculist2017!A:A)</f>
        <v>pks3</v>
      </c>
      <c r="I15" s="1" t="s">
        <v>115</v>
      </c>
      <c r="J15" s="2" t="str">
        <f>LOOKUP(I15,AnnotationTuberculist2017!B:B,AnnotationTuberculist2017!A:A)</f>
        <v>Rv0081</v>
      </c>
      <c r="K15" s="1" t="s">
        <v>9540</v>
      </c>
      <c r="L15" s="2" t="str">
        <f>LOOKUP(K15,AnnotationTuberculist2017!B:B,AnnotationTuberculist2017!A:A)</f>
        <v>whiB7</v>
      </c>
      <c r="M15" s="1" t="s">
        <v>2800</v>
      </c>
      <c r="N15" s="2" t="str">
        <f>LOOKUP(M15,AnnotationTuberculist2017!B:B,AnnotationTuberculist2017!A:A)</f>
        <v>Rv0805</v>
      </c>
      <c r="O15" s="1"/>
      <c r="P15" s="1"/>
      <c r="Q15" s="1"/>
      <c r="R15" s="13">
        <v>2.0082154540000001</v>
      </c>
      <c r="S15" s="11" t="s">
        <v>204</v>
      </c>
      <c r="T15" s="1" t="str">
        <f>INDEX(AnnotationTuberculist2017!$A:$A,MATCH(S15,AnnotationTuberculist2017!$B:$B,0))</f>
        <v>mbtD</v>
      </c>
      <c r="U15" s="1" t="s">
        <v>0</v>
      </c>
      <c r="X15" t="s">
        <v>487</v>
      </c>
    </row>
    <row r="16" spans="1:24" ht="15.5">
      <c r="A16" s="1" t="s">
        <v>111</v>
      </c>
      <c r="B16" s="2" t="str">
        <f>LOOKUP(A16,AnnotationTuberculist2017!B:B,AnnotationTuberculist2017!A:A)</f>
        <v>mmpL4</v>
      </c>
      <c r="C16" s="1" t="s">
        <v>91</v>
      </c>
      <c r="D16" s="2" t="str">
        <f>LOOKUP(C16,AnnotationTuberculist2017!B:B,AnnotationTuberculist2017!A:A)</f>
        <v>eccD3</v>
      </c>
      <c r="E16" s="1" t="s">
        <v>157</v>
      </c>
      <c r="F16" s="2" t="str">
        <f>LOOKUP(E16,AnnotationTuberculist2017!B:B,AnnotationTuberculist2017!A:A)</f>
        <v>vapC36</v>
      </c>
      <c r="G16" s="1" t="s">
        <v>120</v>
      </c>
      <c r="H16" s="2" t="str">
        <f>LOOKUP(G16,AnnotationTuberculist2017!B:B,AnnotationTuberculist2017!A:A)</f>
        <v>Rv1184c</v>
      </c>
      <c r="I16" s="1" t="s">
        <v>121</v>
      </c>
      <c r="J16" s="2" t="str">
        <f>LOOKUP(I16,AnnotationTuberculist2017!B:B,AnnotationTuberculist2017!A:A)</f>
        <v>Rv0082</v>
      </c>
      <c r="K16" s="1"/>
      <c r="L16" s="2"/>
      <c r="M16" s="1" t="s">
        <v>19169</v>
      </c>
      <c r="N16" s="2" t="str">
        <f>LOOKUP(M16,AnnotationTuberculist2017!B:B,AnnotationTuberculist2017!A:A)</f>
        <v>Rv0851c</v>
      </c>
      <c r="O16" s="1"/>
      <c r="P16" s="1"/>
      <c r="Q16" s="1"/>
      <c r="R16" s="13">
        <v>1.7645504439999999</v>
      </c>
      <c r="S16" s="11" t="s">
        <v>436</v>
      </c>
      <c r="T16" s="1" t="str">
        <f>INDEX(AnnotationTuberculist2017!$A:$A,MATCH(S16,AnnotationTuberculist2017!$B:$B,0))</f>
        <v>argC</v>
      </c>
      <c r="U16" s="1"/>
      <c r="X16" t="s">
        <v>488</v>
      </c>
    </row>
    <row r="17" spans="1:24" ht="15.5">
      <c r="A17" s="1" t="s">
        <v>116</v>
      </c>
      <c r="B17" s="2" t="str">
        <f>LOOKUP(A17,AnnotationTuberculist2017!B:B,AnnotationTuberculist2017!A:A)</f>
        <v>mmpS4</v>
      </c>
      <c r="C17" s="1" t="s">
        <v>100</v>
      </c>
      <c r="D17" s="2" t="str">
        <f>LOOKUP(C17,AnnotationTuberculist2017!B:B,AnnotationTuberculist2017!A:A)</f>
        <v>mycP3</v>
      </c>
      <c r="E17" s="1" t="s">
        <v>114</v>
      </c>
      <c r="F17" s="2" t="str">
        <f>LOOKUP(E17,AnnotationTuberculist2017!B:B,AnnotationTuberculist2017!A:A)</f>
        <v>Rv3612c</v>
      </c>
      <c r="G17" s="1" t="s">
        <v>129</v>
      </c>
      <c r="H17" s="2" t="str">
        <f>LOOKUP(G17,AnnotationTuberculist2017!B:B,AnnotationTuberculist2017!A:A)</f>
        <v>fadD21</v>
      </c>
      <c r="I17" s="1" t="s">
        <v>130</v>
      </c>
      <c r="J17" s="2" t="str">
        <f>LOOKUP(I17,AnnotationTuberculist2017!B:B,AnnotationTuberculist2017!A:A)</f>
        <v>Rv0158</v>
      </c>
      <c r="K17" s="1"/>
      <c r="L17" s="2"/>
      <c r="M17" s="1" t="s">
        <v>422</v>
      </c>
      <c r="N17" s="2" t="str">
        <f>LOOKUP(M17,AnnotationTuberculist2017!B:B,AnnotationTuberculist2017!A:A)</f>
        <v>rpfA</v>
      </c>
      <c r="O17" s="1"/>
      <c r="P17" s="1"/>
      <c r="Q17" s="1"/>
      <c r="R17" s="13">
        <v>1.757762123</v>
      </c>
      <c r="S17" s="11" t="s">
        <v>437</v>
      </c>
      <c r="T17" s="1" t="str">
        <f>INDEX(AnnotationTuberculist2017!$A:$A,MATCH(S17,AnnotationTuberculist2017!$B:$B,0))</f>
        <v>whiB7</v>
      </c>
      <c r="U17" s="1" t="s">
        <v>20176</v>
      </c>
      <c r="X17" t="s">
        <v>489</v>
      </c>
    </row>
    <row r="18" spans="1:24" ht="15.5">
      <c r="A18" s="1" t="s">
        <v>122</v>
      </c>
      <c r="B18" s="2" t="str">
        <f>LOOKUP(A18,AnnotationTuberculist2017!B:B,AnnotationTuberculist2017!A:A)</f>
        <v>murB</v>
      </c>
      <c r="C18" s="1" t="s">
        <v>124</v>
      </c>
      <c r="D18" s="2" t="str">
        <f>LOOKUP(C18,AnnotationTuberculist2017!B:B,AnnotationTuberculist2017!A:A)</f>
        <v>PE13</v>
      </c>
      <c r="E18" s="1" t="s">
        <v>119</v>
      </c>
      <c r="F18" s="2" t="str">
        <f>LOOKUP(E18,AnnotationTuberculist2017!B:B,AnnotationTuberculist2017!A:A)</f>
        <v>Rv3613c</v>
      </c>
      <c r="G18" s="1" t="s">
        <v>137</v>
      </c>
      <c r="H18" s="2" t="str">
        <f>LOOKUP(G18,AnnotationTuberculist2017!B:B,AnnotationTuberculist2017!A:A)</f>
        <v>Rv1217c</v>
      </c>
      <c r="I18" s="1" t="s">
        <v>138</v>
      </c>
      <c r="J18" s="2" t="str">
        <f>LOOKUP(I18,AnnotationTuberculist2017!B:B,AnnotationTuberculist2017!A:A)</f>
        <v>nirB</v>
      </c>
      <c r="K18" s="4" t="s">
        <v>406</v>
      </c>
      <c r="L18" s="2"/>
      <c r="M18" s="1" t="s">
        <v>2252</v>
      </c>
      <c r="N18" s="2" t="str">
        <f>LOOKUP(M18,AnnotationTuberculist2017!B:B,AnnotationTuberculist2017!A:A)</f>
        <v>serC</v>
      </c>
      <c r="O18" s="1"/>
      <c r="P18" s="1"/>
      <c r="Q18" s="1"/>
      <c r="R18" s="13">
        <v>1.6525380590000001</v>
      </c>
      <c r="S18" s="11" t="s">
        <v>438</v>
      </c>
      <c r="T18" s="1" t="str">
        <f>INDEX(AnnotationTuberculist2017!$A:$A,MATCH(S18,AnnotationTuberculist2017!$B:$B,0))</f>
        <v>PPE31</v>
      </c>
      <c r="U18" s="1"/>
      <c r="X18" t="s">
        <v>490</v>
      </c>
    </row>
    <row r="19" spans="1:24" ht="15.5">
      <c r="A19" s="1" t="s">
        <v>131</v>
      </c>
      <c r="B19" s="2" t="str">
        <f>LOOKUP(A19,AnnotationTuberculist2017!B:B,AnnotationTuberculist2017!A:A)</f>
        <v>yrbE2A</v>
      </c>
      <c r="C19" s="1" t="s">
        <v>133</v>
      </c>
      <c r="D19" s="2" t="str">
        <f>LOOKUP(C19,AnnotationTuberculist2017!B:B,AnnotationTuberculist2017!A:A)</f>
        <v>modA</v>
      </c>
      <c r="E19" s="1" t="s">
        <v>126</v>
      </c>
      <c r="F19" s="2" t="str">
        <f>LOOKUP(E19,AnnotationTuberculist2017!B:B,AnnotationTuberculist2017!A:A)</f>
        <v>espD</v>
      </c>
      <c r="G19" s="1" t="s">
        <v>143</v>
      </c>
      <c r="H19" s="2" t="str">
        <f>LOOKUP(G19,AnnotationTuberculist2017!B:B,AnnotationTuberculist2017!A:A)</f>
        <v>Rv1218c</v>
      </c>
      <c r="I19" s="1" t="s">
        <v>144</v>
      </c>
      <c r="J19" s="2" t="str">
        <f>LOOKUP(I19,AnnotationTuberculist2017!B:B,AnnotationTuberculist2017!A:A)</f>
        <v>narU</v>
      </c>
      <c r="K19" s="5" t="s">
        <v>411</v>
      </c>
      <c r="L19" s="2"/>
      <c r="M19" s="1" t="s">
        <v>19170</v>
      </c>
      <c r="N19" s="2" t="str">
        <f>LOOKUP(M19,AnnotationTuberculist2017!B:B,AnnotationTuberculist2017!A:A)</f>
        <v>Rv0950c</v>
      </c>
      <c r="O19" s="1"/>
      <c r="P19" s="1"/>
      <c r="Q19" s="1"/>
      <c r="R19" s="13">
        <v>1.532018444</v>
      </c>
      <c r="S19" s="11" t="s">
        <v>439</v>
      </c>
      <c r="T19" s="1" t="str">
        <f>INDEX(AnnotationTuberculist2017!$A:$A,MATCH(S19,AnnotationTuberculist2017!$B:$B,0))</f>
        <v>fdxB</v>
      </c>
      <c r="U19" s="1"/>
      <c r="X19" t="s">
        <v>491</v>
      </c>
    </row>
    <row r="20" spans="1:24" ht="15.5">
      <c r="A20" s="1" t="s">
        <v>253</v>
      </c>
      <c r="B20" s="2" t="str">
        <f>LOOKUP(A20,AnnotationTuberculist2017!B:B,AnnotationTuberculist2017!A:A)</f>
        <v>cyp123</v>
      </c>
      <c r="C20" s="1" t="s">
        <v>142</v>
      </c>
      <c r="D20" s="2" t="str">
        <f>LOOKUP(C20,AnnotationTuberculist2017!B:B,AnnotationTuberculist2017!A:A)</f>
        <v>Rv1870c</v>
      </c>
      <c r="E20" s="1" t="s">
        <v>135</v>
      </c>
      <c r="F20" s="2" t="str">
        <f>LOOKUP(E20,AnnotationTuberculist2017!B:B,AnnotationTuberculist2017!A:A)</f>
        <v>espC</v>
      </c>
      <c r="G20" s="1" t="s">
        <v>151</v>
      </c>
      <c r="H20" s="2" t="str">
        <f>LOOKUP(G20,AnnotationTuberculist2017!B:B,AnnotationTuberculist2017!A:A)</f>
        <v>Rv1219c</v>
      </c>
      <c r="I20" s="1" t="s">
        <v>152</v>
      </c>
      <c r="J20" s="2" t="str">
        <f>LOOKUP(I20,AnnotationTuberculist2017!B:B,AnnotationTuberculist2017!A:A)</f>
        <v>Rv0318c</v>
      </c>
      <c r="K20" s="1" t="s">
        <v>412</v>
      </c>
      <c r="L20" s="2" t="str">
        <f>LOOKUP(K20,AnnotationTuberculist2017!B:B,AnnotationTuberculist2017!A:A)</f>
        <v>fadD10</v>
      </c>
      <c r="M20" s="1" t="s">
        <v>550</v>
      </c>
      <c r="N20" s="2" t="str">
        <f>LOOKUP(M20,AnnotationTuberculist2017!B:B,AnnotationTuberculist2017!A:A)</f>
        <v>Rv0996</v>
      </c>
      <c r="O20" s="1"/>
      <c r="P20" s="1"/>
      <c r="Q20" s="1"/>
      <c r="R20" s="13">
        <v>1.527284326</v>
      </c>
      <c r="S20" s="11" t="s">
        <v>440</v>
      </c>
      <c r="T20" s="1" t="str">
        <f>INDEX(AnnotationTuberculist2017!$A:$A,MATCH(S20,AnnotationTuberculist2017!$B:$B,0))</f>
        <v>Rv0193c</v>
      </c>
      <c r="U20" s="1"/>
      <c r="X20" t="s">
        <v>492</v>
      </c>
    </row>
    <row r="21" spans="1:24" ht="15.5">
      <c r="A21" s="1" t="s">
        <v>260</v>
      </c>
      <c r="B21" s="2" t="str">
        <f>LOOKUP(A21,AnnotationTuberculist2017!B:B,AnnotationTuberculist2017!A:A)</f>
        <v>lprD</v>
      </c>
      <c r="C21" s="1" t="s">
        <v>64</v>
      </c>
      <c r="D21" s="2" t="str">
        <f>LOOKUP(C21,AnnotationTuberculist2017!B:B,AnnotationTuberculist2017!A:A)</f>
        <v>rpsR2</v>
      </c>
      <c r="E21" s="1" t="s">
        <v>55</v>
      </c>
      <c r="F21" s="2" t="str">
        <f>LOOKUP(E21,AnnotationTuberculist2017!B:B,AnnotationTuberculist2017!A:A)</f>
        <v>espA</v>
      </c>
      <c r="G21" s="1" t="s">
        <v>159</v>
      </c>
      <c r="H21" s="2" t="str">
        <f>LOOKUP(G21,AnnotationTuberculist2017!B:B,AnnotationTuberculist2017!A:A)</f>
        <v>Rv1639c</v>
      </c>
      <c r="I21" s="1" t="s">
        <v>160</v>
      </c>
      <c r="J21" s="2" t="str">
        <f>LOOKUP(I21,AnnotationTuberculist2017!B:B,AnnotationTuberculist2017!A:A)</f>
        <v>Rv0349</v>
      </c>
      <c r="K21" s="1" t="s">
        <v>414</v>
      </c>
      <c r="L21" s="2" t="str">
        <f>LOOKUP(K21,AnnotationTuberculist2017!B:B,AnnotationTuberculist2017!A:A)</f>
        <v>Rv0188</v>
      </c>
      <c r="M21" s="1" t="s">
        <v>3046</v>
      </c>
      <c r="N21" s="2" t="str">
        <f>LOOKUP(M21,AnnotationTuberculist2017!B:B,AnnotationTuberculist2017!A:A)</f>
        <v>coaA</v>
      </c>
      <c r="O21" s="1"/>
      <c r="P21" s="1"/>
      <c r="Q21" s="1"/>
      <c r="R21" s="13">
        <v>1.494497548</v>
      </c>
      <c r="S21" s="11" t="s">
        <v>100</v>
      </c>
      <c r="T21" s="1" t="str">
        <f>INDEX(AnnotationTuberculist2017!$A:$A,MATCH(S21,AnnotationTuberculist2017!$B:$B,0))</f>
        <v>mycP3</v>
      </c>
      <c r="U21" s="1" t="s">
        <v>20174</v>
      </c>
      <c r="X21" t="s">
        <v>493</v>
      </c>
    </row>
    <row r="22" spans="1:24" ht="15.5">
      <c r="A22" s="1" t="s">
        <v>140</v>
      </c>
      <c r="B22" s="2" t="str">
        <f>LOOKUP(A22,AnnotationTuberculist2017!B:B,AnnotationTuberculist2017!A:A)</f>
        <v>mbtM</v>
      </c>
      <c r="C22" s="1" t="s">
        <v>76</v>
      </c>
      <c r="D22" s="2" t="str">
        <f>LOOKUP(C22,AnnotationTuberculist2017!B:B,AnnotationTuberculist2017!A:A)</f>
        <v>rpsN2</v>
      </c>
      <c r="E22" s="1"/>
      <c r="F22" s="2"/>
      <c r="G22" s="1" t="s">
        <v>165</v>
      </c>
      <c r="H22" s="2" t="str">
        <f>LOOKUP(G22,AnnotationTuberculist2017!B:B,AnnotationTuberculist2017!A:A)</f>
        <v>Rv1687c</v>
      </c>
      <c r="I22" s="1" t="s">
        <v>166</v>
      </c>
      <c r="J22" s="2" t="str">
        <f>LOOKUP(I22,AnnotationTuberculist2017!B:B,AnnotationTuberculist2017!A:A)</f>
        <v>menC</v>
      </c>
      <c r="K22" s="1" t="s">
        <v>415</v>
      </c>
      <c r="L22" s="2" t="str">
        <f>LOOKUP(K22,AnnotationTuberculist2017!B:B,AnnotationTuberculist2017!A:A)</f>
        <v>cydA</v>
      </c>
      <c r="M22" s="1" t="s">
        <v>19171</v>
      </c>
      <c r="N22" s="2" t="str">
        <f>LOOKUP(M22,AnnotationTuberculist2017!B:B,AnnotationTuberculist2017!A:A)</f>
        <v>Rv1158c</v>
      </c>
      <c r="O22" s="1"/>
      <c r="P22" s="1"/>
      <c r="Q22" s="1"/>
      <c r="R22" s="13">
        <v>1.487952454</v>
      </c>
      <c r="S22" s="11" t="s">
        <v>441</v>
      </c>
      <c r="T22" s="1" t="str">
        <f>INDEX(AnnotationTuberculist2017!$A:$A,MATCH(S22,AnnotationTuberculist2017!$B:$B,0))</f>
        <v>Rv2917</v>
      </c>
      <c r="U22" s="1"/>
      <c r="X22" t="s">
        <v>494</v>
      </c>
    </row>
    <row r="23" spans="1:24" ht="15.5">
      <c r="A23" s="1" t="s">
        <v>146</v>
      </c>
      <c r="B23" s="2" t="str">
        <f>LOOKUP(A23,AnnotationTuberculist2017!B:B,AnnotationTuberculist2017!A:A)</f>
        <v>mbtN</v>
      </c>
      <c r="C23" s="1" t="s">
        <v>84</v>
      </c>
      <c r="D23" s="2" t="str">
        <f>LOOKUP(C23,AnnotationTuberculist2017!B:B,AnnotationTuberculist2017!A:A)</f>
        <v>rpmG1</v>
      </c>
      <c r="E23" s="1"/>
      <c r="F23" s="2"/>
      <c r="G23" s="1" t="s">
        <v>172</v>
      </c>
      <c r="H23" s="2" t="str">
        <f>LOOKUP(G23,AnnotationTuberculist2017!B:B,AnnotationTuberculist2017!A:A)</f>
        <v>Rv1812c</v>
      </c>
      <c r="I23" s="1" t="s">
        <v>173</v>
      </c>
      <c r="J23" s="2" t="str">
        <f>LOOKUP(I23,AnnotationTuberculist2017!B:B,AnnotationTuberculist2017!A:A)</f>
        <v>cyp135B1</v>
      </c>
      <c r="K23" s="1" t="s">
        <v>417</v>
      </c>
      <c r="L23" s="2" t="str">
        <f>LOOKUP(K23,AnnotationTuberculist2017!B:B,AnnotationTuberculist2017!A:A)</f>
        <v>lipQ</v>
      </c>
      <c r="M23" s="1" t="s">
        <v>129</v>
      </c>
      <c r="N23" s="2" t="str">
        <f>LOOKUP(M23,AnnotationTuberculist2017!B:B,AnnotationTuberculist2017!A:A)</f>
        <v>fadD21</v>
      </c>
      <c r="O23" s="1"/>
      <c r="P23" s="1"/>
      <c r="Q23" s="1"/>
      <c r="R23" s="13">
        <v>1.4616390109999999</v>
      </c>
      <c r="S23" s="11" t="s">
        <v>442</v>
      </c>
      <c r="T23" s="1" t="str">
        <f>INDEX(AnnotationTuberculist2017!$A:$A,MATCH(S23,AnnotationTuberculist2017!$B:$B,0))</f>
        <v>Rv3611</v>
      </c>
      <c r="U23" s="1"/>
      <c r="X23" t="s">
        <v>495</v>
      </c>
    </row>
    <row r="24" spans="1:24" ht="15.5">
      <c r="A24" s="1" t="s">
        <v>153</v>
      </c>
      <c r="B24" s="2" t="str">
        <f>LOOKUP(A24,AnnotationTuberculist2017!B:B,AnnotationTuberculist2017!A:A)</f>
        <v>mbtK</v>
      </c>
      <c r="C24" s="1" t="s">
        <v>93</v>
      </c>
      <c r="D24" s="2" t="str">
        <f>LOOKUP(C24,AnnotationTuberculist2017!B:B,AnnotationTuberculist2017!A:A)</f>
        <v>rpmB2</v>
      </c>
      <c r="E24" s="1"/>
      <c r="F24" s="2"/>
      <c r="G24" s="1" t="s">
        <v>179</v>
      </c>
      <c r="H24" s="2" t="str">
        <f>LOOKUP(G24,AnnotationTuberculist2017!B:B,AnnotationTuberculist2017!A:A)</f>
        <v>Rv1986</v>
      </c>
      <c r="I24" s="1" t="s">
        <v>180</v>
      </c>
      <c r="J24" s="2" t="str">
        <f>LOOKUP(I24,AnnotationTuberculist2017!B:B,AnnotationTuberculist2017!A:A)</f>
        <v>Rv0569</v>
      </c>
      <c r="K24" s="1" t="s">
        <v>119</v>
      </c>
      <c r="L24" s="2" t="str">
        <f>LOOKUP(K24,AnnotationTuberculist2017!B:B,AnnotationTuberculist2017!A:A)</f>
        <v>Rv3613c</v>
      </c>
      <c r="M24" s="1" t="s">
        <v>852</v>
      </c>
      <c r="N24" s="2" t="str">
        <f>LOOKUP(M24,AnnotationTuberculist2017!B:B,AnnotationTuberculist2017!A:A)</f>
        <v>Rv1230c</v>
      </c>
      <c r="O24" s="1"/>
      <c r="P24" s="1"/>
      <c r="Q24" s="1"/>
      <c r="R24" s="13">
        <v>1.4253068419999999</v>
      </c>
      <c r="S24" s="11" t="s">
        <v>443</v>
      </c>
      <c r="T24" s="1" t="str">
        <f>INDEX(AnnotationTuberculist2017!$A:$A,MATCH(S24,AnnotationTuberculist2017!$B:$B,0))</f>
        <v>nrdH</v>
      </c>
      <c r="U24" s="1"/>
      <c r="X24" t="s">
        <v>496</v>
      </c>
    </row>
    <row r="25" spans="1:24" ht="15.5">
      <c r="A25" s="1" t="s">
        <v>161</v>
      </c>
      <c r="B25" s="2" t="str">
        <f>LOOKUP(A25,AnnotationTuberculist2017!B:B,AnnotationTuberculist2017!A:A)</f>
        <v>irtA</v>
      </c>
      <c r="C25" s="1" t="s">
        <v>36</v>
      </c>
      <c r="D25" s="2" t="str">
        <f>LOOKUP(C25,AnnotationTuberculist2017!B:B,AnnotationTuberculist2017!A:A)</f>
        <v>Rv2059</v>
      </c>
      <c r="E25" s="1"/>
      <c r="F25" s="2"/>
      <c r="G25" s="1" t="s">
        <v>184</v>
      </c>
      <c r="H25" s="2" t="str">
        <f>LOOKUP(G25,AnnotationTuberculist2017!B:B,AnnotationTuberculist2017!A:A)</f>
        <v>Rv1996</v>
      </c>
      <c r="I25" s="1" t="s">
        <v>185</v>
      </c>
      <c r="J25" s="2" t="str">
        <f>LOOKUP(I25,AnnotationTuberculist2017!B:B,AnnotationTuberculist2017!A:A)</f>
        <v>nrdZ</v>
      </c>
      <c r="K25" s="1" t="s">
        <v>126</v>
      </c>
      <c r="L25" s="2" t="str">
        <f>LOOKUP(K25,AnnotationTuberculist2017!B:B,AnnotationTuberculist2017!A:A)</f>
        <v>espD</v>
      </c>
      <c r="M25" s="1" t="s">
        <v>12536</v>
      </c>
      <c r="N25" s="2" t="str">
        <f>LOOKUP(M25,AnnotationTuberculist2017!B:B,AnnotationTuberculist2017!A:A)</f>
        <v>cyp130</v>
      </c>
      <c r="O25" s="1"/>
      <c r="P25" s="1"/>
      <c r="Q25" s="1"/>
      <c r="R25" s="13">
        <v>1.3696243459999999</v>
      </c>
      <c r="S25" s="11" t="s">
        <v>444</v>
      </c>
      <c r="T25" s="1" t="str">
        <f>INDEX(AnnotationTuberculist2017!$A:$A,MATCH(S25,AnnotationTuberculist2017!$B:$B,0))</f>
        <v>Rv0726c</v>
      </c>
      <c r="U25" s="1"/>
      <c r="X25" t="s">
        <v>497</v>
      </c>
    </row>
    <row r="26" spans="1:24" ht="15.5">
      <c r="A26" s="1" t="s">
        <v>168</v>
      </c>
      <c r="B26" s="2" t="str">
        <f>LOOKUP(A26,AnnotationTuberculist2017!B:B,AnnotationTuberculist2017!A:A)</f>
        <v>irtB</v>
      </c>
      <c r="C26" s="1" t="s">
        <v>45</v>
      </c>
      <c r="D26" s="2" t="str">
        <f>LOOKUP(C26,AnnotationTuberculist2017!B:B,AnnotationTuberculist2017!A:A)</f>
        <v>Rv2060</v>
      </c>
      <c r="E26" s="1"/>
      <c r="F26" s="2"/>
      <c r="G26" s="1" t="s">
        <v>189</v>
      </c>
      <c r="H26" s="2" t="str">
        <f>LOOKUP(G26,AnnotationTuberculist2017!B:B,AnnotationTuberculist2017!A:A)</f>
        <v>Rv2137c</v>
      </c>
      <c r="I26" s="1" t="s">
        <v>190</v>
      </c>
      <c r="J26" s="2" t="str">
        <f>LOOKUP(I26,AnnotationTuberculist2017!B:B,AnnotationTuberculist2017!A:A)</f>
        <v>Rv0571c</v>
      </c>
      <c r="K26" s="1" t="s">
        <v>135</v>
      </c>
      <c r="L26" s="2" t="str">
        <f>LOOKUP(K26,AnnotationTuberculist2017!B:B,AnnotationTuberculist2017!A:A)</f>
        <v>espC</v>
      </c>
      <c r="M26" s="1" t="s">
        <v>12842</v>
      </c>
      <c r="N26" s="2" t="str">
        <f>LOOKUP(M26,AnnotationTuberculist2017!B:B,AnnotationTuberculist2017!A:A)</f>
        <v>PE15</v>
      </c>
      <c r="O26" s="1"/>
      <c r="P26" s="1"/>
      <c r="Q26" s="1"/>
      <c r="R26" s="13">
        <v>1.3366409669999999</v>
      </c>
      <c r="S26" s="11" t="s">
        <v>445</v>
      </c>
      <c r="T26" s="1" t="str">
        <f>INDEX(AnnotationTuberculist2017!$A:$A,MATCH(S26,AnnotationTuberculist2017!$B:$B,0))</f>
        <v>alkB</v>
      </c>
      <c r="U26" s="1"/>
      <c r="X26" t="s">
        <v>498</v>
      </c>
    </row>
    <row r="27" spans="1:24" ht="15.5">
      <c r="A27" s="1" t="s">
        <v>267</v>
      </c>
      <c r="B27" s="2" t="str">
        <f>LOOKUP(A27,AnnotationTuberculist2017!B:B,AnnotationTuberculist2017!A:A)</f>
        <v>Rv1519</v>
      </c>
      <c r="C27" s="1" t="s">
        <v>54</v>
      </c>
      <c r="D27" s="2" t="str">
        <f>LOOKUP(C27,AnnotationTuberculist2017!B:B,AnnotationTuberculist2017!A:A)</f>
        <v>Rv2061c</v>
      </c>
      <c r="E27" s="1"/>
      <c r="F27" s="2"/>
      <c r="G27" s="1" t="s">
        <v>194</v>
      </c>
      <c r="H27" s="2" t="str">
        <f>LOOKUP(G27,AnnotationTuberculist2017!B:B,AnnotationTuberculist2017!A:A)</f>
        <v>narK1</v>
      </c>
      <c r="I27" s="1" t="s">
        <v>195</v>
      </c>
      <c r="J27" s="2" t="str">
        <f>LOOKUP(I27,AnnotationTuberculist2017!B:B,AnnotationTuberculist2017!A:A)</f>
        <v>Rv0572c</v>
      </c>
      <c r="K27" s="1" t="s">
        <v>55</v>
      </c>
      <c r="L27" s="2" t="str">
        <f>LOOKUP(K27,AnnotationTuberculist2017!B:B,AnnotationTuberculist2017!A:A)</f>
        <v>espA</v>
      </c>
      <c r="M27" s="1" t="s">
        <v>19172</v>
      </c>
      <c r="N27" s="2" t="str">
        <f>LOOKUP(M27,AnnotationTuberculist2017!B:B,AnnotationTuberculist2017!A:A)</f>
        <v>Rv1405c</v>
      </c>
      <c r="O27" s="1"/>
      <c r="P27" s="1"/>
      <c r="Q27" s="1"/>
      <c r="R27" s="13">
        <v>1.2850536699999999</v>
      </c>
      <c r="S27" s="11" t="s">
        <v>13</v>
      </c>
      <c r="T27" s="1" t="str">
        <f>INDEX(AnnotationTuberculist2017!$A:$A,MATCH(S27,AnnotationTuberculist2017!$B:$B,0))</f>
        <v>eccA3</v>
      </c>
      <c r="U27" s="1"/>
      <c r="X27" t="s">
        <v>499</v>
      </c>
    </row>
    <row r="28" spans="1:24" ht="15.5">
      <c r="A28" s="1" t="s">
        <v>175</v>
      </c>
      <c r="B28" s="2" t="str">
        <f>LOOKUP(A28,AnnotationTuberculist2017!B:B,AnnotationTuberculist2017!A:A)</f>
        <v>bfrA</v>
      </c>
      <c r="C28" s="1" t="s">
        <v>15</v>
      </c>
      <c r="D28" s="2" t="str">
        <f>LOOKUP(C28,AnnotationTuberculist2017!B:B,AnnotationTuberculist2017!A:A)</f>
        <v>smtB</v>
      </c>
      <c r="E28" s="1"/>
      <c r="F28" s="2"/>
      <c r="G28" s="1" t="s">
        <v>198</v>
      </c>
      <c r="H28" s="2" t="str">
        <f>LOOKUP(G28,AnnotationTuberculist2017!B:B,AnnotationTuberculist2017!A:A)</f>
        <v>cfp2</v>
      </c>
      <c r="I28" s="1" t="s">
        <v>199</v>
      </c>
      <c r="J28" s="2" t="str">
        <f>LOOKUP(I28,AnnotationTuberculist2017!B:B,AnnotationTuberculist2017!A:A)</f>
        <v>pncB2</v>
      </c>
      <c r="K28" s="5" t="s">
        <v>419</v>
      </c>
      <c r="L28" s="2"/>
      <c r="M28" s="1" t="s">
        <v>13222</v>
      </c>
      <c r="N28" s="2" t="str">
        <f>LOOKUP(M28,AnnotationTuberculist2017!B:B,AnnotationTuberculist2017!A:A)</f>
        <v>frdA</v>
      </c>
      <c r="O28" s="1"/>
      <c r="P28" s="1"/>
      <c r="Q28" s="1"/>
      <c r="R28" s="13">
        <v>1.283448828</v>
      </c>
      <c r="S28" s="11" t="s">
        <v>446</v>
      </c>
      <c r="T28" s="1" t="str">
        <f>INDEX(AnnotationTuberculist2017!$A:$A,MATCH(S28,AnnotationTuberculist2017!$B:$B,0))</f>
        <v>clgR</v>
      </c>
      <c r="U28" s="1"/>
      <c r="X28" t="s">
        <v>500</v>
      </c>
    </row>
    <row r="29" spans="1:24" ht="15.5">
      <c r="A29" s="1" t="s">
        <v>181</v>
      </c>
      <c r="B29" s="2" t="str">
        <f>LOOKUP(A29,AnnotationTuberculist2017!B:B,AnnotationTuberculist2017!A:A)</f>
        <v>hisE</v>
      </c>
      <c r="C29" s="1" t="s">
        <v>25</v>
      </c>
      <c r="D29" s="2" t="str">
        <f>LOOKUP(C29,AnnotationTuberculist2017!B:B,AnnotationTuberculist2017!A:A)</f>
        <v>zur</v>
      </c>
      <c r="E29" s="1"/>
      <c r="F29" s="2"/>
      <c r="G29" s="1" t="s">
        <v>202</v>
      </c>
      <c r="H29" s="2" t="str">
        <f>LOOKUP(G29,AnnotationTuberculist2017!B:B,AnnotationTuberculist2017!A:A)</f>
        <v>rpfD</v>
      </c>
      <c r="I29" s="1" t="s">
        <v>203</v>
      </c>
      <c r="J29" s="2" t="str">
        <f>LOOKUP(I29,AnnotationTuberculist2017!B:B,AnnotationTuberculist2017!A:A)</f>
        <v>Rv0574c</v>
      </c>
      <c r="K29" s="1" t="s">
        <v>420</v>
      </c>
      <c r="L29" s="2" t="str">
        <f>LOOKUP(K29,AnnotationTuberculist2017!B:B,AnnotationTuberculist2017!A:A)</f>
        <v>lprQ</v>
      </c>
      <c r="M29" s="1" t="s">
        <v>630</v>
      </c>
      <c r="N29" s="2" t="str">
        <f>LOOKUP(M29,AnnotationTuberculist2017!B:B,AnnotationTuberculist2017!A:A)</f>
        <v>Rv1566c</v>
      </c>
      <c r="O29" s="1"/>
      <c r="P29" s="1"/>
      <c r="Q29" s="1"/>
      <c r="R29" s="13">
        <v>1.258800704</v>
      </c>
      <c r="S29" s="11" t="s">
        <v>23</v>
      </c>
      <c r="T29" s="1" t="str">
        <f>INDEX(AnnotationTuberculist2017!$A:$A,MATCH(S29,AnnotationTuberculist2017!$B:$B,0))</f>
        <v>eccB3</v>
      </c>
      <c r="U29" s="1"/>
      <c r="X29" t="s">
        <v>501</v>
      </c>
    </row>
    <row r="30" spans="1:24" ht="15.5">
      <c r="A30" s="1" t="s">
        <v>187</v>
      </c>
      <c r="B30" s="2" t="str">
        <f>LOOKUP(A30,AnnotationTuberculist2017!B:B,AnnotationTuberculist2017!A:A)</f>
        <v>PPE37</v>
      </c>
      <c r="C30" s="1" t="s">
        <v>148</v>
      </c>
      <c r="D30" s="2" t="str">
        <f>LOOKUP(C30,AnnotationTuberculist2017!B:B,AnnotationTuberculist2017!A:A)</f>
        <v>Rv2990c</v>
      </c>
      <c r="E30" s="1"/>
      <c r="F30" s="2"/>
      <c r="G30" s="1" t="s">
        <v>206</v>
      </c>
      <c r="H30" s="2" t="str">
        <f>LOOKUP(G30,AnnotationTuberculist2017!B:B,AnnotationTuberculist2017!A:A)</f>
        <v>Rv2390c</v>
      </c>
      <c r="I30" s="1" t="s">
        <v>207</v>
      </c>
      <c r="J30" s="2" t="str">
        <f>LOOKUP(I30,AnnotationTuberculist2017!B:B,AnnotationTuberculist2017!A:A)</f>
        <v>Rv0634c</v>
      </c>
      <c r="K30" s="1" t="s">
        <v>422</v>
      </c>
      <c r="L30" s="2" t="str">
        <f>LOOKUP(K30,AnnotationTuberculist2017!B:B,AnnotationTuberculist2017!A:A)</f>
        <v>rpfA</v>
      </c>
      <c r="M30" s="1" t="s">
        <v>13303</v>
      </c>
      <c r="N30" s="2" t="str">
        <f>LOOKUP(M30,AnnotationTuberculist2017!B:B,AnnotationTuberculist2017!A:A)</f>
        <v>Rv1581c</v>
      </c>
      <c r="O30" s="1"/>
      <c r="P30" s="1"/>
      <c r="Q30" s="1"/>
      <c r="R30" s="13">
        <v>1.2448010819999999</v>
      </c>
      <c r="S30" s="11" t="s">
        <v>447</v>
      </c>
      <c r="T30" s="1" t="str">
        <f>INDEX(AnnotationTuberculist2017!$A:$A,MATCH(S30,AnnotationTuberculist2017!$B:$B,0))</f>
        <v>argB</v>
      </c>
      <c r="U30" s="1"/>
      <c r="X30" t="s">
        <v>502</v>
      </c>
    </row>
    <row r="31" spans="1:24" ht="15.5">
      <c r="A31" s="1" t="s">
        <v>222</v>
      </c>
      <c r="B31" s="2" t="str">
        <f>LOOKUP(A31,AnnotationTuberculist2017!B:B,AnnotationTuberculist2017!A:A)</f>
        <v>mbtH</v>
      </c>
      <c r="C31" s="1" t="s">
        <v>155</v>
      </c>
      <c r="D31" s="2" t="str">
        <f>LOOKUP(C31,AnnotationTuberculist2017!B:B,AnnotationTuberculist2017!A:A)</f>
        <v>esxQ</v>
      </c>
      <c r="E31" s="1"/>
      <c r="F31" s="2"/>
      <c r="G31" s="1" t="s">
        <v>211</v>
      </c>
      <c r="H31" s="2" t="str">
        <f>LOOKUP(G31,AnnotationTuberculist2017!B:B,AnnotationTuberculist2017!A:A)</f>
        <v>sirA</v>
      </c>
      <c r="I31" s="1" t="s">
        <v>212</v>
      </c>
      <c r="J31" s="2" t="str">
        <f>LOOKUP(I31,AnnotationTuberculist2017!B:B,AnnotationTuberculist2017!A:A)</f>
        <v>Rv0907</v>
      </c>
      <c r="K31" s="1" t="s">
        <v>424</v>
      </c>
      <c r="L31" s="2" t="str">
        <f>LOOKUP(K31,AnnotationTuberculist2017!B:B,AnnotationTuberculist2017!A:A)</f>
        <v>PPE20</v>
      </c>
      <c r="M31" s="1" t="s">
        <v>13725</v>
      </c>
      <c r="N31" s="2" t="str">
        <f>LOOKUP(M31,AnnotationTuberculist2017!B:B,AnnotationTuberculist2017!A:A)</f>
        <v>wag22</v>
      </c>
      <c r="O31" s="1"/>
      <c r="P31" s="1"/>
      <c r="Q31" s="1"/>
      <c r="R31" s="13">
        <v>1.2420403820000001</v>
      </c>
      <c r="S31" s="11" t="s">
        <v>161</v>
      </c>
      <c r="T31" s="1" t="str">
        <f>INDEX(AnnotationTuberculist2017!$A:$A,MATCH(S31,AnnotationTuberculist2017!$B:$B,0))</f>
        <v>irtA</v>
      </c>
      <c r="U31" s="1"/>
      <c r="X31" t="s">
        <v>503</v>
      </c>
    </row>
    <row r="32" spans="1:24" ht="15.5">
      <c r="A32" s="1" t="s">
        <v>218</v>
      </c>
      <c r="B32" s="2" t="str">
        <f>LOOKUP(A32,AnnotationTuberculist2017!B:B,AnnotationTuberculist2017!A:A)</f>
        <v>mbtG</v>
      </c>
      <c r="C32" s="1" t="s">
        <v>163</v>
      </c>
      <c r="D32" s="2" t="str">
        <f>LOOKUP(C32,AnnotationTuberculist2017!B:B,AnnotationTuberculist2017!A:A)</f>
        <v>esxR</v>
      </c>
      <c r="E32" s="1"/>
      <c r="F32" s="2"/>
      <c r="G32" s="1" t="s">
        <v>216</v>
      </c>
      <c r="H32" s="2" t="str">
        <f>LOOKUP(G32,AnnotationTuberculist2017!B:B,AnnotationTuberculist2017!A:A)</f>
        <v>cysH</v>
      </c>
      <c r="I32" s="1" t="s">
        <v>217</v>
      </c>
      <c r="J32" s="2" t="str">
        <f>LOOKUP(I32,AnnotationTuberculist2017!B:B,AnnotationTuberculist2017!A:A)</f>
        <v>Rv1065</v>
      </c>
      <c r="K32" s="1" t="s">
        <v>425</v>
      </c>
      <c r="L32" s="2" t="str">
        <f>LOOKUP(K32,AnnotationTuberculist2017!B:B,AnnotationTuberculist2017!A:A)</f>
        <v>Rv1592c</v>
      </c>
      <c r="M32" s="1" t="s">
        <v>19173</v>
      </c>
      <c r="N32" s="2" t="str">
        <f>LOOKUP(M32,AnnotationTuberculist2017!B:B,AnnotationTuberculist2017!A:A)</f>
        <v>Rv1779c</v>
      </c>
      <c r="O32" s="1"/>
      <c r="P32" s="1"/>
      <c r="Q32" s="1"/>
      <c r="R32" s="13">
        <v>1.1748994580000001</v>
      </c>
      <c r="S32" s="11" t="s">
        <v>52</v>
      </c>
      <c r="T32" s="1" t="str">
        <f>INDEX(AnnotationTuberculist2017!$A:$A,MATCH(S32,AnnotationTuberculist2017!$B:$B,0))</f>
        <v>PPE4</v>
      </c>
      <c r="U32" s="1"/>
      <c r="X32" t="s">
        <v>504</v>
      </c>
    </row>
    <row r="33" spans="1:24" ht="15.5">
      <c r="A33" s="1" t="s">
        <v>213</v>
      </c>
      <c r="B33" s="2" t="str">
        <f>LOOKUP(A33,AnnotationTuberculist2017!B:B,AnnotationTuberculist2017!A:A)</f>
        <v>mbtG</v>
      </c>
      <c r="C33" s="1" t="s">
        <v>170</v>
      </c>
      <c r="D33" s="2" t="str">
        <f>LOOKUP(C33,AnnotationTuberculist2017!B:B,AnnotationTuberculist2017!A:A)</f>
        <v>esxS</v>
      </c>
      <c r="E33" s="1"/>
      <c r="F33" s="2"/>
      <c r="G33" s="1" t="s">
        <v>220</v>
      </c>
      <c r="H33" s="2" t="str">
        <f>LOOKUP(G33,AnnotationTuberculist2017!B:B,AnnotationTuberculist2017!A:A)</f>
        <v>che1</v>
      </c>
      <c r="I33" s="1" t="s">
        <v>221</v>
      </c>
      <c r="J33" s="2" t="str">
        <f>LOOKUP(I33,AnnotationTuberculist2017!B:B,AnnotationTuberculist2017!A:A)</f>
        <v>Rv1367c</v>
      </c>
      <c r="K33" s="1" t="s">
        <v>426</v>
      </c>
      <c r="L33" s="2" t="str">
        <f>LOOKUP(K33,AnnotationTuberculist2017!B:B,AnnotationTuberculist2017!A:A)</f>
        <v>ahpC</v>
      </c>
      <c r="M33" s="1" t="s">
        <v>13846</v>
      </c>
      <c r="N33" s="2" t="str">
        <f>LOOKUP(M33,AnnotationTuberculist2017!B:B,AnnotationTuberculist2017!A:A)</f>
        <v>Rv1810</v>
      </c>
      <c r="O33" s="1"/>
      <c r="P33" s="1"/>
      <c r="Q33" s="1"/>
      <c r="R33" s="13">
        <v>1.0359397960000001</v>
      </c>
      <c r="S33" s="11" t="s">
        <v>327</v>
      </c>
      <c r="T33" s="1" t="str">
        <f>INDEX(AnnotationTuberculist2017!$A:$A,MATCH(S33,AnnotationTuberculist2017!$B:$B,0))</f>
        <v>Rv3197</v>
      </c>
      <c r="U33" s="1" t="s">
        <v>20175</v>
      </c>
      <c r="X33" t="s">
        <v>505</v>
      </c>
    </row>
    <row r="34" spans="1:24" ht="15.5">
      <c r="A34" s="1" t="s">
        <v>208</v>
      </c>
      <c r="B34" s="2" t="str">
        <f>LOOKUP(A34,AnnotationTuberculist2017!B:B,AnnotationTuberculist2017!A:A)</f>
        <v>mbtE</v>
      </c>
      <c r="C34" s="1" t="s">
        <v>177</v>
      </c>
      <c r="D34" s="2" t="str">
        <f>LOOKUP(C34,AnnotationTuberculist2017!B:B,AnnotationTuberculist2017!A:A)</f>
        <v>PPE48</v>
      </c>
      <c r="E34" s="1"/>
      <c r="F34" s="2"/>
      <c r="G34" s="1" t="s">
        <v>225</v>
      </c>
      <c r="H34" s="2" t="str">
        <f>LOOKUP(G34,AnnotationTuberculist2017!B:B,AnnotationTuberculist2017!A:A)</f>
        <v>PE_PGRS41</v>
      </c>
      <c r="I34" s="1" t="s">
        <v>226</v>
      </c>
      <c r="J34" s="2" t="str">
        <f>LOOKUP(I34,AnnotationTuberculist2017!B:B,AnnotationTuberculist2017!A:A)</f>
        <v>Rv1405c</v>
      </c>
      <c r="K34" s="1" t="s">
        <v>17</v>
      </c>
      <c r="L34" s="2" t="str">
        <f>LOOKUP(K34,AnnotationTuberculist2017!B:B,AnnotationTuberculist2017!A:A)</f>
        <v>fadD26</v>
      </c>
      <c r="M34" s="1" t="s">
        <v>19174</v>
      </c>
      <c r="N34" s="2" t="str">
        <f>LOOKUP(M34,AnnotationTuberculist2017!B:B,AnnotationTuberculist2017!A:A)</f>
        <v>Rv1976c</v>
      </c>
      <c r="O34" s="1"/>
      <c r="P34" s="1"/>
      <c r="Q34" s="1"/>
      <c r="R34" s="13">
        <v>1.0337172290000001</v>
      </c>
      <c r="S34" s="11" t="s">
        <v>448</v>
      </c>
      <c r="T34" s="1" t="str">
        <f>INDEX(AnnotationTuberculist2017!$A:$A,MATCH(S34,AnnotationTuberculist2017!$B:$B,0))</f>
        <v>dnaK</v>
      </c>
      <c r="U34" s="1"/>
      <c r="X34" t="s">
        <v>506</v>
      </c>
    </row>
    <row r="35" spans="1:24" ht="15.5">
      <c r="A35" s="1" t="s">
        <v>204</v>
      </c>
      <c r="B35" s="2" t="str">
        <f>LOOKUP(A35,AnnotationTuberculist2017!B:B,AnnotationTuberculist2017!A:A)</f>
        <v>mbtD</v>
      </c>
      <c r="C35" s="1" t="s">
        <v>182</v>
      </c>
      <c r="D35" s="2" t="str">
        <f>LOOKUP(C35,AnnotationTuberculist2017!B:B,AnnotationTuberculist2017!A:A)</f>
        <v>desA3</v>
      </c>
      <c r="E35" s="1"/>
      <c r="F35" s="2"/>
      <c r="G35" s="1" t="s">
        <v>230</v>
      </c>
      <c r="H35" s="2" t="str">
        <f>LOOKUP(G35,AnnotationTuberculist2017!B:B,AnnotationTuberculist2017!A:A)</f>
        <v>fas</v>
      </c>
      <c r="I35" s="1" t="s">
        <v>231</v>
      </c>
      <c r="J35" s="2" t="str">
        <f>LOOKUP(I35,AnnotationTuberculist2017!B:B,AnnotationTuberculist2017!A:A)</f>
        <v>Rv1733c</v>
      </c>
      <c r="K35" s="1" t="s">
        <v>289</v>
      </c>
      <c r="L35" s="2" t="str">
        <f>LOOKUP(K35,AnnotationTuberculist2017!B:B,AnnotationTuberculist2017!A:A)</f>
        <v>PPE51</v>
      </c>
      <c r="M35" s="1" t="s">
        <v>14268</v>
      </c>
      <c r="N35" s="2" t="str">
        <f>LOOKUP(M35,AnnotationTuberculist2017!B:B,AnnotationTuberculist2017!A:A)</f>
        <v>Rv1990c</v>
      </c>
      <c r="O35" s="1"/>
      <c r="P35" s="1"/>
      <c r="Q35" s="1"/>
      <c r="R35" s="13">
        <v>1.006818977</v>
      </c>
      <c r="S35" s="11" t="s">
        <v>449</v>
      </c>
      <c r="T35" s="1" t="str">
        <f>INDEX(AnnotationTuberculist2017!$A:$A,MATCH(S35,AnnotationTuberculist2017!$B:$B,0))</f>
        <v>mbtF</v>
      </c>
      <c r="U35" s="1"/>
      <c r="X35" t="s">
        <v>507</v>
      </c>
    </row>
    <row r="36" spans="1:24" ht="15.5">
      <c r="A36" s="1" t="s">
        <v>200</v>
      </c>
      <c r="B36" s="2" t="str">
        <f>LOOKUP(A36,AnnotationTuberculist2017!B:B,AnnotationTuberculist2017!A:A)</f>
        <v>mbtC</v>
      </c>
      <c r="C36" s="1" t="s">
        <v>114</v>
      </c>
      <c r="D36" s="2" t="str">
        <f>LOOKUP(C36,AnnotationTuberculist2017!B:B,AnnotationTuberculist2017!A:A)</f>
        <v>Rv3612c</v>
      </c>
      <c r="E36" s="1"/>
      <c r="F36" s="2"/>
      <c r="G36" s="1" t="s">
        <v>235</v>
      </c>
      <c r="H36" s="2" t="str">
        <f>LOOKUP(G36,AnnotationTuberculist2017!B:B,AnnotationTuberculist2017!A:A)</f>
        <v>fadD9</v>
      </c>
      <c r="I36" s="1" t="s">
        <v>236</v>
      </c>
      <c r="J36" s="2" t="str">
        <f>LOOKUP(I36,AnnotationTuberculist2017!B:B,AnnotationTuberculist2017!A:A)</f>
        <v>narX</v>
      </c>
      <c r="K36" s="1" t="s">
        <v>429</v>
      </c>
      <c r="L36" s="2" t="str">
        <f>LOOKUP(K36,AnnotationTuberculist2017!B:B,AnnotationTuberculist2017!A:A)</f>
        <v>whiB1</v>
      </c>
      <c r="M36" s="1" t="s">
        <v>19175</v>
      </c>
      <c r="N36" s="2" t="str">
        <f>LOOKUP(M36,AnnotationTuberculist2017!B:B,AnnotationTuberculist2017!A:A)</f>
        <v>Rv2077c</v>
      </c>
      <c r="O36" s="1"/>
      <c r="P36" s="1"/>
      <c r="Q36" s="1"/>
      <c r="R36" s="13">
        <v>0.89138273599999995</v>
      </c>
      <c r="S36" s="11" t="s">
        <v>450</v>
      </c>
      <c r="T36" s="1" t="str">
        <f>INDEX(AnnotationTuberculist2017!$A:$A,MATCH(S36,AnnotationTuberculist2017!$B:$B,0))</f>
        <v>Rv2791c</v>
      </c>
      <c r="U36" s="1"/>
      <c r="X36" t="s">
        <v>508</v>
      </c>
    </row>
    <row r="37" spans="1:24" ht="15.5">
      <c r="A37" s="1" t="s">
        <v>196</v>
      </c>
      <c r="B37" s="2" t="str">
        <f>LOOKUP(A37,AnnotationTuberculist2017!B:B,AnnotationTuberculist2017!A:A)</f>
        <v>mbtB</v>
      </c>
      <c r="C37" s="1"/>
      <c r="D37" s="2"/>
      <c r="E37" s="1"/>
      <c r="F37" s="2"/>
      <c r="G37" s="1" t="s">
        <v>239</v>
      </c>
      <c r="H37" s="2" t="str">
        <f>LOOKUP(G37,AnnotationTuberculist2017!B:B,AnnotationTuberculist2017!A:A)</f>
        <v>Rv2621c</v>
      </c>
      <c r="I37" s="1" t="s">
        <v>240</v>
      </c>
      <c r="J37" s="2" t="str">
        <f>LOOKUP(I37,AnnotationTuberculist2017!B:B,AnnotationTuberculist2017!A:A)</f>
        <v>narK2</v>
      </c>
      <c r="K37" s="1"/>
      <c r="L37" s="2"/>
      <c r="M37" s="1" t="s">
        <v>2085</v>
      </c>
      <c r="N37" s="2" t="str">
        <f>LOOKUP(M37,AnnotationTuberculist2017!B:B,AnnotationTuberculist2017!A:A)</f>
        <v>metH</v>
      </c>
      <c r="O37" s="1"/>
      <c r="P37" s="1"/>
      <c r="Q37" s="1"/>
      <c r="R37" s="13">
        <v>0.89089848800000004</v>
      </c>
      <c r="S37" s="11" t="s">
        <v>34</v>
      </c>
      <c r="T37" s="1" t="str">
        <f>INDEX(AnnotationTuberculist2017!$A:$A,MATCH(S37,AnnotationTuberculist2017!$B:$B,0))</f>
        <v>eccC3</v>
      </c>
      <c r="U37" s="1" t="s">
        <v>20174</v>
      </c>
      <c r="X37" t="s">
        <v>509</v>
      </c>
    </row>
    <row r="38" spans="1:24" ht="15.5">
      <c r="A38" s="1" t="s">
        <v>191</v>
      </c>
      <c r="B38" s="2" t="str">
        <f>LOOKUP(A38,AnnotationTuberculist2017!B:B,AnnotationTuberculist2017!A:A)</f>
        <v>mbtA</v>
      </c>
      <c r="C38" s="1"/>
      <c r="D38" s="2"/>
      <c r="E38" s="1"/>
      <c r="F38" s="2"/>
      <c r="G38" s="1" t="s">
        <v>242</v>
      </c>
      <c r="H38" s="2" t="str">
        <f>LOOKUP(G38,AnnotationTuberculist2017!B:B,AnnotationTuberculist2017!A:A)</f>
        <v>Rv2628</v>
      </c>
      <c r="I38" s="1" t="s">
        <v>243</v>
      </c>
      <c r="J38" s="2" t="str">
        <f>LOOKUP(I38,AnnotationTuberculist2017!B:B,AnnotationTuberculist2017!A:A)</f>
        <v>Rv1738</v>
      </c>
      <c r="K38" s="4" t="s">
        <v>410</v>
      </c>
      <c r="L38" s="2"/>
      <c r="M38" s="1" t="s">
        <v>2172</v>
      </c>
      <c r="N38" s="2" t="str">
        <f>LOOKUP(M38,AnnotationTuberculist2017!B:B,AnnotationTuberculist2017!A:A)</f>
        <v>Rv2336</v>
      </c>
      <c r="O38" s="1"/>
      <c r="P38" s="1"/>
      <c r="Q38" s="1"/>
      <c r="R38" s="13">
        <v>0.87815334099999998</v>
      </c>
      <c r="S38" s="11" t="s">
        <v>451</v>
      </c>
      <c r="T38" s="1" t="str">
        <f>INDEX(AnnotationTuberculist2017!$A:$A,MATCH(S38,AnnotationTuberculist2017!$B:$B,0))</f>
        <v>fadB</v>
      </c>
      <c r="U38" s="1"/>
      <c r="X38" t="s">
        <v>510</v>
      </c>
    </row>
    <row r="39" spans="1:24" ht="15.5">
      <c r="A39" s="1" t="s">
        <v>232</v>
      </c>
      <c r="B39" s="2" t="str">
        <f>LOOKUP(A39,AnnotationTuberculist2017!B:B,AnnotationTuberculist2017!A:A)</f>
        <v>mbtJ</v>
      </c>
      <c r="C39" s="4" t="s">
        <v>246</v>
      </c>
      <c r="D39" s="2"/>
      <c r="E39" s="1"/>
      <c r="F39" s="2"/>
      <c r="G39" s="1" t="s">
        <v>247</v>
      </c>
      <c r="H39" s="2" t="str">
        <f>LOOKUP(G39,AnnotationTuberculist2017!B:B,AnnotationTuberculist2017!A:A)</f>
        <v>Rv2630</v>
      </c>
      <c r="I39" s="1" t="s">
        <v>172</v>
      </c>
      <c r="J39" s="2" t="str">
        <f>LOOKUP(I39,AnnotationTuberculist2017!B:B,AnnotationTuberculist2017!A:A)</f>
        <v>Rv1812c</v>
      </c>
      <c r="K39" s="1" t="s">
        <v>1844</v>
      </c>
      <c r="L39" s="2" t="str">
        <f>LOOKUP(K39,AnnotationTuberculist2017!B:B,AnnotationTuberculist2017!A:A)</f>
        <v>mdh</v>
      </c>
      <c r="M39" s="1" t="s">
        <v>15052</v>
      </c>
      <c r="N39" s="2" t="str">
        <f>LOOKUP(M39,AnnotationTuberculist2017!B:B,AnnotationTuberculist2017!A:A)</f>
        <v>Rv2342</v>
      </c>
      <c r="O39" s="1"/>
      <c r="P39" s="1"/>
      <c r="Q39" s="1"/>
      <c r="R39" s="13">
        <v>0.86395115600000005</v>
      </c>
      <c r="S39" s="11" t="s">
        <v>452</v>
      </c>
      <c r="T39" s="1" t="str">
        <f>INDEX(AnnotationTuberculist2017!$A:$A,MATCH(S39,AnnotationTuberculist2017!$B:$B,0))</f>
        <v>fadE5</v>
      </c>
      <c r="U39" s="1"/>
      <c r="X39" t="s">
        <v>511</v>
      </c>
    </row>
    <row r="40" spans="1:24" ht="15.5">
      <c r="A40" s="1" t="s">
        <v>227</v>
      </c>
      <c r="B40" s="2" t="str">
        <f>LOOKUP(A40,AnnotationTuberculist2017!B:B,AnnotationTuberculist2017!A:A)</f>
        <v>mbtI</v>
      </c>
      <c r="C40" s="5" t="s">
        <v>250</v>
      </c>
      <c r="D40" s="2"/>
      <c r="E40" s="1"/>
      <c r="F40" s="2"/>
      <c r="G40" s="1" t="s">
        <v>251</v>
      </c>
      <c r="H40" s="2" t="str">
        <f>LOOKUP(G40,AnnotationTuberculist2017!B:B,AnnotationTuberculist2017!A:A)</f>
        <v>cadI</v>
      </c>
      <c r="I40" s="1" t="s">
        <v>252</v>
      </c>
      <c r="J40" s="2" t="str">
        <f>LOOKUP(I40,AnnotationTuberculist2017!B:B,AnnotationTuberculist2017!A:A)</f>
        <v>Rv1813c</v>
      </c>
      <c r="K40" s="1" t="s">
        <v>48</v>
      </c>
      <c r="L40" s="2" t="str">
        <f>LOOKUP(K40,AnnotationTuberculist2017!B:B,AnnotationTuberculist2017!A:A)</f>
        <v>groEL2</v>
      </c>
      <c r="M40" s="1" t="s">
        <v>232</v>
      </c>
      <c r="N40" s="2" t="str">
        <f>LOOKUP(M40,AnnotationTuberculist2017!B:B,AnnotationTuberculist2017!A:A)</f>
        <v>mbtJ</v>
      </c>
      <c r="O40" s="1"/>
      <c r="P40" s="1"/>
      <c r="Q40" s="1"/>
      <c r="R40" s="13">
        <v>0.73636127399999995</v>
      </c>
      <c r="S40" s="11" t="s">
        <v>453</v>
      </c>
      <c r="T40" s="1" t="str">
        <f>INDEX(AnnotationTuberculist2017!$A:$A,MATCH(S40,AnnotationTuberculist2017!$B:$B,0))</f>
        <v>Rv2585c</v>
      </c>
      <c r="U40" s="1"/>
      <c r="X40" t="s">
        <v>512</v>
      </c>
    </row>
    <row r="41" spans="1:24" ht="15.5">
      <c r="A41" s="1" t="s">
        <v>238</v>
      </c>
      <c r="B41" s="2" t="str">
        <f>LOOKUP(A41,AnnotationTuberculist2017!B:B,AnnotationTuberculist2017!A:A)</f>
        <v>Rv3402c</v>
      </c>
      <c r="C41" s="1" t="s">
        <v>255</v>
      </c>
      <c r="D41" s="2" t="str">
        <f>LOOKUP(C41,AnnotationTuberculist2017!B:B,AnnotationTuberculist2017!A:A)</f>
        <v>katG</v>
      </c>
      <c r="E41" s="1"/>
      <c r="F41" s="2"/>
      <c r="G41" s="1" t="s">
        <v>257</v>
      </c>
      <c r="H41" s="2" t="str">
        <f>LOOKUP(G41,AnnotationTuberculist2017!B:B,AnnotationTuberculist2017!A:A)</f>
        <v>Rv2642</v>
      </c>
      <c r="I41" s="1" t="s">
        <v>258</v>
      </c>
      <c r="J41" s="2" t="str">
        <f>LOOKUP(I41,AnnotationTuberculist2017!B:B,AnnotationTuberculist2017!A:A)</f>
        <v>PE_PGRS33</v>
      </c>
      <c r="K41" s="1" t="s">
        <v>408</v>
      </c>
      <c r="L41" s="2" t="str">
        <f>LOOKUP(K41,AnnotationTuberculist2017!B:B,AnnotationTuberculist2017!A:A)</f>
        <v>Rv1265</v>
      </c>
      <c r="M41" s="1" t="s">
        <v>225</v>
      </c>
      <c r="N41" s="2" t="str">
        <f>LOOKUP(M41,AnnotationTuberculist2017!B:B,AnnotationTuberculist2017!A:A)</f>
        <v>PE_PGRS41</v>
      </c>
      <c r="O41" s="1"/>
      <c r="P41" s="1"/>
      <c r="Q41" s="1"/>
      <c r="R41" s="13">
        <v>0.47334606200000001</v>
      </c>
      <c r="S41" s="11" t="s">
        <v>454</v>
      </c>
      <c r="T41" s="1" t="str">
        <f>INDEX(AnnotationTuberculist2017!$A:$A,MATCH(S41,AnnotationTuberculist2017!$B:$B,0))</f>
        <v>pks1</v>
      </c>
      <c r="U41" s="1"/>
      <c r="X41" t="s">
        <v>513</v>
      </c>
    </row>
    <row r="42" spans="1:24" ht="15.5">
      <c r="A42" s="1" t="s">
        <v>238</v>
      </c>
      <c r="B42" s="2" t="str">
        <f>LOOKUP(A42,AnnotationTuberculist2017!B:B,AnnotationTuberculist2017!A:A)</f>
        <v>Rv3402c</v>
      </c>
      <c r="C42" s="1" t="s">
        <v>262</v>
      </c>
      <c r="D42" s="2" t="str">
        <f>LOOKUP(C42,AnnotationTuberculist2017!B:B,AnnotationTuberculist2017!A:A)</f>
        <v>furA</v>
      </c>
      <c r="E42" s="1"/>
      <c r="F42" s="2"/>
      <c r="G42" s="1" t="s">
        <v>265</v>
      </c>
      <c r="H42" s="2" t="str">
        <f>LOOKUP(G42,AnnotationTuberculist2017!B:B,AnnotationTuberculist2017!A:A)</f>
        <v>35kd_ag</v>
      </c>
      <c r="I42" s="1" t="s">
        <v>266</v>
      </c>
      <c r="J42" s="2" t="str">
        <f>LOOKUP(I42,AnnotationTuberculist2017!B:B,AnnotationTuberculist2017!A:A)</f>
        <v>Rv1977</v>
      </c>
      <c r="K42" s="1" t="s">
        <v>9537</v>
      </c>
      <c r="L42" s="2" t="s">
        <v>409</v>
      </c>
      <c r="M42" s="1" t="s">
        <v>19176</v>
      </c>
      <c r="N42" s="2" t="str">
        <f>LOOKUP(M42,AnnotationTuberculist2017!B:B,AnnotationTuberculist2017!A:A)</f>
        <v>Rv2406c</v>
      </c>
      <c r="O42" s="1"/>
      <c r="P42" s="1"/>
      <c r="Q42" s="1"/>
      <c r="R42" s="12">
        <v>-0.42353450500000001</v>
      </c>
      <c r="S42" s="11" t="s">
        <v>455</v>
      </c>
      <c r="T42" s="1" t="str">
        <f>INDEX(AnnotationTuberculist2017!$A:$A,MATCH(S42,AnnotationTuberculist2017!$B:$B,0))</f>
        <v>ppsE</v>
      </c>
      <c r="U42" s="1"/>
      <c r="X42" t="s">
        <v>514</v>
      </c>
    </row>
    <row r="43" spans="1:24" ht="15.5">
      <c r="A43" s="1" t="s">
        <v>238</v>
      </c>
      <c r="B43" s="2" t="str">
        <f>LOOKUP(A43,AnnotationTuberculist2017!B:B,AnnotationTuberculist2017!A:A)</f>
        <v>Rv3402c</v>
      </c>
      <c r="C43" s="1"/>
      <c r="D43" s="2"/>
      <c r="E43" s="1"/>
      <c r="F43" s="2"/>
      <c r="G43" s="1" t="s">
        <v>269</v>
      </c>
      <c r="H43" s="2" t="str">
        <f>LOOKUP(G43,AnnotationTuberculist2017!B:B,AnnotationTuberculist2017!A:A)</f>
        <v>ald</v>
      </c>
      <c r="I43" s="1" t="s">
        <v>270</v>
      </c>
      <c r="J43" s="2" t="str">
        <f>LOOKUP(I43,AnnotationTuberculist2017!B:B,AnnotationTuberculist2017!A:A)</f>
        <v>ctpG</v>
      </c>
      <c r="K43" s="1"/>
      <c r="L43" s="2"/>
      <c r="M43" s="1" t="s">
        <v>717</v>
      </c>
      <c r="N43" s="2" t="str">
        <f>LOOKUP(M43,AnnotationTuberculist2017!B:B,AnnotationTuberculist2017!A:A)</f>
        <v>PE24</v>
      </c>
      <c r="O43" s="1"/>
      <c r="P43" s="1"/>
      <c r="Q43" s="1"/>
      <c r="R43" s="12">
        <v>-0.49166856399999997</v>
      </c>
      <c r="S43" s="11" t="s">
        <v>456</v>
      </c>
      <c r="T43" s="1" t="str">
        <f>INDEX(AnnotationTuberculist2017!$A:$A,MATCH(S43,AnnotationTuberculist2017!$B:$B,0))</f>
        <v>rho</v>
      </c>
      <c r="U43" s="1"/>
      <c r="X43" t="s">
        <v>515</v>
      </c>
    </row>
    <row r="44" spans="1:24" ht="15.5">
      <c r="A44" s="1" t="s">
        <v>114</v>
      </c>
      <c r="B44" s="2" t="str">
        <f>LOOKUP(A44,AnnotationTuberculist2017!B:B,AnnotationTuberculist2017!A:A)</f>
        <v>Rv3612c</v>
      </c>
      <c r="C44" s="1"/>
      <c r="D44" s="2"/>
      <c r="E44" s="1"/>
      <c r="F44" s="2"/>
      <c r="G44" s="1" t="s">
        <v>272</v>
      </c>
      <c r="H44" s="2" t="str">
        <f>LOOKUP(G44,AnnotationTuberculist2017!B:B,AnnotationTuberculist2017!A:A)</f>
        <v>Rv3127</v>
      </c>
      <c r="I44" s="1" t="s">
        <v>184</v>
      </c>
      <c r="J44" s="2" t="str">
        <f>LOOKUP(I44,AnnotationTuberculist2017!B:B,AnnotationTuberculist2017!A:A)</f>
        <v>Rv1996</v>
      </c>
      <c r="K44" s="4" t="s">
        <v>20169</v>
      </c>
      <c r="L44" s="2"/>
      <c r="M44" s="1" t="s">
        <v>2285</v>
      </c>
      <c r="N44" s="2" t="str">
        <f>LOOKUP(M44,AnnotationTuberculist2017!B:B,AnnotationTuberculist2017!A:A)</f>
        <v>PE_PGRS44</v>
      </c>
      <c r="O44" s="1"/>
      <c r="P44" s="1"/>
      <c r="Q44" s="1"/>
      <c r="R44" s="12">
        <v>-0.51993838400000003</v>
      </c>
      <c r="S44" s="11" t="s">
        <v>457</v>
      </c>
      <c r="T44" s="1" t="str">
        <f>INDEX(AnnotationTuberculist2017!$A:$A,MATCH(S44,AnnotationTuberculist2017!$B:$B,0))</f>
        <v>lat</v>
      </c>
      <c r="U44" s="1"/>
      <c r="X44" t="s">
        <v>516</v>
      </c>
    </row>
    <row r="45" spans="1:24" ht="15.5">
      <c r="A45" s="1" t="s">
        <v>244</v>
      </c>
      <c r="B45" s="2" t="str">
        <f>LOOKUP(A45,AnnotationTuberculist2017!B:B,AnnotationTuberculist2017!A:A)</f>
        <v>pheA</v>
      </c>
      <c r="C45" s="1"/>
      <c r="D45" s="2"/>
      <c r="E45" s="1"/>
      <c r="F45" s="2"/>
      <c r="G45" s="1" t="s">
        <v>81</v>
      </c>
      <c r="H45" s="2" t="str">
        <f>LOOKUP(G45,AnnotationTuberculist2017!B:B,AnnotationTuberculist2017!A:A)</f>
        <v>Rv3129</v>
      </c>
      <c r="I45" s="1" t="s">
        <v>274</v>
      </c>
      <c r="J45" s="2" t="str">
        <f>LOOKUP(I45,AnnotationTuberculist2017!B:B,AnnotationTuberculist2017!A:A)</f>
        <v>ctpF</v>
      </c>
      <c r="K45" s="1" t="s">
        <v>20170</v>
      </c>
      <c r="L45" s="2" t="str">
        <f>LOOKUP(K45,AnnotationTuberculist2017!B:B,AnnotationTuberculist2017!A:A)</f>
        <v>serV</v>
      </c>
      <c r="M45" s="1" t="s">
        <v>19177</v>
      </c>
      <c r="N45" s="2" t="str">
        <f>LOOKUP(M45,AnnotationTuberculist2017!B:B,AnnotationTuberculist2017!A:A)</f>
        <v>Rv2699c</v>
      </c>
      <c r="O45" s="1"/>
      <c r="P45" s="1"/>
      <c r="Q45" s="1"/>
      <c r="R45" s="12">
        <v>-0.64267707699999999</v>
      </c>
      <c r="S45" s="11" t="s">
        <v>458</v>
      </c>
      <c r="T45" s="1" t="str">
        <f>INDEX(AnnotationTuberculist2017!$A:$A,MATCH(S45,AnnotationTuberculist2017!$B:$B,0))</f>
        <v>atpH</v>
      </c>
      <c r="U45" s="1"/>
      <c r="X45" t="s">
        <v>517</v>
      </c>
    </row>
    <row r="46" spans="1:24" ht="15.5">
      <c r="A46" s="1" t="s">
        <v>276</v>
      </c>
      <c r="B46" s="2" t="str">
        <f>LOOKUP(A46,AnnotationTuberculist2017!B:B,AnnotationTuberculist2017!A:A)</f>
        <v>Rv3839</v>
      </c>
      <c r="C46" s="1"/>
      <c r="D46" s="2"/>
      <c r="E46" s="1"/>
      <c r="F46" s="2"/>
      <c r="G46" s="1" t="s">
        <v>278</v>
      </c>
      <c r="H46" s="2" t="str">
        <f>LOOKUP(G46,AnnotationTuberculist2017!B:B,AnnotationTuberculist2017!A:A)</f>
        <v>devS</v>
      </c>
      <c r="I46" s="1" t="s">
        <v>279</v>
      </c>
      <c r="J46" s="2" t="str">
        <f>LOOKUP(I46,AnnotationTuberculist2017!B:B,AnnotationTuberculist2017!A:A)</f>
        <v>Rv2004c</v>
      </c>
      <c r="K46" s="1" t="s">
        <v>3163</v>
      </c>
      <c r="L46" s="2" t="str">
        <f>LOOKUP(K46,AnnotationTuberculist2017!B:B,AnnotationTuberculist2017!A:A)</f>
        <v>dnaA</v>
      </c>
      <c r="M46" s="1" t="s">
        <v>2737</v>
      </c>
      <c r="N46" s="2" t="str">
        <f>LOOKUP(M46,AnnotationTuberculist2017!B:B,AnnotationTuberculist2017!A:A)</f>
        <v>Rv3050c</v>
      </c>
      <c r="O46" s="1"/>
      <c r="P46" s="1"/>
      <c r="Q46" s="1"/>
      <c r="R46" s="12">
        <v>-0.65580853100000003</v>
      </c>
      <c r="S46" s="11" t="s">
        <v>459</v>
      </c>
      <c r="T46" s="1" t="str">
        <f>INDEX(AnnotationTuberculist2017!$A:$A,MATCH(S46,AnnotationTuberculist2017!$B:$B,0))</f>
        <v>qcrB</v>
      </c>
      <c r="U46" s="1"/>
      <c r="X46" t="s">
        <v>518</v>
      </c>
    </row>
    <row r="47" spans="1:24" ht="15.5">
      <c r="A47" s="1" t="s">
        <v>280</v>
      </c>
      <c r="B47" s="2" t="str">
        <f>LOOKUP(A47,AnnotationTuberculist2017!B:B,AnnotationTuberculist2017!A:A)</f>
        <v>Rv3840</v>
      </c>
      <c r="C47" s="1"/>
      <c r="D47" s="2"/>
      <c r="E47" s="1"/>
      <c r="F47" s="2"/>
      <c r="G47" s="1" t="s">
        <v>282</v>
      </c>
      <c r="H47" s="2" t="str">
        <f>LOOKUP(G47,AnnotationTuberculist2017!B:B,AnnotationTuberculist2017!A:A)</f>
        <v>devR</v>
      </c>
      <c r="I47" s="1" t="s">
        <v>283</v>
      </c>
      <c r="J47" s="2" t="str">
        <f>LOOKUP(I47,AnnotationTuberculist2017!B:B,AnnotationTuberculist2017!A:A)</f>
        <v>Rv2005c</v>
      </c>
      <c r="K47" s="1" t="s">
        <v>2505</v>
      </c>
      <c r="L47" s="2" t="str">
        <f>LOOKUP(K47,AnnotationTuberculist2017!B:B,AnnotationTuberculist2017!A:A)</f>
        <v>ripA</v>
      </c>
      <c r="M47" s="1" t="s">
        <v>1416</v>
      </c>
      <c r="N47" s="2" t="str">
        <f>LOOKUP(M47,AnnotationTuberculist2017!B:B,AnnotationTuberculist2017!A:A)</f>
        <v>cstA</v>
      </c>
      <c r="O47" s="1"/>
      <c r="P47" s="1"/>
      <c r="Q47" s="1"/>
      <c r="R47" s="12">
        <v>-0.67837954600000006</v>
      </c>
      <c r="S47" s="11" t="s">
        <v>460</v>
      </c>
      <c r="T47" s="1" t="str">
        <f>INDEX(AnnotationTuberculist2017!$A:$A,MATCH(S47,AnnotationTuberculist2017!$B:$B,0))</f>
        <v>Rv3583c</v>
      </c>
      <c r="U47" s="1"/>
      <c r="X47" t="s">
        <v>519</v>
      </c>
    </row>
    <row r="48" spans="1:24" ht="15.5">
      <c r="A48" s="5" t="s">
        <v>18772</v>
      </c>
      <c r="B48" s="2"/>
      <c r="C48" s="1"/>
      <c r="D48" s="2"/>
      <c r="E48" s="1"/>
      <c r="F48" s="2"/>
      <c r="G48" s="1" t="s">
        <v>285</v>
      </c>
      <c r="H48" s="2" t="str">
        <f>LOOKUP(G48,AnnotationTuberculist2017!B:B,AnnotationTuberculist2017!A:A)</f>
        <v>PPE50</v>
      </c>
      <c r="I48" s="1" t="s">
        <v>286</v>
      </c>
      <c r="J48" s="2" t="str">
        <f>LOOKUP(I48,AnnotationTuberculist2017!B:B,AnnotationTuberculist2017!A:A)</f>
        <v>otsB1</v>
      </c>
      <c r="K48" s="1" t="s">
        <v>992</v>
      </c>
      <c r="L48" s="2" t="str">
        <f>LOOKUP(K48,AnnotationTuberculist2017!B:B,AnnotationTuberculist2017!A:A)</f>
        <v>fbpB</v>
      </c>
      <c r="M48" s="1" t="s">
        <v>917</v>
      </c>
      <c r="N48" s="2" t="str">
        <f>LOOKUP(M48,AnnotationTuberculist2017!B:B,AnnotationTuberculist2017!A:A)</f>
        <v>Rv3295</v>
      </c>
      <c r="O48" s="1"/>
      <c r="P48" s="1"/>
      <c r="Q48" s="1"/>
      <c r="R48" s="12">
        <v>-0.68742835099999999</v>
      </c>
      <c r="S48" s="11" t="s">
        <v>461</v>
      </c>
      <c r="T48" s="1" t="str">
        <f>INDEX(AnnotationTuberculist2017!$A:$A,MATCH(S48,AnnotationTuberculist2017!$B:$B,0))</f>
        <v>nuoG</v>
      </c>
      <c r="U48" s="1"/>
      <c r="X48" t="s">
        <v>520</v>
      </c>
    </row>
    <row r="49" spans="1:24" ht="15.5">
      <c r="A49" s="1" t="s">
        <v>294</v>
      </c>
      <c r="B49" s="2" t="str">
        <f>LOOKUP(A49,AnnotationTuberculist2017!B:B,AnnotationTuberculist2017!A:A)</f>
        <v>ppiA</v>
      </c>
      <c r="C49" s="1"/>
      <c r="D49" s="2"/>
      <c r="E49" s="1"/>
      <c r="F49" s="2"/>
      <c r="G49" s="1" t="s">
        <v>289</v>
      </c>
      <c r="H49" s="2" t="str">
        <f>LOOKUP(G49,AnnotationTuberculist2017!B:B,AnnotationTuberculist2017!A:A)</f>
        <v>PPE51</v>
      </c>
      <c r="I49" s="1" t="s">
        <v>290</v>
      </c>
      <c r="J49" s="2" t="str">
        <f>LOOKUP(I49,AnnotationTuberculist2017!B:B,AnnotationTuberculist2017!A:A)</f>
        <v>fdxA</v>
      </c>
      <c r="K49" s="1"/>
      <c r="L49" s="2"/>
      <c r="M49" s="1" t="s">
        <v>1798</v>
      </c>
      <c r="N49" s="2" t="str">
        <f>LOOKUP(M49,AnnotationTuberculist2017!B:B,AnnotationTuberculist2017!A:A)</f>
        <v>Rv3454</v>
      </c>
      <c r="O49" s="1"/>
      <c r="P49" s="1"/>
      <c r="Q49" s="1"/>
      <c r="R49" s="12">
        <v>-0.74667039499999999</v>
      </c>
      <c r="S49" s="11" t="s">
        <v>89</v>
      </c>
      <c r="T49" s="1" t="str">
        <f>INDEX(AnnotationTuberculist2017!$A:$A,MATCH(S49,AnnotationTuberculist2017!$B:$B,0))</f>
        <v>bfrB</v>
      </c>
      <c r="U49" s="1" t="s">
        <v>20173</v>
      </c>
      <c r="X49" t="s">
        <v>521</v>
      </c>
    </row>
    <row r="50" spans="1:24" ht="15.5">
      <c r="A50" s="1" t="s">
        <v>299</v>
      </c>
      <c r="B50" s="2" t="str">
        <f>LOOKUP(A50,AnnotationTuberculist2017!B:B,AnnotationTuberculist2017!A:A)</f>
        <v>PPE9</v>
      </c>
      <c r="C50" s="1"/>
      <c r="D50" s="2"/>
      <c r="E50" s="1"/>
      <c r="F50" s="2"/>
      <c r="G50" s="1" t="s">
        <v>292</v>
      </c>
      <c r="H50" s="2" t="str">
        <f>LOOKUP(G50,AnnotationTuberculist2017!B:B,AnnotationTuberculist2017!A:A)</f>
        <v>Rv3137</v>
      </c>
      <c r="I50" s="1" t="s">
        <v>293</v>
      </c>
      <c r="J50" s="2" t="str">
        <f>LOOKUP(I50,AnnotationTuberculist2017!B:B,AnnotationTuberculist2017!A:A)</f>
        <v>Rv2008c</v>
      </c>
      <c r="K50" s="1"/>
      <c r="L50" s="2"/>
      <c r="M50" s="1" t="s">
        <v>18160</v>
      </c>
      <c r="N50" s="2" t="str">
        <f>LOOKUP(M50,AnnotationTuberculist2017!B:B,AnnotationTuberculist2017!A:A)</f>
        <v>PE33</v>
      </c>
      <c r="O50" s="1"/>
      <c r="P50" s="1"/>
      <c r="Q50" s="1"/>
      <c r="R50" s="12">
        <v>-0.75908916299999996</v>
      </c>
      <c r="S50" s="11" t="s">
        <v>462</v>
      </c>
      <c r="T50" s="1" t="str">
        <f>INDEX(AnnotationTuberculist2017!$A:$A,MATCH(S50,AnnotationTuberculist2017!$B:$B,0))</f>
        <v>vapB10</v>
      </c>
      <c r="U50" s="1"/>
      <c r="X50" t="s">
        <v>522</v>
      </c>
    </row>
    <row r="51" spans="1:24" ht="15.5">
      <c r="A51" s="1" t="s">
        <v>288</v>
      </c>
      <c r="B51" s="2" t="str">
        <f>LOOKUP(A51,AnnotationTuberculist2017!B:B,AnnotationTuberculist2017!A:A)</f>
        <v>Rv3401</v>
      </c>
      <c r="C51" s="1"/>
      <c r="D51" s="2"/>
      <c r="E51" s="1"/>
      <c r="F51" s="2"/>
      <c r="G51" s="1" t="s">
        <v>297</v>
      </c>
      <c r="H51" s="2" t="str">
        <f>LOOKUP(G51,AnnotationTuberculist2017!B:B,AnnotationTuberculist2017!A:A)</f>
        <v>fadB4</v>
      </c>
      <c r="I51" s="1" t="s">
        <v>298</v>
      </c>
      <c r="J51" s="2" t="str">
        <f>LOOKUP(I51,AnnotationTuberculist2017!B:B,AnnotationTuberculist2017!A:A)</f>
        <v>dosT</v>
      </c>
      <c r="K51" s="1"/>
      <c r="L51" s="2"/>
      <c r="M51" s="1" t="s">
        <v>18165</v>
      </c>
      <c r="N51" s="2" t="str">
        <f>LOOKUP(M51,AnnotationTuberculist2017!B:B,AnnotationTuberculist2017!A:A)</f>
        <v>PE_PGRS60</v>
      </c>
      <c r="O51" s="1"/>
      <c r="P51" s="1"/>
      <c r="Q51" s="1"/>
      <c r="R51" s="12">
        <v>-0.83175142400000002</v>
      </c>
      <c r="S51" s="11" t="s">
        <v>463</v>
      </c>
      <c r="T51" s="1" t="str">
        <f>INDEX(AnnotationTuberculist2017!$A:$A,MATCH(S51,AnnotationTuberculist2017!$B:$B,0))</f>
        <v>atpG</v>
      </c>
      <c r="U51" s="1"/>
      <c r="X51" t="s">
        <v>523</v>
      </c>
    </row>
    <row r="52" spans="1:24" ht="15.5">
      <c r="A52" s="1" t="s">
        <v>89</v>
      </c>
      <c r="B52" s="2" t="str">
        <f>LOOKUP(A52,AnnotationTuberculist2017!B:B,AnnotationTuberculist2017!A:A)</f>
        <v>bfrB</v>
      </c>
      <c r="C52" s="1"/>
      <c r="D52" s="2"/>
      <c r="E52" s="1"/>
      <c r="F52" s="2"/>
      <c r="G52" s="1" t="s">
        <v>300</v>
      </c>
      <c r="H52" s="2" t="str">
        <f>LOOKUP(G52,AnnotationTuberculist2017!B:B,AnnotationTuberculist2017!A:A)</f>
        <v>Rv3143</v>
      </c>
      <c r="I52" s="1" t="s">
        <v>301</v>
      </c>
      <c r="J52" s="2" t="str">
        <f>LOOKUP(I52,AnnotationTuberculist2017!B:B,AnnotationTuberculist2017!A:A)</f>
        <v>pfkB</v>
      </c>
      <c r="K52" s="1"/>
      <c r="L52" s="2"/>
      <c r="M52" s="1" t="s">
        <v>18318</v>
      </c>
      <c r="N52" s="2" t="str">
        <f>LOOKUP(M52,AnnotationTuberculist2017!B:B,AnnotationTuberculist2017!A:A)</f>
        <v>cut5a</v>
      </c>
      <c r="O52" s="1"/>
      <c r="P52" s="1"/>
      <c r="Q52" s="1"/>
      <c r="R52" s="12">
        <v>-1.0320266760000001</v>
      </c>
      <c r="S52" s="11" t="s">
        <v>333</v>
      </c>
      <c r="T52" s="1" t="str">
        <f>INDEX(AnnotationTuberculist2017!$A:$A,MATCH(S52,AnnotationTuberculist2017!$B:$B,0))</f>
        <v>ctpC</v>
      </c>
      <c r="U52" s="1" t="s">
        <v>20172</v>
      </c>
      <c r="X52" t="s">
        <v>524</v>
      </c>
    </row>
    <row r="53" spans="1:24" ht="15.5">
      <c r="A53" s="4" t="s">
        <v>303</v>
      </c>
      <c r="B53" s="2" t="str">
        <f>LOOKUP(A53,AnnotationTuberculist2017!B:B,AnnotationTuberculist2017!A:A)</f>
        <v>rpmH</v>
      </c>
      <c r="C53" s="1"/>
      <c r="D53" s="2"/>
      <c r="E53" s="1"/>
      <c r="F53" s="2"/>
      <c r="G53" s="1" t="s">
        <v>305</v>
      </c>
      <c r="H53" s="2" t="str">
        <f>LOOKUP(G53,AnnotationTuberculist2017!B:B,AnnotationTuberculist2017!A:A)</f>
        <v>nuoB</v>
      </c>
      <c r="I53" s="1" t="s">
        <v>306</v>
      </c>
      <c r="J53" s="2" t="str">
        <f>LOOKUP(I53,AnnotationTuberculist2017!B:B,AnnotationTuberculist2017!A:A)</f>
        <v>Rv2030c</v>
      </c>
      <c r="K53" s="1"/>
      <c r="L53" s="2"/>
      <c r="M53" s="1" t="s">
        <v>2838</v>
      </c>
      <c r="N53" s="2" t="str">
        <f>LOOKUP(M53,AnnotationTuberculist2017!B:B,AnnotationTuberculist2017!A:A)</f>
        <v>Rv3729</v>
      </c>
      <c r="O53" s="1"/>
      <c r="P53" s="1"/>
      <c r="Q53" s="1"/>
      <c r="R53" s="12">
        <v>-1.064157705</v>
      </c>
      <c r="S53" s="11" t="s">
        <v>464</v>
      </c>
      <c r="T53" s="1" t="str">
        <f>INDEX(AnnotationTuberculist2017!$A:$A,MATCH(S53,AnnotationTuberculist2017!$B:$B,0))</f>
        <v>trpC</v>
      </c>
      <c r="U53" s="1"/>
      <c r="X53" t="s">
        <v>525</v>
      </c>
    </row>
    <row r="54" spans="1:24" ht="15.5">
      <c r="A54" s="5" t="s">
        <v>307</v>
      </c>
      <c r="B54" s="2" t="str">
        <f>LOOKUP(A54,AnnotationTuberculist2017!B:B,AnnotationTuberculist2017!A:A)</f>
        <v>rpmH</v>
      </c>
      <c r="C54" s="1"/>
      <c r="D54" s="2"/>
      <c r="E54" s="1"/>
      <c r="F54" s="2"/>
      <c r="G54" s="1" t="s">
        <v>309</v>
      </c>
      <c r="H54" s="2" t="str">
        <f>LOOKUP(G54,AnnotationTuberculist2017!B:B,AnnotationTuberculist2017!A:A)</f>
        <v>nuoC</v>
      </c>
      <c r="I54" s="1" t="s">
        <v>310</v>
      </c>
      <c r="J54" s="2" t="str">
        <f>LOOKUP(I54,AnnotationTuberculist2017!B:B,AnnotationTuberculist2017!A:A)</f>
        <v>hspX</v>
      </c>
      <c r="K54" s="1"/>
      <c r="L54" s="2"/>
      <c r="M54" s="1" t="s">
        <v>19178</v>
      </c>
      <c r="N54" s="2" t="str">
        <f>LOOKUP(M54,AnnotationTuberculist2017!B:B,AnnotationTuberculist2017!A:A)</f>
        <v>Rv3843c</v>
      </c>
      <c r="O54" s="1"/>
      <c r="P54" s="1"/>
      <c r="Q54" s="1"/>
      <c r="R54" s="12">
        <v>-1.1567118830000001</v>
      </c>
      <c r="S54" s="11" t="s">
        <v>465</v>
      </c>
      <c r="T54" s="1" t="str">
        <f>INDEX(AnnotationTuberculist2017!$A:$A,MATCH(S54,AnnotationTuberculist2017!$B:$B,0))</f>
        <v>Rv3060c</v>
      </c>
      <c r="U54" s="1"/>
      <c r="X54" t="s">
        <v>526</v>
      </c>
    </row>
    <row r="55" spans="1:24" ht="15.5">
      <c r="A55" s="1" t="s">
        <v>312</v>
      </c>
      <c r="B55" s="2" t="str">
        <f>LOOKUP(A55,AnnotationTuberculist2017!B:B,AnnotationTuberculist2017!A:A)</f>
        <v>Rv1460</v>
      </c>
      <c r="C55" s="1"/>
      <c r="D55" s="2"/>
      <c r="E55" s="1"/>
      <c r="F55" s="2"/>
      <c r="G55" s="1" t="s">
        <v>314</v>
      </c>
      <c r="H55" s="2" t="str">
        <f>LOOKUP(G55,AnnotationTuberculist2017!B:B,AnnotationTuberculist2017!A:A)</f>
        <v>nuoD</v>
      </c>
      <c r="I55" s="1" t="s">
        <v>315</v>
      </c>
      <c r="J55" s="2" t="str">
        <f>LOOKUP(I55,AnnotationTuberculist2017!B:B,AnnotationTuberculist2017!A:A)</f>
        <v>acg</v>
      </c>
      <c r="K55" s="1"/>
      <c r="L55" s="2"/>
      <c r="M55" s="1" t="s">
        <v>3404</v>
      </c>
      <c r="N55" s="2" t="str">
        <f>LOOKUP(M55,AnnotationTuberculist2017!B:B,AnnotationTuberculist2017!A:A)</f>
        <v>Rv3857c</v>
      </c>
      <c r="O55" s="1"/>
      <c r="P55" s="1"/>
      <c r="Q55" s="1"/>
      <c r="R55" s="12">
        <v>-1.178120595</v>
      </c>
      <c r="S55" s="11" t="s">
        <v>466</v>
      </c>
      <c r="T55" s="1" t="str">
        <f>INDEX(AnnotationTuberculist2017!$A:$A,MATCH(S55,AnnotationTuberculist2017!$B:$B,0))</f>
        <v>Rv3173c</v>
      </c>
      <c r="U55" s="1"/>
      <c r="X55" t="s">
        <v>527</v>
      </c>
    </row>
    <row r="56" spans="1:24" ht="15.5">
      <c r="A56" s="1" t="s">
        <v>317</v>
      </c>
      <c r="B56" s="2" t="str">
        <f>LOOKUP(A56,AnnotationTuberculist2017!B:B,AnnotationTuberculist2017!A:A)</f>
        <v>Rv1461</v>
      </c>
      <c r="C56" s="1"/>
      <c r="D56" s="2"/>
      <c r="E56" s="1"/>
      <c r="F56" s="2"/>
      <c r="G56" s="1" t="s">
        <v>319</v>
      </c>
      <c r="H56" s="2" t="str">
        <f>LOOKUP(G56,AnnotationTuberculist2017!B:B,AnnotationTuberculist2017!A:A)</f>
        <v>nuoK</v>
      </c>
      <c r="I56" s="1" t="s">
        <v>320</v>
      </c>
      <c r="J56" s="2" t="str">
        <f>LOOKUP(I56,AnnotationTuberculist2017!B:B,AnnotationTuberculist2017!A:A)</f>
        <v>mshC</v>
      </c>
      <c r="K56" s="1"/>
      <c r="L56" s="2"/>
      <c r="M56" s="1" t="s">
        <v>364</v>
      </c>
      <c r="N56" s="2" t="str">
        <f>LOOKUP(M56,AnnotationTuberculist2017!B:B,AnnotationTuberculist2017!A:A)</f>
        <v>espK</v>
      </c>
      <c r="O56" s="1"/>
      <c r="P56" s="1"/>
      <c r="Q56" s="1"/>
      <c r="R56" s="12">
        <v>-1.2497024560000001</v>
      </c>
      <c r="S56" s="11" t="s">
        <v>467</v>
      </c>
      <c r="T56" s="1" t="str">
        <f>INDEX(AnnotationTuberculist2017!$A:$A,MATCH(S56,AnnotationTuberculist2017!$B:$B,0))</f>
        <v>Rv2366c</v>
      </c>
      <c r="U56" s="1"/>
      <c r="X56" t="s">
        <v>528</v>
      </c>
    </row>
    <row r="57" spans="1:24" ht="15.5">
      <c r="A57" s="1" t="s">
        <v>322</v>
      </c>
      <c r="B57" s="2" t="str">
        <f>LOOKUP(A57,AnnotationTuberculist2017!B:B,AnnotationTuberculist2017!A:A)</f>
        <v>Rv1462</v>
      </c>
      <c r="C57" s="1"/>
      <c r="D57" s="2"/>
      <c r="E57" s="1"/>
      <c r="F57" s="2"/>
      <c r="G57" s="1" t="s">
        <v>323</v>
      </c>
      <c r="H57" s="2" t="str">
        <f>LOOKUP(G57,AnnotationTuberculist2017!B:B,AnnotationTuberculist2017!A:A)</f>
        <v>Rv3161c</v>
      </c>
      <c r="I57" s="1" t="s">
        <v>324</v>
      </c>
      <c r="J57" s="2" t="str">
        <f>LOOKUP(I57,AnnotationTuberculist2017!B:B,AnnotationTuberculist2017!A:A)</f>
        <v>cysQ</v>
      </c>
      <c r="K57" s="1"/>
      <c r="L57" s="2"/>
      <c r="M57" s="1" t="s">
        <v>2070</v>
      </c>
      <c r="N57" s="2" t="str">
        <f>LOOKUP(M57,AnnotationTuberculist2017!B:B,AnnotationTuberculist2017!A:A)</f>
        <v>PE36</v>
      </c>
      <c r="O57" s="1"/>
      <c r="P57" s="1"/>
      <c r="Q57" s="1"/>
      <c r="R57" s="12">
        <v>-1.258978256</v>
      </c>
      <c r="S57" s="11" t="s">
        <v>230</v>
      </c>
      <c r="T57" s="1" t="str">
        <f>INDEX(AnnotationTuberculist2017!$A:$A,MATCH(S57,AnnotationTuberculist2017!$B:$B,0))</f>
        <v>fas</v>
      </c>
      <c r="U57" s="1" t="s">
        <v>20172</v>
      </c>
      <c r="X57" t="s">
        <v>529</v>
      </c>
    </row>
    <row r="58" spans="1:24" ht="15.5">
      <c r="A58" s="1" t="s">
        <v>326</v>
      </c>
      <c r="B58" s="2" t="str">
        <f>LOOKUP(A58,AnnotationTuberculist2017!B:B,AnnotationTuberculist2017!A:A)</f>
        <v>Rv1463</v>
      </c>
      <c r="C58" s="1"/>
      <c r="D58" s="2"/>
      <c r="E58" s="1"/>
      <c r="F58" s="2"/>
      <c r="G58" s="1" t="s">
        <v>327</v>
      </c>
      <c r="H58" s="2" t="str">
        <f>LOOKUP(G58,AnnotationTuberculist2017!B:B,AnnotationTuberculist2017!A:A)</f>
        <v>Rv3197</v>
      </c>
      <c r="I58" s="1" t="s">
        <v>328</v>
      </c>
      <c r="J58" s="2" t="str">
        <f>LOOKUP(I58,AnnotationTuberculist2017!B:B,AnnotationTuberculist2017!A:A)</f>
        <v>Rv2367c</v>
      </c>
      <c r="K58" s="1"/>
      <c r="L58" s="2"/>
      <c r="M58" s="1"/>
      <c r="N58" s="2"/>
      <c r="O58" s="1"/>
      <c r="P58" s="1"/>
      <c r="Q58" s="1"/>
      <c r="R58" s="12">
        <v>-1.3378205889999999</v>
      </c>
      <c r="S58" s="11" t="s">
        <v>468</v>
      </c>
      <c r="T58" s="1" t="str">
        <f>INDEX(AnnotationTuberculist2017!$A:$A,MATCH(S58,AnnotationTuberculist2017!$B:$B,0))</f>
        <v>Rv2781c</v>
      </c>
      <c r="U58" s="1"/>
      <c r="X58" t="s">
        <v>530</v>
      </c>
    </row>
    <row r="59" spans="1:24" ht="15.5">
      <c r="A59" s="1" t="s">
        <v>329</v>
      </c>
      <c r="B59" s="2" t="str">
        <f>LOOKUP(A59,AnnotationTuberculist2017!B:B,AnnotationTuberculist2017!A:A)</f>
        <v>csd</v>
      </c>
      <c r="C59" s="1"/>
      <c r="D59" s="2"/>
      <c r="E59" s="1"/>
      <c r="F59" s="2"/>
      <c r="G59" s="1" t="s">
        <v>330</v>
      </c>
      <c r="H59" s="2" t="str">
        <f>LOOKUP(G59,AnnotationTuberculist2017!B:B,AnnotationTuberculist2017!A:A)</f>
        <v>Rv3269</v>
      </c>
      <c r="I59" s="1" t="s">
        <v>239</v>
      </c>
      <c r="J59" s="2" t="str">
        <f>LOOKUP(I59,AnnotationTuberculist2017!B:B,AnnotationTuberculist2017!A:A)</f>
        <v>Rv2621c</v>
      </c>
      <c r="K59" s="1"/>
      <c r="L59" s="2"/>
      <c r="M59" s="1"/>
      <c r="N59" s="2"/>
      <c r="O59" s="1"/>
      <c r="P59" s="1"/>
      <c r="Q59" s="1"/>
      <c r="R59" s="12">
        <v>-1.385707354</v>
      </c>
      <c r="S59" s="11" t="s">
        <v>469</v>
      </c>
      <c r="T59" s="1" t="str">
        <f>INDEX(AnnotationTuberculist2017!$A:$A,MATCH(S59,AnnotationTuberculist2017!$B:$B,0))</f>
        <v>echA21</v>
      </c>
      <c r="U59" s="1"/>
      <c r="X59" t="s">
        <v>531</v>
      </c>
    </row>
    <row r="60" spans="1:24" ht="15.5">
      <c r="A60" s="1" t="s">
        <v>331</v>
      </c>
      <c r="B60" s="2" t="str">
        <f>LOOKUP(A60,AnnotationTuberculist2017!B:B,AnnotationTuberculist2017!A:A)</f>
        <v>Rv1465</v>
      </c>
      <c r="C60" s="1"/>
      <c r="D60" s="2"/>
      <c r="E60" s="1"/>
      <c r="F60" s="2"/>
      <c r="G60" s="1" t="s">
        <v>333</v>
      </c>
      <c r="H60" s="2" t="str">
        <f>LOOKUP(G60,AnnotationTuberculist2017!B:B,AnnotationTuberculist2017!A:A)</f>
        <v>ctpC</v>
      </c>
      <c r="I60" s="1" t="s">
        <v>334</v>
      </c>
      <c r="J60" s="2" t="str">
        <f>LOOKUP(I60,AnnotationTuberculist2017!B:B,AnnotationTuberculist2017!A:A)</f>
        <v>TB31.7</v>
      </c>
      <c r="K60" s="1"/>
      <c r="L60" s="2"/>
      <c r="M60" s="1"/>
      <c r="N60" s="2"/>
      <c r="O60" s="1"/>
      <c r="P60" s="1"/>
      <c r="Q60" s="1"/>
      <c r="R60" s="12">
        <v>-1.665214948</v>
      </c>
      <c r="S60" s="11" t="s">
        <v>470</v>
      </c>
      <c r="T60" s="1" t="str">
        <f>INDEX(AnnotationTuberculist2017!$A:$A,MATCH(S60,AnnotationTuberculist2017!$B:$B,0))</f>
        <v>Rv1502</v>
      </c>
      <c r="U60" s="1"/>
      <c r="X60" t="s">
        <v>532</v>
      </c>
    </row>
    <row r="61" spans="1:24" ht="15.5">
      <c r="A61" s="1" t="s">
        <v>336</v>
      </c>
      <c r="B61" s="2" t="str">
        <f>LOOKUP(A61,AnnotationTuberculist2017!B:B,AnnotationTuberculist2017!A:A)</f>
        <v>Rv1466</v>
      </c>
      <c r="C61" s="1"/>
      <c r="D61" s="2"/>
      <c r="E61" s="1"/>
      <c r="F61" s="2"/>
      <c r="G61" s="1" t="s">
        <v>338</v>
      </c>
      <c r="H61" s="2" t="str">
        <f>LOOKUP(G61,AnnotationTuberculist2017!B:B,AnnotationTuberculist2017!A:A)</f>
        <v>PE31</v>
      </c>
      <c r="I61" s="1" t="s">
        <v>339</v>
      </c>
      <c r="J61" s="2" t="str">
        <f>LOOKUP(I61,AnnotationTuberculist2017!B:B,AnnotationTuberculist2017!A:A)</f>
        <v>Rv2624c</v>
      </c>
      <c r="K61" s="1"/>
      <c r="L61" s="2"/>
      <c r="M61" s="1"/>
      <c r="N61" s="2"/>
      <c r="O61" s="1"/>
      <c r="P61" s="1"/>
      <c r="Q61" s="1"/>
      <c r="R61" s="12">
        <v>-1.9942014969999999</v>
      </c>
      <c r="S61" s="11" t="s">
        <v>471</v>
      </c>
      <c r="T61" s="1" t="str">
        <f>INDEX(AnnotationTuberculist2017!$A:$A,MATCH(S61,AnnotationTuberculist2017!$B:$B,0))</f>
        <v>impA</v>
      </c>
      <c r="U61" s="1"/>
      <c r="X61" t="s">
        <v>221</v>
      </c>
    </row>
    <row r="62" spans="1:24" ht="15.5">
      <c r="A62" s="1"/>
      <c r="B62" s="2"/>
      <c r="C62" s="1"/>
      <c r="D62" s="2"/>
      <c r="E62" s="1"/>
      <c r="F62" s="2"/>
      <c r="G62" s="1" t="s">
        <v>95</v>
      </c>
      <c r="H62" s="2" t="str">
        <f>LOOKUP(G62,AnnotationTuberculist2017!B:B,AnnotationTuberculist2017!A:A)</f>
        <v>lipF</v>
      </c>
      <c r="I62" s="1" t="s">
        <v>340</v>
      </c>
      <c r="J62" s="2" t="str">
        <f>LOOKUP(I62,AnnotationTuberculist2017!B:B,AnnotationTuberculist2017!A:A)</f>
        <v>Rv2625c</v>
      </c>
      <c r="K62" s="1"/>
      <c r="L62" s="2"/>
      <c r="M62" s="1"/>
      <c r="N62" s="2"/>
      <c r="O62" s="1"/>
      <c r="P62" s="1"/>
      <c r="Q62" s="1"/>
      <c r="R62" s="12">
        <v>-2.7655753320000001</v>
      </c>
      <c r="S62" s="11" t="s">
        <v>220</v>
      </c>
      <c r="T62" s="1" t="str">
        <f>INDEX(AnnotationTuberculist2017!$A:$A,MATCH(S62,AnnotationTuberculist2017!$B:$B,0))</f>
        <v>che1</v>
      </c>
      <c r="U62" s="1" t="s">
        <v>20172</v>
      </c>
      <c r="X62" t="s">
        <v>533</v>
      </c>
    </row>
    <row r="63" spans="1:24">
      <c r="A63" s="1"/>
      <c r="B63" s="2"/>
      <c r="C63" s="1"/>
      <c r="D63" s="2"/>
      <c r="E63" s="1"/>
      <c r="F63" s="2"/>
      <c r="G63" s="1" t="s">
        <v>341</v>
      </c>
      <c r="H63" s="2" t="str">
        <f>LOOKUP(G63,AnnotationTuberculist2017!B:B,AnnotationTuberculist2017!A:A)</f>
        <v>Rv3822</v>
      </c>
      <c r="I63" s="1" t="s">
        <v>342</v>
      </c>
      <c r="J63" s="2" t="str">
        <f>LOOKUP(I63,AnnotationTuberculist2017!B:B,AnnotationTuberculist2017!A:A)</f>
        <v>hrp1</v>
      </c>
      <c r="K63" s="1"/>
      <c r="L63" s="2"/>
      <c r="M63" s="1"/>
      <c r="N63" s="2"/>
      <c r="O63" s="1"/>
      <c r="P63" s="1"/>
      <c r="Q63" s="1"/>
      <c r="R63" s="1"/>
      <c r="S63" s="1"/>
      <c r="T63" s="1"/>
      <c r="U63" s="1"/>
      <c r="X63" t="s">
        <v>534</v>
      </c>
    </row>
    <row r="64" spans="1:24">
      <c r="A64" s="1"/>
      <c r="B64" s="2"/>
      <c r="C64" s="1"/>
      <c r="D64" s="2"/>
      <c r="E64" s="1"/>
      <c r="F64" s="2"/>
      <c r="G64" s="1" t="s">
        <v>72</v>
      </c>
      <c r="H64" s="2" t="str">
        <f>LOOKUP(G64,AnnotationTuberculist2017!B:B,AnnotationTuberculist2017!A:A)</f>
        <v>pks2</v>
      </c>
      <c r="I64" s="1" t="s">
        <v>343</v>
      </c>
      <c r="J64" s="2" t="str">
        <f>LOOKUP(I64,AnnotationTuberculist2017!B:B,AnnotationTuberculist2017!A:A)</f>
        <v>Rv2627c</v>
      </c>
      <c r="K64" s="1"/>
      <c r="L64" s="2"/>
      <c r="M64" s="1"/>
      <c r="N64" s="2"/>
      <c r="O64" s="1"/>
      <c r="P64" s="1"/>
      <c r="Q64" s="1"/>
      <c r="R64" s="1"/>
      <c r="S64" s="1"/>
      <c r="T64" s="1"/>
      <c r="U64" s="1"/>
      <c r="X64" t="s">
        <v>535</v>
      </c>
    </row>
    <row r="65" spans="1:24">
      <c r="A65" s="1"/>
      <c r="B65" s="2"/>
      <c r="C65" s="1"/>
      <c r="D65" s="2"/>
      <c r="E65" s="1"/>
      <c r="F65" s="2"/>
      <c r="G65" s="1" t="s">
        <v>344</v>
      </c>
      <c r="H65" s="2" t="str">
        <f>LOOKUP(G65,AnnotationTuberculist2017!B:B,AnnotationTuberculist2017!A:A)</f>
        <v>espR</v>
      </c>
      <c r="I65" s="1" t="s">
        <v>242</v>
      </c>
      <c r="J65" s="2" t="str">
        <f>LOOKUP(I65,AnnotationTuberculist2017!B:B,AnnotationTuberculist2017!A:A)</f>
        <v>Rv2628</v>
      </c>
      <c r="K65" s="1"/>
      <c r="L65" s="2"/>
      <c r="M65" s="1"/>
      <c r="N65" s="2"/>
      <c r="O65" s="1"/>
      <c r="P65" s="1"/>
      <c r="Q65" s="1"/>
      <c r="R65" s="1"/>
      <c r="S65" s="1"/>
      <c r="T65" s="1"/>
      <c r="U65" s="1"/>
      <c r="X65" t="s">
        <v>536</v>
      </c>
    </row>
    <row r="66" spans="1:24">
      <c r="A66" s="1"/>
      <c r="B66" s="2"/>
      <c r="C66" s="1"/>
      <c r="D66" s="2"/>
      <c r="E66" s="1"/>
      <c r="F66" s="2"/>
      <c r="G66" s="1" t="s">
        <v>346</v>
      </c>
      <c r="H66" s="2" t="str">
        <f>LOOKUP(G66,AnnotationTuberculist2017!B:B,AnnotationTuberculist2017!A:A)</f>
        <v>whiB6</v>
      </c>
      <c r="I66" s="1" t="s">
        <v>347</v>
      </c>
      <c r="J66" s="2" t="str">
        <f>LOOKUP(I66,AnnotationTuberculist2017!B:B,AnnotationTuberculist2017!A:A)</f>
        <v>Rv2629</v>
      </c>
      <c r="K66" s="1"/>
      <c r="L66" s="2"/>
      <c r="M66" s="1"/>
      <c r="N66" s="2"/>
      <c r="O66" s="1"/>
      <c r="P66" s="1"/>
      <c r="Q66" s="1"/>
      <c r="R66" s="1"/>
      <c r="S66" s="1"/>
      <c r="T66" s="1"/>
      <c r="U66" s="1"/>
      <c r="X66" t="s">
        <v>537</v>
      </c>
    </row>
    <row r="67" spans="1:24">
      <c r="A67" s="1"/>
      <c r="B67" s="2"/>
      <c r="C67" s="1"/>
      <c r="D67" s="2"/>
      <c r="E67" s="1"/>
      <c r="F67" s="2"/>
      <c r="G67" s="1" t="s">
        <v>348</v>
      </c>
      <c r="H67" s="2" t="str">
        <f>LOOKUP(G67,AnnotationTuberculist2017!B:B,AnnotationTuberculist2017!A:A)</f>
        <v>espE</v>
      </c>
      <c r="I67" s="1" t="s">
        <v>247</v>
      </c>
      <c r="J67" s="2" t="str">
        <f>LOOKUP(I67,AnnotationTuberculist2017!B:B,AnnotationTuberculist2017!A:A)</f>
        <v>Rv2630</v>
      </c>
      <c r="K67" s="1"/>
      <c r="L67" s="2"/>
      <c r="M67" s="1"/>
      <c r="N67" s="2"/>
      <c r="O67" s="1"/>
      <c r="P67" s="1"/>
      <c r="Q67" s="1"/>
      <c r="R67" s="1"/>
      <c r="S67" s="1"/>
      <c r="T67" s="1"/>
      <c r="U67" s="1"/>
      <c r="X67" t="s">
        <v>538</v>
      </c>
    </row>
    <row r="68" spans="1:24">
      <c r="A68" s="1"/>
      <c r="B68" s="2"/>
      <c r="C68" s="1"/>
      <c r="D68" s="2"/>
      <c r="E68" s="1"/>
      <c r="F68" s="2"/>
      <c r="G68" s="1" t="s">
        <v>349</v>
      </c>
      <c r="H68" s="2" t="str">
        <f>LOOKUP(G68,AnnotationTuberculist2017!B:B,AnnotationTuberculist2017!A:A)</f>
        <v>espF</v>
      </c>
      <c r="I68" s="1" t="s">
        <v>350</v>
      </c>
      <c r="J68" s="2" t="str">
        <f>LOOKUP(I68,AnnotationTuberculist2017!B:B,AnnotationTuberculist2017!A:A)</f>
        <v>Rv2631</v>
      </c>
      <c r="K68" s="1"/>
      <c r="L68" s="2"/>
      <c r="M68" s="1"/>
      <c r="N68" s="2"/>
      <c r="O68" s="1"/>
      <c r="P68" s="1"/>
      <c r="Q68" s="1"/>
      <c r="R68" s="1"/>
      <c r="S68" s="1"/>
      <c r="T68" s="1"/>
      <c r="U68" s="1"/>
      <c r="X68" t="s">
        <v>539</v>
      </c>
    </row>
    <row r="69" spans="1:24">
      <c r="A69" s="1"/>
      <c r="B69" s="2"/>
      <c r="C69" s="1"/>
      <c r="D69" s="2"/>
      <c r="E69" s="1"/>
      <c r="F69" s="2"/>
      <c r="G69" s="1" t="s">
        <v>351</v>
      </c>
      <c r="H69" s="2" t="str">
        <f>LOOKUP(G69,AnnotationTuberculist2017!B:B,AnnotationTuberculist2017!A:A)</f>
        <v>espG1</v>
      </c>
      <c r="I69" s="1" t="s">
        <v>352</v>
      </c>
      <c r="J69" s="2" t="str">
        <f>LOOKUP(I69,AnnotationTuberculist2017!B:B,AnnotationTuberculist2017!A:A)</f>
        <v>Rv2708c</v>
      </c>
      <c r="K69" s="1"/>
      <c r="L69" s="2"/>
      <c r="M69" s="1"/>
      <c r="N69" s="2"/>
      <c r="O69" s="1"/>
      <c r="P69" s="1"/>
      <c r="Q69" s="1"/>
      <c r="R69" s="1"/>
      <c r="S69" s="1"/>
      <c r="T69" s="1"/>
      <c r="U69" s="1"/>
      <c r="X69" t="s">
        <v>540</v>
      </c>
    </row>
    <row r="70" spans="1:24">
      <c r="A70" s="1"/>
      <c r="B70" s="2"/>
      <c r="C70" s="1"/>
      <c r="D70" s="2"/>
      <c r="E70" s="1"/>
      <c r="F70" s="2"/>
      <c r="G70" s="1" t="s">
        <v>353</v>
      </c>
      <c r="H70" s="2" t="str">
        <f>LOOKUP(G70,AnnotationTuberculist2017!B:B,AnnotationTuberculist2017!A:A)</f>
        <v>espH</v>
      </c>
      <c r="I70" s="1" t="s">
        <v>354</v>
      </c>
      <c r="J70" s="2" t="str">
        <f>LOOKUP(I70,AnnotationTuberculist2017!B:B,AnnotationTuberculist2017!A:A)</f>
        <v>Rv2751</v>
      </c>
      <c r="K70" s="1"/>
      <c r="L70" s="2"/>
      <c r="M70" s="1"/>
      <c r="N70" s="2"/>
      <c r="O70" s="1"/>
      <c r="P70" s="1"/>
      <c r="Q70" s="1"/>
      <c r="R70" s="1"/>
      <c r="S70" s="1"/>
      <c r="T70" s="1"/>
      <c r="U70" s="1"/>
      <c r="X70" t="s">
        <v>541</v>
      </c>
    </row>
    <row r="71" spans="1:24">
      <c r="A71" s="1"/>
      <c r="B71" s="2"/>
      <c r="C71" s="1"/>
      <c r="D71" s="2"/>
      <c r="E71" s="1"/>
      <c r="F71" s="2"/>
      <c r="G71" s="1" t="s">
        <v>355</v>
      </c>
      <c r="H71" s="2" t="str">
        <f>LOOKUP(G71,AnnotationTuberculist2017!B:B,AnnotationTuberculist2017!A:A)</f>
        <v>PPE68</v>
      </c>
      <c r="I71" s="1" t="s">
        <v>356</v>
      </c>
      <c r="J71" s="2" t="str">
        <f>LOOKUP(I71,AnnotationTuberculist2017!B:B,AnnotationTuberculist2017!A:A)</f>
        <v>amt</v>
      </c>
      <c r="K71" s="1"/>
      <c r="L71" s="2"/>
      <c r="M71" s="1"/>
      <c r="N71" s="2"/>
      <c r="O71" s="1"/>
      <c r="P71" s="1"/>
      <c r="Q71" s="1"/>
      <c r="R71" s="1"/>
      <c r="S71" s="1"/>
      <c r="T71" s="1"/>
      <c r="U71" s="1"/>
      <c r="X71" t="s">
        <v>542</v>
      </c>
    </row>
    <row r="72" spans="1:24">
      <c r="A72" s="1"/>
      <c r="B72" s="2"/>
      <c r="C72" s="1"/>
      <c r="D72" s="2"/>
      <c r="E72" s="1"/>
      <c r="F72" s="2"/>
      <c r="G72" s="1" t="s">
        <v>358</v>
      </c>
      <c r="H72" s="2" t="str">
        <f>LOOKUP(G72,AnnotationTuberculist2017!B:B,AnnotationTuberculist2017!A:A)</f>
        <v>espI</v>
      </c>
      <c r="I72" s="1" t="s">
        <v>359</v>
      </c>
      <c r="J72" s="2" t="str">
        <f>LOOKUP(I72,AnnotationTuberculist2017!B:B,AnnotationTuberculist2017!A:A)</f>
        <v>Rv3046c</v>
      </c>
      <c r="K72" s="1"/>
      <c r="L72" s="2"/>
      <c r="M72" s="1"/>
      <c r="N72" s="2"/>
      <c r="O72" s="1"/>
      <c r="P72" s="1"/>
      <c r="Q72" s="1"/>
      <c r="R72" s="1"/>
      <c r="S72" s="1"/>
      <c r="T72" s="1"/>
      <c r="U72" s="1"/>
      <c r="X72" t="s">
        <v>543</v>
      </c>
    </row>
    <row r="73" spans="1:24">
      <c r="A73" s="1"/>
      <c r="B73" s="2"/>
      <c r="C73" s="1"/>
      <c r="D73" s="2"/>
      <c r="E73" s="1"/>
      <c r="F73" s="2"/>
      <c r="G73" s="1" t="s">
        <v>360</v>
      </c>
      <c r="H73" s="2" t="str">
        <f>LOOKUP(G73,AnnotationTuberculist2017!B:B,AnnotationTuberculist2017!A:A)</f>
        <v>eccD1</v>
      </c>
      <c r="I73" s="1" t="s">
        <v>361</v>
      </c>
      <c r="J73" s="2" t="str">
        <f>LOOKUP(I73,AnnotationTuberculist2017!B:B,AnnotationTuberculist2017!A:A)</f>
        <v>mmr</v>
      </c>
      <c r="K73" s="1"/>
      <c r="L73" s="2"/>
      <c r="M73" s="1"/>
      <c r="N73" s="2"/>
      <c r="O73" s="1"/>
      <c r="P73" s="1"/>
      <c r="Q73" s="1"/>
      <c r="R73" s="1"/>
      <c r="S73" s="1"/>
      <c r="T73" s="1"/>
      <c r="U73" s="1"/>
      <c r="X73" t="s">
        <v>544</v>
      </c>
    </row>
    <row r="74" spans="1:24">
      <c r="A74" s="1"/>
      <c r="B74" s="2"/>
      <c r="C74" s="1"/>
      <c r="D74" s="2"/>
      <c r="E74" s="1"/>
      <c r="F74" s="2"/>
      <c r="G74" s="1" t="s">
        <v>363</v>
      </c>
      <c r="H74" s="2" t="str">
        <f>LOOKUP(G74,AnnotationTuberculist2017!B:B,AnnotationTuberculist2017!A:A)</f>
        <v>espJ</v>
      </c>
      <c r="I74" s="1" t="s">
        <v>272</v>
      </c>
      <c r="J74" s="2" t="str">
        <f>LOOKUP(I74,AnnotationTuberculist2017!B:B,AnnotationTuberculist2017!A:A)</f>
        <v>Rv3127</v>
      </c>
      <c r="K74" s="1"/>
      <c r="L74" s="2"/>
      <c r="M74" s="1"/>
      <c r="N74" s="2"/>
      <c r="O74" s="1"/>
      <c r="P74" s="1"/>
      <c r="Q74" s="1"/>
      <c r="R74" s="1"/>
      <c r="S74" s="1"/>
      <c r="T74" s="1"/>
      <c r="U74" s="1"/>
      <c r="X74" t="s">
        <v>545</v>
      </c>
    </row>
    <row r="75" spans="1:24">
      <c r="A75" s="1"/>
      <c r="B75" s="2"/>
      <c r="C75" s="1"/>
      <c r="D75" s="2"/>
      <c r="E75" s="1"/>
      <c r="F75" s="2"/>
      <c r="G75" s="1" t="s">
        <v>364</v>
      </c>
      <c r="H75" s="2" t="str">
        <f>LOOKUP(G75,AnnotationTuberculist2017!B:B,AnnotationTuberculist2017!A:A)</f>
        <v>espK</v>
      </c>
      <c r="I75" s="1" t="s">
        <v>365</v>
      </c>
      <c r="J75" s="2" t="str">
        <f>LOOKUP(I75,AnnotationTuberculist2017!B:B,AnnotationTuberculist2017!A:A)</f>
        <v>tgs1</v>
      </c>
      <c r="K75" s="1"/>
      <c r="L75" s="2"/>
      <c r="M75" s="1"/>
      <c r="N75" s="2"/>
      <c r="O75" s="1"/>
      <c r="P75" s="1"/>
      <c r="Q75" s="1"/>
      <c r="R75" s="1"/>
      <c r="S75" s="1"/>
      <c r="T75" s="1"/>
      <c r="U75" s="1"/>
      <c r="X75" t="s">
        <v>546</v>
      </c>
    </row>
    <row r="76" spans="1:24">
      <c r="A76" s="1"/>
      <c r="B76" s="2"/>
      <c r="C76" s="1"/>
      <c r="D76" s="2"/>
      <c r="E76" s="1"/>
      <c r="F76" s="2"/>
      <c r="G76" s="1" t="s">
        <v>367</v>
      </c>
      <c r="H76" s="2" t="str">
        <f>LOOKUP(G76,AnnotationTuberculist2017!B:B,AnnotationTuberculist2017!A:A)</f>
        <v>espL</v>
      </c>
      <c r="I76" s="1" t="s">
        <v>368</v>
      </c>
      <c r="J76" s="2" t="str">
        <f>LOOKUP(I76,AnnotationTuberculist2017!B:B,AnnotationTuberculist2017!A:A)</f>
        <v>Rv3131</v>
      </c>
      <c r="K76" s="1"/>
      <c r="L76" s="2"/>
      <c r="M76" s="1"/>
      <c r="N76" s="2"/>
      <c r="O76" s="1"/>
      <c r="P76" s="1"/>
      <c r="Q76" s="1"/>
      <c r="R76" s="1"/>
      <c r="S76" s="1"/>
      <c r="T76" s="1"/>
      <c r="U76" s="1"/>
      <c r="X76" t="s">
        <v>547</v>
      </c>
    </row>
    <row r="77" spans="1:24">
      <c r="A77" s="1"/>
      <c r="B77" s="2"/>
      <c r="C77" s="1"/>
      <c r="D77" s="2"/>
      <c r="E77" s="1"/>
      <c r="F77" s="2"/>
      <c r="G77" s="1" t="s">
        <v>370</v>
      </c>
      <c r="H77" s="2" t="str">
        <f>LOOKUP(G77,AnnotationTuberculist2017!B:B,AnnotationTuberculist2017!A:A)</f>
        <v>espB</v>
      </c>
      <c r="I77" s="1" t="s">
        <v>278</v>
      </c>
      <c r="J77" s="2" t="str">
        <f>LOOKUP(I77,AnnotationTuberculist2017!B:B,AnnotationTuberculist2017!A:A)</f>
        <v>devS</v>
      </c>
      <c r="K77" s="1"/>
      <c r="L77" s="2"/>
      <c r="M77" s="1"/>
      <c r="N77" s="2"/>
      <c r="O77" s="1"/>
      <c r="P77" s="1"/>
      <c r="Q77" s="1"/>
      <c r="R77" s="1"/>
      <c r="S77" s="1"/>
      <c r="T77" s="1"/>
      <c r="U77" s="1"/>
      <c r="X77" t="s">
        <v>548</v>
      </c>
    </row>
    <row r="78" spans="1:24">
      <c r="A78" s="1"/>
      <c r="B78" s="2"/>
      <c r="C78" s="1"/>
      <c r="D78" s="2"/>
      <c r="E78" s="1"/>
      <c r="F78" s="2"/>
      <c r="G78" s="6" t="s">
        <v>431</v>
      </c>
      <c r="I78" s="1" t="s">
        <v>282</v>
      </c>
      <c r="J78" s="2" t="str">
        <f>LOOKUP(I78,AnnotationTuberculist2017!B:B,AnnotationTuberculist2017!A:A)</f>
        <v>devR</v>
      </c>
      <c r="K78" s="1"/>
      <c r="L78" s="2"/>
      <c r="M78" s="1"/>
      <c r="N78" s="2"/>
      <c r="O78" s="1"/>
      <c r="P78" s="1"/>
      <c r="Q78" s="1"/>
      <c r="R78" s="1"/>
      <c r="S78" s="1"/>
      <c r="T78" s="1"/>
      <c r="U78" s="1"/>
      <c r="X78" t="s">
        <v>549</v>
      </c>
    </row>
    <row r="79" spans="1:24">
      <c r="A79" s="1"/>
      <c r="B79" s="2"/>
      <c r="C79" s="1"/>
      <c r="D79" s="2"/>
      <c r="E79" s="1"/>
      <c r="F79" s="2"/>
      <c r="G79" s="1" t="s">
        <v>374</v>
      </c>
      <c r="H79" s="2" t="str">
        <f>LOOKUP(G79,AnnotationTuberculist2017!B:B,AnnotationTuberculist2017!A:A)</f>
        <v>icl1</v>
      </c>
      <c r="I79" s="1" t="s">
        <v>375</v>
      </c>
      <c r="J79" s="2" t="s">
        <v>18770</v>
      </c>
      <c r="K79" s="1"/>
      <c r="L79" s="2"/>
      <c r="M79" s="1"/>
      <c r="N79" s="2"/>
      <c r="O79" s="1"/>
      <c r="P79" s="1"/>
      <c r="Q79" s="1"/>
      <c r="R79" s="1"/>
      <c r="S79" s="1"/>
      <c r="T79" s="1"/>
      <c r="U79" s="1"/>
      <c r="X79" t="s">
        <v>550</v>
      </c>
    </row>
    <row r="80" spans="1:24">
      <c r="A80" s="1"/>
      <c r="B80" s="2"/>
      <c r="C80" s="1"/>
      <c r="D80" s="2"/>
      <c r="E80" s="1"/>
      <c r="F80" s="2"/>
      <c r="G80" s="1" t="s">
        <v>377</v>
      </c>
      <c r="H80" s="2" t="str">
        <f>LOOKUP(G80,AnnotationTuberculist2017!B:B,AnnotationTuberculist2017!A:A)</f>
        <v>fadB2</v>
      </c>
      <c r="I80" s="1" t="s">
        <v>378</v>
      </c>
      <c r="J80" s="2" t="str">
        <f>LOOKUP(I80,AnnotationTuberculist2017!B:B,AnnotationTuberculist2017!A:A)</f>
        <v>hsaC</v>
      </c>
      <c r="K80" s="1"/>
      <c r="L80" s="2"/>
      <c r="M80" s="1"/>
      <c r="N80" s="2"/>
      <c r="O80" s="1"/>
      <c r="P80" s="1"/>
      <c r="Q80" s="1"/>
      <c r="R80" s="1"/>
      <c r="S80" s="1"/>
      <c r="T80" s="1"/>
      <c r="U80" s="1"/>
      <c r="X80" t="s">
        <v>551</v>
      </c>
    </row>
    <row r="81" spans="1:24">
      <c r="A81" s="1"/>
      <c r="B81" s="2"/>
      <c r="C81" s="1"/>
      <c r="D81" s="2"/>
      <c r="E81" s="1"/>
      <c r="F81" s="2"/>
      <c r="G81" s="1" t="s">
        <v>104</v>
      </c>
      <c r="H81" s="2" t="str">
        <f>LOOKUP(G81,AnnotationTuberculist2017!B:B,AnnotationTuberculist2017!A:A)</f>
        <v>umaA</v>
      </c>
      <c r="I81" s="1"/>
      <c r="J81" s="2"/>
      <c r="K81" s="1"/>
      <c r="L81" s="2"/>
      <c r="M81" s="1"/>
      <c r="N81" s="2"/>
      <c r="O81" s="1"/>
      <c r="P81" s="1"/>
      <c r="Q81" s="1"/>
      <c r="R81" s="1"/>
      <c r="S81" s="1"/>
      <c r="T81" s="1"/>
      <c r="U81" s="1"/>
      <c r="X81" t="s">
        <v>552</v>
      </c>
    </row>
    <row r="82" spans="1:24">
      <c r="A82" s="1"/>
      <c r="B82" s="2"/>
      <c r="C82" s="1"/>
      <c r="D82" s="2"/>
      <c r="E82" s="1"/>
      <c r="F82" s="2"/>
      <c r="G82" s="1" t="s">
        <v>381</v>
      </c>
      <c r="H82" s="2" t="str">
        <f>LOOKUP(G82,AnnotationTuberculist2017!B:B,AnnotationTuberculist2017!A:A)</f>
        <v>PE8</v>
      </c>
      <c r="I82" s="1"/>
      <c r="J82" s="2"/>
      <c r="K82" s="1"/>
      <c r="L82" s="2"/>
      <c r="M82" s="1"/>
      <c r="N82" s="2"/>
      <c r="O82" s="1"/>
      <c r="P82" s="1"/>
      <c r="Q82" s="1"/>
      <c r="R82" s="1"/>
      <c r="S82" s="1"/>
      <c r="T82" s="1"/>
      <c r="U82" s="1"/>
      <c r="X82" t="s">
        <v>553</v>
      </c>
    </row>
    <row r="83" spans="1:24">
      <c r="A83" s="1"/>
      <c r="B83" s="2"/>
      <c r="C83" s="1"/>
      <c r="D83" s="2"/>
      <c r="E83" s="1"/>
      <c r="F83" s="2"/>
      <c r="I83" s="1"/>
      <c r="J83" s="2"/>
      <c r="K83" s="1"/>
      <c r="L83" s="2"/>
      <c r="M83" s="1"/>
      <c r="N83" s="2"/>
      <c r="O83" s="1"/>
      <c r="P83" s="1"/>
      <c r="Q83" s="1"/>
      <c r="R83" s="1"/>
      <c r="S83" s="1"/>
      <c r="T83" s="1"/>
      <c r="U83" s="1"/>
      <c r="X83" t="s">
        <v>554</v>
      </c>
    </row>
    <row r="84" spans="1:24">
      <c r="A84" s="1"/>
      <c r="B84" s="2"/>
      <c r="C84" s="1"/>
      <c r="D84" s="2"/>
      <c r="E84" s="1"/>
      <c r="F84" s="2"/>
      <c r="I84" s="1"/>
      <c r="J84" s="2"/>
      <c r="K84" s="1"/>
      <c r="L84" s="2"/>
      <c r="M84" s="1"/>
      <c r="N84" s="2"/>
      <c r="O84" s="1"/>
      <c r="P84" s="1"/>
      <c r="Q84" s="1"/>
      <c r="R84" s="1"/>
      <c r="S84" s="1"/>
      <c r="T84" s="1"/>
      <c r="U84" s="1"/>
      <c r="X84" t="s">
        <v>555</v>
      </c>
    </row>
    <row r="85" spans="1:24">
      <c r="A85" s="1"/>
      <c r="B85" s="2"/>
      <c r="C85" s="1"/>
      <c r="D85" s="2"/>
      <c r="E85" s="1"/>
      <c r="F85" s="2"/>
      <c r="I85" s="1"/>
      <c r="J85" s="2"/>
      <c r="K85" s="1"/>
      <c r="L85" s="1"/>
      <c r="M85" s="1"/>
      <c r="N85" s="1"/>
      <c r="O85" s="1"/>
      <c r="P85" s="1"/>
      <c r="Q85" s="1"/>
      <c r="R85" s="1"/>
      <c r="S85" s="1"/>
      <c r="T85" s="1"/>
      <c r="U85" s="1"/>
      <c r="X85" t="s">
        <v>556</v>
      </c>
    </row>
    <row r="86" spans="1:24">
      <c r="A86" s="1"/>
      <c r="B86" s="2"/>
      <c r="C86" s="1"/>
      <c r="D86" s="2"/>
      <c r="E86" s="1"/>
      <c r="F86" s="2"/>
      <c r="I86" s="1"/>
      <c r="J86" s="2"/>
      <c r="K86" s="1"/>
      <c r="L86" s="1"/>
      <c r="M86" s="1"/>
      <c r="N86" s="1"/>
      <c r="O86" s="1"/>
      <c r="P86" s="1"/>
      <c r="Q86" s="1"/>
      <c r="R86" s="1"/>
      <c r="S86" s="1"/>
      <c r="T86" s="1"/>
      <c r="U86" s="1"/>
      <c r="X86" t="s">
        <v>557</v>
      </c>
    </row>
    <row r="87" spans="1:24">
      <c r="A87" s="1"/>
      <c r="B87" s="2"/>
      <c r="C87" s="1"/>
      <c r="D87" s="2"/>
      <c r="E87" s="1"/>
      <c r="F87" s="2"/>
      <c r="I87" s="1"/>
      <c r="J87" s="2"/>
      <c r="K87" s="1"/>
      <c r="L87" s="1"/>
      <c r="M87" s="1"/>
      <c r="N87" s="1"/>
      <c r="O87" s="1"/>
      <c r="P87" s="1"/>
      <c r="Q87" s="1"/>
      <c r="R87" s="1"/>
      <c r="S87" s="1"/>
      <c r="T87" s="1"/>
      <c r="U87" s="1"/>
      <c r="X87" t="s">
        <v>558</v>
      </c>
    </row>
    <row r="88" spans="1:24">
      <c r="A88" s="1"/>
      <c r="B88" s="2"/>
      <c r="C88" s="1"/>
      <c r="D88" s="2"/>
      <c r="E88" s="1"/>
      <c r="F88" s="2"/>
      <c r="I88" s="1"/>
      <c r="J88" s="2"/>
      <c r="K88" s="1"/>
      <c r="L88" s="1"/>
      <c r="M88" s="1"/>
      <c r="N88" s="1"/>
      <c r="O88" s="1"/>
      <c r="P88" s="1"/>
      <c r="Q88" s="1"/>
      <c r="R88" s="1"/>
      <c r="S88" s="1"/>
      <c r="T88" s="1"/>
      <c r="U88" s="1"/>
      <c r="X88" t="s">
        <v>559</v>
      </c>
    </row>
    <row r="89" spans="1:24">
      <c r="A89" s="1"/>
      <c r="B89" s="2"/>
      <c r="C89" s="1"/>
      <c r="D89" s="2"/>
      <c r="E89" s="1"/>
      <c r="F89" s="2"/>
      <c r="I89" s="1"/>
      <c r="J89" s="2"/>
      <c r="K89" s="1"/>
      <c r="L89" s="1"/>
      <c r="M89" s="1"/>
      <c r="N89" s="1"/>
      <c r="O89" s="1"/>
      <c r="P89" s="1"/>
      <c r="Q89" s="1"/>
      <c r="R89" s="1"/>
      <c r="S89" s="1"/>
      <c r="T89" s="1"/>
      <c r="U89" s="1"/>
      <c r="X89" t="s">
        <v>560</v>
      </c>
    </row>
    <row r="90" spans="1:24">
      <c r="A90" s="1"/>
      <c r="B90" s="2"/>
      <c r="C90" s="1"/>
      <c r="D90" s="2"/>
      <c r="E90" s="1"/>
      <c r="F90" s="2"/>
      <c r="I90" s="1"/>
      <c r="J90" s="2"/>
      <c r="K90" s="1"/>
      <c r="L90" s="1"/>
      <c r="M90" s="1"/>
      <c r="N90" s="1"/>
      <c r="O90" s="1"/>
      <c r="P90" s="1"/>
      <c r="Q90" s="1"/>
      <c r="R90" s="1"/>
      <c r="S90" s="1"/>
      <c r="T90" s="1"/>
      <c r="U90" s="1"/>
      <c r="X90" t="s">
        <v>375</v>
      </c>
    </row>
    <row r="91" spans="1:24">
      <c r="A91" s="1"/>
      <c r="B91" s="2"/>
      <c r="C91" s="1"/>
      <c r="D91" s="2"/>
      <c r="E91" s="1"/>
      <c r="F91" s="2"/>
      <c r="I91" s="1"/>
      <c r="J91" s="2"/>
      <c r="K91" s="1"/>
      <c r="L91" s="1"/>
      <c r="M91" s="1"/>
      <c r="N91" s="1"/>
      <c r="O91" s="1"/>
      <c r="P91" s="1"/>
      <c r="Q91" s="1"/>
      <c r="R91" s="1"/>
      <c r="S91" s="1"/>
      <c r="T91" s="1"/>
      <c r="U91" s="1"/>
      <c r="X91" t="s">
        <v>561</v>
      </c>
    </row>
    <row r="92" spans="1:24">
      <c r="A92" s="1"/>
      <c r="B92" s="2"/>
      <c r="C92" s="1"/>
      <c r="D92" s="2"/>
      <c r="E92" s="1"/>
      <c r="F92" s="2"/>
      <c r="I92" s="1"/>
      <c r="J92" s="2"/>
      <c r="K92" s="1"/>
      <c r="L92" s="1"/>
      <c r="M92" s="1"/>
      <c r="N92" s="1"/>
      <c r="O92" s="1"/>
      <c r="P92" s="1"/>
      <c r="Q92" s="1"/>
      <c r="R92" s="1"/>
      <c r="S92" s="1"/>
      <c r="T92" s="1"/>
      <c r="U92" s="1"/>
      <c r="X92" t="s">
        <v>562</v>
      </c>
    </row>
    <row r="93" spans="1:24">
      <c r="A93" s="1"/>
      <c r="B93" s="2"/>
      <c r="C93" s="1"/>
      <c r="D93" s="2"/>
      <c r="E93" s="1"/>
      <c r="F93" s="2"/>
      <c r="I93" s="1"/>
      <c r="J93" s="2"/>
      <c r="K93" s="1"/>
      <c r="L93" s="1"/>
      <c r="M93" s="1"/>
      <c r="N93" s="1"/>
      <c r="O93" s="1"/>
      <c r="P93" s="1"/>
      <c r="Q93" s="1"/>
      <c r="R93" s="1"/>
      <c r="S93" s="1"/>
      <c r="T93" s="1"/>
      <c r="U93" s="1"/>
      <c r="X93" t="s">
        <v>36</v>
      </c>
    </row>
    <row r="94" spans="1:24">
      <c r="A94" s="1"/>
      <c r="B94" s="2"/>
      <c r="C94" s="1"/>
      <c r="D94" s="2"/>
      <c r="E94" s="1"/>
      <c r="F94" s="2"/>
      <c r="I94" s="1"/>
      <c r="J94" s="2"/>
      <c r="K94" s="1"/>
      <c r="L94" s="1"/>
      <c r="M94" s="1"/>
      <c r="N94" s="1"/>
      <c r="O94" s="1"/>
      <c r="P94" s="1"/>
      <c r="Q94" s="1"/>
      <c r="R94" s="1"/>
      <c r="S94" s="1"/>
      <c r="T94" s="1"/>
      <c r="U94" s="1"/>
      <c r="X94" t="s">
        <v>563</v>
      </c>
    </row>
    <row r="95" spans="1:24">
      <c r="A95" s="1"/>
      <c r="B95" s="2"/>
      <c r="C95" s="1"/>
      <c r="D95" s="2"/>
      <c r="E95" s="1"/>
      <c r="F95" s="2"/>
      <c r="I95" s="1"/>
      <c r="J95" s="2"/>
      <c r="K95" s="1"/>
      <c r="L95" s="1"/>
      <c r="M95" s="1"/>
      <c r="N95" s="1"/>
      <c r="O95" s="1"/>
      <c r="P95" s="1"/>
      <c r="Q95" s="1"/>
      <c r="R95" s="1"/>
      <c r="S95" s="1"/>
      <c r="T95" s="1"/>
      <c r="U95" s="1"/>
      <c r="X95" t="s">
        <v>564</v>
      </c>
    </row>
    <row r="96" spans="1:24">
      <c r="A96" s="1"/>
      <c r="B96" s="2"/>
      <c r="C96" s="1"/>
      <c r="D96" s="2"/>
      <c r="E96" s="1"/>
      <c r="F96" s="2"/>
      <c r="I96" s="1"/>
      <c r="J96" s="2"/>
      <c r="K96" s="1"/>
      <c r="L96" s="1"/>
      <c r="M96" s="1"/>
      <c r="N96" s="1"/>
      <c r="O96" s="1"/>
      <c r="P96" s="1"/>
      <c r="Q96" s="1"/>
      <c r="R96" s="1"/>
      <c r="S96" s="1"/>
      <c r="T96" s="1"/>
      <c r="U96" s="1"/>
      <c r="X96" t="s">
        <v>565</v>
      </c>
    </row>
    <row r="97" spans="1:24">
      <c r="A97" s="1"/>
      <c r="B97" s="2"/>
      <c r="C97" s="1"/>
      <c r="D97" s="2"/>
      <c r="E97" s="1"/>
      <c r="F97" s="2"/>
      <c r="I97" s="1"/>
      <c r="J97" s="2"/>
      <c r="K97" s="1"/>
      <c r="L97" s="1"/>
      <c r="M97" s="1"/>
      <c r="N97" s="1"/>
      <c r="O97" s="1"/>
      <c r="P97" s="1"/>
      <c r="Q97" s="1"/>
      <c r="R97" s="1"/>
      <c r="S97" s="1"/>
      <c r="T97" s="1"/>
      <c r="U97" s="1"/>
      <c r="X97" t="s">
        <v>566</v>
      </c>
    </row>
    <row r="98" spans="1:24">
      <c r="A98" s="1"/>
      <c r="B98" s="2"/>
      <c r="C98" s="1"/>
      <c r="D98" s="2"/>
      <c r="E98" s="1"/>
      <c r="F98" s="2"/>
      <c r="I98" s="1"/>
      <c r="J98" s="2"/>
      <c r="K98" s="1"/>
      <c r="L98" s="1"/>
      <c r="M98" s="1"/>
      <c r="N98" s="1"/>
      <c r="O98" s="1"/>
      <c r="P98" s="1"/>
      <c r="Q98" s="1"/>
      <c r="R98" s="1"/>
      <c r="S98" s="1"/>
      <c r="T98" s="1"/>
      <c r="U98" s="1"/>
      <c r="X98" t="s">
        <v>567</v>
      </c>
    </row>
    <row r="99" spans="1:24">
      <c r="A99" s="1"/>
      <c r="B99" s="2"/>
      <c r="C99" s="1"/>
      <c r="D99" s="2"/>
      <c r="E99" s="1"/>
      <c r="F99" s="2"/>
      <c r="I99" s="1"/>
      <c r="J99" s="2"/>
      <c r="K99" s="1"/>
      <c r="L99" s="1"/>
      <c r="M99" s="1"/>
      <c r="N99" s="1"/>
      <c r="O99" s="1"/>
      <c r="P99" s="1"/>
      <c r="Q99" s="1"/>
      <c r="R99" s="1"/>
      <c r="S99" s="1"/>
      <c r="T99" s="1"/>
      <c r="U99" s="1"/>
      <c r="X99" t="s">
        <v>568</v>
      </c>
    </row>
    <row r="100" spans="1:24">
      <c r="A100" s="1"/>
      <c r="B100" s="2"/>
      <c r="C100" s="1"/>
      <c r="D100" s="2"/>
      <c r="E100" s="1"/>
      <c r="F100" s="2"/>
      <c r="I100" s="1"/>
      <c r="J100" s="2"/>
      <c r="K100" s="1"/>
      <c r="L100" s="1"/>
      <c r="M100" s="1"/>
      <c r="N100" s="1"/>
      <c r="O100" s="1"/>
      <c r="P100" s="1"/>
      <c r="Q100" s="1"/>
      <c r="R100" s="1"/>
      <c r="S100" s="1"/>
      <c r="T100" s="1"/>
      <c r="U100" s="1"/>
      <c r="X100" t="s">
        <v>569</v>
      </c>
    </row>
    <row r="101" spans="1:24">
      <c r="X101" t="s">
        <v>570</v>
      </c>
    </row>
    <row r="102" spans="1:24">
      <c r="X102" t="s">
        <v>571</v>
      </c>
    </row>
    <row r="103" spans="1:24">
      <c r="X103" t="s">
        <v>572</v>
      </c>
    </row>
    <row r="104" spans="1:24">
      <c r="X104" t="s">
        <v>343</v>
      </c>
    </row>
    <row r="105" spans="1:24">
      <c r="X105" t="s">
        <v>573</v>
      </c>
    </row>
    <row r="106" spans="1:24">
      <c r="X106" t="s">
        <v>574</v>
      </c>
    </row>
    <row r="107" spans="1:24">
      <c r="X107" t="s">
        <v>575</v>
      </c>
    </row>
    <row r="108" spans="1:24">
      <c r="X108" t="s">
        <v>576</v>
      </c>
    </row>
    <row r="109" spans="1:24">
      <c r="X109" t="s">
        <v>577</v>
      </c>
    </row>
    <row r="110" spans="1:24">
      <c r="X110" t="s">
        <v>578</v>
      </c>
    </row>
    <row r="111" spans="1:24">
      <c r="X111" t="s">
        <v>579</v>
      </c>
    </row>
    <row r="112" spans="1:24">
      <c r="X112" t="s">
        <v>580</v>
      </c>
    </row>
    <row r="113" spans="24:24">
      <c r="X113" t="s">
        <v>581</v>
      </c>
    </row>
    <row r="114" spans="24:24">
      <c r="X114" t="s">
        <v>582</v>
      </c>
    </row>
    <row r="115" spans="24:24">
      <c r="X115" t="s">
        <v>583</v>
      </c>
    </row>
    <row r="116" spans="24:24">
      <c r="X116" t="s">
        <v>584</v>
      </c>
    </row>
    <row r="117" spans="24:24">
      <c r="X117" t="s">
        <v>585</v>
      </c>
    </row>
    <row r="118" spans="24:24">
      <c r="X118" t="s">
        <v>586</v>
      </c>
    </row>
    <row r="119" spans="24:24">
      <c r="X119" t="s">
        <v>587</v>
      </c>
    </row>
    <row r="120" spans="24:24">
      <c r="X120" t="s">
        <v>588</v>
      </c>
    </row>
    <row r="121" spans="24:24">
      <c r="X121" t="s">
        <v>589</v>
      </c>
    </row>
    <row r="122" spans="24:24">
      <c r="X122" t="s">
        <v>590</v>
      </c>
    </row>
    <row r="123" spans="24:24">
      <c r="X123" t="s">
        <v>591</v>
      </c>
    </row>
    <row r="124" spans="24:24">
      <c r="X124" t="s">
        <v>592</v>
      </c>
    </row>
    <row r="125" spans="24:24">
      <c r="X125" t="s">
        <v>593</v>
      </c>
    </row>
    <row r="126" spans="24:24">
      <c r="X126" t="s">
        <v>594</v>
      </c>
    </row>
    <row r="127" spans="24:24">
      <c r="X127" t="s">
        <v>595</v>
      </c>
    </row>
    <row r="128" spans="24:24">
      <c r="X128" t="s">
        <v>596</v>
      </c>
    </row>
    <row r="129" spans="24:24">
      <c r="X129" t="s">
        <v>597</v>
      </c>
    </row>
    <row r="130" spans="24:24">
      <c r="X130" t="s">
        <v>598</v>
      </c>
    </row>
    <row r="131" spans="24:24">
      <c r="X131" t="s">
        <v>599</v>
      </c>
    </row>
    <row r="132" spans="24:24">
      <c r="X132" t="s">
        <v>600</v>
      </c>
    </row>
    <row r="133" spans="24:24">
      <c r="X133" t="s">
        <v>601</v>
      </c>
    </row>
    <row r="134" spans="24:24">
      <c r="X134" t="s">
        <v>602</v>
      </c>
    </row>
    <row r="135" spans="24:24">
      <c r="X135" t="s">
        <v>603</v>
      </c>
    </row>
    <row r="136" spans="24:24">
      <c r="X136" t="s">
        <v>348</v>
      </c>
    </row>
    <row r="137" spans="24:24">
      <c r="X137" t="s">
        <v>604</v>
      </c>
    </row>
    <row r="138" spans="24:24">
      <c r="X138" t="s">
        <v>605</v>
      </c>
    </row>
    <row r="139" spans="24:24">
      <c r="X139" t="s">
        <v>606</v>
      </c>
    </row>
    <row r="140" spans="24:24">
      <c r="X140" t="s">
        <v>607</v>
      </c>
    </row>
    <row r="141" spans="24:24">
      <c r="X141" t="s">
        <v>608</v>
      </c>
    </row>
    <row r="142" spans="24:24">
      <c r="X142" t="s">
        <v>609</v>
      </c>
    </row>
    <row r="143" spans="24:24">
      <c r="X143" t="s">
        <v>610</v>
      </c>
    </row>
    <row r="144" spans="24:24">
      <c r="X144" t="s">
        <v>611</v>
      </c>
    </row>
    <row r="145" spans="24:24">
      <c r="X145" t="s">
        <v>612</v>
      </c>
    </row>
    <row r="146" spans="24:24">
      <c r="X146" t="s">
        <v>613</v>
      </c>
    </row>
    <row r="147" spans="24:24">
      <c r="X147" t="s">
        <v>614</v>
      </c>
    </row>
    <row r="148" spans="24:24">
      <c r="X148" t="s">
        <v>615</v>
      </c>
    </row>
    <row r="149" spans="24:24">
      <c r="X149" t="s">
        <v>616</v>
      </c>
    </row>
    <row r="150" spans="24:24">
      <c r="X150" t="s">
        <v>297</v>
      </c>
    </row>
    <row r="151" spans="24:24">
      <c r="X151" t="s">
        <v>617</v>
      </c>
    </row>
    <row r="152" spans="24:24">
      <c r="X152" t="s">
        <v>618</v>
      </c>
    </row>
    <row r="153" spans="24:24">
      <c r="X153" t="s">
        <v>619</v>
      </c>
    </row>
    <row r="154" spans="24:24">
      <c r="X154" t="s">
        <v>620</v>
      </c>
    </row>
    <row r="155" spans="24:24">
      <c r="X155" t="s">
        <v>621</v>
      </c>
    </row>
    <row r="156" spans="24:24">
      <c r="X156" t="s">
        <v>622</v>
      </c>
    </row>
    <row r="157" spans="24:24">
      <c r="X157" t="s">
        <v>623</v>
      </c>
    </row>
    <row r="158" spans="24:24">
      <c r="X158" t="s">
        <v>624</v>
      </c>
    </row>
    <row r="159" spans="24:24">
      <c r="X159" t="s">
        <v>625</v>
      </c>
    </row>
    <row r="160" spans="24:24">
      <c r="X160" t="s">
        <v>626</v>
      </c>
    </row>
    <row r="161" spans="24:24">
      <c r="X161" t="s">
        <v>627</v>
      </c>
    </row>
    <row r="162" spans="24:24">
      <c r="X162" t="s">
        <v>628</v>
      </c>
    </row>
    <row r="163" spans="24:24">
      <c r="X163" t="s">
        <v>629</v>
      </c>
    </row>
    <row r="164" spans="24:24">
      <c r="X164" t="s">
        <v>27</v>
      </c>
    </row>
    <row r="165" spans="24:24">
      <c r="X165" t="s">
        <v>630</v>
      </c>
    </row>
    <row r="166" spans="24:24">
      <c r="X166" t="s">
        <v>631</v>
      </c>
    </row>
    <row r="167" spans="24:24">
      <c r="X167" t="s">
        <v>632</v>
      </c>
    </row>
    <row r="168" spans="24:24">
      <c r="X168" t="s">
        <v>633</v>
      </c>
    </row>
    <row r="169" spans="24:24">
      <c r="X169" t="s">
        <v>634</v>
      </c>
    </row>
    <row r="170" spans="24:24">
      <c r="X170" t="s">
        <v>635</v>
      </c>
    </row>
    <row r="171" spans="24:24">
      <c r="X171" t="s">
        <v>636</v>
      </c>
    </row>
    <row r="172" spans="24:24">
      <c r="X172" t="s">
        <v>637</v>
      </c>
    </row>
    <row r="173" spans="24:24">
      <c r="X173" t="s">
        <v>638</v>
      </c>
    </row>
    <row r="174" spans="24:24">
      <c r="X174" t="s">
        <v>639</v>
      </c>
    </row>
    <row r="175" spans="24:24">
      <c r="X175" t="s">
        <v>640</v>
      </c>
    </row>
    <row r="176" spans="24:24">
      <c r="X176" t="s">
        <v>641</v>
      </c>
    </row>
    <row r="177" spans="24:24">
      <c r="X177" t="s">
        <v>642</v>
      </c>
    </row>
    <row r="178" spans="24:24">
      <c r="X178" t="s">
        <v>643</v>
      </c>
    </row>
    <row r="179" spans="24:24">
      <c r="X179" t="s">
        <v>644</v>
      </c>
    </row>
    <row r="180" spans="24:24">
      <c r="X180" t="s">
        <v>645</v>
      </c>
    </row>
    <row r="181" spans="24:24">
      <c r="X181" t="s">
        <v>646</v>
      </c>
    </row>
    <row r="182" spans="24:24">
      <c r="X182" t="s">
        <v>647</v>
      </c>
    </row>
    <row r="183" spans="24:24">
      <c r="X183" t="s">
        <v>648</v>
      </c>
    </row>
    <row r="184" spans="24:24">
      <c r="X184" t="s">
        <v>649</v>
      </c>
    </row>
    <row r="185" spans="24:24">
      <c r="X185" t="s">
        <v>650</v>
      </c>
    </row>
    <row r="186" spans="24:24">
      <c r="X186" t="s">
        <v>651</v>
      </c>
    </row>
    <row r="187" spans="24:24">
      <c r="X187" t="s">
        <v>244</v>
      </c>
    </row>
    <row r="188" spans="24:24">
      <c r="X188" t="s">
        <v>286</v>
      </c>
    </row>
    <row r="189" spans="24:24">
      <c r="X189" t="s">
        <v>652</v>
      </c>
    </row>
    <row r="190" spans="24:24">
      <c r="X190" t="s">
        <v>653</v>
      </c>
    </row>
    <row r="191" spans="24:24">
      <c r="X191" t="s">
        <v>654</v>
      </c>
    </row>
    <row r="192" spans="24:24">
      <c r="X192" t="s">
        <v>655</v>
      </c>
    </row>
    <row r="193" spans="24:24">
      <c r="X193" t="s">
        <v>656</v>
      </c>
    </row>
    <row r="194" spans="24:24">
      <c r="X194" t="s">
        <v>21</v>
      </c>
    </row>
    <row r="195" spans="24:24">
      <c r="X195" t="s">
        <v>657</v>
      </c>
    </row>
    <row r="196" spans="24:24">
      <c r="X196" t="s">
        <v>658</v>
      </c>
    </row>
    <row r="197" spans="24:24">
      <c r="X197" t="s">
        <v>659</v>
      </c>
    </row>
    <row r="198" spans="24:24">
      <c r="X198" t="s">
        <v>660</v>
      </c>
    </row>
    <row r="199" spans="24:24">
      <c r="X199" t="s">
        <v>661</v>
      </c>
    </row>
    <row r="200" spans="24:24">
      <c r="X200" t="s">
        <v>662</v>
      </c>
    </row>
    <row r="201" spans="24:24">
      <c r="X201" t="s">
        <v>663</v>
      </c>
    </row>
    <row r="202" spans="24:24">
      <c r="X202" t="s">
        <v>664</v>
      </c>
    </row>
    <row r="203" spans="24:24">
      <c r="X203" t="s">
        <v>665</v>
      </c>
    </row>
    <row r="204" spans="24:24">
      <c r="X204" t="s">
        <v>666</v>
      </c>
    </row>
    <row r="205" spans="24:24">
      <c r="X205" t="s">
        <v>667</v>
      </c>
    </row>
    <row r="206" spans="24:24">
      <c r="X206" t="s">
        <v>668</v>
      </c>
    </row>
    <row r="207" spans="24:24">
      <c r="X207" t="s">
        <v>669</v>
      </c>
    </row>
    <row r="208" spans="24:24">
      <c r="X208" t="s">
        <v>80</v>
      </c>
    </row>
    <row r="209" spans="24:24">
      <c r="X209" t="s">
        <v>670</v>
      </c>
    </row>
    <row r="210" spans="24:24">
      <c r="X210" t="s">
        <v>671</v>
      </c>
    </row>
    <row r="211" spans="24:24">
      <c r="X211" t="s">
        <v>672</v>
      </c>
    </row>
    <row r="212" spans="24:24">
      <c r="X212" t="s">
        <v>673</v>
      </c>
    </row>
    <row r="213" spans="24:24">
      <c r="X213" t="s">
        <v>674</v>
      </c>
    </row>
    <row r="214" spans="24:24">
      <c r="X214" t="s">
        <v>675</v>
      </c>
    </row>
    <row r="215" spans="24:24">
      <c r="X215" t="s">
        <v>676</v>
      </c>
    </row>
    <row r="216" spans="24:24">
      <c r="X216" t="s">
        <v>677</v>
      </c>
    </row>
    <row r="217" spans="24:24">
      <c r="X217" t="s">
        <v>678</v>
      </c>
    </row>
    <row r="218" spans="24:24">
      <c r="X218" t="s">
        <v>679</v>
      </c>
    </row>
    <row r="219" spans="24:24">
      <c r="X219" t="s">
        <v>680</v>
      </c>
    </row>
    <row r="220" spans="24:24">
      <c r="X220" t="s">
        <v>681</v>
      </c>
    </row>
    <row r="221" spans="24:24">
      <c r="X221" t="s">
        <v>682</v>
      </c>
    </row>
    <row r="222" spans="24:24">
      <c r="X222" t="s">
        <v>683</v>
      </c>
    </row>
    <row r="223" spans="24:24">
      <c r="X223" t="s">
        <v>684</v>
      </c>
    </row>
    <row r="224" spans="24:24">
      <c r="X224" t="s">
        <v>685</v>
      </c>
    </row>
    <row r="225" spans="24:24">
      <c r="X225" t="s">
        <v>686</v>
      </c>
    </row>
    <row r="226" spans="24:24">
      <c r="X226" t="s">
        <v>687</v>
      </c>
    </row>
    <row r="227" spans="24:24">
      <c r="X227" t="s">
        <v>688</v>
      </c>
    </row>
    <row r="228" spans="24:24">
      <c r="X228" t="s">
        <v>689</v>
      </c>
    </row>
    <row r="229" spans="24:24">
      <c r="X229" t="s">
        <v>690</v>
      </c>
    </row>
    <row r="230" spans="24:24">
      <c r="X230" t="s">
        <v>691</v>
      </c>
    </row>
    <row r="231" spans="24:24">
      <c r="X231" t="s">
        <v>692</v>
      </c>
    </row>
    <row r="232" spans="24:24">
      <c r="X232" t="s">
        <v>693</v>
      </c>
    </row>
    <row r="233" spans="24:24">
      <c r="X233" t="s">
        <v>694</v>
      </c>
    </row>
    <row r="234" spans="24:24">
      <c r="X234" t="s">
        <v>695</v>
      </c>
    </row>
    <row r="235" spans="24:24">
      <c r="X235" t="s">
        <v>696</v>
      </c>
    </row>
    <row r="236" spans="24:24">
      <c r="X236" t="s">
        <v>697</v>
      </c>
    </row>
    <row r="237" spans="24:24">
      <c r="X237" t="s">
        <v>698</v>
      </c>
    </row>
    <row r="238" spans="24:24">
      <c r="X238" t="s">
        <v>699</v>
      </c>
    </row>
    <row r="239" spans="24:24">
      <c r="X239" t="s">
        <v>700</v>
      </c>
    </row>
    <row r="240" spans="24:24">
      <c r="X240" t="s">
        <v>701</v>
      </c>
    </row>
    <row r="241" spans="24:24">
      <c r="X241" t="s">
        <v>702</v>
      </c>
    </row>
    <row r="242" spans="24:24">
      <c r="X242" t="s">
        <v>703</v>
      </c>
    </row>
    <row r="243" spans="24:24">
      <c r="X243" t="s">
        <v>704</v>
      </c>
    </row>
    <row r="244" spans="24:24">
      <c r="X244" t="s">
        <v>705</v>
      </c>
    </row>
    <row r="245" spans="24:24">
      <c r="X245" t="s">
        <v>706</v>
      </c>
    </row>
    <row r="246" spans="24:24">
      <c r="X246" t="s">
        <v>367</v>
      </c>
    </row>
    <row r="247" spans="24:24">
      <c r="X247" t="s">
        <v>707</v>
      </c>
    </row>
    <row r="248" spans="24:24">
      <c r="X248" t="s">
        <v>708</v>
      </c>
    </row>
    <row r="249" spans="24:24">
      <c r="X249" t="s">
        <v>709</v>
      </c>
    </row>
    <row r="250" spans="24:24">
      <c r="X250" t="s">
        <v>710</v>
      </c>
    </row>
    <row r="251" spans="24:24">
      <c r="X251" t="s">
        <v>711</v>
      </c>
    </row>
    <row r="252" spans="24:24">
      <c r="X252" t="s">
        <v>712</v>
      </c>
    </row>
    <row r="253" spans="24:24">
      <c r="X253" t="s">
        <v>713</v>
      </c>
    </row>
    <row r="254" spans="24:24">
      <c r="X254" t="s">
        <v>714</v>
      </c>
    </row>
    <row r="255" spans="24:24">
      <c r="X255" t="s">
        <v>715</v>
      </c>
    </row>
    <row r="256" spans="24:24">
      <c r="X256" t="s">
        <v>716</v>
      </c>
    </row>
    <row r="257" spans="24:24">
      <c r="X257" t="s">
        <v>717</v>
      </c>
    </row>
    <row r="258" spans="24:24">
      <c r="X258" t="s">
        <v>718</v>
      </c>
    </row>
    <row r="259" spans="24:24">
      <c r="X259" t="s">
        <v>719</v>
      </c>
    </row>
    <row r="260" spans="24:24">
      <c r="X260" t="s">
        <v>71</v>
      </c>
    </row>
    <row r="261" spans="24:24">
      <c r="X261" t="s">
        <v>720</v>
      </c>
    </row>
    <row r="262" spans="24:24">
      <c r="X262" t="s">
        <v>721</v>
      </c>
    </row>
    <row r="263" spans="24:24">
      <c r="X263" t="s">
        <v>722</v>
      </c>
    </row>
    <row r="264" spans="24:24">
      <c r="X264" t="s">
        <v>723</v>
      </c>
    </row>
    <row r="265" spans="24:24">
      <c r="X265" t="s">
        <v>15</v>
      </c>
    </row>
    <row r="266" spans="24:24">
      <c r="X266" t="s">
        <v>724</v>
      </c>
    </row>
    <row r="267" spans="24:24">
      <c r="X267" t="s">
        <v>725</v>
      </c>
    </row>
    <row r="268" spans="24:24">
      <c r="X268" t="s">
        <v>726</v>
      </c>
    </row>
    <row r="269" spans="24:24">
      <c r="X269" t="s">
        <v>727</v>
      </c>
    </row>
    <row r="270" spans="24:24">
      <c r="X270" t="s">
        <v>728</v>
      </c>
    </row>
    <row r="271" spans="24:24">
      <c r="X271" t="s">
        <v>729</v>
      </c>
    </row>
    <row r="272" spans="24:24">
      <c r="X272" t="s">
        <v>730</v>
      </c>
    </row>
    <row r="273" spans="24:24">
      <c r="X273" t="s">
        <v>731</v>
      </c>
    </row>
    <row r="274" spans="24:24">
      <c r="X274" t="s">
        <v>732</v>
      </c>
    </row>
    <row r="275" spans="24:24">
      <c r="X275" t="s">
        <v>733</v>
      </c>
    </row>
    <row r="276" spans="24:24">
      <c r="X276" t="s">
        <v>734</v>
      </c>
    </row>
    <row r="277" spans="24:24">
      <c r="X277" t="s">
        <v>735</v>
      </c>
    </row>
    <row r="278" spans="24:24">
      <c r="X278" t="s">
        <v>736</v>
      </c>
    </row>
    <row r="279" spans="24:24">
      <c r="X279" t="s">
        <v>737</v>
      </c>
    </row>
    <row r="280" spans="24:24">
      <c r="X280" t="s">
        <v>738</v>
      </c>
    </row>
    <row r="281" spans="24:24">
      <c r="X281" t="s">
        <v>739</v>
      </c>
    </row>
    <row r="282" spans="24:24">
      <c r="X282" t="s">
        <v>740</v>
      </c>
    </row>
    <row r="283" spans="24:24">
      <c r="X283" t="s">
        <v>741</v>
      </c>
    </row>
    <row r="284" spans="24:24">
      <c r="X284" t="s">
        <v>742</v>
      </c>
    </row>
    <row r="285" spans="24:24">
      <c r="X285" t="s">
        <v>743</v>
      </c>
    </row>
    <row r="286" spans="24:24">
      <c r="X286" t="s">
        <v>744</v>
      </c>
    </row>
    <row r="287" spans="24:24">
      <c r="X287" t="s">
        <v>745</v>
      </c>
    </row>
    <row r="288" spans="24:24">
      <c r="X288" t="s">
        <v>381</v>
      </c>
    </row>
    <row r="289" spans="24:24">
      <c r="X289" t="s">
        <v>746</v>
      </c>
    </row>
    <row r="290" spans="24:24">
      <c r="X290" t="s">
        <v>747</v>
      </c>
    </row>
    <row r="291" spans="24:24">
      <c r="X291" t="s">
        <v>748</v>
      </c>
    </row>
    <row r="292" spans="24:24">
      <c r="X292" t="s">
        <v>749</v>
      </c>
    </row>
    <row r="293" spans="24:24">
      <c r="X293" t="s">
        <v>750</v>
      </c>
    </row>
    <row r="294" spans="24:24">
      <c r="X294" t="s">
        <v>751</v>
      </c>
    </row>
    <row r="295" spans="24:24">
      <c r="X295" t="s">
        <v>752</v>
      </c>
    </row>
    <row r="296" spans="24:24">
      <c r="X296" t="s">
        <v>753</v>
      </c>
    </row>
    <row r="297" spans="24:24">
      <c r="X297" t="s">
        <v>754</v>
      </c>
    </row>
    <row r="298" spans="24:24">
      <c r="X298" t="s">
        <v>755</v>
      </c>
    </row>
    <row r="299" spans="24:24">
      <c r="X299" t="s">
        <v>756</v>
      </c>
    </row>
    <row r="300" spans="24:24">
      <c r="X300" t="s">
        <v>757</v>
      </c>
    </row>
    <row r="301" spans="24:24">
      <c r="X301" t="s">
        <v>758</v>
      </c>
    </row>
    <row r="302" spans="24:24">
      <c r="X302" t="s">
        <v>759</v>
      </c>
    </row>
    <row r="303" spans="24:24">
      <c r="X303" t="s">
        <v>760</v>
      </c>
    </row>
    <row r="304" spans="24:24">
      <c r="X304" t="s">
        <v>761</v>
      </c>
    </row>
    <row r="305" spans="24:24">
      <c r="X305" t="s">
        <v>762</v>
      </c>
    </row>
    <row r="306" spans="24:24">
      <c r="X306" t="s">
        <v>763</v>
      </c>
    </row>
    <row r="307" spans="24:24">
      <c r="X307" t="s">
        <v>764</v>
      </c>
    </row>
    <row r="308" spans="24:24">
      <c r="X308" t="s">
        <v>30</v>
      </c>
    </row>
    <row r="309" spans="24:24">
      <c r="X309" t="s">
        <v>765</v>
      </c>
    </row>
    <row r="310" spans="24:24">
      <c r="X310" t="s">
        <v>766</v>
      </c>
    </row>
    <row r="311" spans="24:24">
      <c r="X311" t="s">
        <v>767</v>
      </c>
    </row>
    <row r="312" spans="24:24">
      <c r="X312" t="s">
        <v>768</v>
      </c>
    </row>
    <row r="313" spans="24:24">
      <c r="X313" t="s">
        <v>769</v>
      </c>
    </row>
    <row r="314" spans="24:24">
      <c r="X314" t="s">
        <v>770</v>
      </c>
    </row>
    <row r="315" spans="24:24">
      <c r="X315" t="s">
        <v>771</v>
      </c>
    </row>
    <row r="316" spans="24:24">
      <c r="X316" t="s">
        <v>772</v>
      </c>
    </row>
    <row r="317" spans="24:24">
      <c r="X317" t="s">
        <v>773</v>
      </c>
    </row>
    <row r="318" spans="24:24">
      <c r="X318" t="s">
        <v>774</v>
      </c>
    </row>
    <row r="319" spans="24:24">
      <c r="X319" t="s">
        <v>775</v>
      </c>
    </row>
    <row r="320" spans="24:24">
      <c r="X320" t="s">
        <v>776</v>
      </c>
    </row>
    <row r="321" spans="24:24">
      <c r="X321" t="s">
        <v>777</v>
      </c>
    </row>
    <row r="322" spans="24:24">
      <c r="X322" t="s">
        <v>778</v>
      </c>
    </row>
    <row r="323" spans="24:24">
      <c r="X323" t="s">
        <v>779</v>
      </c>
    </row>
    <row r="324" spans="24:24">
      <c r="X324" t="s">
        <v>780</v>
      </c>
    </row>
    <row r="325" spans="24:24">
      <c r="X325" t="s">
        <v>781</v>
      </c>
    </row>
    <row r="326" spans="24:24">
      <c r="X326" t="s">
        <v>782</v>
      </c>
    </row>
    <row r="327" spans="24:24">
      <c r="X327" t="s">
        <v>783</v>
      </c>
    </row>
    <row r="328" spans="24:24">
      <c r="X328" t="s">
        <v>784</v>
      </c>
    </row>
    <row r="329" spans="24:24">
      <c r="X329" t="s">
        <v>785</v>
      </c>
    </row>
    <row r="330" spans="24:24">
      <c r="X330" t="s">
        <v>786</v>
      </c>
    </row>
    <row r="331" spans="24:24">
      <c r="X331" t="s">
        <v>787</v>
      </c>
    </row>
    <row r="332" spans="24:24">
      <c r="X332" t="s">
        <v>788</v>
      </c>
    </row>
    <row r="333" spans="24:24">
      <c r="X333" t="s">
        <v>789</v>
      </c>
    </row>
    <row r="334" spans="24:24">
      <c r="X334" t="s">
        <v>790</v>
      </c>
    </row>
    <row r="335" spans="24:24">
      <c r="X335" t="s">
        <v>791</v>
      </c>
    </row>
    <row r="336" spans="24:24">
      <c r="X336" t="s">
        <v>792</v>
      </c>
    </row>
    <row r="337" spans="24:24">
      <c r="X337" t="s">
        <v>121</v>
      </c>
    </row>
    <row r="338" spans="24:24">
      <c r="X338" t="s">
        <v>793</v>
      </c>
    </row>
    <row r="339" spans="24:24">
      <c r="X339" t="s">
        <v>794</v>
      </c>
    </row>
    <row r="340" spans="24:24">
      <c r="X340" t="s">
        <v>795</v>
      </c>
    </row>
    <row r="341" spans="24:24">
      <c r="X341" t="s">
        <v>796</v>
      </c>
    </row>
    <row r="342" spans="24:24">
      <c r="X342" t="s">
        <v>797</v>
      </c>
    </row>
    <row r="343" spans="24:24">
      <c r="X343" t="s">
        <v>798</v>
      </c>
    </row>
    <row r="344" spans="24:24">
      <c r="X344" t="s">
        <v>799</v>
      </c>
    </row>
    <row r="345" spans="24:24">
      <c r="X345" t="s">
        <v>323</v>
      </c>
    </row>
    <row r="346" spans="24:24">
      <c r="X346" t="s">
        <v>800</v>
      </c>
    </row>
    <row r="347" spans="24:24">
      <c r="X347" t="s">
        <v>801</v>
      </c>
    </row>
    <row r="348" spans="24:24">
      <c r="X348" t="s">
        <v>802</v>
      </c>
    </row>
    <row r="349" spans="24:24">
      <c r="X349" t="s">
        <v>803</v>
      </c>
    </row>
    <row r="350" spans="24:24">
      <c r="X350" t="s">
        <v>804</v>
      </c>
    </row>
    <row r="351" spans="24:24">
      <c r="X351" t="s">
        <v>805</v>
      </c>
    </row>
    <row r="352" spans="24:24">
      <c r="X352" t="s">
        <v>806</v>
      </c>
    </row>
    <row r="353" spans="24:24">
      <c r="X353" t="s">
        <v>807</v>
      </c>
    </row>
    <row r="354" spans="24:24">
      <c r="X354" t="s">
        <v>808</v>
      </c>
    </row>
    <row r="355" spans="24:24">
      <c r="X355" t="s">
        <v>809</v>
      </c>
    </row>
    <row r="356" spans="24:24">
      <c r="X356" t="s">
        <v>810</v>
      </c>
    </row>
    <row r="357" spans="24:24">
      <c r="X357" t="s">
        <v>811</v>
      </c>
    </row>
    <row r="358" spans="24:24">
      <c r="X358" t="s">
        <v>159</v>
      </c>
    </row>
    <row r="359" spans="24:24">
      <c r="X359" t="s">
        <v>812</v>
      </c>
    </row>
    <row r="360" spans="24:24">
      <c r="X360" t="s">
        <v>813</v>
      </c>
    </row>
    <row r="361" spans="24:24">
      <c r="X361" t="s">
        <v>814</v>
      </c>
    </row>
    <row r="362" spans="24:24">
      <c r="X362" t="s">
        <v>815</v>
      </c>
    </row>
    <row r="363" spans="24:24">
      <c r="X363" t="s">
        <v>816</v>
      </c>
    </row>
    <row r="364" spans="24:24">
      <c r="X364" t="s">
        <v>817</v>
      </c>
    </row>
    <row r="365" spans="24:24">
      <c r="X365" t="s">
        <v>818</v>
      </c>
    </row>
    <row r="366" spans="24:24">
      <c r="X366" t="s">
        <v>819</v>
      </c>
    </row>
    <row r="367" spans="24:24">
      <c r="X367" t="s">
        <v>820</v>
      </c>
    </row>
    <row r="368" spans="24:24">
      <c r="X368" t="s">
        <v>821</v>
      </c>
    </row>
    <row r="369" spans="24:24">
      <c r="X369" t="s">
        <v>822</v>
      </c>
    </row>
    <row r="370" spans="24:24">
      <c r="X370" t="s">
        <v>823</v>
      </c>
    </row>
    <row r="371" spans="24:24">
      <c r="X371" t="s">
        <v>824</v>
      </c>
    </row>
    <row r="372" spans="24:24">
      <c r="X372" t="s">
        <v>825</v>
      </c>
    </row>
    <row r="373" spans="24:24">
      <c r="X373" t="s">
        <v>725</v>
      </c>
    </row>
    <row r="374" spans="24:24">
      <c r="X374" t="s">
        <v>826</v>
      </c>
    </row>
    <row r="375" spans="24:24">
      <c r="X375" t="s">
        <v>827</v>
      </c>
    </row>
    <row r="376" spans="24:24">
      <c r="X376" t="s">
        <v>828</v>
      </c>
    </row>
    <row r="377" spans="24:24">
      <c r="X377" t="s">
        <v>829</v>
      </c>
    </row>
    <row r="378" spans="24:24">
      <c r="X378" t="s">
        <v>830</v>
      </c>
    </row>
    <row r="379" spans="24:24">
      <c r="X379" t="s">
        <v>831</v>
      </c>
    </row>
    <row r="380" spans="24:24">
      <c r="X380" t="s">
        <v>832</v>
      </c>
    </row>
    <row r="381" spans="24:24">
      <c r="X381" t="s">
        <v>833</v>
      </c>
    </row>
    <row r="382" spans="24:24">
      <c r="X382" t="s">
        <v>834</v>
      </c>
    </row>
    <row r="383" spans="24:24">
      <c r="X383" t="s">
        <v>835</v>
      </c>
    </row>
    <row r="384" spans="24:24">
      <c r="X384" t="s">
        <v>836</v>
      </c>
    </row>
    <row r="385" spans="24:24">
      <c r="X385" t="s">
        <v>837</v>
      </c>
    </row>
    <row r="386" spans="24:24">
      <c r="X386" t="s">
        <v>838</v>
      </c>
    </row>
    <row r="387" spans="24:24">
      <c r="X387" t="s">
        <v>839</v>
      </c>
    </row>
    <row r="388" spans="24:24">
      <c r="X388" t="s">
        <v>190</v>
      </c>
    </row>
    <row r="389" spans="24:24">
      <c r="X389" t="s">
        <v>840</v>
      </c>
    </row>
    <row r="390" spans="24:24">
      <c r="X390" t="s">
        <v>841</v>
      </c>
    </row>
    <row r="391" spans="24:24">
      <c r="X391" t="s">
        <v>842</v>
      </c>
    </row>
    <row r="392" spans="24:24">
      <c r="X392" t="s">
        <v>843</v>
      </c>
    </row>
    <row r="393" spans="24:24">
      <c r="X393" t="s">
        <v>844</v>
      </c>
    </row>
    <row r="394" spans="24:24">
      <c r="X394" t="s">
        <v>845</v>
      </c>
    </row>
    <row r="395" spans="24:24">
      <c r="X395" t="s">
        <v>846</v>
      </c>
    </row>
    <row r="396" spans="24:24">
      <c r="X396" t="s">
        <v>847</v>
      </c>
    </row>
    <row r="397" spans="24:24">
      <c r="X397" t="s">
        <v>225</v>
      </c>
    </row>
    <row r="398" spans="24:24">
      <c r="X398" t="s">
        <v>251</v>
      </c>
    </row>
    <row r="399" spans="24:24">
      <c r="X399" t="s">
        <v>848</v>
      </c>
    </row>
    <row r="400" spans="24:24">
      <c r="X400" t="s">
        <v>849</v>
      </c>
    </row>
    <row r="401" spans="24:24">
      <c r="X401" t="s">
        <v>561</v>
      </c>
    </row>
    <row r="402" spans="24:24">
      <c r="X402" t="s">
        <v>850</v>
      </c>
    </row>
    <row r="403" spans="24:24">
      <c r="X403" t="s">
        <v>166</v>
      </c>
    </row>
    <row r="404" spans="24:24">
      <c r="X404" t="s">
        <v>851</v>
      </c>
    </row>
    <row r="405" spans="24:24">
      <c r="X405" t="s">
        <v>852</v>
      </c>
    </row>
    <row r="406" spans="24:24">
      <c r="X406" t="s">
        <v>853</v>
      </c>
    </row>
    <row r="407" spans="24:24">
      <c r="X407" t="s">
        <v>854</v>
      </c>
    </row>
    <row r="408" spans="24:24">
      <c r="X408" t="s">
        <v>855</v>
      </c>
    </row>
    <row r="409" spans="24:24">
      <c r="X409" t="s">
        <v>856</v>
      </c>
    </row>
    <row r="410" spans="24:24">
      <c r="X410" t="s">
        <v>857</v>
      </c>
    </row>
    <row r="411" spans="24:24">
      <c r="X411" t="s">
        <v>858</v>
      </c>
    </row>
    <row r="412" spans="24:24">
      <c r="X412" t="s">
        <v>859</v>
      </c>
    </row>
    <row r="413" spans="24:24">
      <c r="X413" t="s">
        <v>860</v>
      </c>
    </row>
    <row r="414" spans="24:24">
      <c r="X414" t="s">
        <v>861</v>
      </c>
    </row>
    <row r="415" spans="24:24">
      <c r="X415" t="s">
        <v>862</v>
      </c>
    </row>
    <row r="416" spans="24:24">
      <c r="X416" t="s">
        <v>863</v>
      </c>
    </row>
    <row r="417" spans="24:24">
      <c r="X417" t="s">
        <v>299</v>
      </c>
    </row>
    <row r="418" spans="24:24">
      <c r="X418" t="s">
        <v>864</v>
      </c>
    </row>
    <row r="419" spans="24:24">
      <c r="X419" t="s">
        <v>865</v>
      </c>
    </row>
    <row r="420" spans="24:24">
      <c r="X420" t="s">
        <v>866</v>
      </c>
    </row>
    <row r="421" spans="24:24">
      <c r="X421" t="s">
        <v>867</v>
      </c>
    </row>
    <row r="422" spans="24:24">
      <c r="X422" t="s">
        <v>868</v>
      </c>
    </row>
    <row r="423" spans="24:24">
      <c r="X423" t="s">
        <v>869</v>
      </c>
    </row>
    <row r="424" spans="24:24">
      <c r="X424" t="s">
        <v>870</v>
      </c>
    </row>
    <row r="425" spans="24:24">
      <c r="X425" t="s">
        <v>871</v>
      </c>
    </row>
    <row r="426" spans="24:24">
      <c r="X426" t="s">
        <v>872</v>
      </c>
    </row>
    <row r="427" spans="24:24">
      <c r="X427" t="s">
        <v>873</v>
      </c>
    </row>
    <row r="428" spans="24:24">
      <c r="X428" t="s">
        <v>874</v>
      </c>
    </row>
    <row r="429" spans="24:24">
      <c r="X429" t="s">
        <v>875</v>
      </c>
    </row>
    <row r="430" spans="24:24">
      <c r="X430" t="s">
        <v>876</v>
      </c>
    </row>
    <row r="431" spans="24:24">
      <c r="X431" t="s">
        <v>877</v>
      </c>
    </row>
    <row r="432" spans="24:24">
      <c r="X432" t="s">
        <v>878</v>
      </c>
    </row>
    <row r="433" spans="24:24">
      <c r="X433" t="s">
        <v>879</v>
      </c>
    </row>
    <row r="434" spans="24:24">
      <c r="X434" t="s">
        <v>880</v>
      </c>
    </row>
    <row r="435" spans="24:24">
      <c r="X435" t="s">
        <v>881</v>
      </c>
    </row>
    <row r="436" spans="24:24">
      <c r="X436" t="s">
        <v>882</v>
      </c>
    </row>
    <row r="437" spans="24:24">
      <c r="X437" t="s">
        <v>883</v>
      </c>
    </row>
    <row r="438" spans="24:24">
      <c r="X438" t="s">
        <v>884</v>
      </c>
    </row>
    <row r="439" spans="24:24">
      <c r="X439" t="s">
        <v>885</v>
      </c>
    </row>
    <row r="440" spans="24:24">
      <c r="X440" t="s">
        <v>886</v>
      </c>
    </row>
    <row r="441" spans="24:24">
      <c r="X441" t="s">
        <v>887</v>
      </c>
    </row>
    <row r="442" spans="24:24">
      <c r="X442" t="s">
        <v>888</v>
      </c>
    </row>
    <row r="443" spans="24:24">
      <c r="X443" t="s">
        <v>889</v>
      </c>
    </row>
    <row r="444" spans="24:24">
      <c r="X444" t="s">
        <v>890</v>
      </c>
    </row>
    <row r="445" spans="24:24">
      <c r="X445" t="s">
        <v>891</v>
      </c>
    </row>
    <row r="446" spans="24:24">
      <c r="X446" t="s">
        <v>892</v>
      </c>
    </row>
    <row r="447" spans="24:24">
      <c r="X447" t="s">
        <v>893</v>
      </c>
    </row>
    <row r="448" spans="24:24">
      <c r="X448" t="s">
        <v>894</v>
      </c>
    </row>
    <row r="449" spans="24:24">
      <c r="X449" t="s">
        <v>895</v>
      </c>
    </row>
    <row r="450" spans="24:24">
      <c r="X450" t="s">
        <v>896</v>
      </c>
    </row>
    <row r="451" spans="24:24">
      <c r="X451" t="s">
        <v>897</v>
      </c>
    </row>
    <row r="452" spans="24:24">
      <c r="X452" t="s">
        <v>898</v>
      </c>
    </row>
    <row r="453" spans="24:24">
      <c r="X453" t="s">
        <v>899</v>
      </c>
    </row>
    <row r="454" spans="24:24">
      <c r="X454" t="s">
        <v>900</v>
      </c>
    </row>
    <row r="455" spans="24:24">
      <c r="X455" t="s">
        <v>88</v>
      </c>
    </row>
    <row r="456" spans="24:24">
      <c r="X456" t="s">
        <v>901</v>
      </c>
    </row>
    <row r="457" spans="24:24">
      <c r="X457" t="s">
        <v>902</v>
      </c>
    </row>
    <row r="458" spans="24:24">
      <c r="X458" t="s">
        <v>903</v>
      </c>
    </row>
    <row r="459" spans="24:24">
      <c r="X459" t="s">
        <v>904</v>
      </c>
    </row>
    <row r="460" spans="24:24">
      <c r="X460" t="s">
        <v>905</v>
      </c>
    </row>
    <row r="461" spans="24:24">
      <c r="X461" t="s">
        <v>906</v>
      </c>
    </row>
    <row r="462" spans="24:24">
      <c r="X462" t="s">
        <v>907</v>
      </c>
    </row>
    <row r="463" spans="24:24">
      <c r="X463" t="s">
        <v>908</v>
      </c>
    </row>
    <row r="464" spans="24:24">
      <c r="X464" t="s">
        <v>909</v>
      </c>
    </row>
    <row r="465" spans="24:24">
      <c r="X465" t="s">
        <v>910</v>
      </c>
    </row>
    <row r="466" spans="24:24">
      <c r="X466" t="s">
        <v>911</v>
      </c>
    </row>
    <row r="467" spans="24:24">
      <c r="X467" t="s">
        <v>912</v>
      </c>
    </row>
    <row r="468" spans="24:24">
      <c r="X468" t="s">
        <v>913</v>
      </c>
    </row>
    <row r="469" spans="24:24">
      <c r="X469" t="s">
        <v>104</v>
      </c>
    </row>
    <row r="470" spans="24:24">
      <c r="X470" t="s">
        <v>914</v>
      </c>
    </row>
    <row r="471" spans="24:24">
      <c r="X471" t="s">
        <v>915</v>
      </c>
    </row>
    <row r="472" spans="24:24">
      <c r="X472" t="s">
        <v>916</v>
      </c>
    </row>
    <row r="473" spans="24:24">
      <c r="X473" t="s">
        <v>917</v>
      </c>
    </row>
    <row r="474" spans="24:24">
      <c r="X474" t="s">
        <v>918</v>
      </c>
    </row>
    <row r="475" spans="24:24">
      <c r="X475" t="s">
        <v>919</v>
      </c>
    </row>
    <row r="476" spans="24:24">
      <c r="X476" t="s">
        <v>920</v>
      </c>
    </row>
    <row r="477" spans="24:24">
      <c r="X477" t="s">
        <v>921</v>
      </c>
    </row>
    <row r="478" spans="24:24">
      <c r="X478" t="s">
        <v>922</v>
      </c>
    </row>
    <row r="479" spans="24:24">
      <c r="X479" t="s">
        <v>923</v>
      </c>
    </row>
    <row r="480" spans="24:24">
      <c r="X480" t="s">
        <v>924</v>
      </c>
    </row>
    <row r="481" spans="24:24">
      <c r="X481" t="s">
        <v>925</v>
      </c>
    </row>
    <row r="482" spans="24:24">
      <c r="X482" t="s">
        <v>926</v>
      </c>
    </row>
    <row r="483" spans="24:24">
      <c r="X483" t="s">
        <v>927</v>
      </c>
    </row>
    <row r="484" spans="24:24">
      <c r="X484" t="s">
        <v>928</v>
      </c>
    </row>
    <row r="485" spans="24:24">
      <c r="X485" t="s">
        <v>929</v>
      </c>
    </row>
    <row r="486" spans="24:24">
      <c r="X486" t="s">
        <v>930</v>
      </c>
    </row>
    <row r="487" spans="24:24">
      <c r="X487" t="s">
        <v>931</v>
      </c>
    </row>
    <row r="488" spans="24:24">
      <c r="X488" t="s">
        <v>932</v>
      </c>
    </row>
    <row r="489" spans="24:24">
      <c r="X489" t="s">
        <v>933</v>
      </c>
    </row>
    <row r="490" spans="24:24">
      <c r="X490" t="s">
        <v>934</v>
      </c>
    </row>
    <row r="491" spans="24:24">
      <c r="X491" t="s">
        <v>935</v>
      </c>
    </row>
    <row r="492" spans="24:24">
      <c r="X492" t="s">
        <v>936</v>
      </c>
    </row>
    <row r="493" spans="24:24">
      <c r="X493" t="s">
        <v>937</v>
      </c>
    </row>
    <row r="494" spans="24:24">
      <c r="X494" t="s">
        <v>938</v>
      </c>
    </row>
    <row r="495" spans="24:24">
      <c r="X495" t="s">
        <v>939</v>
      </c>
    </row>
    <row r="496" spans="24:24">
      <c r="X496" t="s">
        <v>940</v>
      </c>
    </row>
    <row r="497" spans="24:24">
      <c r="X497" t="s">
        <v>941</v>
      </c>
    </row>
    <row r="498" spans="24:24">
      <c r="X498" t="s">
        <v>942</v>
      </c>
    </row>
    <row r="499" spans="24:24">
      <c r="X499" t="s">
        <v>943</v>
      </c>
    </row>
    <row r="500" spans="24:24">
      <c r="X500" t="s">
        <v>944</v>
      </c>
    </row>
    <row r="501" spans="24:24">
      <c r="X501" t="s">
        <v>945</v>
      </c>
    </row>
    <row r="502" spans="24:24">
      <c r="X502" t="s">
        <v>946</v>
      </c>
    </row>
    <row r="503" spans="24:24">
      <c r="X503" t="s">
        <v>947</v>
      </c>
    </row>
    <row r="504" spans="24:24">
      <c r="X504" t="s">
        <v>948</v>
      </c>
    </row>
    <row r="505" spans="24:24">
      <c r="X505" t="s">
        <v>949</v>
      </c>
    </row>
    <row r="506" spans="24:24">
      <c r="X506" t="s">
        <v>950</v>
      </c>
    </row>
    <row r="507" spans="24:24">
      <c r="X507" t="s">
        <v>951</v>
      </c>
    </row>
    <row r="508" spans="24:24">
      <c r="X508" t="s">
        <v>424</v>
      </c>
    </row>
    <row r="509" spans="24:24">
      <c r="X509" t="s">
        <v>952</v>
      </c>
    </row>
    <row r="510" spans="24:24">
      <c r="X510" t="s">
        <v>953</v>
      </c>
    </row>
    <row r="511" spans="24:24">
      <c r="X511" t="s">
        <v>954</v>
      </c>
    </row>
    <row r="512" spans="24:24">
      <c r="X512" t="s">
        <v>955</v>
      </c>
    </row>
    <row r="513" spans="24:24">
      <c r="X513" t="s">
        <v>956</v>
      </c>
    </row>
    <row r="514" spans="24:24">
      <c r="X514" t="s">
        <v>957</v>
      </c>
    </row>
    <row r="515" spans="24:24">
      <c r="X515" t="s">
        <v>958</v>
      </c>
    </row>
    <row r="516" spans="24:24">
      <c r="X516" t="s">
        <v>959</v>
      </c>
    </row>
    <row r="517" spans="24:24">
      <c r="X517" t="s">
        <v>960</v>
      </c>
    </row>
    <row r="518" spans="24:24">
      <c r="X518" t="s">
        <v>961</v>
      </c>
    </row>
    <row r="519" spans="24:24">
      <c r="X519" t="s">
        <v>962</v>
      </c>
    </row>
    <row r="520" spans="24:24">
      <c r="X520" t="s">
        <v>963</v>
      </c>
    </row>
    <row r="521" spans="24:24">
      <c r="X521" t="s">
        <v>341</v>
      </c>
    </row>
    <row r="522" spans="24:24">
      <c r="X522" t="s">
        <v>964</v>
      </c>
    </row>
    <row r="523" spans="24:24">
      <c r="X523" t="s">
        <v>965</v>
      </c>
    </row>
    <row r="524" spans="24:24">
      <c r="X524" t="s">
        <v>966</v>
      </c>
    </row>
    <row r="525" spans="24:24">
      <c r="X525" t="s">
        <v>967</v>
      </c>
    </row>
    <row r="526" spans="24:24">
      <c r="X526" t="s">
        <v>968</v>
      </c>
    </row>
    <row r="527" spans="24:24">
      <c r="X527" t="s">
        <v>969</v>
      </c>
    </row>
    <row r="528" spans="24:24">
      <c r="X528" t="s">
        <v>970</v>
      </c>
    </row>
    <row r="529" spans="24:24">
      <c r="X529" t="s">
        <v>971</v>
      </c>
    </row>
    <row r="530" spans="24:24">
      <c r="X530" t="s">
        <v>972</v>
      </c>
    </row>
    <row r="531" spans="24:24">
      <c r="X531" t="s">
        <v>973</v>
      </c>
    </row>
    <row r="532" spans="24:24">
      <c r="X532" t="s">
        <v>974</v>
      </c>
    </row>
    <row r="533" spans="24:24">
      <c r="X533" t="s">
        <v>975</v>
      </c>
    </row>
    <row r="534" spans="24:24">
      <c r="X534" t="s">
        <v>976</v>
      </c>
    </row>
    <row r="535" spans="24:24">
      <c r="X535" t="s">
        <v>977</v>
      </c>
    </row>
    <row r="536" spans="24:24">
      <c r="X536" t="s">
        <v>978</v>
      </c>
    </row>
    <row r="537" spans="24:24">
      <c r="X537" t="s">
        <v>979</v>
      </c>
    </row>
    <row r="538" spans="24:24">
      <c r="X538" t="s">
        <v>980</v>
      </c>
    </row>
    <row r="539" spans="24:24">
      <c r="X539" t="s">
        <v>981</v>
      </c>
    </row>
    <row r="540" spans="24:24">
      <c r="X540" t="s">
        <v>982</v>
      </c>
    </row>
    <row r="541" spans="24:24">
      <c r="X541" t="s">
        <v>983</v>
      </c>
    </row>
    <row r="542" spans="24:24">
      <c r="X542" t="s">
        <v>984</v>
      </c>
    </row>
    <row r="543" spans="24:24">
      <c r="X543" t="s">
        <v>60</v>
      </c>
    </row>
    <row r="544" spans="24:24">
      <c r="X544" t="s">
        <v>985</v>
      </c>
    </row>
    <row r="545" spans="24:24">
      <c r="X545" t="s">
        <v>986</v>
      </c>
    </row>
    <row r="546" spans="24:24">
      <c r="X546" t="s">
        <v>987</v>
      </c>
    </row>
    <row r="547" spans="24:24">
      <c r="X547" t="s">
        <v>988</v>
      </c>
    </row>
    <row r="548" spans="24:24">
      <c r="X548" t="s">
        <v>989</v>
      </c>
    </row>
    <row r="549" spans="24:24">
      <c r="X549" t="s">
        <v>990</v>
      </c>
    </row>
    <row r="550" spans="24:24">
      <c r="X550" t="s">
        <v>991</v>
      </c>
    </row>
    <row r="551" spans="24:24">
      <c r="X551" t="s">
        <v>326</v>
      </c>
    </row>
    <row r="552" spans="24:24">
      <c r="X552" t="s">
        <v>992</v>
      </c>
    </row>
    <row r="553" spans="24:24">
      <c r="X553" t="s">
        <v>993</v>
      </c>
    </row>
    <row r="554" spans="24:24">
      <c r="X554" t="s">
        <v>994</v>
      </c>
    </row>
    <row r="555" spans="24:24">
      <c r="X555" t="s">
        <v>995</v>
      </c>
    </row>
    <row r="556" spans="24:24">
      <c r="X556" t="s">
        <v>996</v>
      </c>
    </row>
    <row r="557" spans="24:24">
      <c r="X557" t="s">
        <v>997</v>
      </c>
    </row>
    <row r="558" spans="24:24">
      <c r="X558" t="s">
        <v>998</v>
      </c>
    </row>
    <row r="559" spans="24:24">
      <c r="X559" t="s">
        <v>999</v>
      </c>
    </row>
    <row r="560" spans="24:24">
      <c r="X560" t="s">
        <v>314</v>
      </c>
    </row>
    <row r="561" spans="24:24">
      <c r="X561" t="s">
        <v>1000</v>
      </c>
    </row>
    <row r="562" spans="24:24">
      <c r="X562" t="s">
        <v>1001</v>
      </c>
    </row>
    <row r="563" spans="24:24">
      <c r="X563" t="s">
        <v>1002</v>
      </c>
    </row>
    <row r="564" spans="24:24">
      <c r="X564" t="s">
        <v>1003</v>
      </c>
    </row>
    <row r="565" spans="24:24">
      <c r="X565" t="s">
        <v>1004</v>
      </c>
    </row>
    <row r="566" spans="24:24">
      <c r="X566" t="s">
        <v>1005</v>
      </c>
    </row>
    <row r="567" spans="24:24">
      <c r="X567" t="s">
        <v>1006</v>
      </c>
    </row>
    <row r="568" spans="24:24">
      <c r="X568" t="s">
        <v>1007</v>
      </c>
    </row>
    <row r="569" spans="24:24">
      <c r="X569" t="s">
        <v>1008</v>
      </c>
    </row>
    <row r="570" spans="24:24">
      <c r="X570" t="s">
        <v>1009</v>
      </c>
    </row>
    <row r="571" spans="24:24">
      <c r="X571" t="s">
        <v>1010</v>
      </c>
    </row>
    <row r="572" spans="24:24">
      <c r="X572" t="s">
        <v>1011</v>
      </c>
    </row>
    <row r="573" spans="24:24">
      <c r="X573" t="s">
        <v>1012</v>
      </c>
    </row>
    <row r="574" spans="24:24">
      <c r="X574" t="s">
        <v>1013</v>
      </c>
    </row>
    <row r="575" spans="24:24">
      <c r="X575" t="s">
        <v>1014</v>
      </c>
    </row>
    <row r="576" spans="24:24">
      <c r="X576" t="s">
        <v>1015</v>
      </c>
    </row>
    <row r="577" spans="24:24">
      <c r="X577" t="s">
        <v>1016</v>
      </c>
    </row>
    <row r="578" spans="24:24">
      <c r="X578" t="s">
        <v>1017</v>
      </c>
    </row>
    <row r="579" spans="24:24">
      <c r="X579" t="s">
        <v>1018</v>
      </c>
    </row>
    <row r="580" spans="24:24">
      <c r="X580" t="s">
        <v>1019</v>
      </c>
    </row>
    <row r="581" spans="24:24">
      <c r="X581" t="s">
        <v>1020</v>
      </c>
    </row>
    <row r="582" spans="24:24">
      <c r="X582" t="s">
        <v>1021</v>
      </c>
    </row>
    <row r="583" spans="24:24">
      <c r="X583" t="s">
        <v>1022</v>
      </c>
    </row>
    <row r="584" spans="24:24">
      <c r="X584" t="s">
        <v>1023</v>
      </c>
    </row>
    <row r="585" spans="24:24">
      <c r="X585" t="s">
        <v>1024</v>
      </c>
    </row>
    <row r="586" spans="24:24">
      <c r="X586" t="s">
        <v>305</v>
      </c>
    </row>
    <row r="587" spans="24:24">
      <c r="X587" t="s">
        <v>1025</v>
      </c>
    </row>
    <row r="588" spans="24:24">
      <c r="X588" t="s">
        <v>1026</v>
      </c>
    </row>
    <row r="589" spans="24:24">
      <c r="X589" t="s">
        <v>1027</v>
      </c>
    </row>
    <row r="590" spans="24:24">
      <c r="X590" t="s">
        <v>1028</v>
      </c>
    </row>
    <row r="591" spans="24:24">
      <c r="X591" t="s">
        <v>1029</v>
      </c>
    </row>
    <row r="592" spans="24:24">
      <c r="X592" t="s">
        <v>1030</v>
      </c>
    </row>
    <row r="593" spans="24:24">
      <c r="X593" t="s">
        <v>1031</v>
      </c>
    </row>
    <row r="594" spans="24:24">
      <c r="X594" t="s">
        <v>1032</v>
      </c>
    </row>
    <row r="595" spans="24:24">
      <c r="X595" t="s">
        <v>1033</v>
      </c>
    </row>
    <row r="596" spans="24:24">
      <c r="X596" t="s">
        <v>1034</v>
      </c>
    </row>
    <row r="597" spans="24:24">
      <c r="X597" t="s">
        <v>1035</v>
      </c>
    </row>
    <row r="598" spans="24:24">
      <c r="X598" t="s">
        <v>1036</v>
      </c>
    </row>
    <row r="599" spans="24:24">
      <c r="X599" t="s">
        <v>1037</v>
      </c>
    </row>
    <row r="600" spans="24:24">
      <c r="X600" t="s">
        <v>1038</v>
      </c>
    </row>
    <row r="601" spans="24:24">
      <c r="X601" t="s">
        <v>1039</v>
      </c>
    </row>
    <row r="602" spans="24:24">
      <c r="X602" t="s">
        <v>1040</v>
      </c>
    </row>
    <row r="603" spans="24:24">
      <c r="X603" t="s">
        <v>1041</v>
      </c>
    </row>
    <row r="604" spans="24:24">
      <c r="X604" t="s">
        <v>1042</v>
      </c>
    </row>
    <row r="605" spans="24:24">
      <c r="X605" t="s">
        <v>1043</v>
      </c>
    </row>
    <row r="606" spans="24:24">
      <c r="X606" t="s">
        <v>1044</v>
      </c>
    </row>
    <row r="607" spans="24:24">
      <c r="X607" t="s">
        <v>1045</v>
      </c>
    </row>
    <row r="608" spans="24:24">
      <c r="X608" t="s">
        <v>1046</v>
      </c>
    </row>
    <row r="609" spans="24:24">
      <c r="X609" t="s">
        <v>324</v>
      </c>
    </row>
    <row r="610" spans="24:24">
      <c r="X610" t="s">
        <v>1047</v>
      </c>
    </row>
    <row r="611" spans="24:24">
      <c r="X611" t="s">
        <v>1048</v>
      </c>
    </row>
    <row r="612" spans="24:24">
      <c r="X612" t="s">
        <v>172</v>
      </c>
    </row>
    <row r="613" spans="24:24">
      <c r="X613" t="s">
        <v>1049</v>
      </c>
    </row>
    <row r="614" spans="24:24">
      <c r="X614" t="s">
        <v>1050</v>
      </c>
    </row>
    <row r="615" spans="24:24">
      <c r="X615" t="s">
        <v>1051</v>
      </c>
    </row>
    <row r="616" spans="24:24">
      <c r="X616" t="s">
        <v>1052</v>
      </c>
    </row>
    <row r="617" spans="24:24">
      <c r="X617" t="s">
        <v>1053</v>
      </c>
    </row>
    <row r="618" spans="24:24">
      <c r="X618" t="s">
        <v>1054</v>
      </c>
    </row>
    <row r="619" spans="24:24">
      <c r="X619" t="s">
        <v>1055</v>
      </c>
    </row>
    <row r="620" spans="24:24">
      <c r="X620" t="s">
        <v>1056</v>
      </c>
    </row>
    <row r="621" spans="24:24">
      <c r="X621" t="s">
        <v>1057</v>
      </c>
    </row>
    <row r="622" spans="24:24">
      <c r="X622" t="s">
        <v>1058</v>
      </c>
    </row>
    <row r="623" spans="24:24">
      <c r="X623" t="s">
        <v>1059</v>
      </c>
    </row>
    <row r="624" spans="24:24">
      <c r="X624" t="s">
        <v>1060</v>
      </c>
    </row>
    <row r="625" spans="24:24">
      <c r="X625" t="s">
        <v>1061</v>
      </c>
    </row>
    <row r="626" spans="24:24">
      <c r="X626" t="s">
        <v>1062</v>
      </c>
    </row>
    <row r="627" spans="24:24">
      <c r="X627" t="s">
        <v>1063</v>
      </c>
    </row>
    <row r="628" spans="24:24">
      <c r="X628" t="s">
        <v>1064</v>
      </c>
    </row>
    <row r="629" spans="24:24">
      <c r="X629" t="s">
        <v>1065</v>
      </c>
    </row>
    <row r="630" spans="24:24">
      <c r="X630" t="s">
        <v>1066</v>
      </c>
    </row>
    <row r="631" spans="24:24">
      <c r="X631" t="s">
        <v>1067</v>
      </c>
    </row>
    <row r="632" spans="24:24">
      <c r="X632" t="s">
        <v>1068</v>
      </c>
    </row>
    <row r="633" spans="24:24">
      <c r="X633" t="s">
        <v>1069</v>
      </c>
    </row>
    <row r="634" spans="24:24">
      <c r="X634" t="s">
        <v>1070</v>
      </c>
    </row>
    <row r="635" spans="24:24">
      <c r="X635" t="s">
        <v>1071</v>
      </c>
    </row>
    <row r="636" spans="24:24">
      <c r="X636" t="s">
        <v>1072</v>
      </c>
    </row>
    <row r="637" spans="24:24">
      <c r="X637" t="s">
        <v>1073</v>
      </c>
    </row>
    <row r="638" spans="24:24">
      <c r="X638" t="s">
        <v>1074</v>
      </c>
    </row>
    <row r="639" spans="24:24">
      <c r="X639" t="s">
        <v>1075</v>
      </c>
    </row>
    <row r="640" spans="24:24">
      <c r="X640" t="s">
        <v>148</v>
      </c>
    </row>
    <row r="641" spans="24:24">
      <c r="X641" t="s">
        <v>1076</v>
      </c>
    </row>
    <row r="642" spans="24:24">
      <c r="X642" t="s">
        <v>1077</v>
      </c>
    </row>
    <row r="643" spans="24:24">
      <c r="X643" t="s">
        <v>1078</v>
      </c>
    </row>
    <row r="644" spans="24:24">
      <c r="X644" t="s">
        <v>1079</v>
      </c>
    </row>
    <row r="645" spans="24:24">
      <c r="X645" t="s">
        <v>1080</v>
      </c>
    </row>
    <row r="646" spans="24:24">
      <c r="X646" t="s">
        <v>1081</v>
      </c>
    </row>
    <row r="647" spans="24:24">
      <c r="X647" t="s">
        <v>1082</v>
      </c>
    </row>
    <row r="648" spans="24:24">
      <c r="X648" t="s">
        <v>1083</v>
      </c>
    </row>
    <row r="649" spans="24:24">
      <c r="X649" t="s">
        <v>1084</v>
      </c>
    </row>
    <row r="650" spans="24:24">
      <c r="X650" t="s">
        <v>1085</v>
      </c>
    </row>
    <row r="651" spans="24:24">
      <c r="X651" t="s">
        <v>1086</v>
      </c>
    </row>
    <row r="652" spans="24:24">
      <c r="X652" t="s">
        <v>1087</v>
      </c>
    </row>
    <row r="653" spans="24:24">
      <c r="X653" t="s">
        <v>1088</v>
      </c>
    </row>
    <row r="654" spans="24:24">
      <c r="X654" t="s">
        <v>1089</v>
      </c>
    </row>
    <row r="655" spans="24:24">
      <c r="X655" t="s">
        <v>1090</v>
      </c>
    </row>
    <row r="656" spans="24:24">
      <c r="X656" t="s">
        <v>1091</v>
      </c>
    </row>
    <row r="657" spans="24:24">
      <c r="X657" t="s">
        <v>1092</v>
      </c>
    </row>
    <row r="658" spans="24:24">
      <c r="X658" t="s">
        <v>1093</v>
      </c>
    </row>
    <row r="659" spans="24:24">
      <c r="X659" t="s">
        <v>1094</v>
      </c>
    </row>
    <row r="660" spans="24:24">
      <c r="X660" t="s">
        <v>1095</v>
      </c>
    </row>
    <row r="661" spans="24:24">
      <c r="X661" t="s">
        <v>1096</v>
      </c>
    </row>
    <row r="662" spans="24:24">
      <c r="X662" t="s">
        <v>426</v>
      </c>
    </row>
    <row r="663" spans="24:24">
      <c r="X663" t="s">
        <v>1097</v>
      </c>
    </row>
    <row r="664" spans="24:24">
      <c r="X664" t="s">
        <v>1098</v>
      </c>
    </row>
    <row r="665" spans="24:24">
      <c r="X665" t="s">
        <v>1099</v>
      </c>
    </row>
    <row r="666" spans="24:24">
      <c r="X666" t="s">
        <v>1100</v>
      </c>
    </row>
    <row r="667" spans="24:24">
      <c r="X667" t="s">
        <v>1101</v>
      </c>
    </row>
    <row r="668" spans="24:24">
      <c r="X668" t="s">
        <v>1102</v>
      </c>
    </row>
    <row r="669" spans="24:24">
      <c r="X669" t="s">
        <v>1103</v>
      </c>
    </row>
    <row r="670" spans="24:24">
      <c r="X670" t="s">
        <v>1104</v>
      </c>
    </row>
    <row r="671" spans="24:24">
      <c r="X671" t="s">
        <v>1105</v>
      </c>
    </row>
    <row r="672" spans="24:24">
      <c r="X672" t="s">
        <v>1106</v>
      </c>
    </row>
    <row r="673" spans="24:24">
      <c r="X673" t="s">
        <v>1107</v>
      </c>
    </row>
    <row r="674" spans="24:24">
      <c r="X674" t="s">
        <v>1108</v>
      </c>
    </row>
    <row r="675" spans="24:24">
      <c r="X675" t="s">
        <v>1109</v>
      </c>
    </row>
    <row r="676" spans="24:24">
      <c r="X676" t="s">
        <v>1110</v>
      </c>
    </row>
    <row r="677" spans="24:24">
      <c r="X677" t="s">
        <v>1111</v>
      </c>
    </row>
    <row r="678" spans="24:24">
      <c r="X678" t="s">
        <v>1112</v>
      </c>
    </row>
    <row r="679" spans="24:24">
      <c r="X679" t="s">
        <v>1113</v>
      </c>
    </row>
    <row r="680" spans="24:24">
      <c r="X680" t="s">
        <v>255</v>
      </c>
    </row>
    <row r="681" spans="24:24">
      <c r="X681" t="s">
        <v>1114</v>
      </c>
    </row>
    <row r="682" spans="24:24">
      <c r="X682" t="s">
        <v>1115</v>
      </c>
    </row>
    <row r="683" spans="24:24">
      <c r="X683" t="s">
        <v>1116</v>
      </c>
    </row>
    <row r="684" spans="24:24">
      <c r="X684" t="s">
        <v>1117</v>
      </c>
    </row>
    <row r="685" spans="24:24">
      <c r="X685" t="s">
        <v>1118</v>
      </c>
    </row>
    <row r="686" spans="24:24">
      <c r="X686" t="s">
        <v>1119</v>
      </c>
    </row>
    <row r="687" spans="24:24">
      <c r="X687" t="s">
        <v>1120</v>
      </c>
    </row>
    <row r="688" spans="24:24">
      <c r="X688" t="s">
        <v>1121</v>
      </c>
    </row>
    <row r="689" spans="24:24">
      <c r="X689" t="s">
        <v>1122</v>
      </c>
    </row>
    <row r="690" spans="24:24">
      <c r="X690" t="s">
        <v>1123</v>
      </c>
    </row>
    <row r="691" spans="24:24">
      <c r="X691" t="s">
        <v>1124</v>
      </c>
    </row>
    <row r="692" spans="24:24">
      <c r="X692" t="s">
        <v>1125</v>
      </c>
    </row>
    <row r="693" spans="24:24">
      <c r="X693" t="s">
        <v>1126</v>
      </c>
    </row>
    <row r="694" spans="24:24">
      <c r="X694" t="s">
        <v>1127</v>
      </c>
    </row>
    <row r="695" spans="24:24">
      <c r="X695" t="s">
        <v>1128</v>
      </c>
    </row>
    <row r="696" spans="24:24">
      <c r="X696" t="s">
        <v>1129</v>
      </c>
    </row>
    <row r="697" spans="24:24">
      <c r="X697" t="s">
        <v>1130</v>
      </c>
    </row>
    <row r="698" spans="24:24">
      <c r="X698" t="s">
        <v>1131</v>
      </c>
    </row>
    <row r="699" spans="24:24">
      <c r="X699" t="s">
        <v>1132</v>
      </c>
    </row>
    <row r="700" spans="24:24">
      <c r="X700" t="s">
        <v>1133</v>
      </c>
    </row>
    <row r="701" spans="24:24">
      <c r="X701" t="s">
        <v>1134</v>
      </c>
    </row>
    <row r="702" spans="24:24">
      <c r="X702" t="s">
        <v>1135</v>
      </c>
    </row>
    <row r="703" spans="24:24">
      <c r="X703" t="s">
        <v>1136</v>
      </c>
    </row>
    <row r="704" spans="24:24">
      <c r="X704" t="s">
        <v>1137</v>
      </c>
    </row>
    <row r="705" spans="24:24">
      <c r="X705" t="s">
        <v>1138</v>
      </c>
    </row>
    <row r="706" spans="24:24">
      <c r="X706" t="s">
        <v>1139</v>
      </c>
    </row>
    <row r="707" spans="24:24">
      <c r="X707" t="s">
        <v>1140</v>
      </c>
    </row>
    <row r="708" spans="24:24">
      <c r="X708" t="s">
        <v>1141</v>
      </c>
    </row>
    <row r="709" spans="24:24">
      <c r="X709" t="s">
        <v>1142</v>
      </c>
    </row>
    <row r="710" spans="24:24">
      <c r="X710" t="s">
        <v>1143</v>
      </c>
    </row>
    <row r="711" spans="24:24">
      <c r="X711" t="s">
        <v>1144</v>
      </c>
    </row>
    <row r="712" spans="24:24">
      <c r="X712" t="s">
        <v>1145</v>
      </c>
    </row>
    <row r="713" spans="24:24">
      <c r="X713" t="s">
        <v>1146</v>
      </c>
    </row>
    <row r="714" spans="24:24">
      <c r="X714" t="s">
        <v>1147</v>
      </c>
    </row>
    <row r="715" spans="24:24">
      <c r="X715" t="s">
        <v>1148</v>
      </c>
    </row>
    <row r="716" spans="24:24">
      <c r="X716" t="s">
        <v>1149</v>
      </c>
    </row>
    <row r="717" spans="24:24">
      <c r="X717" t="s">
        <v>1150</v>
      </c>
    </row>
    <row r="718" spans="24:24">
      <c r="X718" t="s">
        <v>1151</v>
      </c>
    </row>
    <row r="719" spans="24:24">
      <c r="X719" t="s">
        <v>1152</v>
      </c>
    </row>
    <row r="720" spans="24:24">
      <c r="X720" t="s">
        <v>1153</v>
      </c>
    </row>
    <row r="721" spans="24:24">
      <c r="X721" t="s">
        <v>1154</v>
      </c>
    </row>
    <row r="722" spans="24:24">
      <c r="X722" t="s">
        <v>1155</v>
      </c>
    </row>
    <row r="723" spans="24:24">
      <c r="X723" t="s">
        <v>1156</v>
      </c>
    </row>
    <row r="724" spans="24:24">
      <c r="X724" t="s">
        <v>1157</v>
      </c>
    </row>
    <row r="725" spans="24:24">
      <c r="X725" t="s">
        <v>1158</v>
      </c>
    </row>
    <row r="726" spans="24:24">
      <c r="X726" t="s">
        <v>1159</v>
      </c>
    </row>
    <row r="727" spans="24:24">
      <c r="X727" t="s">
        <v>1160</v>
      </c>
    </row>
    <row r="728" spans="24:24">
      <c r="X728" t="s">
        <v>1161</v>
      </c>
    </row>
    <row r="729" spans="24:24">
      <c r="X729" t="s">
        <v>1162</v>
      </c>
    </row>
    <row r="730" spans="24:24">
      <c r="X730" t="s">
        <v>1163</v>
      </c>
    </row>
    <row r="731" spans="24:24">
      <c r="X731" t="s">
        <v>1164</v>
      </c>
    </row>
    <row r="732" spans="24:24">
      <c r="X732" t="s">
        <v>1165</v>
      </c>
    </row>
    <row r="733" spans="24:24">
      <c r="X733" t="s">
        <v>1166</v>
      </c>
    </row>
    <row r="734" spans="24:24">
      <c r="X734" t="s">
        <v>1167</v>
      </c>
    </row>
    <row r="735" spans="24:24">
      <c r="X735" t="s">
        <v>1168</v>
      </c>
    </row>
    <row r="736" spans="24:24">
      <c r="X736" t="s">
        <v>1169</v>
      </c>
    </row>
    <row r="737" spans="24:24">
      <c r="X737" t="s">
        <v>1170</v>
      </c>
    </row>
    <row r="738" spans="24:24">
      <c r="X738" t="s">
        <v>1171</v>
      </c>
    </row>
    <row r="739" spans="24:24">
      <c r="X739" t="s">
        <v>1172</v>
      </c>
    </row>
    <row r="740" spans="24:24">
      <c r="X740" t="s">
        <v>1173</v>
      </c>
    </row>
    <row r="741" spans="24:24">
      <c r="X741" t="s">
        <v>1174</v>
      </c>
    </row>
    <row r="742" spans="24:24">
      <c r="X742" t="s">
        <v>1175</v>
      </c>
    </row>
    <row r="743" spans="24:24">
      <c r="X743" t="s">
        <v>1176</v>
      </c>
    </row>
    <row r="744" spans="24:24">
      <c r="X744" t="s">
        <v>1177</v>
      </c>
    </row>
    <row r="745" spans="24:24">
      <c r="X745" t="s">
        <v>1178</v>
      </c>
    </row>
    <row r="746" spans="24:24">
      <c r="X746" t="s">
        <v>1179</v>
      </c>
    </row>
    <row r="747" spans="24:24">
      <c r="X747" t="s">
        <v>1180</v>
      </c>
    </row>
    <row r="748" spans="24:24">
      <c r="X748" t="s">
        <v>1181</v>
      </c>
    </row>
    <row r="749" spans="24:24">
      <c r="X749" t="s">
        <v>1182</v>
      </c>
    </row>
    <row r="750" spans="24:24">
      <c r="X750" t="s">
        <v>1183</v>
      </c>
    </row>
    <row r="751" spans="24:24">
      <c r="X751" t="s">
        <v>377</v>
      </c>
    </row>
    <row r="752" spans="24:24">
      <c r="X752" t="s">
        <v>1184</v>
      </c>
    </row>
    <row r="753" spans="24:24">
      <c r="X753" t="s">
        <v>1185</v>
      </c>
    </row>
    <row r="754" spans="24:24">
      <c r="X754" t="s">
        <v>1186</v>
      </c>
    </row>
    <row r="755" spans="24:24">
      <c r="X755" t="s">
        <v>1187</v>
      </c>
    </row>
    <row r="756" spans="24:24">
      <c r="X756" t="s">
        <v>1188</v>
      </c>
    </row>
    <row r="757" spans="24:24">
      <c r="X757" t="s">
        <v>1189</v>
      </c>
    </row>
    <row r="758" spans="24:24">
      <c r="X758" t="s">
        <v>1190</v>
      </c>
    </row>
    <row r="759" spans="24:24">
      <c r="X759" t="s">
        <v>1191</v>
      </c>
    </row>
    <row r="760" spans="24:24">
      <c r="X760" t="s">
        <v>262</v>
      </c>
    </row>
    <row r="761" spans="24:24">
      <c r="X761" t="s">
        <v>1192</v>
      </c>
    </row>
    <row r="762" spans="24:24">
      <c r="X762" t="s">
        <v>1193</v>
      </c>
    </row>
    <row r="763" spans="24:24">
      <c r="X763" t="s">
        <v>1194</v>
      </c>
    </row>
    <row r="764" spans="24:24">
      <c r="X764" t="s">
        <v>1195</v>
      </c>
    </row>
    <row r="765" spans="24:24">
      <c r="X765" t="s">
        <v>1196</v>
      </c>
    </row>
    <row r="766" spans="24:24">
      <c r="X766" t="s">
        <v>1197</v>
      </c>
    </row>
    <row r="767" spans="24:24">
      <c r="X767" t="s">
        <v>1198</v>
      </c>
    </row>
    <row r="768" spans="24:24">
      <c r="X768" t="s">
        <v>1199</v>
      </c>
    </row>
    <row r="769" spans="24:24">
      <c r="X769" t="s">
        <v>1200</v>
      </c>
    </row>
    <row r="770" spans="24:24">
      <c r="X770" t="s">
        <v>1201</v>
      </c>
    </row>
    <row r="771" spans="24:24">
      <c r="X771" t="s">
        <v>1202</v>
      </c>
    </row>
    <row r="772" spans="24:24">
      <c r="X772" t="s">
        <v>1203</v>
      </c>
    </row>
    <row r="773" spans="24:24">
      <c r="X773" t="s">
        <v>1204</v>
      </c>
    </row>
    <row r="774" spans="24:24">
      <c r="X774" t="s">
        <v>1205</v>
      </c>
    </row>
    <row r="775" spans="24:24">
      <c r="X775" t="s">
        <v>1206</v>
      </c>
    </row>
    <row r="776" spans="24:24">
      <c r="X776" t="s">
        <v>1207</v>
      </c>
    </row>
    <row r="777" spans="24:24">
      <c r="X777" t="s">
        <v>1208</v>
      </c>
    </row>
    <row r="778" spans="24:24">
      <c r="X778" t="s">
        <v>1209</v>
      </c>
    </row>
    <row r="779" spans="24:24">
      <c r="X779" t="s">
        <v>1210</v>
      </c>
    </row>
    <row r="780" spans="24:24">
      <c r="X780" t="s">
        <v>1211</v>
      </c>
    </row>
    <row r="781" spans="24:24">
      <c r="X781" t="s">
        <v>1212</v>
      </c>
    </row>
    <row r="782" spans="24:24">
      <c r="X782" t="s">
        <v>1213</v>
      </c>
    </row>
    <row r="783" spans="24:24">
      <c r="X783" t="s">
        <v>1214</v>
      </c>
    </row>
    <row r="784" spans="24:24">
      <c r="X784" t="s">
        <v>1215</v>
      </c>
    </row>
    <row r="785" spans="24:24">
      <c r="X785" t="s">
        <v>1216</v>
      </c>
    </row>
    <row r="786" spans="24:24">
      <c r="X786" t="s">
        <v>1217</v>
      </c>
    </row>
    <row r="787" spans="24:24">
      <c r="X787" t="s">
        <v>1218</v>
      </c>
    </row>
    <row r="788" spans="24:24">
      <c r="X788" t="s">
        <v>1219</v>
      </c>
    </row>
    <row r="789" spans="24:24">
      <c r="X789" t="s">
        <v>1220</v>
      </c>
    </row>
    <row r="790" spans="24:24">
      <c r="X790" t="s">
        <v>1221</v>
      </c>
    </row>
    <row r="791" spans="24:24">
      <c r="X791" t="s">
        <v>1222</v>
      </c>
    </row>
    <row r="792" spans="24:24">
      <c r="X792" t="s">
        <v>1223</v>
      </c>
    </row>
    <row r="793" spans="24:24">
      <c r="X793" t="s">
        <v>1224</v>
      </c>
    </row>
    <row r="794" spans="24:24">
      <c r="X794" t="s">
        <v>1225</v>
      </c>
    </row>
    <row r="795" spans="24:24">
      <c r="X795" t="s">
        <v>1226</v>
      </c>
    </row>
    <row r="796" spans="24:24">
      <c r="X796" t="s">
        <v>1227</v>
      </c>
    </row>
    <row r="797" spans="24:24">
      <c r="X797" t="s">
        <v>1228</v>
      </c>
    </row>
    <row r="798" spans="24:24">
      <c r="X798" t="s">
        <v>1229</v>
      </c>
    </row>
    <row r="799" spans="24:24">
      <c r="X799" t="s">
        <v>1230</v>
      </c>
    </row>
    <row r="800" spans="24:24">
      <c r="X800" t="s">
        <v>1231</v>
      </c>
    </row>
    <row r="801" spans="24:24">
      <c r="X801" t="s">
        <v>1232</v>
      </c>
    </row>
    <row r="802" spans="24:24">
      <c r="X802" t="s">
        <v>1233</v>
      </c>
    </row>
    <row r="803" spans="24:24">
      <c r="X803" t="s">
        <v>137</v>
      </c>
    </row>
    <row r="804" spans="24:24">
      <c r="X804" t="s">
        <v>1234</v>
      </c>
    </row>
    <row r="805" spans="24:24">
      <c r="X805" t="s">
        <v>1235</v>
      </c>
    </row>
    <row r="806" spans="24:24">
      <c r="X806" t="s">
        <v>1236</v>
      </c>
    </row>
    <row r="807" spans="24:24">
      <c r="X807" t="s">
        <v>1237</v>
      </c>
    </row>
    <row r="808" spans="24:24">
      <c r="X808" t="s">
        <v>1238</v>
      </c>
    </row>
    <row r="809" spans="24:24">
      <c r="X809" t="s">
        <v>443</v>
      </c>
    </row>
    <row r="810" spans="24:24">
      <c r="X810" t="s">
        <v>1239</v>
      </c>
    </row>
    <row r="811" spans="24:24">
      <c r="X811" t="s">
        <v>1240</v>
      </c>
    </row>
    <row r="812" spans="24:24">
      <c r="X812" t="s">
        <v>1241</v>
      </c>
    </row>
    <row r="813" spans="24:24">
      <c r="X813" t="s">
        <v>1242</v>
      </c>
    </row>
    <row r="814" spans="24:24">
      <c r="X814" t="s">
        <v>1243</v>
      </c>
    </row>
    <row r="815" spans="24:24">
      <c r="X815" t="s">
        <v>1244</v>
      </c>
    </row>
    <row r="816" spans="24:24">
      <c r="X816" t="s">
        <v>1245</v>
      </c>
    </row>
    <row r="817" spans="24:24">
      <c r="X817" t="s">
        <v>1246</v>
      </c>
    </row>
    <row r="818" spans="24:24">
      <c r="X818" t="s">
        <v>1247</v>
      </c>
    </row>
    <row r="819" spans="24:24">
      <c r="X819" t="s">
        <v>1248</v>
      </c>
    </row>
    <row r="820" spans="24:24">
      <c r="X820" t="s">
        <v>175</v>
      </c>
    </row>
    <row r="821" spans="24:24">
      <c r="X821" t="s">
        <v>1249</v>
      </c>
    </row>
    <row r="822" spans="24:24">
      <c r="X822" t="s">
        <v>1250</v>
      </c>
    </row>
    <row r="823" spans="24:24">
      <c r="X823" t="s">
        <v>1251</v>
      </c>
    </row>
    <row r="824" spans="24:24">
      <c r="X824" t="s">
        <v>1252</v>
      </c>
    </row>
    <row r="825" spans="24:24">
      <c r="X825" t="s">
        <v>1253</v>
      </c>
    </row>
    <row r="826" spans="24:24">
      <c r="X826" t="s">
        <v>1254</v>
      </c>
    </row>
    <row r="827" spans="24:24">
      <c r="X827" t="s">
        <v>1255</v>
      </c>
    </row>
    <row r="828" spans="24:24">
      <c r="X828" t="s">
        <v>1256</v>
      </c>
    </row>
    <row r="829" spans="24:24">
      <c r="X829" t="s">
        <v>1257</v>
      </c>
    </row>
    <row r="830" spans="24:24">
      <c r="X830" t="s">
        <v>1258</v>
      </c>
    </row>
    <row r="831" spans="24:24">
      <c r="X831" t="s">
        <v>1259</v>
      </c>
    </row>
    <row r="832" spans="24:24">
      <c r="X832" t="s">
        <v>1260</v>
      </c>
    </row>
    <row r="833" spans="24:24">
      <c r="X833" t="s">
        <v>1261</v>
      </c>
    </row>
    <row r="834" spans="24:24">
      <c r="X834" t="s">
        <v>1262</v>
      </c>
    </row>
    <row r="835" spans="24:24">
      <c r="X835" t="s">
        <v>1263</v>
      </c>
    </row>
    <row r="836" spans="24:24">
      <c r="X836" t="s">
        <v>1264</v>
      </c>
    </row>
    <row r="837" spans="24:24">
      <c r="X837" t="s">
        <v>1265</v>
      </c>
    </row>
    <row r="838" spans="24:24">
      <c r="X838" t="s">
        <v>1266</v>
      </c>
    </row>
    <row r="839" spans="24:24">
      <c r="X839" t="s">
        <v>1267</v>
      </c>
    </row>
    <row r="840" spans="24:24">
      <c r="X840" t="s">
        <v>1268</v>
      </c>
    </row>
    <row r="841" spans="24:24">
      <c r="X841" t="s">
        <v>1269</v>
      </c>
    </row>
    <row r="842" spans="24:24">
      <c r="X842" t="s">
        <v>1270</v>
      </c>
    </row>
    <row r="843" spans="24:24">
      <c r="X843" t="s">
        <v>1271</v>
      </c>
    </row>
    <row r="844" spans="24:24">
      <c r="X844" t="s">
        <v>1272</v>
      </c>
    </row>
    <row r="845" spans="24:24">
      <c r="X845" t="s">
        <v>1273</v>
      </c>
    </row>
    <row r="846" spans="24:24">
      <c r="X846" t="s">
        <v>1274</v>
      </c>
    </row>
    <row r="847" spans="24:24">
      <c r="X847" t="s">
        <v>1275</v>
      </c>
    </row>
    <row r="848" spans="24:24">
      <c r="X848" t="s">
        <v>1276</v>
      </c>
    </row>
    <row r="849" spans="24:24">
      <c r="X849" t="s">
        <v>1277</v>
      </c>
    </row>
    <row r="850" spans="24:24">
      <c r="X850" t="s">
        <v>1278</v>
      </c>
    </row>
    <row r="851" spans="24:24">
      <c r="X851" t="s">
        <v>1279</v>
      </c>
    </row>
    <row r="852" spans="24:24">
      <c r="X852" t="s">
        <v>20</v>
      </c>
    </row>
    <row r="853" spans="24:24">
      <c r="X853" t="s">
        <v>1280</v>
      </c>
    </row>
    <row r="854" spans="24:24">
      <c r="X854" t="s">
        <v>41</v>
      </c>
    </row>
    <row r="855" spans="24:24">
      <c r="X855" t="s">
        <v>1281</v>
      </c>
    </row>
    <row r="856" spans="24:24">
      <c r="X856" t="s">
        <v>1282</v>
      </c>
    </row>
    <row r="857" spans="24:24">
      <c r="X857" t="s">
        <v>1283</v>
      </c>
    </row>
    <row r="858" spans="24:24">
      <c r="X858" t="s">
        <v>1284</v>
      </c>
    </row>
    <row r="859" spans="24:24">
      <c r="X859" t="s">
        <v>1285</v>
      </c>
    </row>
    <row r="860" spans="24:24">
      <c r="X860" t="s">
        <v>1286</v>
      </c>
    </row>
    <row r="861" spans="24:24">
      <c r="X861" t="s">
        <v>412</v>
      </c>
    </row>
    <row r="862" spans="24:24">
      <c r="X862" t="s">
        <v>1287</v>
      </c>
    </row>
    <row r="863" spans="24:24">
      <c r="X863" t="s">
        <v>1288</v>
      </c>
    </row>
    <row r="864" spans="24:24">
      <c r="X864" t="s">
        <v>1289</v>
      </c>
    </row>
    <row r="865" spans="24:24">
      <c r="X865" t="s">
        <v>1290</v>
      </c>
    </row>
    <row r="866" spans="24:24">
      <c r="X866" t="s">
        <v>1291</v>
      </c>
    </row>
    <row r="867" spans="24:24">
      <c r="X867" t="s">
        <v>1292</v>
      </c>
    </row>
    <row r="868" spans="24:24">
      <c r="X868" t="s">
        <v>1293</v>
      </c>
    </row>
    <row r="869" spans="24:24">
      <c r="X869" t="s">
        <v>279</v>
      </c>
    </row>
    <row r="870" spans="24:24">
      <c r="X870" t="s">
        <v>1294</v>
      </c>
    </row>
    <row r="871" spans="24:24">
      <c r="X871" t="s">
        <v>1295</v>
      </c>
    </row>
    <row r="872" spans="24:24">
      <c r="X872" t="s">
        <v>1296</v>
      </c>
    </row>
    <row r="873" spans="24:24">
      <c r="X873" t="s">
        <v>1297</v>
      </c>
    </row>
    <row r="874" spans="24:24">
      <c r="X874" t="s">
        <v>1298</v>
      </c>
    </row>
    <row r="875" spans="24:24">
      <c r="X875" t="s">
        <v>1299</v>
      </c>
    </row>
    <row r="876" spans="24:24">
      <c r="X876" t="s">
        <v>1300</v>
      </c>
    </row>
    <row r="877" spans="24:24">
      <c r="X877" t="s">
        <v>1301</v>
      </c>
    </row>
    <row r="878" spans="24:24">
      <c r="X878" t="s">
        <v>1302</v>
      </c>
    </row>
    <row r="879" spans="24:24">
      <c r="X879" t="s">
        <v>1303</v>
      </c>
    </row>
    <row r="880" spans="24:24">
      <c r="X880" t="s">
        <v>1304</v>
      </c>
    </row>
    <row r="881" spans="24:24">
      <c r="X881" t="s">
        <v>54</v>
      </c>
    </row>
    <row r="882" spans="24:24">
      <c r="X882" t="s">
        <v>1305</v>
      </c>
    </row>
    <row r="883" spans="24:24">
      <c r="X883" t="s">
        <v>1306</v>
      </c>
    </row>
    <row r="884" spans="24:24">
      <c r="X884" t="s">
        <v>1307</v>
      </c>
    </row>
    <row r="885" spans="24:24">
      <c r="X885" t="s">
        <v>1308</v>
      </c>
    </row>
    <row r="886" spans="24:24">
      <c r="X886" t="s">
        <v>1309</v>
      </c>
    </row>
    <row r="887" spans="24:24">
      <c r="X887" t="s">
        <v>1310</v>
      </c>
    </row>
    <row r="888" spans="24:24">
      <c r="X888" t="s">
        <v>1311</v>
      </c>
    </row>
    <row r="889" spans="24:24">
      <c r="X889" t="s">
        <v>1312</v>
      </c>
    </row>
    <row r="890" spans="24:24">
      <c r="X890" t="s">
        <v>1313</v>
      </c>
    </row>
    <row r="891" spans="24:24">
      <c r="X891" t="s">
        <v>1314</v>
      </c>
    </row>
    <row r="892" spans="24:24">
      <c r="X892" t="s">
        <v>1315</v>
      </c>
    </row>
    <row r="893" spans="24:24">
      <c r="X893" t="s">
        <v>95</v>
      </c>
    </row>
    <row r="894" spans="24:24">
      <c r="X894" t="s">
        <v>378</v>
      </c>
    </row>
    <row r="895" spans="24:24">
      <c r="X895" t="s">
        <v>185</v>
      </c>
    </row>
    <row r="896" spans="24:24">
      <c r="X896" t="s">
        <v>1316</v>
      </c>
    </row>
    <row r="897" spans="24:24">
      <c r="X897" t="s">
        <v>1317</v>
      </c>
    </row>
    <row r="898" spans="24:24">
      <c r="X898" t="s">
        <v>1318</v>
      </c>
    </row>
    <row r="899" spans="24:24">
      <c r="X899" t="s">
        <v>1319</v>
      </c>
    </row>
    <row r="900" spans="24:24">
      <c r="X900" t="s">
        <v>1320</v>
      </c>
    </row>
    <row r="901" spans="24:24">
      <c r="X901" t="s">
        <v>1321</v>
      </c>
    </row>
    <row r="902" spans="24:24">
      <c r="X902" t="s">
        <v>1322</v>
      </c>
    </row>
    <row r="903" spans="24:24">
      <c r="X903" t="s">
        <v>1323</v>
      </c>
    </row>
    <row r="904" spans="24:24">
      <c r="X904" t="s">
        <v>1324</v>
      </c>
    </row>
    <row r="905" spans="24:24">
      <c r="X905" t="s">
        <v>1325</v>
      </c>
    </row>
    <row r="906" spans="24:24">
      <c r="X906" t="s">
        <v>1326</v>
      </c>
    </row>
    <row r="907" spans="24:24">
      <c r="X907" t="s">
        <v>1327</v>
      </c>
    </row>
    <row r="908" spans="24:24">
      <c r="X908" t="s">
        <v>1328</v>
      </c>
    </row>
    <row r="909" spans="24:24">
      <c r="X909" t="s">
        <v>1329</v>
      </c>
    </row>
    <row r="910" spans="24:24">
      <c r="X910" t="s">
        <v>1330</v>
      </c>
    </row>
    <row r="911" spans="24:24">
      <c r="X911" t="s">
        <v>1331</v>
      </c>
    </row>
    <row r="912" spans="24:24">
      <c r="X912" t="s">
        <v>1332</v>
      </c>
    </row>
    <row r="913" spans="24:24">
      <c r="X913" t="s">
        <v>1333</v>
      </c>
    </row>
    <row r="914" spans="24:24">
      <c r="X914" t="s">
        <v>1334</v>
      </c>
    </row>
    <row r="915" spans="24:24">
      <c r="X915" t="s">
        <v>1335</v>
      </c>
    </row>
    <row r="916" spans="24:24">
      <c r="X916" t="s">
        <v>1336</v>
      </c>
    </row>
    <row r="917" spans="24:24">
      <c r="X917" t="s">
        <v>1337</v>
      </c>
    </row>
    <row r="918" spans="24:24">
      <c r="X918" t="s">
        <v>1338</v>
      </c>
    </row>
    <row r="919" spans="24:24">
      <c r="X919" t="s">
        <v>1339</v>
      </c>
    </row>
    <row r="920" spans="24:24">
      <c r="X920" t="s">
        <v>1340</v>
      </c>
    </row>
    <row r="921" spans="24:24">
      <c r="X921" t="s">
        <v>1341</v>
      </c>
    </row>
    <row r="922" spans="24:24">
      <c r="X922" t="s">
        <v>1342</v>
      </c>
    </row>
    <row r="923" spans="24:24">
      <c r="X923" t="s">
        <v>1343</v>
      </c>
    </row>
    <row r="924" spans="24:24">
      <c r="X924" t="s">
        <v>1344</v>
      </c>
    </row>
    <row r="925" spans="24:24">
      <c r="X925" t="s">
        <v>1345</v>
      </c>
    </row>
    <row r="926" spans="24:24">
      <c r="X926" t="s">
        <v>1346</v>
      </c>
    </row>
    <row r="927" spans="24:24">
      <c r="X927" t="s">
        <v>1347</v>
      </c>
    </row>
    <row r="928" spans="24:24">
      <c r="X928" t="s">
        <v>1348</v>
      </c>
    </row>
    <row r="929" spans="24:24">
      <c r="X929" t="s">
        <v>1349</v>
      </c>
    </row>
    <row r="930" spans="24:24">
      <c r="X930" t="s">
        <v>420</v>
      </c>
    </row>
    <row r="931" spans="24:24">
      <c r="X931" t="s">
        <v>1350</v>
      </c>
    </row>
    <row r="932" spans="24:24">
      <c r="X932" t="s">
        <v>1351</v>
      </c>
    </row>
    <row r="933" spans="24:24">
      <c r="X933" t="s">
        <v>1352</v>
      </c>
    </row>
    <row r="934" spans="24:24">
      <c r="X934" t="s">
        <v>1353</v>
      </c>
    </row>
    <row r="935" spans="24:24">
      <c r="X935" t="s">
        <v>1354</v>
      </c>
    </row>
    <row r="936" spans="24:24">
      <c r="X936" t="s">
        <v>1355</v>
      </c>
    </row>
    <row r="937" spans="24:24">
      <c r="X937" t="s">
        <v>1356</v>
      </c>
    </row>
    <row r="938" spans="24:24">
      <c r="X938" t="s">
        <v>1357</v>
      </c>
    </row>
    <row r="939" spans="24:24">
      <c r="X939" t="s">
        <v>1358</v>
      </c>
    </row>
    <row r="940" spans="24:24">
      <c r="X940" t="s">
        <v>1359</v>
      </c>
    </row>
    <row r="941" spans="24:24">
      <c r="X941" t="s">
        <v>1360</v>
      </c>
    </row>
    <row r="942" spans="24:24">
      <c r="X942" t="s">
        <v>1361</v>
      </c>
    </row>
    <row r="943" spans="24:24">
      <c r="X943" t="s">
        <v>1362</v>
      </c>
    </row>
    <row r="944" spans="24:24">
      <c r="X944" t="s">
        <v>1363</v>
      </c>
    </row>
    <row r="945" spans="24:24">
      <c r="X945" t="s">
        <v>1364</v>
      </c>
    </row>
    <row r="946" spans="24:24">
      <c r="X946" t="s">
        <v>1365</v>
      </c>
    </row>
    <row r="947" spans="24:24">
      <c r="X947" t="s">
        <v>1366</v>
      </c>
    </row>
    <row r="948" spans="24:24">
      <c r="X948" t="s">
        <v>1367</v>
      </c>
    </row>
    <row r="949" spans="24:24">
      <c r="X949" t="s">
        <v>1368</v>
      </c>
    </row>
    <row r="950" spans="24:24">
      <c r="X950" t="s">
        <v>1369</v>
      </c>
    </row>
    <row r="951" spans="24:24">
      <c r="X951" t="s">
        <v>260</v>
      </c>
    </row>
    <row r="952" spans="24:24">
      <c r="X952" t="s">
        <v>1370</v>
      </c>
    </row>
    <row r="953" spans="24:24">
      <c r="X953" t="s">
        <v>1371</v>
      </c>
    </row>
    <row r="954" spans="24:24">
      <c r="X954" t="s">
        <v>1372</v>
      </c>
    </row>
    <row r="955" spans="24:24">
      <c r="X955" t="s">
        <v>1373</v>
      </c>
    </row>
    <row r="956" spans="24:24">
      <c r="X956" t="s">
        <v>1374</v>
      </c>
    </row>
    <row r="957" spans="24:24">
      <c r="X957" t="s">
        <v>1375</v>
      </c>
    </row>
    <row r="958" spans="24:24">
      <c r="X958" t="s">
        <v>1376</v>
      </c>
    </row>
    <row r="959" spans="24:24">
      <c r="X959" t="s">
        <v>1377</v>
      </c>
    </row>
    <row r="960" spans="24:24">
      <c r="X960" t="s">
        <v>1378</v>
      </c>
    </row>
    <row r="961" spans="24:24">
      <c r="X961" t="s">
        <v>1379</v>
      </c>
    </row>
    <row r="962" spans="24:24">
      <c r="X962" t="s">
        <v>1380</v>
      </c>
    </row>
    <row r="963" spans="24:24">
      <c r="X963" t="s">
        <v>1381</v>
      </c>
    </row>
    <row r="964" spans="24:24">
      <c r="X964" t="s">
        <v>1382</v>
      </c>
    </row>
    <row r="965" spans="24:24">
      <c r="X965" t="s">
        <v>1383</v>
      </c>
    </row>
    <row r="966" spans="24:24">
      <c r="X966" t="s">
        <v>1384</v>
      </c>
    </row>
    <row r="967" spans="24:24">
      <c r="X967" t="s">
        <v>1385</v>
      </c>
    </row>
    <row r="968" spans="24:24">
      <c r="X968" t="s">
        <v>1386</v>
      </c>
    </row>
    <row r="969" spans="24:24">
      <c r="X969" t="s">
        <v>1387</v>
      </c>
    </row>
    <row r="970" spans="24:24">
      <c r="X970" t="s">
        <v>1388</v>
      </c>
    </row>
    <row r="971" spans="24:24">
      <c r="X971" t="s">
        <v>1389</v>
      </c>
    </row>
    <row r="972" spans="24:24">
      <c r="X972" t="s">
        <v>1390</v>
      </c>
    </row>
    <row r="973" spans="24:24">
      <c r="X973" t="s">
        <v>1391</v>
      </c>
    </row>
    <row r="974" spans="24:24">
      <c r="X974" t="s">
        <v>1392</v>
      </c>
    </row>
    <row r="975" spans="24:24">
      <c r="X975" t="s">
        <v>1393</v>
      </c>
    </row>
    <row r="976" spans="24:24">
      <c r="X976" t="s">
        <v>1394</v>
      </c>
    </row>
    <row r="977" spans="24:24">
      <c r="X977" t="s">
        <v>1395</v>
      </c>
    </row>
    <row r="978" spans="24:24">
      <c r="X978" t="s">
        <v>1396</v>
      </c>
    </row>
    <row r="979" spans="24:24">
      <c r="X979" t="s">
        <v>1397</v>
      </c>
    </row>
    <row r="980" spans="24:24">
      <c r="X980" t="s">
        <v>1398</v>
      </c>
    </row>
    <row r="981" spans="24:24">
      <c r="X981" t="s">
        <v>1399</v>
      </c>
    </row>
    <row r="982" spans="24:24">
      <c r="X982" t="s">
        <v>1400</v>
      </c>
    </row>
    <row r="983" spans="24:24">
      <c r="X983" t="s">
        <v>1401</v>
      </c>
    </row>
    <row r="984" spans="24:24">
      <c r="X984" t="s">
        <v>1402</v>
      </c>
    </row>
    <row r="985" spans="24:24">
      <c r="X985" t="s">
        <v>1403</v>
      </c>
    </row>
    <row r="986" spans="24:24">
      <c r="X986" t="s">
        <v>1404</v>
      </c>
    </row>
    <row r="987" spans="24:24">
      <c r="X987" t="s">
        <v>1405</v>
      </c>
    </row>
    <row r="988" spans="24:24">
      <c r="X988" t="s">
        <v>1406</v>
      </c>
    </row>
    <row r="989" spans="24:24">
      <c r="X989" t="s">
        <v>1407</v>
      </c>
    </row>
    <row r="990" spans="24:24">
      <c r="X990" t="s">
        <v>1408</v>
      </c>
    </row>
    <row r="991" spans="24:24">
      <c r="X991" t="s">
        <v>1409</v>
      </c>
    </row>
    <row r="992" spans="24:24">
      <c r="X992" t="s">
        <v>1410</v>
      </c>
    </row>
    <row r="993" spans="24:24">
      <c r="X993" t="s">
        <v>1411</v>
      </c>
    </row>
    <row r="994" spans="24:24">
      <c r="X994" t="s">
        <v>1412</v>
      </c>
    </row>
    <row r="995" spans="24:24">
      <c r="X995" t="s">
        <v>1413</v>
      </c>
    </row>
    <row r="996" spans="24:24">
      <c r="X996" t="s">
        <v>1414</v>
      </c>
    </row>
    <row r="997" spans="24:24">
      <c r="X997" t="s">
        <v>1415</v>
      </c>
    </row>
    <row r="998" spans="24:24">
      <c r="X998" t="s">
        <v>1416</v>
      </c>
    </row>
    <row r="999" spans="24:24">
      <c r="X999" t="s">
        <v>1417</v>
      </c>
    </row>
    <row r="1000" spans="24:24">
      <c r="X1000" t="s">
        <v>1418</v>
      </c>
    </row>
    <row r="1001" spans="24:24">
      <c r="X1001" t="s">
        <v>1419</v>
      </c>
    </row>
    <row r="1002" spans="24:24">
      <c r="X1002" t="s">
        <v>1420</v>
      </c>
    </row>
    <row r="1003" spans="24:24">
      <c r="X1003" t="s">
        <v>1421</v>
      </c>
    </row>
    <row r="1004" spans="24:24">
      <c r="X1004" t="s">
        <v>1422</v>
      </c>
    </row>
    <row r="1005" spans="24:24">
      <c r="X1005" t="s">
        <v>1423</v>
      </c>
    </row>
    <row r="1006" spans="24:24">
      <c r="X1006" t="s">
        <v>1424</v>
      </c>
    </row>
    <row r="1007" spans="24:24">
      <c r="X1007" t="s">
        <v>1425</v>
      </c>
    </row>
    <row r="1008" spans="24:24">
      <c r="X1008" t="s">
        <v>1426</v>
      </c>
    </row>
    <row r="1009" spans="24:24">
      <c r="X1009" t="s">
        <v>1427</v>
      </c>
    </row>
    <row r="1010" spans="24:24">
      <c r="X1010" t="s">
        <v>1428</v>
      </c>
    </row>
    <row r="1011" spans="24:24">
      <c r="X1011" t="s">
        <v>1429</v>
      </c>
    </row>
    <row r="1012" spans="24:24">
      <c r="X1012" t="s">
        <v>1430</v>
      </c>
    </row>
    <row r="1013" spans="24:24">
      <c r="X1013" t="s">
        <v>1431</v>
      </c>
    </row>
    <row r="1014" spans="24:24">
      <c r="X1014" t="s">
        <v>78</v>
      </c>
    </row>
    <row r="1015" spans="24:24">
      <c r="X1015" t="s">
        <v>1432</v>
      </c>
    </row>
    <row r="1016" spans="24:24">
      <c r="X1016" t="s">
        <v>1433</v>
      </c>
    </row>
    <row r="1017" spans="24:24">
      <c r="X1017" t="s">
        <v>1434</v>
      </c>
    </row>
    <row r="1018" spans="24:24">
      <c r="X1018" t="s">
        <v>1435</v>
      </c>
    </row>
    <row r="1019" spans="24:24">
      <c r="X1019" t="s">
        <v>1436</v>
      </c>
    </row>
    <row r="1020" spans="24:24">
      <c r="X1020" t="s">
        <v>1437</v>
      </c>
    </row>
    <row r="1021" spans="24:24">
      <c r="X1021" t="s">
        <v>1438</v>
      </c>
    </row>
    <row r="1022" spans="24:24">
      <c r="X1022" t="s">
        <v>1439</v>
      </c>
    </row>
    <row r="1023" spans="24:24">
      <c r="X1023" t="s">
        <v>1440</v>
      </c>
    </row>
    <row r="1024" spans="24:24">
      <c r="X1024" t="s">
        <v>1441</v>
      </c>
    </row>
    <row r="1025" spans="24:24">
      <c r="X1025" t="s">
        <v>1442</v>
      </c>
    </row>
    <row r="1026" spans="24:24">
      <c r="X1026" t="s">
        <v>1443</v>
      </c>
    </row>
    <row r="1027" spans="24:24">
      <c r="X1027" t="s">
        <v>1444</v>
      </c>
    </row>
    <row r="1028" spans="24:24">
      <c r="X1028" t="s">
        <v>1445</v>
      </c>
    </row>
    <row r="1029" spans="24:24">
      <c r="X1029" t="s">
        <v>1446</v>
      </c>
    </row>
    <row r="1030" spans="24:24">
      <c r="X1030" t="s">
        <v>1447</v>
      </c>
    </row>
    <row r="1031" spans="24:24">
      <c r="X1031" t="s">
        <v>1448</v>
      </c>
    </row>
    <row r="1032" spans="24:24">
      <c r="X1032" t="s">
        <v>1449</v>
      </c>
    </row>
    <row r="1033" spans="24:24">
      <c r="X1033" t="s">
        <v>258</v>
      </c>
    </row>
    <row r="1034" spans="24:24">
      <c r="X1034" t="s">
        <v>1450</v>
      </c>
    </row>
    <row r="1035" spans="24:24">
      <c r="X1035" t="s">
        <v>242</v>
      </c>
    </row>
    <row r="1036" spans="24:24">
      <c r="X1036" t="s">
        <v>1451</v>
      </c>
    </row>
    <row r="1037" spans="24:24">
      <c r="X1037" t="s">
        <v>1452</v>
      </c>
    </row>
    <row r="1038" spans="24:24">
      <c r="X1038" t="s">
        <v>1453</v>
      </c>
    </row>
    <row r="1039" spans="24:24">
      <c r="X1039" t="s">
        <v>292</v>
      </c>
    </row>
    <row r="1040" spans="24:24">
      <c r="X1040" t="s">
        <v>1454</v>
      </c>
    </row>
    <row r="1041" spans="24:24">
      <c r="X1041" t="s">
        <v>1455</v>
      </c>
    </row>
    <row r="1042" spans="24:24">
      <c r="X1042" t="s">
        <v>1456</v>
      </c>
    </row>
    <row r="1043" spans="24:24">
      <c r="X1043" t="s">
        <v>280</v>
      </c>
    </row>
    <row r="1044" spans="24:24">
      <c r="X1044" t="s">
        <v>1457</v>
      </c>
    </row>
    <row r="1045" spans="24:24">
      <c r="X1045" t="s">
        <v>50</v>
      </c>
    </row>
    <row r="1046" spans="24:24">
      <c r="X1046" t="s">
        <v>1458</v>
      </c>
    </row>
    <row r="1047" spans="24:24">
      <c r="X1047" t="s">
        <v>1459</v>
      </c>
    </row>
    <row r="1048" spans="24:24">
      <c r="X1048" t="s">
        <v>1460</v>
      </c>
    </row>
    <row r="1049" spans="24:24">
      <c r="X1049" t="s">
        <v>1461</v>
      </c>
    </row>
    <row r="1050" spans="24:24">
      <c r="X1050" t="s">
        <v>1462</v>
      </c>
    </row>
    <row r="1051" spans="24:24">
      <c r="X1051" t="s">
        <v>1463</v>
      </c>
    </row>
    <row r="1052" spans="24:24">
      <c r="X1052" t="s">
        <v>1464</v>
      </c>
    </row>
    <row r="1053" spans="24:24">
      <c r="X1053" t="s">
        <v>1465</v>
      </c>
    </row>
    <row r="1054" spans="24:24">
      <c r="X1054" t="s">
        <v>1466</v>
      </c>
    </row>
    <row r="1055" spans="24:24">
      <c r="X1055" t="s">
        <v>1467</v>
      </c>
    </row>
    <row r="1056" spans="24:24">
      <c r="X1056" t="s">
        <v>1468</v>
      </c>
    </row>
    <row r="1057" spans="24:24">
      <c r="X1057" t="s">
        <v>122</v>
      </c>
    </row>
    <row r="1058" spans="24:24">
      <c r="X1058" t="s">
        <v>1469</v>
      </c>
    </row>
    <row r="1059" spans="24:24">
      <c r="X1059" t="s">
        <v>1470</v>
      </c>
    </row>
    <row r="1060" spans="24:24">
      <c r="X1060" t="s">
        <v>1471</v>
      </c>
    </row>
    <row r="1061" spans="24:24">
      <c r="X1061" t="s">
        <v>1472</v>
      </c>
    </row>
    <row r="1062" spans="24:24">
      <c r="X1062" t="s">
        <v>1473</v>
      </c>
    </row>
    <row r="1063" spans="24:24">
      <c r="X1063" t="s">
        <v>1474</v>
      </c>
    </row>
    <row r="1064" spans="24:24">
      <c r="X1064" t="s">
        <v>1475</v>
      </c>
    </row>
    <row r="1065" spans="24:24">
      <c r="X1065" t="s">
        <v>1476</v>
      </c>
    </row>
    <row r="1066" spans="24:24">
      <c r="X1066" t="s">
        <v>1477</v>
      </c>
    </row>
    <row r="1067" spans="24:24">
      <c r="X1067" t="s">
        <v>1478</v>
      </c>
    </row>
    <row r="1068" spans="24:24">
      <c r="X1068" t="s">
        <v>1479</v>
      </c>
    </row>
    <row r="1069" spans="24:24">
      <c r="X1069" t="s">
        <v>1480</v>
      </c>
    </row>
    <row r="1070" spans="24:24">
      <c r="X1070" t="s">
        <v>1481</v>
      </c>
    </row>
    <row r="1071" spans="24:24">
      <c r="X1071" t="s">
        <v>1482</v>
      </c>
    </row>
    <row r="1072" spans="24:24">
      <c r="X1072" t="s">
        <v>1483</v>
      </c>
    </row>
    <row r="1073" spans="24:24">
      <c r="X1073" t="s">
        <v>1484</v>
      </c>
    </row>
    <row r="1074" spans="24:24">
      <c r="X1074" t="s">
        <v>1485</v>
      </c>
    </row>
    <row r="1075" spans="24:24">
      <c r="X1075" t="s">
        <v>1486</v>
      </c>
    </row>
    <row r="1076" spans="24:24">
      <c r="X1076" t="s">
        <v>1487</v>
      </c>
    </row>
    <row r="1077" spans="24:24">
      <c r="X1077" t="s">
        <v>1488</v>
      </c>
    </row>
    <row r="1078" spans="24:24">
      <c r="X1078" t="s">
        <v>1489</v>
      </c>
    </row>
    <row r="1079" spans="24:24">
      <c r="X1079" t="s">
        <v>1490</v>
      </c>
    </row>
    <row r="1080" spans="24:24">
      <c r="X1080" t="s">
        <v>1491</v>
      </c>
    </row>
    <row r="1081" spans="24:24">
      <c r="X1081" t="s">
        <v>1492</v>
      </c>
    </row>
    <row r="1082" spans="24:24">
      <c r="X1082" t="s">
        <v>1493</v>
      </c>
    </row>
    <row r="1083" spans="24:24">
      <c r="X1083" t="s">
        <v>1494</v>
      </c>
    </row>
    <row r="1084" spans="24:24">
      <c r="X1084" t="s">
        <v>1495</v>
      </c>
    </row>
    <row r="1085" spans="24:24">
      <c r="X1085" t="s">
        <v>1496</v>
      </c>
    </row>
    <row r="1086" spans="24:24">
      <c r="X1086" t="s">
        <v>359</v>
      </c>
    </row>
    <row r="1087" spans="24:24">
      <c r="X1087" t="s">
        <v>1497</v>
      </c>
    </row>
    <row r="1088" spans="24:24">
      <c r="X1088" t="s">
        <v>1498</v>
      </c>
    </row>
    <row r="1089" spans="24:24">
      <c r="X1089" t="s">
        <v>1499</v>
      </c>
    </row>
    <row r="1090" spans="24:24">
      <c r="X1090" t="s">
        <v>1500</v>
      </c>
    </row>
    <row r="1091" spans="24:24">
      <c r="X1091" t="s">
        <v>1501</v>
      </c>
    </row>
    <row r="1092" spans="24:24">
      <c r="X1092" t="s">
        <v>1502</v>
      </c>
    </row>
    <row r="1093" spans="24:24">
      <c r="X1093" t="s">
        <v>1503</v>
      </c>
    </row>
    <row r="1094" spans="24:24">
      <c r="X1094" t="s">
        <v>1504</v>
      </c>
    </row>
    <row r="1095" spans="24:24">
      <c r="X1095" t="s">
        <v>1505</v>
      </c>
    </row>
    <row r="1096" spans="24:24">
      <c r="X1096" t="s">
        <v>1506</v>
      </c>
    </row>
    <row r="1097" spans="24:24">
      <c r="X1097" t="s">
        <v>422</v>
      </c>
    </row>
    <row r="1098" spans="24:24">
      <c r="X1098" t="s">
        <v>1507</v>
      </c>
    </row>
    <row r="1099" spans="24:24">
      <c r="X1099" t="s">
        <v>1508</v>
      </c>
    </row>
    <row r="1100" spans="24:24">
      <c r="X1100" t="s">
        <v>1509</v>
      </c>
    </row>
    <row r="1101" spans="24:24">
      <c r="X1101" t="s">
        <v>1510</v>
      </c>
    </row>
    <row r="1102" spans="24:24">
      <c r="X1102" t="s">
        <v>1511</v>
      </c>
    </row>
    <row r="1103" spans="24:24">
      <c r="X1103" t="s">
        <v>1512</v>
      </c>
    </row>
    <row r="1104" spans="24:24">
      <c r="X1104" t="s">
        <v>1513</v>
      </c>
    </row>
    <row r="1105" spans="24:24">
      <c r="X1105" t="s">
        <v>1514</v>
      </c>
    </row>
    <row r="1106" spans="24:24">
      <c r="X1106" t="s">
        <v>1515</v>
      </c>
    </row>
    <row r="1107" spans="24:24">
      <c r="X1107" t="s">
        <v>1516</v>
      </c>
    </row>
    <row r="1108" spans="24:24">
      <c r="X1108" t="s">
        <v>1517</v>
      </c>
    </row>
    <row r="1109" spans="24:24">
      <c r="X1109" t="s">
        <v>1518</v>
      </c>
    </row>
    <row r="1110" spans="24:24">
      <c r="X1110" t="s">
        <v>1519</v>
      </c>
    </row>
    <row r="1111" spans="24:24">
      <c r="X1111" t="s">
        <v>1520</v>
      </c>
    </row>
    <row r="1112" spans="24:24">
      <c r="X1112" t="s">
        <v>1521</v>
      </c>
    </row>
    <row r="1113" spans="24:24">
      <c r="X1113" t="s">
        <v>1522</v>
      </c>
    </row>
    <row r="1114" spans="24:24">
      <c r="X1114" t="s">
        <v>1523</v>
      </c>
    </row>
    <row r="1115" spans="24:24">
      <c r="X1115" t="s">
        <v>1524</v>
      </c>
    </row>
    <row r="1116" spans="24:24">
      <c r="X1116" t="s">
        <v>1525</v>
      </c>
    </row>
    <row r="1117" spans="24:24">
      <c r="X1117" t="s">
        <v>1526</v>
      </c>
    </row>
    <row r="1118" spans="24:24">
      <c r="X1118" t="s">
        <v>1527</v>
      </c>
    </row>
    <row r="1119" spans="24:24">
      <c r="X1119" t="s">
        <v>1528</v>
      </c>
    </row>
    <row r="1120" spans="24:24">
      <c r="X1120" t="s">
        <v>1529</v>
      </c>
    </row>
    <row r="1121" spans="24:24">
      <c r="X1121" t="s">
        <v>1530</v>
      </c>
    </row>
    <row r="1122" spans="24:24">
      <c r="X1122" t="s">
        <v>1531</v>
      </c>
    </row>
    <row r="1123" spans="24:24">
      <c r="X1123" t="s">
        <v>1532</v>
      </c>
    </row>
    <row r="1124" spans="24:24">
      <c r="X1124" t="s">
        <v>1533</v>
      </c>
    </row>
    <row r="1125" spans="24:24">
      <c r="X1125" t="s">
        <v>1534</v>
      </c>
    </row>
    <row r="1126" spans="24:24">
      <c r="X1126" t="s">
        <v>1535</v>
      </c>
    </row>
    <row r="1127" spans="24:24">
      <c r="X1127" t="s">
        <v>1536</v>
      </c>
    </row>
    <row r="1128" spans="24:24">
      <c r="X1128" t="s">
        <v>1537</v>
      </c>
    </row>
    <row r="1129" spans="24:24">
      <c r="X1129" t="s">
        <v>1538</v>
      </c>
    </row>
    <row r="1130" spans="24:24">
      <c r="X1130" t="s">
        <v>1539</v>
      </c>
    </row>
    <row r="1131" spans="24:24">
      <c r="X1131" t="s">
        <v>1540</v>
      </c>
    </row>
    <row r="1132" spans="24:24">
      <c r="X1132" t="s">
        <v>1541</v>
      </c>
    </row>
    <row r="1133" spans="24:24">
      <c r="X1133" t="s">
        <v>1542</v>
      </c>
    </row>
    <row r="1134" spans="24:24">
      <c r="X1134" t="s">
        <v>1543</v>
      </c>
    </row>
    <row r="1135" spans="24:24">
      <c r="X1135" t="s">
        <v>1544</v>
      </c>
    </row>
    <row r="1136" spans="24:24">
      <c r="X1136" t="s">
        <v>1545</v>
      </c>
    </row>
    <row r="1137" spans="24:24">
      <c r="X1137" t="s">
        <v>1546</v>
      </c>
    </row>
    <row r="1138" spans="24:24">
      <c r="X1138" t="s">
        <v>1547</v>
      </c>
    </row>
    <row r="1139" spans="24:24">
      <c r="X1139" t="s">
        <v>1548</v>
      </c>
    </row>
    <row r="1140" spans="24:24">
      <c r="X1140" t="s">
        <v>1549</v>
      </c>
    </row>
    <row r="1141" spans="24:24">
      <c r="X1141" t="s">
        <v>1550</v>
      </c>
    </row>
    <row r="1142" spans="24:24">
      <c r="X1142" t="s">
        <v>1551</v>
      </c>
    </row>
    <row r="1143" spans="24:24">
      <c r="X1143" t="s">
        <v>1552</v>
      </c>
    </row>
    <row r="1144" spans="24:24">
      <c r="X1144" t="s">
        <v>1553</v>
      </c>
    </row>
    <row r="1145" spans="24:24">
      <c r="X1145" t="s">
        <v>1554</v>
      </c>
    </row>
    <row r="1146" spans="24:24">
      <c r="X1146" t="s">
        <v>1555</v>
      </c>
    </row>
    <row r="1147" spans="24:24">
      <c r="X1147" t="s">
        <v>1556</v>
      </c>
    </row>
    <row r="1148" spans="24:24">
      <c r="X1148" t="s">
        <v>1557</v>
      </c>
    </row>
    <row r="1149" spans="24:24">
      <c r="X1149" t="s">
        <v>1558</v>
      </c>
    </row>
    <row r="1150" spans="24:24">
      <c r="X1150" t="s">
        <v>1559</v>
      </c>
    </row>
    <row r="1151" spans="24:24">
      <c r="X1151" t="s">
        <v>1560</v>
      </c>
    </row>
    <row r="1152" spans="24:24">
      <c r="X1152" t="s">
        <v>1561</v>
      </c>
    </row>
    <row r="1153" spans="24:24">
      <c r="X1153" t="s">
        <v>1562</v>
      </c>
    </row>
    <row r="1154" spans="24:24">
      <c r="X1154" t="s">
        <v>1563</v>
      </c>
    </row>
    <row r="1155" spans="24:24">
      <c r="X1155" t="s">
        <v>1564</v>
      </c>
    </row>
    <row r="1156" spans="24:24">
      <c r="X1156" t="s">
        <v>1565</v>
      </c>
    </row>
    <row r="1157" spans="24:24">
      <c r="X1157" t="s">
        <v>1566</v>
      </c>
    </row>
    <row r="1158" spans="24:24">
      <c r="X1158" t="s">
        <v>1567</v>
      </c>
    </row>
    <row r="1159" spans="24:24">
      <c r="X1159" t="s">
        <v>353</v>
      </c>
    </row>
    <row r="1160" spans="24:24">
      <c r="X1160" t="s">
        <v>1568</v>
      </c>
    </row>
    <row r="1161" spans="24:24">
      <c r="X1161" t="s">
        <v>1569</v>
      </c>
    </row>
    <row r="1162" spans="24:24">
      <c r="X1162" t="s">
        <v>1570</v>
      </c>
    </row>
    <row r="1163" spans="24:24">
      <c r="X1163" t="s">
        <v>1571</v>
      </c>
    </row>
    <row r="1164" spans="24:24">
      <c r="X1164" t="s">
        <v>1572</v>
      </c>
    </row>
    <row r="1165" spans="24:24">
      <c r="X1165" t="s">
        <v>1573</v>
      </c>
    </row>
    <row r="1166" spans="24:24">
      <c r="X1166" t="s">
        <v>1574</v>
      </c>
    </row>
    <row r="1167" spans="24:24">
      <c r="X1167" t="s">
        <v>1575</v>
      </c>
    </row>
    <row r="1168" spans="24:24">
      <c r="X1168" t="s">
        <v>1576</v>
      </c>
    </row>
    <row r="1169" spans="24:24">
      <c r="X1169" t="s">
        <v>1577</v>
      </c>
    </row>
    <row r="1170" spans="24:24">
      <c r="X1170" t="s">
        <v>247</v>
      </c>
    </row>
    <row r="1171" spans="24:24">
      <c r="X1171" t="s">
        <v>1578</v>
      </c>
    </row>
    <row r="1172" spans="24:24">
      <c r="X1172" t="s">
        <v>1579</v>
      </c>
    </row>
    <row r="1173" spans="24:24">
      <c r="X1173" t="s">
        <v>1580</v>
      </c>
    </row>
    <row r="1174" spans="24:24">
      <c r="X1174" t="s">
        <v>1581</v>
      </c>
    </row>
    <row r="1175" spans="24:24">
      <c r="X1175" t="s">
        <v>1582</v>
      </c>
    </row>
    <row r="1176" spans="24:24">
      <c r="X1176" t="s">
        <v>1583</v>
      </c>
    </row>
    <row r="1177" spans="24:24">
      <c r="X1177" t="s">
        <v>1081</v>
      </c>
    </row>
    <row r="1178" spans="24:24">
      <c r="X1178" t="s">
        <v>1584</v>
      </c>
    </row>
    <row r="1179" spans="24:24">
      <c r="X1179" t="s">
        <v>1585</v>
      </c>
    </row>
    <row r="1180" spans="24:24">
      <c r="X1180" t="s">
        <v>1586</v>
      </c>
    </row>
    <row r="1181" spans="24:24">
      <c r="X1181" t="s">
        <v>1587</v>
      </c>
    </row>
    <row r="1182" spans="24:24">
      <c r="X1182" t="s">
        <v>1588</v>
      </c>
    </row>
    <row r="1183" spans="24:24">
      <c r="X1183" t="s">
        <v>1589</v>
      </c>
    </row>
    <row r="1184" spans="24:24">
      <c r="X1184" t="s">
        <v>1590</v>
      </c>
    </row>
    <row r="1185" spans="24:24">
      <c r="X1185" t="s">
        <v>1591</v>
      </c>
    </row>
    <row r="1186" spans="24:24">
      <c r="X1186" t="s">
        <v>1592</v>
      </c>
    </row>
    <row r="1187" spans="24:24">
      <c r="X1187" t="s">
        <v>1593</v>
      </c>
    </row>
    <row r="1188" spans="24:24">
      <c r="X1188" t="s">
        <v>1594</v>
      </c>
    </row>
    <row r="1189" spans="24:24">
      <c r="X1189" t="s">
        <v>1595</v>
      </c>
    </row>
    <row r="1190" spans="24:24">
      <c r="X1190" t="s">
        <v>1596</v>
      </c>
    </row>
    <row r="1191" spans="24:24">
      <c r="X1191" t="s">
        <v>1597</v>
      </c>
    </row>
    <row r="1192" spans="24:24">
      <c r="X1192" t="s">
        <v>1598</v>
      </c>
    </row>
    <row r="1193" spans="24:24">
      <c r="X1193" t="s">
        <v>1599</v>
      </c>
    </row>
    <row r="1194" spans="24:24">
      <c r="X1194" t="s">
        <v>1600</v>
      </c>
    </row>
    <row r="1195" spans="24:24">
      <c r="X1195" t="s">
        <v>1601</v>
      </c>
    </row>
    <row r="1196" spans="24:24">
      <c r="X1196" t="s">
        <v>1602</v>
      </c>
    </row>
    <row r="1197" spans="24:24">
      <c r="X1197" t="s">
        <v>1603</v>
      </c>
    </row>
    <row r="1198" spans="24:24">
      <c r="X1198" t="s">
        <v>1604</v>
      </c>
    </row>
    <row r="1199" spans="24:24">
      <c r="X1199" t="s">
        <v>1605</v>
      </c>
    </row>
    <row r="1200" spans="24:24">
      <c r="X1200" t="s">
        <v>1606</v>
      </c>
    </row>
    <row r="1201" spans="24:24">
      <c r="X1201" t="s">
        <v>1607</v>
      </c>
    </row>
    <row r="1202" spans="24:24">
      <c r="X1202" t="s">
        <v>1608</v>
      </c>
    </row>
    <row r="1203" spans="24:24">
      <c r="X1203" t="s">
        <v>1609</v>
      </c>
    </row>
    <row r="1204" spans="24:24">
      <c r="X1204" t="s">
        <v>1610</v>
      </c>
    </row>
    <row r="1205" spans="24:24">
      <c r="X1205" t="s">
        <v>1611</v>
      </c>
    </row>
    <row r="1206" spans="24:24">
      <c r="X1206" t="s">
        <v>1612</v>
      </c>
    </row>
    <row r="1207" spans="24:24">
      <c r="X1207" t="s">
        <v>1613</v>
      </c>
    </row>
    <row r="1208" spans="24:24">
      <c r="X1208" t="s">
        <v>1614</v>
      </c>
    </row>
    <row r="1209" spans="24:24">
      <c r="X1209" t="s">
        <v>1615</v>
      </c>
    </row>
    <row r="1210" spans="24:24">
      <c r="X1210" t="s">
        <v>1616</v>
      </c>
    </row>
    <row r="1211" spans="24:24">
      <c r="X1211" t="s">
        <v>1617</v>
      </c>
    </row>
    <row r="1212" spans="24:24">
      <c r="X1212" t="s">
        <v>1618</v>
      </c>
    </row>
    <row r="1213" spans="24:24">
      <c r="X1213" t="s">
        <v>1619</v>
      </c>
    </row>
    <row r="1214" spans="24:24">
      <c r="X1214" t="s">
        <v>1620</v>
      </c>
    </row>
    <row r="1215" spans="24:24">
      <c r="X1215" t="s">
        <v>1621</v>
      </c>
    </row>
    <row r="1216" spans="24:24">
      <c r="X1216" t="s">
        <v>1622</v>
      </c>
    </row>
    <row r="1217" spans="24:24">
      <c r="X1217" t="s">
        <v>1623</v>
      </c>
    </row>
    <row r="1218" spans="24:24">
      <c r="X1218" t="s">
        <v>1624</v>
      </c>
    </row>
    <row r="1219" spans="24:24">
      <c r="X1219" t="s">
        <v>1625</v>
      </c>
    </row>
    <row r="1220" spans="24:24">
      <c r="X1220" t="s">
        <v>1626</v>
      </c>
    </row>
    <row r="1221" spans="24:24">
      <c r="X1221" t="s">
        <v>1627</v>
      </c>
    </row>
    <row r="1222" spans="24:24">
      <c r="X1222" t="s">
        <v>1628</v>
      </c>
    </row>
    <row r="1223" spans="24:24">
      <c r="X1223" t="s">
        <v>1629</v>
      </c>
    </row>
    <row r="1224" spans="24:24">
      <c r="X1224" t="s">
        <v>1630</v>
      </c>
    </row>
    <row r="1225" spans="24:24">
      <c r="X1225" t="s">
        <v>1631</v>
      </c>
    </row>
    <row r="1226" spans="24:24">
      <c r="X1226" t="s">
        <v>1632</v>
      </c>
    </row>
    <row r="1227" spans="24:24">
      <c r="X1227" t="s">
        <v>352</v>
      </c>
    </row>
    <row r="1228" spans="24:24">
      <c r="X1228" t="s">
        <v>269</v>
      </c>
    </row>
    <row r="1229" spans="24:24">
      <c r="X1229" t="s">
        <v>1633</v>
      </c>
    </row>
    <row r="1230" spans="24:24">
      <c r="X1230" t="s">
        <v>1634</v>
      </c>
    </row>
    <row r="1231" spans="24:24">
      <c r="X1231" t="s">
        <v>1635</v>
      </c>
    </row>
    <row r="1232" spans="24:24">
      <c r="X1232" t="s">
        <v>1636</v>
      </c>
    </row>
    <row r="1233" spans="24:24">
      <c r="X1233" t="s">
        <v>1637</v>
      </c>
    </row>
    <row r="1234" spans="24:24">
      <c r="X1234" t="s">
        <v>1638</v>
      </c>
    </row>
    <row r="1235" spans="24:24">
      <c r="X1235" t="s">
        <v>1639</v>
      </c>
    </row>
    <row r="1236" spans="24:24">
      <c r="X1236" t="s">
        <v>1640</v>
      </c>
    </row>
    <row r="1237" spans="24:24">
      <c r="X1237" t="s">
        <v>1641</v>
      </c>
    </row>
    <row r="1238" spans="24:24">
      <c r="X1238" t="s">
        <v>1642</v>
      </c>
    </row>
    <row r="1239" spans="24:24">
      <c r="X1239" t="s">
        <v>1643</v>
      </c>
    </row>
    <row r="1240" spans="24:24">
      <c r="X1240" t="s">
        <v>1644</v>
      </c>
    </row>
    <row r="1241" spans="24:24">
      <c r="X1241" t="s">
        <v>1645</v>
      </c>
    </row>
    <row r="1242" spans="24:24">
      <c r="X1242" t="s">
        <v>1646</v>
      </c>
    </row>
    <row r="1243" spans="24:24">
      <c r="X1243" t="s">
        <v>1647</v>
      </c>
    </row>
    <row r="1244" spans="24:24">
      <c r="X1244" t="s">
        <v>1648</v>
      </c>
    </row>
    <row r="1245" spans="24:24">
      <c r="X1245" t="s">
        <v>1450</v>
      </c>
    </row>
    <row r="1246" spans="24:24">
      <c r="X1246" t="s">
        <v>1649</v>
      </c>
    </row>
    <row r="1247" spans="24:24">
      <c r="X1247" t="s">
        <v>1650</v>
      </c>
    </row>
    <row r="1248" spans="24:24">
      <c r="X1248" t="s">
        <v>1651</v>
      </c>
    </row>
    <row r="1249" spans="24:24">
      <c r="X1249" t="s">
        <v>1652</v>
      </c>
    </row>
    <row r="1250" spans="24:24">
      <c r="X1250" t="s">
        <v>1653</v>
      </c>
    </row>
    <row r="1251" spans="24:24">
      <c r="X1251" t="s">
        <v>1654</v>
      </c>
    </row>
    <row r="1252" spans="24:24">
      <c r="X1252" t="s">
        <v>1655</v>
      </c>
    </row>
    <row r="1253" spans="24:24">
      <c r="X1253" t="s">
        <v>1656</v>
      </c>
    </row>
    <row r="1254" spans="24:24">
      <c r="X1254" t="s">
        <v>1657</v>
      </c>
    </row>
    <row r="1255" spans="24:24">
      <c r="X1255" t="s">
        <v>1658</v>
      </c>
    </row>
    <row r="1256" spans="24:24">
      <c r="X1256" t="s">
        <v>1659</v>
      </c>
    </row>
    <row r="1257" spans="24:24">
      <c r="X1257" t="s">
        <v>1660</v>
      </c>
    </row>
    <row r="1258" spans="24:24">
      <c r="X1258" t="s">
        <v>1661</v>
      </c>
    </row>
    <row r="1259" spans="24:24">
      <c r="X1259" t="s">
        <v>1662</v>
      </c>
    </row>
    <row r="1260" spans="24:24">
      <c r="X1260" t="s">
        <v>1663</v>
      </c>
    </row>
    <row r="1261" spans="24:24">
      <c r="X1261" t="s">
        <v>1664</v>
      </c>
    </row>
    <row r="1262" spans="24:24">
      <c r="X1262" t="s">
        <v>1665</v>
      </c>
    </row>
    <row r="1263" spans="24:24">
      <c r="X1263" t="s">
        <v>1666</v>
      </c>
    </row>
    <row r="1264" spans="24:24">
      <c r="X1264" t="s">
        <v>1667</v>
      </c>
    </row>
    <row r="1265" spans="24:24">
      <c r="X1265" t="s">
        <v>1668</v>
      </c>
    </row>
    <row r="1266" spans="24:24">
      <c r="X1266" t="s">
        <v>1669</v>
      </c>
    </row>
    <row r="1267" spans="24:24">
      <c r="X1267" t="s">
        <v>1670</v>
      </c>
    </row>
    <row r="1268" spans="24:24">
      <c r="X1268" t="s">
        <v>1671</v>
      </c>
    </row>
    <row r="1269" spans="24:24">
      <c r="X1269" t="s">
        <v>1672</v>
      </c>
    </row>
    <row r="1270" spans="24:24">
      <c r="X1270" t="s">
        <v>781</v>
      </c>
    </row>
    <row r="1271" spans="24:24">
      <c r="X1271" t="s">
        <v>1673</v>
      </c>
    </row>
    <row r="1272" spans="24:24">
      <c r="X1272" t="s">
        <v>1674</v>
      </c>
    </row>
    <row r="1273" spans="24:24">
      <c r="X1273" t="s">
        <v>1675</v>
      </c>
    </row>
    <row r="1274" spans="24:24">
      <c r="X1274" t="s">
        <v>1676</v>
      </c>
    </row>
    <row r="1275" spans="24:24">
      <c r="X1275" t="s">
        <v>1677</v>
      </c>
    </row>
    <row r="1276" spans="24:24">
      <c r="X1276" t="s">
        <v>1678</v>
      </c>
    </row>
    <row r="1277" spans="24:24">
      <c r="X1277" t="s">
        <v>1679</v>
      </c>
    </row>
    <row r="1278" spans="24:24">
      <c r="X1278" t="s">
        <v>1680</v>
      </c>
    </row>
    <row r="1279" spans="24:24">
      <c r="X1279" t="s">
        <v>1681</v>
      </c>
    </row>
    <row r="1280" spans="24:24">
      <c r="X1280" t="s">
        <v>1682</v>
      </c>
    </row>
    <row r="1281" spans="24:24">
      <c r="X1281" t="s">
        <v>1683</v>
      </c>
    </row>
    <row r="1282" spans="24:24">
      <c r="X1282" t="s">
        <v>1684</v>
      </c>
    </row>
    <row r="1283" spans="24:24">
      <c r="X1283" t="s">
        <v>1685</v>
      </c>
    </row>
    <row r="1284" spans="24:24">
      <c r="X1284" t="s">
        <v>1686</v>
      </c>
    </row>
    <row r="1285" spans="24:24">
      <c r="X1285" t="s">
        <v>1687</v>
      </c>
    </row>
    <row r="1286" spans="24:24">
      <c r="X1286" t="s">
        <v>1688</v>
      </c>
    </row>
    <row r="1287" spans="24:24">
      <c r="X1287" t="s">
        <v>1689</v>
      </c>
    </row>
    <row r="1288" spans="24:24">
      <c r="X1288" t="s">
        <v>1690</v>
      </c>
    </row>
    <row r="1289" spans="24:24">
      <c r="X1289" t="s">
        <v>1691</v>
      </c>
    </row>
    <row r="1290" spans="24:24">
      <c r="X1290" t="s">
        <v>1692</v>
      </c>
    </row>
    <row r="1291" spans="24:24">
      <c r="X1291" t="s">
        <v>1693</v>
      </c>
    </row>
    <row r="1292" spans="24:24">
      <c r="X1292" t="s">
        <v>1694</v>
      </c>
    </row>
    <row r="1293" spans="24:24">
      <c r="X1293" t="s">
        <v>1695</v>
      </c>
    </row>
    <row r="1294" spans="24:24">
      <c r="X1294" t="s">
        <v>1696</v>
      </c>
    </row>
    <row r="1295" spans="24:24">
      <c r="X1295" t="s">
        <v>1697</v>
      </c>
    </row>
    <row r="1296" spans="24:24">
      <c r="X1296" t="s">
        <v>1698</v>
      </c>
    </row>
    <row r="1297" spans="24:24">
      <c r="X1297" t="s">
        <v>1699</v>
      </c>
    </row>
    <row r="1298" spans="24:24">
      <c r="X1298" t="s">
        <v>1700</v>
      </c>
    </row>
    <row r="1299" spans="24:24">
      <c r="X1299" t="s">
        <v>1701</v>
      </c>
    </row>
    <row r="1300" spans="24:24">
      <c r="X1300" t="s">
        <v>1702</v>
      </c>
    </row>
    <row r="1301" spans="24:24">
      <c r="X1301" t="s">
        <v>1703</v>
      </c>
    </row>
    <row r="1302" spans="24:24">
      <c r="X1302" t="s">
        <v>1704</v>
      </c>
    </row>
    <row r="1303" spans="24:24">
      <c r="X1303" t="s">
        <v>1705</v>
      </c>
    </row>
    <row r="1304" spans="24:24">
      <c r="X1304" t="s">
        <v>1706</v>
      </c>
    </row>
    <row r="1305" spans="24:24">
      <c r="X1305" t="s">
        <v>1707</v>
      </c>
    </row>
    <row r="1306" spans="24:24">
      <c r="X1306" t="s">
        <v>1708</v>
      </c>
    </row>
    <row r="1307" spans="24:24">
      <c r="X1307" t="s">
        <v>1709</v>
      </c>
    </row>
    <row r="1308" spans="24:24">
      <c r="X1308" t="s">
        <v>1710</v>
      </c>
    </row>
    <row r="1309" spans="24:24">
      <c r="X1309" t="s">
        <v>1711</v>
      </c>
    </row>
    <row r="1310" spans="24:24">
      <c r="X1310" t="s">
        <v>1712</v>
      </c>
    </row>
    <row r="1311" spans="24:24">
      <c r="X1311" t="s">
        <v>330</v>
      </c>
    </row>
    <row r="1312" spans="24:24">
      <c r="X1312" t="s">
        <v>1713</v>
      </c>
    </row>
    <row r="1313" spans="24:24">
      <c r="X1313" t="s">
        <v>1714</v>
      </c>
    </row>
    <row r="1314" spans="24:24">
      <c r="X1314" t="s">
        <v>160</v>
      </c>
    </row>
    <row r="1315" spans="24:24">
      <c r="X1315" t="s">
        <v>1715</v>
      </c>
    </row>
    <row r="1316" spans="24:24">
      <c r="X1316" t="s">
        <v>1716</v>
      </c>
    </row>
    <row r="1317" spans="24:24">
      <c r="X1317" t="s">
        <v>1717</v>
      </c>
    </row>
    <row r="1318" spans="24:24">
      <c r="X1318" t="s">
        <v>1718</v>
      </c>
    </row>
    <row r="1319" spans="24:24">
      <c r="X1319" t="s">
        <v>1719</v>
      </c>
    </row>
    <row r="1320" spans="24:24">
      <c r="X1320" t="s">
        <v>1720</v>
      </c>
    </row>
    <row r="1321" spans="24:24">
      <c r="X1321" t="s">
        <v>1721</v>
      </c>
    </row>
    <row r="1322" spans="24:24">
      <c r="X1322" t="s">
        <v>1722</v>
      </c>
    </row>
    <row r="1323" spans="24:24">
      <c r="X1323" t="s">
        <v>1723</v>
      </c>
    </row>
    <row r="1324" spans="24:24">
      <c r="X1324" t="s">
        <v>1724</v>
      </c>
    </row>
    <row r="1325" spans="24:24">
      <c r="X1325" t="s">
        <v>1725</v>
      </c>
    </row>
    <row r="1326" spans="24:24">
      <c r="X1326" t="s">
        <v>1726</v>
      </c>
    </row>
    <row r="1327" spans="24:24">
      <c r="X1327" t="s">
        <v>1727</v>
      </c>
    </row>
    <row r="1328" spans="24:24">
      <c r="X1328" t="s">
        <v>1728</v>
      </c>
    </row>
    <row r="1329" spans="24:24">
      <c r="X1329" t="s">
        <v>1729</v>
      </c>
    </row>
    <row r="1330" spans="24:24">
      <c r="X1330" t="s">
        <v>1730</v>
      </c>
    </row>
    <row r="1331" spans="24:24">
      <c r="X1331" t="s">
        <v>1731</v>
      </c>
    </row>
    <row r="1332" spans="24:24">
      <c r="X1332" t="s">
        <v>1732</v>
      </c>
    </row>
    <row r="1333" spans="24:24">
      <c r="X1333" t="s">
        <v>1733</v>
      </c>
    </row>
    <row r="1334" spans="24:24">
      <c r="X1334" t="s">
        <v>1734</v>
      </c>
    </row>
    <row r="1335" spans="24:24">
      <c r="X1335" t="s">
        <v>1735</v>
      </c>
    </row>
    <row r="1336" spans="24:24">
      <c r="X1336" t="s">
        <v>349</v>
      </c>
    </row>
    <row r="1337" spans="24:24">
      <c r="X1337" t="s">
        <v>1736</v>
      </c>
    </row>
    <row r="1338" spans="24:24">
      <c r="X1338" t="s">
        <v>1737</v>
      </c>
    </row>
    <row r="1339" spans="24:24">
      <c r="X1339" t="s">
        <v>1738</v>
      </c>
    </row>
    <row r="1340" spans="24:24">
      <c r="X1340" t="s">
        <v>1739</v>
      </c>
    </row>
    <row r="1341" spans="24:24">
      <c r="X1341" t="s">
        <v>1740</v>
      </c>
    </row>
    <row r="1342" spans="24:24">
      <c r="X1342" t="s">
        <v>1741</v>
      </c>
    </row>
    <row r="1343" spans="24:24">
      <c r="X1343" t="s">
        <v>1742</v>
      </c>
    </row>
    <row r="1344" spans="24:24">
      <c r="X1344" t="s">
        <v>1743</v>
      </c>
    </row>
    <row r="1345" spans="24:24">
      <c r="X1345" t="s">
        <v>1744</v>
      </c>
    </row>
    <row r="1346" spans="24:24">
      <c r="X1346" t="s">
        <v>1745</v>
      </c>
    </row>
    <row r="1347" spans="24:24">
      <c r="X1347" t="s">
        <v>1746</v>
      </c>
    </row>
    <row r="1348" spans="24:24">
      <c r="X1348" t="s">
        <v>1747</v>
      </c>
    </row>
    <row r="1349" spans="24:24">
      <c r="X1349" t="s">
        <v>1748</v>
      </c>
    </row>
    <row r="1350" spans="24:24">
      <c r="X1350" t="s">
        <v>1749</v>
      </c>
    </row>
    <row r="1351" spans="24:24">
      <c r="X1351" t="s">
        <v>207</v>
      </c>
    </row>
    <row r="1352" spans="24:24">
      <c r="X1352" t="s">
        <v>1750</v>
      </c>
    </row>
    <row r="1353" spans="24:24">
      <c r="X1353" t="s">
        <v>1751</v>
      </c>
    </row>
    <row r="1354" spans="24:24">
      <c r="X1354" t="s">
        <v>1752</v>
      </c>
    </row>
    <row r="1355" spans="24:24">
      <c r="X1355" t="s">
        <v>1753</v>
      </c>
    </row>
    <row r="1356" spans="24:24">
      <c r="X1356" t="s">
        <v>1754</v>
      </c>
    </row>
    <row r="1357" spans="24:24">
      <c r="X1357" t="s">
        <v>1755</v>
      </c>
    </row>
    <row r="1358" spans="24:24">
      <c r="X1358" t="s">
        <v>1756</v>
      </c>
    </row>
    <row r="1359" spans="24:24">
      <c r="X1359" t="s">
        <v>1757</v>
      </c>
    </row>
    <row r="1360" spans="24:24">
      <c r="X1360" t="s">
        <v>1758</v>
      </c>
    </row>
    <row r="1361" spans="24:24">
      <c r="X1361" t="s">
        <v>1759</v>
      </c>
    </row>
    <row r="1362" spans="24:24">
      <c r="X1362" t="s">
        <v>1760</v>
      </c>
    </row>
    <row r="1363" spans="24:24">
      <c r="X1363" t="s">
        <v>1761</v>
      </c>
    </row>
    <row r="1364" spans="24:24">
      <c r="X1364" t="s">
        <v>119</v>
      </c>
    </row>
    <row r="1365" spans="24:24">
      <c r="X1365" t="s">
        <v>1762</v>
      </c>
    </row>
    <row r="1366" spans="24:24">
      <c r="X1366" t="s">
        <v>1763</v>
      </c>
    </row>
    <row r="1367" spans="24:24">
      <c r="X1367" t="s">
        <v>1764</v>
      </c>
    </row>
    <row r="1368" spans="24:24">
      <c r="X1368" t="s">
        <v>1765</v>
      </c>
    </row>
    <row r="1369" spans="24:24">
      <c r="X1369" t="s">
        <v>1766</v>
      </c>
    </row>
    <row r="1370" spans="24:24">
      <c r="X1370" t="s">
        <v>1767</v>
      </c>
    </row>
    <row r="1371" spans="24:24">
      <c r="X1371" t="s">
        <v>1768</v>
      </c>
    </row>
    <row r="1372" spans="24:24">
      <c r="X1372" t="s">
        <v>1769</v>
      </c>
    </row>
    <row r="1373" spans="24:24">
      <c r="X1373" t="s">
        <v>1770</v>
      </c>
    </row>
    <row r="1374" spans="24:24">
      <c r="X1374" t="s">
        <v>1771</v>
      </c>
    </row>
    <row r="1375" spans="24:24">
      <c r="X1375" t="s">
        <v>1772</v>
      </c>
    </row>
    <row r="1376" spans="24:24">
      <c r="X1376" t="s">
        <v>1773</v>
      </c>
    </row>
    <row r="1377" spans="24:24">
      <c r="X1377" t="s">
        <v>341</v>
      </c>
    </row>
    <row r="1378" spans="24:24">
      <c r="X1378" t="s">
        <v>1774</v>
      </c>
    </row>
    <row r="1379" spans="24:24">
      <c r="X1379" t="s">
        <v>1775</v>
      </c>
    </row>
    <row r="1380" spans="24:24">
      <c r="X1380" t="s">
        <v>1776</v>
      </c>
    </row>
    <row r="1381" spans="24:24">
      <c r="X1381" t="s">
        <v>1777</v>
      </c>
    </row>
    <row r="1382" spans="24:24">
      <c r="X1382" t="s">
        <v>1778</v>
      </c>
    </row>
    <row r="1383" spans="24:24">
      <c r="X1383" t="s">
        <v>1779</v>
      </c>
    </row>
    <row r="1384" spans="24:24">
      <c r="X1384" t="s">
        <v>1780</v>
      </c>
    </row>
    <row r="1385" spans="24:24">
      <c r="X1385" t="s">
        <v>1781</v>
      </c>
    </row>
    <row r="1386" spans="24:24">
      <c r="X1386" t="s">
        <v>1782</v>
      </c>
    </row>
    <row r="1387" spans="24:24">
      <c r="X1387" t="s">
        <v>1783</v>
      </c>
    </row>
    <row r="1388" spans="24:24">
      <c r="X1388" t="s">
        <v>1784</v>
      </c>
    </row>
    <row r="1389" spans="24:24">
      <c r="X1389" t="s">
        <v>1785</v>
      </c>
    </row>
    <row r="1390" spans="24:24">
      <c r="X1390" t="s">
        <v>140</v>
      </c>
    </row>
    <row r="1391" spans="24:24">
      <c r="X1391" t="s">
        <v>1786</v>
      </c>
    </row>
    <row r="1392" spans="24:24">
      <c r="X1392" t="s">
        <v>1787</v>
      </c>
    </row>
    <row r="1393" spans="24:24">
      <c r="X1393" t="s">
        <v>1788</v>
      </c>
    </row>
    <row r="1394" spans="24:24">
      <c r="X1394" t="s">
        <v>1789</v>
      </c>
    </row>
    <row r="1395" spans="24:24">
      <c r="X1395" t="s">
        <v>1790</v>
      </c>
    </row>
    <row r="1396" spans="24:24">
      <c r="X1396" t="s">
        <v>1791</v>
      </c>
    </row>
    <row r="1397" spans="24:24">
      <c r="X1397" t="s">
        <v>1792</v>
      </c>
    </row>
    <row r="1398" spans="24:24">
      <c r="X1398" t="s">
        <v>1793</v>
      </c>
    </row>
    <row r="1399" spans="24:24">
      <c r="X1399" t="s">
        <v>1794</v>
      </c>
    </row>
    <row r="1400" spans="24:24">
      <c r="X1400" t="s">
        <v>1795</v>
      </c>
    </row>
    <row r="1401" spans="24:24">
      <c r="X1401" t="s">
        <v>1796</v>
      </c>
    </row>
    <row r="1402" spans="24:24">
      <c r="X1402" t="s">
        <v>1797</v>
      </c>
    </row>
    <row r="1403" spans="24:24">
      <c r="X1403" t="s">
        <v>1798</v>
      </c>
    </row>
    <row r="1404" spans="24:24">
      <c r="X1404" t="s">
        <v>1799</v>
      </c>
    </row>
    <row r="1405" spans="24:24">
      <c r="X1405" t="s">
        <v>1800</v>
      </c>
    </row>
    <row r="1406" spans="24:24">
      <c r="X1406" t="s">
        <v>1801</v>
      </c>
    </row>
    <row r="1407" spans="24:24">
      <c r="X1407" t="s">
        <v>1802</v>
      </c>
    </row>
    <row r="1408" spans="24:24">
      <c r="X1408" t="s">
        <v>1803</v>
      </c>
    </row>
    <row r="1409" spans="24:24">
      <c r="X1409" t="s">
        <v>1804</v>
      </c>
    </row>
    <row r="1410" spans="24:24">
      <c r="X1410" t="s">
        <v>1805</v>
      </c>
    </row>
    <row r="1411" spans="24:24">
      <c r="X1411" t="s">
        <v>1806</v>
      </c>
    </row>
    <row r="1412" spans="24:24">
      <c r="X1412" t="s">
        <v>1807</v>
      </c>
    </row>
    <row r="1413" spans="24:24">
      <c r="X1413" t="s">
        <v>1808</v>
      </c>
    </row>
    <row r="1414" spans="24:24">
      <c r="X1414" t="s">
        <v>1809</v>
      </c>
    </row>
    <row r="1415" spans="24:24">
      <c r="X1415" t="s">
        <v>1810</v>
      </c>
    </row>
    <row r="1416" spans="24:24">
      <c r="X1416" t="s">
        <v>1811</v>
      </c>
    </row>
    <row r="1417" spans="24:24">
      <c r="X1417" t="s">
        <v>1812</v>
      </c>
    </row>
    <row r="1418" spans="24:24">
      <c r="X1418" t="s">
        <v>1813</v>
      </c>
    </row>
    <row r="1419" spans="24:24">
      <c r="X1419" t="s">
        <v>1814</v>
      </c>
    </row>
    <row r="1420" spans="24:24">
      <c r="X1420" t="s">
        <v>1815</v>
      </c>
    </row>
    <row r="1421" spans="24:24">
      <c r="X1421" t="s">
        <v>1816</v>
      </c>
    </row>
    <row r="1422" spans="24:24">
      <c r="X1422" t="s">
        <v>1817</v>
      </c>
    </row>
    <row r="1423" spans="24:24">
      <c r="X1423" t="s">
        <v>1818</v>
      </c>
    </row>
    <row r="1424" spans="24:24">
      <c r="X1424" t="s">
        <v>1819</v>
      </c>
    </row>
    <row r="1425" spans="24:24">
      <c r="X1425" t="s">
        <v>1820</v>
      </c>
    </row>
    <row r="1426" spans="24:24">
      <c r="X1426" t="s">
        <v>1821</v>
      </c>
    </row>
    <row r="1427" spans="24:24">
      <c r="X1427" t="s">
        <v>1822</v>
      </c>
    </row>
    <row r="1428" spans="24:24">
      <c r="X1428" t="s">
        <v>1823</v>
      </c>
    </row>
    <row r="1429" spans="24:24">
      <c r="X1429" t="s">
        <v>1824</v>
      </c>
    </row>
    <row r="1430" spans="24:24">
      <c r="X1430" t="s">
        <v>1825</v>
      </c>
    </row>
    <row r="1431" spans="24:24">
      <c r="X1431" t="s">
        <v>1826</v>
      </c>
    </row>
    <row r="1432" spans="24:24">
      <c r="X1432" t="s">
        <v>1827</v>
      </c>
    </row>
    <row r="1433" spans="24:24">
      <c r="X1433" t="s">
        <v>1828</v>
      </c>
    </row>
    <row r="1434" spans="24:24">
      <c r="X1434" t="s">
        <v>1829</v>
      </c>
    </row>
    <row r="1435" spans="24:24">
      <c r="X1435" t="s">
        <v>1830</v>
      </c>
    </row>
    <row r="1436" spans="24:24">
      <c r="X1436" t="s">
        <v>1831</v>
      </c>
    </row>
    <row r="1437" spans="24:24">
      <c r="X1437" t="s">
        <v>1832</v>
      </c>
    </row>
    <row r="1438" spans="24:24">
      <c r="X1438" t="s">
        <v>1833</v>
      </c>
    </row>
    <row r="1439" spans="24:24">
      <c r="X1439" t="s">
        <v>1834</v>
      </c>
    </row>
    <row r="1440" spans="24:24">
      <c r="X1440" t="s">
        <v>1835</v>
      </c>
    </row>
    <row r="1441" spans="24:24">
      <c r="X1441" t="s">
        <v>1836</v>
      </c>
    </row>
    <row r="1442" spans="24:24">
      <c r="X1442" t="s">
        <v>1837</v>
      </c>
    </row>
    <row r="1443" spans="24:24">
      <c r="X1443" t="s">
        <v>184</v>
      </c>
    </row>
    <row r="1444" spans="24:24">
      <c r="X1444" t="s">
        <v>1838</v>
      </c>
    </row>
    <row r="1445" spans="24:24">
      <c r="X1445" t="s">
        <v>1839</v>
      </c>
    </row>
    <row r="1446" spans="24:24">
      <c r="X1446" t="s">
        <v>1840</v>
      </c>
    </row>
    <row r="1447" spans="24:24">
      <c r="X1447" t="s">
        <v>1841</v>
      </c>
    </row>
    <row r="1448" spans="24:24">
      <c r="X1448" t="s">
        <v>1842</v>
      </c>
    </row>
    <row r="1449" spans="24:24">
      <c r="X1449" t="s">
        <v>1843</v>
      </c>
    </row>
    <row r="1450" spans="24:24">
      <c r="X1450" t="s">
        <v>1844</v>
      </c>
    </row>
    <row r="1451" spans="24:24">
      <c r="X1451" t="s">
        <v>1845</v>
      </c>
    </row>
    <row r="1452" spans="24:24">
      <c r="X1452" t="s">
        <v>1846</v>
      </c>
    </row>
    <row r="1453" spans="24:24">
      <c r="X1453" t="s">
        <v>1847</v>
      </c>
    </row>
    <row r="1454" spans="24:24">
      <c r="X1454" t="s">
        <v>1848</v>
      </c>
    </row>
    <row r="1455" spans="24:24">
      <c r="X1455" t="s">
        <v>1849</v>
      </c>
    </row>
    <row r="1456" spans="24:24">
      <c r="X1456" t="s">
        <v>1850</v>
      </c>
    </row>
    <row r="1457" spans="24:24">
      <c r="X1457" t="s">
        <v>1851</v>
      </c>
    </row>
    <row r="1458" spans="24:24">
      <c r="X1458" t="s">
        <v>1852</v>
      </c>
    </row>
    <row r="1459" spans="24:24">
      <c r="X1459" t="s">
        <v>1853</v>
      </c>
    </row>
    <row r="1460" spans="24:24">
      <c r="X1460" t="s">
        <v>1854</v>
      </c>
    </row>
    <row r="1461" spans="24:24">
      <c r="X1461" t="s">
        <v>1855</v>
      </c>
    </row>
    <row r="1462" spans="24:24">
      <c r="X1462" t="s">
        <v>130</v>
      </c>
    </row>
    <row r="1463" spans="24:24">
      <c r="X1463" t="s">
        <v>1856</v>
      </c>
    </row>
    <row r="1464" spans="24:24">
      <c r="X1464" t="s">
        <v>1857</v>
      </c>
    </row>
    <row r="1465" spans="24:24">
      <c r="X1465" t="s">
        <v>198</v>
      </c>
    </row>
    <row r="1466" spans="24:24">
      <c r="X1466" t="s">
        <v>1858</v>
      </c>
    </row>
    <row r="1467" spans="24:24">
      <c r="X1467" t="s">
        <v>1859</v>
      </c>
    </row>
    <row r="1468" spans="24:24">
      <c r="X1468" t="s">
        <v>1860</v>
      </c>
    </row>
    <row r="1469" spans="24:24">
      <c r="X1469" t="s">
        <v>1861</v>
      </c>
    </row>
    <row r="1470" spans="24:24">
      <c r="X1470" t="s">
        <v>1862</v>
      </c>
    </row>
    <row r="1471" spans="24:24">
      <c r="X1471" t="s">
        <v>1863</v>
      </c>
    </row>
    <row r="1472" spans="24:24">
      <c r="X1472" t="s">
        <v>1864</v>
      </c>
    </row>
    <row r="1473" spans="24:24">
      <c r="X1473" t="s">
        <v>1865</v>
      </c>
    </row>
    <row r="1474" spans="24:24">
      <c r="X1474" t="s">
        <v>1866</v>
      </c>
    </row>
    <row r="1475" spans="24:24">
      <c r="X1475" t="s">
        <v>1867</v>
      </c>
    </row>
    <row r="1476" spans="24:24">
      <c r="X1476" t="s">
        <v>1868</v>
      </c>
    </row>
    <row r="1477" spans="24:24">
      <c r="X1477" t="s">
        <v>1869</v>
      </c>
    </row>
    <row r="1478" spans="24:24">
      <c r="X1478" t="s">
        <v>1870</v>
      </c>
    </row>
    <row r="1479" spans="24:24">
      <c r="X1479" t="s">
        <v>1871</v>
      </c>
    </row>
    <row r="1480" spans="24:24">
      <c r="X1480" t="s">
        <v>1872</v>
      </c>
    </row>
    <row r="1481" spans="24:24">
      <c r="X1481" t="s">
        <v>1873</v>
      </c>
    </row>
    <row r="1482" spans="24:24">
      <c r="X1482" t="s">
        <v>1874</v>
      </c>
    </row>
    <row r="1483" spans="24:24">
      <c r="X1483" t="s">
        <v>1875</v>
      </c>
    </row>
    <row r="1484" spans="24:24">
      <c r="X1484" t="s">
        <v>1876</v>
      </c>
    </row>
    <row r="1485" spans="24:24">
      <c r="X1485" t="s">
        <v>1877</v>
      </c>
    </row>
    <row r="1486" spans="24:24">
      <c r="X1486" t="s">
        <v>1878</v>
      </c>
    </row>
    <row r="1487" spans="24:24">
      <c r="X1487" t="s">
        <v>1879</v>
      </c>
    </row>
    <row r="1488" spans="24:24">
      <c r="X1488" t="s">
        <v>1880</v>
      </c>
    </row>
    <row r="1489" spans="24:24">
      <c r="X1489" t="s">
        <v>1881</v>
      </c>
    </row>
    <row r="1490" spans="24:24">
      <c r="X1490" t="s">
        <v>1882</v>
      </c>
    </row>
    <row r="1491" spans="24:24">
      <c r="X1491" t="s">
        <v>1883</v>
      </c>
    </row>
    <row r="1492" spans="24:24">
      <c r="X1492" t="s">
        <v>1884</v>
      </c>
    </row>
    <row r="1493" spans="24:24">
      <c r="X1493" t="s">
        <v>1885</v>
      </c>
    </row>
    <row r="1494" spans="24:24">
      <c r="X1494" t="s">
        <v>1886</v>
      </c>
    </row>
    <row r="1495" spans="24:24">
      <c r="X1495" t="s">
        <v>1887</v>
      </c>
    </row>
    <row r="1496" spans="24:24">
      <c r="X1496" t="s">
        <v>1888</v>
      </c>
    </row>
    <row r="1497" spans="24:24">
      <c r="X1497" t="s">
        <v>1889</v>
      </c>
    </row>
    <row r="1498" spans="24:24">
      <c r="X1498" t="s">
        <v>1890</v>
      </c>
    </row>
    <row r="1499" spans="24:24">
      <c r="X1499" t="s">
        <v>320</v>
      </c>
    </row>
    <row r="1500" spans="24:24">
      <c r="X1500" t="s">
        <v>1891</v>
      </c>
    </row>
    <row r="1501" spans="24:24">
      <c r="X1501" t="s">
        <v>1892</v>
      </c>
    </row>
    <row r="1502" spans="24:24">
      <c r="X1502" t="s">
        <v>1893</v>
      </c>
    </row>
    <row r="1503" spans="24:24">
      <c r="X1503" t="s">
        <v>1894</v>
      </c>
    </row>
    <row r="1504" spans="24:24">
      <c r="X1504" t="s">
        <v>1895</v>
      </c>
    </row>
    <row r="1505" spans="24:24">
      <c r="X1505" t="s">
        <v>1896</v>
      </c>
    </row>
    <row r="1506" spans="24:24">
      <c r="X1506" t="s">
        <v>1897</v>
      </c>
    </row>
    <row r="1507" spans="24:24">
      <c r="X1507" t="s">
        <v>1898</v>
      </c>
    </row>
    <row r="1508" spans="24:24">
      <c r="X1508" t="s">
        <v>1899</v>
      </c>
    </row>
    <row r="1509" spans="24:24">
      <c r="X1509" t="s">
        <v>1900</v>
      </c>
    </row>
    <row r="1510" spans="24:24">
      <c r="X1510" t="s">
        <v>1901</v>
      </c>
    </row>
    <row r="1511" spans="24:24">
      <c r="X1511" t="s">
        <v>1902</v>
      </c>
    </row>
    <row r="1512" spans="24:24">
      <c r="X1512" t="s">
        <v>1903</v>
      </c>
    </row>
    <row r="1513" spans="24:24">
      <c r="X1513" t="s">
        <v>1904</v>
      </c>
    </row>
    <row r="1514" spans="24:24">
      <c r="X1514" t="s">
        <v>1905</v>
      </c>
    </row>
    <row r="1515" spans="24:24">
      <c r="X1515" t="s">
        <v>1906</v>
      </c>
    </row>
    <row r="1516" spans="24:24">
      <c r="X1516" t="s">
        <v>1907</v>
      </c>
    </row>
    <row r="1517" spans="24:24">
      <c r="X1517" t="s">
        <v>1908</v>
      </c>
    </row>
    <row r="1518" spans="24:24">
      <c r="X1518" t="s">
        <v>1909</v>
      </c>
    </row>
    <row r="1519" spans="24:24">
      <c r="X1519" t="s">
        <v>1910</v>
      </c>
    </row>
    <row r="1520" spans="24:24">
      <c r="X1520" t="s">
        <v>1911</v>
      </c>
    </row>
    <row r="1521" spans="24:24">
      <c r="X1521" t="s">
        <v>1912</v>
      </c>
    </row>
    <row r="1522" spans="24:24">
      <c r="X1522" t="s">
        <v>1913</v>
      </c>
    </row>
    <row r="1523" spans="24:24">
      <c r="X1523" t="s">
        <v>1914</v>
      </c>
    </row>
    <row r="1524" spans="24:24">
      <c r="X1524" t="s">
        <v>1915</v>
      </c>
    </row>
    <row r="1525" spans="24:24">
      <c r="X1525" t="s">
        <v>1916</v>
      </c>
    </row>
    <row r="1526" spans="24:24">
      <c r="X1526" t="s">
        <v>1917</v>
      </c>
    </row>
    <row r="1527" spans="24:24">
      <c r="X1527" t="s">
        <v>1918</v>
      </c>
    </row>
    <row r="1528" spans="24:24">
      <c r="X1528" t="s">
        <v>133</v>
      </c>
    </row>
    <row r="1529" spans="24:24">
      <c r="X1529" t="s">
        <v>1919</v>
      </c>
    </row>
    <row r="1530" spans="24:24">
      <c r="X1530" t="s">
        <v>1920</v>
      </c>
    </row>
    <row r="1531" spans="24:24">
      <c r="X1531" t="s">
        <v>1921</v>
      </c>
    </row>
    <row r="1532" spans="24:24">
      <c r="X1532" t="s">
        <v>1922</v>
      </c>
    </row>
    <row r="1533" spans="24:24">
      <c r="X1533" t="s">
        <v>1923</v>
      </c>
    </row>
    <row r="1534" spans="24:24">
      <c r="X1534" t="s">
        <v>1924</v>
      </c>
    </row>
    <row r="1535" spans="24:24">
      <c r="X1535" t="s">
        <v>1925</v>
      </c>
    </row>
    <row r="1536" spans="24:24">
      <c r="X1536" t="s">
        <v>1926</v>
      </c>
    </row>
    <row r="1537" spans="24:24">
      <c r="X1537" t="s">
        <v>1927</v>
      </c>
    </row>
    <row r="1538" spans="24:24">
      <c r="X1538" t="s">
        <v>1928</v>
      </c>
    </row>
    <row r="1539" spans="24:24">
      <c r="X1539" t="s">
        <v>1929</v>
      </c>
    </row>
    <row r="1540" spans="24:24">
      <c r="X1540" t="s">
        <v>1930</v>
      </c>
    </row>
    <row r="1541" spans="24:24">
      <c r="X1541" t="s">
        <v>1931</v>
      </c>
    </row>
    <row r="1542" spans="24:24">
      <c r="X1542" t="s">
        <v>1426</v>
      </c>
    </row>
    <row r="1543" spans="24:24">
      <c r="X1543" t="s">
        <v>1932</v>
      </c>
    </row>
    <row r="1544" spans="24:24">
      <c r="X1544" t="s">
        <v>1933</v>
      </c>
    </row>
    <row r="1545" spans="24:24">
      <c r="X1545" t="s">
        <v>1934</v>
      </c>
    </row>
    <row r="1546" spans="24:24">
      <c r="X1546" t="s">
        <v>206</v>
      </c>
    </row>
    <row r="1547" spans="24:24">
      <c r="X1547" t="s">
        <v>1935</v>
      </c>
    </row>
    <row r="1548" spans="24:24">
      <c r="X1548" t="s">
        <v>1936</v>
      </c>
    </row>
    <row r="1549" spans="24:24">
      <c r="X1549" t="s">
        <v>1937</v>
      </c>
    </row>
    <row r="1550" spans="24:24">
      <c r="X1550" t="s">
        <v>1938</v>
      </c>
    </row>
    <row r="1551" spans="24:24">
      <c r="X1551" t="s">
        <v>1939</v>
      </c>
    </row>
    <row r="1552" spans="24:24">
      <c r="X1552" t="s">
        <v>1940</v>
      </c>
    </row>
    <row r="1553" spans="24:24">
      <c r="X1553" t="s">
        <v>1941</v>
      </c>
    </row>
    <row r="1554" spans="24:24">
      <c r="X1554" t="s">
        <v>1942</v>
      </c>
    </row>
    <row r="1555" spans="24:24">
      <c r="X1555" t="s">
        <v>1943</v>
      </c>
    </row>
    <row r="1556" spans="24:24">
      <c r="X1556" t="s">
        <v>1944</v>
      </c>
    </row>
    <row r="1557" spans="24:24">
      <c r="X1557" t="s">
        <v>1945</v>
      </c>
    </row>
    <row r="1558" spans="24:24">
      <c r="X1558" t="s">
        <v>1946</v>
      </c>
    </row>
    <row r="1559" spans="24:24">
      <c r="X1559" t="s">
        <v>1947</v>
      </c>
    </row>
    <row r="1560" spans="24:24">
      <c r="X1560" t="s">
        <v>328</v>
      </c>
    </row>
    <row r="1561" spans="24:24">
      <c r="X1561" t="s">
        <v>1948</v>
      </c>
    </row>
    <row r="1562" spans="24:24">
      <c r="X1562" t="s">
        <v>1949</v>
      </c>
    </row>
    <row r="1563" spans="24:24">
      <c r="X1563" t="s">
        <v>1950</v>
      </c>
    </row>
    <row r="1564" spans="24:24">
      <c r="X1564" t="s">
        <v>1951</v>
      </c>
    </row>
    <row r="1565" spans="24:24">
      <c r="X1565" t="s">
        <v>1952</v>
      </c>
    </row>
    <row r="1566" spans="24:24">
      <c r="X1566" t="s">
        <v>1953</v>
      </c>
    </row>
    <row r="1567" spans="24:24">
      <c r="X1567" t="s">
        <v>1954</v>
      </c>
    </row>
    <row r="1568" spans="24:24">
      <c r="X1568" t="s">
        <v>1955</v>
      </c>
    </row>
    <row r="1569" spans="24:24">
      <c r="X1569" t="s">
        <v>1956</v>
      </c>
    </row>
    <row r="1570" spans="24:24">
      <c r="X1570" t="s">
        <v>1957</v>
      </c>
    </row>
    <row r="1571" spans="24:24">
      <c r="X1571" t="s">
        <v>1958</v>
      </c>
    </row>
    <row r="1572" spans="24:24">
      <c r="X1572" t="s">
        <v>1959</v>
      </c>
    </row>
    <row r="1573" spans="24:24">
      <c r="X1573" t="s">
        <v>1960</v>
      </c>
    </row>
    <row r="1574" spans="24:24">
      <c r="X1574" t="s">
        <v>1961</v>
      </c>
    </row>
    <row r="1575" spans="24:24">
      <c r="X1575" t="s">
        <v>1962</v>
      </c>
    </row>
    <row r="1576" spans="24:24">
      <c r="X1576" t="s">
        <v>1963</v>
      </c>
    </row>
    <row r="1577" spans="24:24">
      <c r="X1577" t="s">
        <v>1964</v>
      </c>
    </row>
    <row r="1578" spans="24:24">
      <c r="X1578" t="s">
        <v>1965</v>
      </c>
    </row>
    <row r="1579" spans="24:24">
      <c r="X1579" t="s">
        <v>1966</v>
      </c>
    </row>
    <row r="1580" spans="24:24">
      <c r="X1580" t="s">
        <v>1967</v>
      </c>
    </row>
    <row r="1581" spans="24:24">
      <c r="X1581" t="s">
        <v>1968</v>
      </c>
    </row>
    <row r="1582" spans="24:24">
      <c r="X1582" t="s">
        <v>1969</v>
      </c>
    </row>
    <row r="1583" spans="24:24">
      <c r="X1583" t="s">
        <v>1970</v>
      </c>
    </row>
    <row r="1584" spans="24:24">
      <c r="X1584" t="s">
        <v>1971</v>
      </c>
    </row>
    <row r="1585" spans="24:24">
      <c r="X1585" t="s">
        <v>1972</v>
      </c>
    </row>
    <row r="1586" spans="24:24">
      <c r="X1586" t="s">
        <v>1973</v>
      </c>
    </row>
    <row r="1587" spans="24:24">
      <c r="X1587" t="s">
        <v>283</v>
      </c>
    </row>
    <row r="1588" spans="24:24">
      <c r="X1588" t="s">
        <v>1974</v>
      </c>
    </row>
    <row r="1589" spans="24:24">
      <c r="X1589" t="s">
        <v>1975</v>
      </c>
    </row>
    <row r="1590" spans="24:24">
      <c r="X1590" t="s">
        <v>1976</v>
      </c>
    </row>
    <row r="1591" spans="24:24">
      <c r="X1591" t="s">
        <v>1977</v>
      </c>
    </row>
    <row r="1592" spans="24:24">
      <c r="X1592" t="s">
        <v>1978</v>
      </c>
    </row>
    <row r="1593" spans="24:24">
      <c r="X1593" t="s">
        <v>1979</v>
      </c>
    </row>
    <row r="1594" spans="24:24">
      <c r="X1594" t="s">
        <v>1980</v>
      </c>
    </row>
    <row r="1595" spans="24:24">
      <c r="X1595" t="s">
        <v>1981</v>
      </c>
    </row>
    <row r="1596" spans="24:24">
      <c r="X1596" t="s">
        <v>1982</v>
      </c>
    </row>
    <row r="1597" spans="24:24">
      <c r="X1597" t="s">
        <v>1983</v>
      </c>
    </row>
    <row r="1598" spans="24:24">
      <c r="X1598" t="s">
        <v>1984</v>
      </c>
    </row>
    <row r="1599" spans="24:24">
      <c r="X1599" t="s">
        <v>1985</v>
      </c>
    </row>
    <row r="1600" spans="24:24">
      <c r="X1600" t="s">
        <v>1986</v>
      </c>
    </row>
    <row r="1601" spans="24:24">
      <c r="X1601" t="s">
        <v>1987</v>
      </c>
    </row>
    <row r="1602" spans="24:24">
      <c r="X1602" t="s">
        <v>1988</v>
      </c>
    </row>
    <row r="1603" spans="24:24">
      <c r="X1603" t="s">
        <v>1989</v>
      </c>
    </row>
    <row r="1604" spans="24:24">
      <c r="X1604" t="s">
        <v>1990</v>
      </c>
    </row>
    <row r="1605" spans="24:24">
      <c r="X1605" t="s">
        <v>1991</v>
      </c>
    </row>
    <row r="1606" spans="24:24">
      <c r="X1606" t="s">
        <v>1992</v>
      </c>
    </row>
    <row r="1607" spans="24:24">
      <c r="X1607" t="s">
        <v>1993</v>
      </c>
    </row>
    <row r="1608" spans="24:24">
      <c r="X1608" t="s">
        <v>1994</v>
      </c>
    </row>
    <row r="1609" spans="24:24">
      <c r="X1609" t="s">
        <v>1995</v>
      </c>
    </row>
    <row r="1610" spans="24:24">
      <c r="X1610" t="s">
        <v>1996</v>
      </c>
    </row>
    <row r="1611" spans="24:24">
      <c r="X1611" t="s">
        <v>1997</v>
      </c>
    </row>
    <row r="1612" spans="24:24">
      <c r="X1612" t="s">
        <v>1998</v>
      </c>
    </row>
    <row r="1613" spans="24:24">
      <c r="X1613" t="s">
        <v>1999</v>
      </c>
    </row>
    <row r="1614" spans="24:24">
      <c r="X1614" t="s">
        <v>2000</v>
      </c>
    </row>
    <row r="1615" spans="24:24">
      <c r="X1615" t="s">
        <v>2001</v>
      </c>
    </row>
    <row r="1616" spans="24:24">
      <c r="X1616" t="s">
        <v>72</v>
      </c>
    </row>
    <row r="1617" spans="24:24">
      <c r="X1617" t="s">
        <v>2002</v>
      </c>
    </row>
    <row r="1618" spans="24:24">
      <c r="X1618" t="s">
        <v>2003</v>
      </c>
    </row>
    <row r="1619" spans="24:24">
      <c r="X1619" t="s">
        <v>2004</v>
      </c>
    </row>
    <row r="1620" spans="24:24">
      <c r="X1620" t="s">
        <v>2005</v>
      </c>
    </row>
    <row r="1621" spans="24:24">
      <c r="X1621" t="s">
        <v>2006</v>
      </c>
    </row>
    <row r="1622" spans="24:24">
      <c r="X1622" t="s">
        <v>2007</v>
      </c>
    </row>
    <row r="1623" spans="24:24">
      <c r="X1623" t="s">
        <v>2008</v>
      </c>
    </row>
    <row r="1624" spans="24:24">
      <c r="X1624" t="s">
        <v>2009</v>
      </c>
    </row>
    <row r="1625" spans="24:24">
      <c r="X1625" t="s">
        <v>2010</v>
      </c>
    </row>
    <row r="1626" spans="24:24">
      <c r="X1626" t="s">
        <v>2011</v>
      </c>
    </row>
    <row r="1627" spans="24:24">
      <c r="X1627" t="s">
        <v>2012</v>
      </c>
    </row>
    <row r="1628" spans="24:24">
      <c r="X1628" t="s">
        <v>2013</v>
      </c>
    </row>
    <row r="1629" spans="24:24">
      <c r="X1629" t="s">
        <v>2014</v>
      </c>
    </row>
    <row r="1630" spans="24:24">
      <c r="X1630" t="s">
        <v>2015</v>
      </c>
    </row>
    <row r="1631" spans="24:24">
      <c r="X1631" t="s">
        <v>2016</v>
      </c>
    </row>
    <row r="1632" spans="24:24">
      <c r="X1632" t="s">
        <v>2017</v>
      </c>
    </row>
    <row r="1633" spans="24:24">
      <c r="X1633" t="s">
        <v>2018</v>
      </c>
    </row>
    <row r="1634" spans="24:24">
      <c r="X1634" t="s">
        <v>2019</v>
      </c>
    </row>
    <row r="1635" spans="24:24">
      <c r="X1635" t="s">
        <v>2020</v>
      </c>
    </row>
    <row r="1636" spans="24:24">
      <c r="X1636" t="s">
        <v>2021</v>
      </c>
    </row>
    <row r="1637" spans="24:24">
      <c r="X1637" t="s">
        <v>2022</v>
      </c>
    </row>
    <row r="1638" spans="24:24">
      <c r="X1638" t="s">
        <v>2023</v>
      </c>
    </row>
    <row r="1639" spans="24:24">
      <c r="X1639" t="s">
        <v>2024</v>
      </c>
    </row>
    <row r="1640" spans="24:24">
      <c r="X1640" t="s">
        <v>2025</v>
      </c>
    </row>
    <row r="1641" spans="24:24">
      <c r="X1641" t="s">
        <v>2026</v>
      </c>
    </row>
    <row r="1642" spans="24:24">
      <c r="X1642" t="s">
        <v>417</v>
      </c>
    </row>
    <row r="1643" spans="24:24">
      <c r="X1643" t="s">
        <v>2027</v>
      </c>
    </row>
    <row r="1644" spans="24:24">
      <c r="X1644" t="s">
        <v>2028</v>
      </c>
    </row>
    <row r="1645" spans="24:24">
      <c r="X1645" t="s">
        <v>2029</v>
      </c>
    </row>
    <row r="1646" spans="24:24">
      <c r="X1646" t="s">
        <v>2030</v>
      </c>
    </row>
    <row r="1647" spans="24:24">
      <c r="X1647" t="s">
        <v>2031</v>
      </c>
    </row>
    <row r="1648" spans="24:24">
      <c r="X1648" t="s">
        <v>2032</v>
      </c>
    </row>
    <row r="1649" spans="24:24">
      <c r="X1649" t="s">
        <v>2033</v>
      </c>
    </row>
    <row r="1650" spans="24:24">
      <c r="X1650" t="s">
        <v>2034</v>
      </c>
    </row>
    <row r="1651" spans="24:24">
      <c r="X1651" t="s">
        <v>2035</v>
      </c>
    </row>
    <row r="1652" spans="24:24">
      <c r="X1652" t="s">
        <v>2036</v>
      </c>
    </row>
    <row r="1653" spans="24:24">
      <c r="X1653" t="s">
        <v>2037</v>
      </c>
    </row>
    <row r="1654" spans="24:24">
      <c r="X1654" t="s">
        <v>2038</v>
      </c>
    </row>
    <row r="1655" spans="24:24">
      <c r="X1655" t="s">
        <v>2039</v>
      </c>
    </row>
    <row r="1656" spans="24:24">
      <c r="X1656" t="s">
        <v>2040</v>
      </c>
    </row>
    <row r="1657" spans="24:24">
      <c r="X1657" t="s">
        <v>2041</v>
      </c>
    </row>
    <row r="1658" spans="24:24">
      <c r="X1658" t="s">
        <v>2042</v>
      </c>
    </row>
    <row r="1659" spans="24:24">
      <c r="X1659" t="s">
        <v>2043</v>
      </c>
    </row>
    <row r="1660" spans="24:24">
      <c r="X1660" t="s">
        <v>2044</v>
      </c>
    </row>
    <row r="1661" spans="24:24">
      <c r="X1661" t="s">
        <v>2045</v>
      </c>
    </row>
    <row r="1662" spans="24:24">
      <c r="X1662" t="s">
        <v>2046</v>
      </c>
    </row>
    <row r="1663" spans="24:24">
      <c r="X1663" t="s">
        <v>2047</v>
      </c>
    </row>
    <row r="1664" spans="24:24">
      <c r="X1664" t="s">
        <v>2048</v>
      </c>
    </row>
    <row r="1665" spans="24:24">
      <c r="X1665" t="s">
        <v>2049</v>
      </c>
    </row>
    <row r="1666" spans="24:24">
      <c r="X1666" t="s">
        <v>2050</v>
      </c>
    </row>
    <row r="1667" spans="24:24">
      <c r="X1667" t="s">
        <v>2051</v>
      </c>
    </row>
    <row r="1668" spans="24:24">
      <c r="X1668" t="s">
        <v>2052</v>
      </c>
    </row>
    <row r="1669" spans="24:24">
      <c r="X1669" t="s">
        <v>2053</v>
      </c>
    </row>
    <row r="1670" spans="24:24">
      <c r="X1670" t="s">
        <v>2054</v>
      </c>
    </row>
    <row r="1671" spans="24:24">
      <c r="X1671" t="s">
        <v>2055</v>
      </c>
    </row>
    <row r="1672" spans="24:24">
      <c r="X1672" t="s">
        <v>2056</v>
      </c>
    </row>
    <row r="1673" spans="24:24">
      <c r="X1673" t="s">
        <v>2057</v>
      </c>
    </row>
    <row r="1674" spans="24:24">
      <c r="X1674" t="s">
        <v>2058</v>
      </c>
    </row>
    <row r="1675" spans="24:24">
      <c r="X1675" t="s">
        <v>1808</v>
      </c>
    </row>
    <row r="1676" spans="24:24">
      <c r="X1676" t="s">
        <v>2059</v>
      </c>
    </row>
    <row r="1677" spans="24:24">
      <c r="X1677" t="s">
        <v>2060</v>
      </c>
    </row>
    <row r="1678" spans="24:24">
      <c r="X1678" t="s">
        <v>2061</v>
      </c>
    </row>
    <row r="1679" spans="24:24">
      <c r="X1679" t="s">
        <v>2062</v>
      </c>
    </row>
    <row r="1680" spans="24:24">
      <c r="X1680" t="s">
        <v>2063</v>
      </c>
    </row>
    <row r="1681" spans="24:24">
      <c r="X1681" t="s">
        <v>2064</v>
      </c>
    </row>
    <row r="1682" spans="24:24">
      <c r="X1682" t="s">
        <v>2065</v>
      </c>
    </row>
    <row r="1683" spans="24:24">
      <c r="X1683" t="s">
        <v>2066</v>
      </c>
    </row>
    <row r="1684" spans="24:24">
      <c r="X1684" t="s">
        <v>2067</v>
      </c>
    </row>
    <row r="1685" spans="24:24">
      <c r="X1685" t="s">
        <v>2068</v>
      </c>
    </row>
    <row r="1686" spans="24:24">
      <c r="X1686" t="s">
        <v>2069</v>
      </c>
    </row>
    <row r="1687" spans="24:24">
      <c r="X1687" t="s">
        <v>2070</v>
      </c>
    </row>
    <row r="1688" spans="24:24">
      <c r="X1688" t="s">
        <v>2071</v>
      </c>
    </row>
    <row r="1689" spans="24:24">
      <c r="X1689" t="s">
        <v>2072</v>
      </c>
    </row>
    <row r="1690" spans="24:24">
      <c r="X1690" t="s">
        <v>2073</v>
      </c>
    </row>
    <row r="1691" spans="24:24">
      <c r="X1691" t="s">
        <v>2074</v>
      </c>
    </row>
    <row r="1692" spans="24:24">
      <c r="X1692" t="s">
        <v>2075</v>
      </c>
    </row>
    <row r="1693" spans="24:24">
      <c r="X1693" t="s">
        <v>2076</v>
      </c>
    </row>
    <row r="1694" spans="24:24">
      <c r="X1694" t="s">
        <v>2077</v>
      </c>
    </row>
    <row r="1695" spans="24:24">
      <c r="X1695" t="s">
        <v>2078</v>
      </c>
    </row>
    <row r="1696" spans="24:24">
      <c r="X1696" t="s">
        <v>2079</v>
      </c>
    </row>
    <row r="1697" spans="24:24">
      <c r="X1697" t="s">
        <v>2080</v>
      </c>
    </row>
    <row r="1698" spans="24:24">
      <c r="X1698" t="s">
        <v>2081</v>
      </c>
    </row>
    <row r="1699" spans="24:24">
      <c r="X1699" t="s">
        <v>2082</v>
      </c>
    </row>
    <row r="1700" spans="24:24">
      <c r="X1700" t="s">
        <v>2083</v>
      </c>
    </row>
    <row r="1701" spans="24:24">
      <c r="X1701" t="s">
        <v>2084</v>
      </c>
    </row>
    <row r="1702" spans="24:24">
      <c r="X1702" t="s">
        <v>2085</v>
      </c>
    </row>
    <row r="1703" spans="24:24">
      <c r="X1703" t="s">
        <v>2086</v>
      </c>
    </row>
    <row r="1704" spans="24:24">
      <c r="X1704" t="s">
        <v>2087</v>
      </c>
    </row>
    <row r="1705" spans="24:24">
      <c r="X1705" t="s">
        <v>2088</v>
      </c>
    </row>
    <row r="1706" spans="24:24">
      <c r="X1706" t="s">
        <v>356</v>
      </c>
    </row>
    <row r="1707" spans="24:24">
      <c r="X1707" t="s">
        <v>2089</v>
      </c>
    </row>
    <row r="1708" spans="24:24">
      <c r="X1708" t="s">
        <v>2090</v>
      </c>
    </row>
    <row r="1709" spans="24:24">
      <c r="X1709" t="s">
        <v>2091</v>
      </c>
    </row>
    <row r="1710" spans="24:24">
      <c r="X1710" t="s">
        <v>2092</v>
      </c>
    </row>
    <row r="1711" spans="24:24">
      <c r="X1711" t="s">
        <v>2093</v>
      </c>
    </row>
    <row r="1712" spans="24:24">
      <c r="X1712" t="s">
        <v>2094</v>
      </c>
    </row>
    <row r="1713" spans="24:24">
      <c r="X1713" t="s">
        <v>2095</v>
      </c>
    </row>
    <row r="1714" spans="24:24">
      <c r="X1714" t="s">
        <v>2096</v>
      </c>
    </row>
    <row r="1715" spans="24:24">
      <c r="X1715" t="s">
        <v>2097</v>
      </c>
    </row>
    <row r="1716" spans="24:24">
      <c r="X1716" t="s">
        <v>346</v>
      </c>
    </row>
    <row r="1717" spans="24:24">
      <c r="X1717" t="s">
        <v>2098</v>
      </c>
    </row>
    <row r="1718" spans="24:24">
      <c r="X1718" t="s">
        <v>2099</v>
      </c>
    </row>
    <row r="1719" spans="24:24">
      <c r="X1719" t="s">
        <v>2100</v>
      </c>
    </row>
    <row r="1720" spans="24:24">
      <c r="X1720" t="s">
        <v>2101</v>
      </c>
    </row>
    <row r="1721" spans="24:24">
      <c r="X1721" t="s">
        <v>2102</v>
      </c>
    </row>
    <row r="1722" spans="24:24">
      <c r="X1722" t="s">
        <v>351</v>
      </c>
    </row>
    <row r="1723" spans="24:24">
      <c r="X1723" t="s">
        <v>2103</v>
      </c>
    </row>
    <row r="1724" spans="24:24">
      <c r="X1724" t="s">
        <v>2104</v>
      </c>
    </row>
    <row r="1725" spans="24:24">
      <c r="X1725" t="s">
        <v>2105</v>
      </c>
    </row>
    <row r="1726" spans="24:24">
      <c r="X1726" t="s">
        <v>2106</v>
      </c>
    </row>
    <row r="1727" spans="24:24">
      <c r="X1727" t="s">
        <v>2107</v>
      </c>
    </row>
    <row r="1728" spans="24:24">
      <c r="X1728" t="s">
        <v>2108</v>
      </c>
    </row>
    <row r="1729" spans="24:24">
      <c r="X1729" t="s">
        <v>2109</v>
      </c>
    </row>
    <row r="1730" spans="24:24">
      <c r="X1730" t="s">
        <v>2110</v>
      </c>
    </row>
    <row r="1731" spans="24:24">
      <c r="X1731" t="s">
        <v>189</v>
      </c>
    </row>
    <row r="1732" spans="24:24">
      <c r="X1732" t="s">
        <v>2111</v>
      </c>
    </row>
    <row r="1733" spans="24:24">
      <c r="X1733" t="s">
        <v>2112</v>
      </c>
    </row>
    <row r="1734" spans="24:24">
      <c r="X1734" t="s">
        <v>2113</v>
      </c>
    </row>
    <row r="1735" spans="24:24">
      <c r="X1735" t="s">
        <v>2114</v>
      </c>
    </row>
    <row r="1736" spans="24:24">
      <c r="X1736" t="s">
        <v>2115</v>
      </c>
    </row>
    <row r="1737" spans="24:24">
      <c r="X1737" t="s">
        <v>2116</v>
      </c>
    </row>
    <row r="1738" spans="24:24">
      <c r="X1738" t="s">
        <v>2117</v>
      </c>
    </row>
    <row r="1739" spans="24:24">
      <c r="X1739" t="s">
        <v>2118</v>
      </c>
    </row>
    <row r="1740" spans="24:24">
      <c r="X1740" t="s">
        <v>2119</v>
      </c>
    </row>
    <row r="1741" spans="24:24">
      <c r="X1741" t="s">
        <v>2120</v>
      </c>
    </row>
    <row r="1742" spans="24:24">
      <c r="X1742" t="s">
        <v>2121</v>
      </c>
    </row>
    <row r="1743" spans="24:24">
      <c r="X1743" t="s">
        <v>2122</v>
      </c>
    </row>
    <row r="1744" spans="24:24">
      <c r="X1744" t="s">
        <v>2123</v>
      </c>
    </row>
    <row r="1745" spans="24:24">
      <c r="X1745" t="s">
        <v>2124</v>
      </c>
    </row>
    <row r="1746" spans="24:24">
      <c r="X1746" t="s">
        <v>2125</v>
      </c>
    </row>
    <row r="1747" spans="24:24">
      <c r="X1747" t="s">
        <v>2126</v>
      </c>
    </row>
    <row r="1748" spans="24:24">
      <c r="X1748" t="s">
        <v>2127</v>
      </c>
    </row>
    <row r="1749" spans="24:24">
      <c r="X1749" t="s">
        <v>2128</v>
      </c>
    </row>
    <row r="1750" spans="24:24">
      <c r="X1750" t="s">
        <v>2129</v>
      </c>
    </row>
    <row r="1751" spans="24:24">
      <c r="X1751" t="s">
        <v>2130</v>
      </c>
    </row>
    <row r="1752" spans="24:24">
      <c r="X1752" t="s">
        <v>2131</v>
      </c>
    </row>
    <row r="1753" spans="24:24">
      <c r="X1753" t="s">
        <v>2132</v>
      </c>
    </row>
    <row r="1754" spans="24:24">
      <c r="X1754" t="s">
        <v>282</v>
      </c>
    </row>
    <row r="1755" spans="24:24">
      <c r="X1755" t="s">
        <v>2133</v>
      </c>
    </row>
    <row r="1756" spans="24:24">
      <c r="X1756" t="s">
        <v>2134</v>
      </c>
    </row>
    <row r="1757" spans="24:24">
      <c r="X1757" t="s">
        <v>2135</v>
      </c>
    </row>
    <row r="1758" spans="24:24">
      <c r="X1758" t="s">
        <v>2136</v>
      </c>
    </row>
    <row r="1759" spans="24:24">
      <c r="X1759" t="s">
        <v>2137</v>
      </c>
    </row>
    <row r="1760" spans="24:24">
      <c r="X1760" t="s">
        <v>2138</v>
      </c>
    </row>
    <row r="1761" spans="24:24">
      <c r="X1761" t="s">
        <v>2139</v>
      </c>
    </row>
    <row r="1762" spans="24:24">
      <c r="X1762" t="s">
        <v>2140</v>
      </c>
    </row>
    <row r="1763" spans="24:24">
      <c r="X1763" t="s">
        <v>2141</v>
      </c>
    </row>
    <row r="1764" spans="24:24">
      <c r="X1764" t="s">
        <v>2142</v>
      </c>
    </row>
    <row r="1765" spans="24:24">
      <c r="X1765" t="s">
        <v>2143</v>
      </c>
    </row>
    <row r="1766" spans="24:24">
      <c r="X1766" t="s">
        <v>2144</v>
      </c>
    </row>
    <row r="1767" spans="24:24">
      <c r="X1767" t="s">
        <v>2145</v>
      </c>
    </row>
    <row r="1768" spans="24:24">
      <c r="X1768" t="s">
        <v>2146</v>
      </c>
    </row>
    <row r="1769" spans="24:24">
      <c r="X1769" t="s">
        <v>2147</v>
      </c>
    </row>
    <row r="1770" spans="24:24">
      <c r="X1770" t="s">
        <v>2148</v>
      </c>
    </row>
    <row r="1771" spans="24:24">
      <c r="X1771" t="s">
        <v>2149</v>
      </c>
    </row>
    <row r="1772" spans="24:24">
      <c r="X1772" t="s">
        <v>2150</v>
      </c>
    </row>
    <row r="1773" spans="24:24">
      <c r="X1773" t="s">
        <v>2151</v>
      </c>
    </row>
    <row r="1774" spans="24:24">
      <c r="X1774" t="s">
        <v>2152</v>
      </c>
    </row>
    <row r="1775" spans="24:24">
      <c r="X1775" t="s">
        <v>2153</v>
      </c>
    </row>
    <row r="1776" spans="24:24">
      <c r="X1776" t="s">
        <v>2154</v>
      </c>
    </row>
    <row r="1777" spans="24:24">
      <c r="X1777" t="s">
        <v>2155</v>
      </c>
    </row>
    <row r="1778" spans="24:24">
      <c r="X1778" t="s">
        <v>2156</v>
      </c>
    </row>
    <row r="1779" spans="24:24">
      <c r="X1779" t="s">
        <v>2157</v>
      </c>
    </row>
    <row r="1780" spans="24:24">
      <c r="X1780" t="s">
        <v>2158</v>
      </c>
    </row>
    <row r="1781" spans="24:24">
      <c r="X1781" t="s">
        <v>2159</v>
      </c>
    </row>
    <row r="1782" spans="24:24">
      <c r="X1782" t="s">
        <v>2160</v>
      </c>
    </row>
    <row r="1783" spans="24:24">
      <c r="X1783" t="s">
        <v>2161</v>
      </c>
    </row>
    <row r="1784" spans="24:24">
      <c r="X1784" t="s">
        <v>2162</v>
      </c>
    </row>
    <row r="1785" spans="24:24">
      <c r="X1785" t="s">
        <v>2163</v>
      </c>
    </row>
    <row r="1786" spans="24:24">
      <c r="X1786" t="s">
        <v>2164</v>
      </c>
    </row>
    <row r="1787" spans="24:24">
      <c r="X1787" t="s">
        <v>2165</v>
      </c>
    </row>
    <row r="1788" spans="24:24">
      <c r="X1788" t="s">
        <v>2166</v>
      </c>
    </row>
    <row r="1789" spans="24:24">
      <c r="X1789" t="s">
        <v>2167</v>
      </c>
    </row>
    <row r="1790" spans="24:24">
      <c r="X1790" t="s">
        <v>2168</v>
      </c>
    </row>
    <row r="1791" spans="24:24">
      <c r="X1791" t="s">
        <v>120</v>
      </c>
    </row>
    <row r="1792" spans="24:24">
      <c r="X1792" t="s">
        <v>2169</v>
      </c>
    </row>
    <row r="1793" spans="24:24">
      <c r="X1793" t="s">
        <v>2170</v>
      </c>
    </row>
    <row r="1794" spans="24:24">
      <c r="X1794" t="s">
        <v>2171</v>
      </c>
    </row>
    <row r="1795" spans="24:24">
      <c r="X1795" t="s">
        <v>2172</v>
      </c>
    </row>
    <row r="1796" spans="24:24">
      <c r="X1796" t="s">
        <v>2173</v>
      </c>
    </row>
    <row r="1797" spans="24:24">
      <c r="X1797" t="s">
        <v>2174</v>
      </c>
    </row>
    <row r="1798" spans="24:24">
      <c r="X1798" t="s">
        <v>2175</v>
      </c>
    </row>
    <row r="1799" spans="24:24">
      <c r="X1799" t="s">
        <v>2176</v>
      </c>
    </row>
    <row r="1800" spans="24:24">
      <c r="X1800" t="s">
        <v>2177</v>
      </c>
    </row>
    <row r="1801" spans="24:24">
      <c r="X1801" t="s">
        <v>2178</v>
      </c>
    </row>
    <row r="1802" spans="24:24">
      <c r="X1802" t="s">
        <v>2179</v>
      </c>
    </row>
    <row r="1803" spans="24:24">
      <c r="X1803" t="s">
        <v>2180</v>
      </c>
    </row>
    <row r="1804" spans="24:24">
      <c r="X1804" t="s">
        <v>2181</v>
      </c>
    </row>
    <row r="1805" spans="24:24">
      <c r="X1805" t="s">
        <v>2182</v>
      </c>
    </row>
    <row r="1806" spans="24:24">
      <c r="X1806" t="s">
        <v>2183</v>
      </c>
    </row>
    <row r="1807" spans="24:24">
      <c r="X1807" t="s">
        <v>2184</v>
      </c>
    </row>
    <row r="1808" spans="24:24">
      <c r="X1808" t="s">
        <v>2185</v>
      </c>
    </row>
    <row r="1809" spans="24:24">
      <c r="X1809" t="s">
        <v>2186</v>
      </c>
    </row>
    <row r="1810" spans="24:24">
      <c r="X1810" t="s">
        <v>2187</v>
      </c>
    </row>
    <row r="1811" spans="24:24">
      <c r="X1811" t="s">
        <v>2188</v>
      </c>
    </row>
    <row r="1812" spans="24:24">
      <c r="X1812" t="s">
        <v>2182</v>
      </c>
    </row>
    <row r="1813" spans="24:24">
      <c r="X1813" t="s">
        <v>2189</v>
      </c>
    </row>
    <row r="1814" spans="24:24">
      <c r="X1814" t="s">
        <v>2190</v>
      </c>
    </row>
    <row r="1815" spans="24:24">
      <c r="X1815" t="s">
        <v>2191</v>
      </c>
    </row>
    <row r="1816" spans="24:24">
      <c r="X1816" t="s">
        <v>2192</v>
      </c>
    </row>
    <row r="1817" spans="24:24">
      <c r="X1817" t="s">
        <v>2193</v>
      </c>
    </row>
    <row r="1818" spans="24:24">
      <c r="X1818" t="s">
        <v>2194</v>
      </c>
    </row>
    <row r="1819" spans="24:24">
      <c r="X1819" t="s">
        <v>2195</v>
      </c>
    </row>
    <row r="1820" spans="24:24">
      <c r="X1820" t="s">
        <v>2196</v>
      </c>
    </row>
    <row r="1821" spans="24:24">
      <c r="X1821" t="s">
        <v>2197</v>
      </c>
    </row>
    <row r="1822" spans="24:24">
      <c r="X1822" t="s">
        <v>2198</v>
      </c>
    </row>
    <row r="1823" spans="24:24">
      <c r="X1823" t="s">
        <v>2199</v>
      </c>
    </row>
    <row r="1824" spans="24:24">
      <c r="X1824" t="s">
        <v>2200</v>
      </c>
    </row>
    <row r="1825" spans="24:24">
      <c r="X1825" t="s">
        <v>2201</v>
      </c>
    </row>
    <row r="1826" spans="24:24">
      <c r="X1826" t="s">
        <v>2202</v>
      </c>
    </row>
    <row r="1827" spans="24:24">
      <c r="X1827" t="s">
        <v>2203</v>
      </c>
    </row>
    <row r="1828" spans="24:24">
      <c r="X1828" t="s">
        <v>2204</v>
      </c>
    </row>
    <row r="1829" spans="24:24">
      <c r="X1829" t="s">
        <v>2205</v>
      </c>
    </row>
    <row r="1830" spans="24:24">
      <c r="X1830" t="s">
        <v>2206</v>
      </c>
    </row>
    <row r="1831" spans="24:24">
      <c r="X1831" t="s">
        <v>2207</v>
      </c>
    </row>
    <row r="1832" spans="24:24">
      <c r="X1832" t="s">
        <v>2091</v>
      </c>
    </row>
    <row r="1833" spans="24:24">
      <c r="X1833" t="s">
        <v>2208</v>
      </c>
    </row>
    <row r="1834" spans="24:24">
      <c r="X1834" t="s">
        <v>29</v>
      </c>
    </row>
    <row r="1835" spans="24:24">
      <c r="X1835" t="s">
        <v>2209</v>
      </c>
    </row>
    <row r="1836" spans="24:24">
      <c r="X1836" t="s">
        <v>2210</v>
      </c>
    </row>
    <row r="1837" spans="24:24">
      <c r="X1837" t="s">
        <v>2211</v>
      </c>
    </row>
    <row r="1838" spans="24:24">
      <c r="X1838" t="s">
        <v>2212</v>
      </c>
    </row>
    <row r="1839" spans="24:24">
      <c r="X1839" t="s">
        <v>2213</v>
      </c>
    </row>
    <row r="1840" spans="24:24">
      <c r="X1840" t="s">
        <v>2214</v>
      </c>
    </row>
    <row r="1841" spans="24:24">
      <c r="X1841" t="s">
        <v>2215</v>
      </c>
    </row>
    <row r="1842" spans="24:24">
      <c r="X1842" t="s">
        <v>2216</v>
      </c>
    </row>
    <row r="1843" spans="24:24">
      <c r="X1843" t="s">
        <v>2217</v>
      </c>
    </row>
    <row r="1844" spans="24:24">
      <c r="X1844" t="s">
        <v>2218</v>
      </c>
    </row>
    <row r="1845" spans="24:24">
      <c r="X1845" t="s">
        <v>2219</v>
      </c>
    </row>
    <row r="1846" spans="24:24">
      <c r="X1846" t="s">
        <v>2220</v>
      </c>
    </row>
    <row r="1847" spans="24:24">
      <c r="X1847" t="s">
        <v>2221</v>
      </c>
    </row>
    <row r="1848" spans="24:24">
      <c r="X1848" t="s">
        <v>2222</v>
      </c>
    </row>
    <row r="1849" spans="24:24">
      <c r="X1849" t="s">
        <v>2223</v>
      </c>
    </row>
    <row r="1850" spans="24:24">
      <c r="X1850" t="s">
        <v>2224</v>
      </c>
    </row>
    <row r="1851" spans="24:24">
      <c r="X1851" t="s">
        <v>2225</v>
      </c>
    </row>
    <row r="1852" spans="24:24">
      <c r="X1852" t="s">
        <v>2226</v>
      </c>
    </row>
    <row r="1853" spans="24:24">
      <c r="X1853" t="s">
        <v>2227</v>
      </c>
    </row>
    <row r="1854" spans="24:24">
      <c r="X1854" t="s">
        <v>2228</v>
      </c>
    </row>
    <row r="1855" spans="24:24">
      <c r="X1855" t="s">
        <v>2229</v>
      </c>
    </row>
    <row r="1856" spans="24:24">
      <c r="X1856" t="s">
        <v>2230</v>
      </c>
    </row>
    <row r="1857" spans="24:24">
      <c r="X1857" t="s">
        <v>429</v>
      </c>
    </row>
    <row r="1858" spans="24:24">
      <c r="X1858" t="s">
        <v>2231</v>
      </c>
    </row>
    <row r="1859" spans="24:24">
      <c r="X1859" t="s">
        <v>2232</v>
      </c>
    </row>
    <row r="1860" spans="24:24">
      <c r="X1860" t="s">
        <v>2233</v>
      </c>
    </row>
    <row r="1861" spans="24:24">
      <c r="X1861" t="s">
        <v>2234</v>
      </c>
    </row>
    <row r="1862" spans="24:24">
      <c r="X1862" t="s">
        <v>2235</v>
      </c>
    </row>
    <row r="1863" spans="24:24">
      <c r="X1863" t="s">
        <v>2061</v>
      </c>
    </row>
    <row r="1864" spans="24:24">
      <c r="X1864" t="s">
        <v>2236</v>
      </c>
    </row>
    <row r="1865" spans="24:24">
      <c r="X1865" t="s">
        <v>2237</v>
      </c>
    </row>
    <row r="1866" spans="24:24">
      <c r="X1866" t="s">
        <v>2238</v>
      </c>
    </row>
    <row r="1867" spans="24:24">
      <c r="X1867" t="s">
        <v>312</v>
      </c>
    </row>
    <row r="1868" spans="24:24">
      <c r="X1868" t="s">
        <v>2239</v>
      </c>
    </row>
    <row r="1869" spans="24:24">
      <c r="X1869" t="s">
        <v>370</v>
      </c>
    </row>
    <row r="1870" spans="24:24">
      <c r="X1870" t="s">
        <v>2240</v>
      </c>
    </row>
    <row r="1871" spans="24:24">
      <c r="X1871" t="s">
        <v>2241</v>
      </c>
    </row>
    <row r="1872" spans="24:24">
      <c r="X1872" t="s">
        <v>2242</v>
      </c>
    </row>
    <row r="1873" spans="24:24">
      <c r="X1873" t="s">
        <v>2243</v>
      </c>
    </row>
    <row r="1874" spans="24:24">
      <c r="X1874" t="s">
        <v>2244</v>
      </c>
    </row>
    <row r="1875" spans="24:24">
      <c r="X1875" t="s">
        <v>2245</v>
      </c>
    </row>
    <row r="1876" spans="24:24">
      <c r="X1876" t="s">
        <v>2246</v>
      </c>
    </row>
    <row r="1877" spans="24:24">
      <c r="X1877" t="s">
        <v>2247</v>
      </c>
    </row>
    <row r="1878" spans="24:24">
      <c r="X1878" t="s">
        <v>2248</v>
      </c>
    </row>
    <row r="1879" spans="24:24">
      <c r="X1879" t="s">
        <v>2249</v>
      </c>
    </row>
    <row r="1880" spans="24:24">
      <c r="X1880" t="s">
        <v>2250</v>
      </c>
    </row>
    <row r="1881" spans="24:24">
      <c r="X1881" t="s">
        <v>2251</v>
      </c>
    </row>
    <row r="1882" spans="24:24">
      <c r="X1882" t="s">
        <v>2252</v>
      </c>
    </row>
    <row r="1883" spans="24:24">
      <c r="X1883" t="s">
        <v>2253</v>
      </c>
    </row>
    <row r="1884" spans="24:24">
      <c r="X1884" t="s">
        <v>2254</v>
      </c>
    </row>
    <row r="1885" spans="24:24">
      <c r="X1885" t="s">
        <v>2255</v>
      </c>
    </row>
    <row r="1886" spans="24:24">
      <c r="X1886" t="s">
        <v>2256</v>
      </c>
    </row>
    <row r="1887" spans="24:24">
      <c r="X1887" t="s">
        <v>2257</v>
      </c>
    </row>
    <row r="1888" spans="24:24">
      <c r="X1888" t="s">
        <v>2258</v>
      </c>
    </row>
    <row r="1889" spans="24:24">
      <c r="X1889" t="s">
        <v>2259</v>
      </c>
    </row>
    <row r="1890" spans="24:24">
      <c r="X1890" t="s">
        <v>2260</v>
      </c>
    </row>
    <row r="1891" spans="24:24">
      <c r="X1891" t="s">
        <v>2261</v>
      </c>
    </row>
    <row r="1892" spans="24:24">
      <c r="X1892" t="s">
        <v>2262</v>
      </c>
    </row>
    <row r="1893" spans="24:24">
      <c r="X1893" t="s">
        <v>2263</v>
      </c>
    </row>
    <row r="1894" spans="24:24">
      <c r="X1894" t="s">
        <v>2264</v>
      </c>
    </row>
    <row r="1895" spans="24:24">
      <c r="X1895" t="s">
        <v>2265</v>
      </c>
    </row>
    <row r="1896" spans="24:24">
      <c r="X1896" t="s">
        <v>2266</v>
      </c>
    </row>
    <row r="1897" spans="24:24">
      <c r="X1897" t="s">
        <v>2267</v>
      </c>
    </row>
    <row r="1898" spans="24:24">
      <c r="X1898" t="s">
        <v>2268</v>
      </c>
    </row>
    <row r="1899" spans="24:24">
      <c r="X1899" t="s">
        <v>2269</v>
      </c>
    </row>
    <row r="1900" spans="24:24">
      <c r="X1900" t="s">
        <v>2270</v>
      </c>
    </row>
    <row r="1901" spans="24:24">
      <c r="X1901" t="s">
        <v>2271</v>
      </c>
    </row>
    <row r="1902" spans="24:24">
      <c r="X1902" t="s">
        <v>2272</v>
      </c>
    </row>
    <row r="1903" spans="24:24">
      <c r="X1903" t="s">
        <v>2273</v>
      </c>
    </row>
    <row r="1904" spans="24:24">
      <c r="X1904" t="s">
        <v>2274</v>
      </c>
    </row>
    <row r="1905" spans="24:24">
      <c r="X1905" t="s">
        <v>2275</v>
      </c>
    </row>
    <row r="1906" spans="24:24">
      <c r="X1906" t="s">
        <v>2276</v>
      </c>
    </row>
    <row r="1907" spans="24:24">
      <c r="X1907" t="s">
        <v>2277</v>
      </c>
    </row>
    <row r="1908" spans="24:24">
      <c r="X1908" t="s">
        <v>2278</v>
      </c>
    </row>
    <row r="1909" spans="24:24">
      <c r="X1909" t="s">
        <v>2279</v>
      </c>
    </row>
    <row r="1910" spans="24:24">
      <c r="X1910" t="s">
        <v>2280</v>
      </c>
    </row>
    <row r="1911" spans="24:24">
      <c r="X1911" t="s">
        <v>2281</v>
      </c>
    </row>
    <row r="1912" spans="24:24">
      <c r="X1912" t="s">
        <v>2282</v>
      </c>
    </row>
    <row r="1913" spans="24:24">
      <c r="X1913" t="s">
        <v>2283</v>
      </c>
    </row>
    <row r="1914" spans="24:24">
      <c r="X1914" t="s">
        <v>2284</v>
      </c>
    </row>
    <row r="1915" spans="24:24">
      <c r="X1915" t="s">
        <v>2285</v>
      </c>
    </row>
    <row r="1916" spans="24:24">
      <c r="X1916" t="s">
        <v>2286</v>
      </c>
    </row>
    <row r="1917" spans="24:24">
      <c r="X1917" t="s">
        <v>2287</v>
      </c>
    </row>
    <row r="1918" spans="24:24">
      <c r="X1918" t="s">
        <v>2288</v>
      </c>
    </row>
    <row r="1919" spans="24:24">
      <c r="X1919" t="s">
        <v>2289</v>
      </c>
    </row>
    <row r="1920" spans="24:24">
      <c r="X1920" t="s">
        <v>2290</v>
      </c>
    </row>
    <row r="1921" spans="24:24">
      <c r="X1921" t="s">
        <v>2291</v>
      </c>
    </row>
    <row r="1922" spans="24:24">
      <c r="X1922" t="s">
        <v>2292</v>
      </c>
    </row>
    <row r="1923" spans="24:24">
      <c r="X1923" t="s">
        <v>2293</v>
      </c>
    </row>
    <row r="1924" spans="24:24">
      <c r="X1924" t="s">
        <v>2294</v>
      </c>
    </row>
    <row r="1925" spans="24:24">
      <c r="X1925" t="s">
        <v>2295</v>
      </c>
    </row>
    <row r="1926" spans="24:24">
      <c r="X1926" t="s">
        <v>2296</v>
      </c>
    </row>
    <row r="1927" spans="24:24">
      <c r="X1927" t="s">
        <v>212</v>
      </c>
    </row>
    <row r="1928" spans="24:24">
      <c r="X1928" t="s">
        <v>2297</v>
      </c>
    </row>
    <row r="1929" spans="24:24">
      <c r="X1929" t="s">
        <v>2298</v>
      </c>
    </row>
    <row r="1930" spans="24:24">
      <c r="X1930" t="s">
        <v>2299</v>
      </c>
    </row>
    <row r="1931" spans="24:24">
      <c r="X1931" t="s">
        <v>2300</v>
      </c>
    </row>
    <row r="1932" spans="24:24">
      <c r="X1932" t="s">
        <v>2301</v>
      </c>
    </row>
    <row r="1933" spans="24:24">
      <c r="X1933" t="s">
        <v>2302</v>
      </c>
    </row>
    <row r="1934" spans="24:24">
      <c r="X1934" t="s">
        <v>2303</v>
      </c>
    </row>
    <row r="1935" spans="24:24">
      <c r="X1935" t="s">
        <v>2304</v>
      </c>
    </row>
    <row r="1936" spans="24:24">
      <c r="X1936" t="s">
        <v>2305</v>
      </c>
    </row>
    <row r="1937" spans="24:24">
      <c r="X1937" t="s">
        <v>2306</v>
      </c>
    </row>
    <row r="1938" spans="24:24">
      <c r="X1938" t="s">
        <v>2307</v>
      </c>
    </row>
    <row r="1939" spans="24:24">
      <c r="X1939" t="s">
        <v>2308</v>
      </c>
    </row>
    <row r="1940" spans="24:24">
      <c r="X1940" t="s">
        <v>2309</v>
      </c>
    </row>
    <row r="1941" spans="24:24">
      <c r="X1941" t="s">
        <v>107</v>
      </c>
    </row>
    <row r="1942" spans="24:24">
      <c r="X1942" t="s">
        <v>2310</v>
      </c>
    </row>
    <row r="1943" spans="24:24">
      <c r="X1943" t="s">
        <v>2311</v>
      </c>
    </row>
    <row r="1944" spans="24:24">
      <c r="X1944" t="s">
        <v>2312</v>
      </c>
    </row>
    <row r="1945" spans="24:24">
      <c r="X1945" t="s">
        <v>2313</v>
      </c>
    </row>
    <row r="1946" spans="24:24">
      <c r="X1946" t="s">
        <v>2314</v>
      </c>
    </row>
    <row r="1947" spans="24:24">
      <c r="X1947" t="s">
        <v>2315</v>
      </c>
    </row>
    <row r="1948" spans="24:24">
      <c r="X1948" t="s">
        <v>2316</v>
      </c>
    </row>
    <row r="1949" spans="24:24">
      <c r="X1949" t="s">
        <v>2317</v>
      </c>
    </row>
    <row r="1950" spans="24:24">
      <c r="X1950" t="s">
        <v>2318</v>
      </c>
    </row>
    <row r="1951" spans="24:24">
      <c r="X1951" t="s">
        <v>2319</v>
      </c>
    </row>
    <row r="1952" spans="24:24">
      <c r="X1952" t="s">
        <v>2320</v>
      </c>
    </row>
    <row r="1953" spans="24:24">
      <c r="X1953" t="s">
        <v>2321</v>
      </c>
    </row>
    <row r="1954" spans="24:24">
      <c r="X1954" t="s">
        <v>2322</v>
      </c>
    </row>
    <row r="1955" spans="24:24">
      <c r="X1955" t="s">
        <v>2323</v>
      </c>
    </row>
    <row r="1956" spans="24:24">
      <c r="X1956" t="s">
        <v>1839</v>
      </c>
    </row>
    <row r="1957" spans="24:24">
      <c r="X1957" t="s">
        <v>2324</v>
      </c>
    </row>
    <row r="1958" spans="24:24">
      <c r="X1958" t="s">
        <v>2325</v>
      </c>
    </row>
    <row r="1959" spans="24:24">
      <c r="X1959" t="s">
        <v>2326</v>
      </c>
    </row>
    <row r="1960" spans="24:24">
      <c r="X1960" t="s">
        <v>2327</v>
      </c>
    </row>
    <row r="1961" spans="24:24">
      <c r="X1961" t="s">
        <v>2328</v>
      </c>
    </row>
    <row r="1962" spans="24:24">
      <c r="X1962" t="s">
        <v>2329</v>
      </c>
    </row>
    <row r="1963" spans="24:24">
      <c r="X1963" t="s">
        <v>2330</v>
      </c>
    </row>
    <row r="1964" spans="24:24">
      <c r="X1964" t="s">
        <v>2331</v>
      </c>
    </row>
    <row r="1965" spans="24:24">
      <c r="X1965" t="s">
        <v>2332</v>
      </c>
    </row>
    <row r="1966" spans="24:24">
      <c r="X1966" t="s">
        <v>2333</v>
      </c>
    </row>
    <row r="1967" spans="24:24">
      <c r="X1967" t="s">
        <v>2334</v>
      </c>
    </row>
    <row r="1968" spans="24:24">
      <c r="X1968" t="s">
        <v>2335</v>
      </c>
    </row>
    <row r="1969" spans="24:24">
      <c r="X1969" t="s">
        <v>2336</v>
      </c>
    </row>
    <row r="1970" spans="24:24">
      <c r="X1970" t="s">
        <v>2337</v>
      </c>
    </row>
    <row r="1971" spans="24:24">
      <c r="X1971" t="s">
        <v>2338</v>
      </c>
    </row>
    <row r="1972" spans="24:24">
      <c r="X1972" t="s">
        <v>2339</v>
      </c>
    </row>
    <row r="1973" spans="24:24">
      <c r="X1973" t="s">
        <v>2340</v>
      </c>
    </row>
    <row r="1974" spans="24:24">
      <c r="X1974" t="s">
        <v>2341</v>
      </c>
    </row>
    <row r="1975" spans="24:24">
      <c r="X1975" t="s">
        <v>2342</v>
      </c>
    </row>
    <row r="1976" spans="24:24">
      <c r="X1976" t="s">
        <v>2343</v>
      </c>
    </row>
    <row r="1977" spans="24:24">
      <c r="X1977" t="s">
        <v>2344</v>
      </c>
    </row>
    <row r="1978" spans="24:24">
      <c r="X1978" t="s">
        <v>2345</v>
      </c>
    </row>
    <row r="1979" spans="24:24">
      <c r="X1979" t="s">
        <v>235</v>
      </c>
    </row>
    <row r="1980" spans="24:24">
      <c r="X1980" t="s">
        <v>2346</v>
      </c>
    </row>
    <row r="1981" spans="24:24">
      <c r="X1981" t="s">
        <v>2347</v>
      </c>
    </row>
    <row r="1982" spans="24:24">
      <c r="X1982" t="s">
        <v>2348</v>
      </c>
    </row>
    <row r="1983" spans="24:24">
      <c r="X1983" t="s">
        <v>293</v>
      </c>
    </row>
    <row r="1984" spans="24:24">
      <c r="X1984" t="s">
        <v>2349</v>
      </c>
    </row>
    <row r="1985" spans="24:24">
      <c r="X1985" t="s">
        <v>2350</v>
      </c>
    </row>
    <row r="1986" spans="24:24">
      <c r="X1986" t="s">
        <v>2351</v>
      </c>
    </row>
    <row r="1987" spans="24:24">
      <c r="X1987" t="s">
        <v>2352</v>
      </c>
    </row>
    <row r="1988" spans="24:24">
      <c r="X1988" t="s">
        <v>274</v>
      </c>
    </row>
    <row r="1989" spans="24:24">
      <c r="X1989" t="s">
        <v>2353</v>
      </c>
    </row>
    <row r="1990" spans="24:24">
      <c r="X1990" t="s">
        <v>2354</v>
      </c>
    </row>
    <row r="1991" spans="24:24">
      <c r="X1991" t="s">
        <v>2355</v>
      </c>
    </row>
    <row r="1992" spans="24:24">
      <c r="X1992" t="s">
        <v>2356</v>
      </c>
    </row>
    <row r="1993" spans="24:24">
      <c r="X1993" t="s">
        <v>2357</v>
      </c>
    </row>
    <row r="1994" spans="24:24">
      <c r="X1994" t="s">
        <v>2358</v>
      </c>
    </row>
    <row r="1995" spans="24:24">
      <c r="X1995" t="s">
        <v>2359</v>
      </c>
    </row>
    <row r="1996" spans="24:24">
      <c r="X1996" t="s">
        <v>2360</v>
      </c>
    </row>
    <row r="1997" spans="24:24">
      <c r="X1997" t="s">
        <v>2361</v>
      </c>
    </row>
    <row r="1998" spans="24:24">
      <c r="X1998" t="s">
        <v>2362</v>
      </c>
    </row>
    <row r="1999" spans="24:24">
      <c r="X1999" t="s">
        <v>2363</v>
      </c>
    </row>
    <row r="2000" spans="24:24">
      <c r="X2000" t="s">
        <v>2364</v>
      </c>
    </row>
    <row r="2001" spans="24:24">
      <c r="X2001" t="s">
        <v>2365</v>
      </c>
    </row>
    <row r="2002" spans="24:24">
      <c r="X2002" t="s">
        <v>2366</v>
      </c>
    </row>
    <row r="2003" spans="24:24">
      <c r="X2003" t="s">
        <v>2367</v>
      </c>
    </row>
    <row r="2004" spans="24:24">
      <c r="X2004" t="s">
        <v>2368</v>
      </c>
    </row>
    <row r="2005" spans="24:24">
      <c r="X2005" t="s">
        <v>2369</v>
      </c>
    </row>
    <row r="2006" spans="24:24">
      <c r="X2006" t="s">
        <v>2370</v>
      </c>
    </row>
    <row r="2007" spans="24:24">
      <c r="X2007" t="s">
        <v>2371</v>
      </c>
    </row>
    <row r="2008" spans="24:24">
      <c r="X2008" t="s">
        <v>2372</v>
      </c>
    </row>
    <row r="2009" spans="24:24">
      <c r="X2009" t="s">
        <v>2373</v>
      </c>
    </row>
    <row r="2010" spans="24:24">
      <c r="X2010" t="s">
        <v>2374</v>
      </c>
    </row>
    <row r="2011" spans="24:24">
      <c r="X2011" t="s">
        <v>2375</v>
      </c>
    </row>
    <row r="2012" spans="24:24">
      <c r="X2012" t="s">
        <v>2376</v>
      </c>
    </row>
    <row r="2013" spans="24:24">
      <c r="X2013" t="s">
        <v>2377</v>
      </c>
    </row>
    <row r="2014" spans="24:24">
      <c r="X2014" t="s">
        <v>2378</v>
      </c>
    </row>
    <row r="2015" spans="24:24">
      <c r="X2015" t="s">
        <v>2379</v>
      </c>
    </row>
    <row r="2016" spans="24:24">
      <c r="X2016" t="s">
        <v>2380</v>
      </c>
    </row>
    <row r="2017" spans="24:24">
      <c r="X2017" t="s">
        <v>2381</v>
      </c>
    </row>
    <row r="2018" spans="24:24">
      <c r="X2018" t="s">
        <v>2382</v>
      </c>
    </row>
    <row r="2019" spans="24:24">
      <c r="X2019" t="s">
        <v>2383</v>
      </c>
    </row>
    <row r="2020" spans="24:24">
      <c r="X2020" t="s">
        <v>2384</v>
      </c>
    </row>
    <row r="2021" spans="24:24">
      <c r="X2021" t="s">
        <v>329</v>
      </c>
    </row>
    <row r="2022" spans="24:24">
      <c r="X2022" t="s">
        <v>2385</v>
      </c>
    </row>
    <row r="2023" spans="24:24">
      <c r="X2023" t="s">
        <v>2386</v>
      </c>
    </row>
    <row r="2024" spans="24:24">
      <c r="X2024" t="s">
        <v>2387</v>
      </c>
    </row>
    <row r="2025" spans="24:24">
      <c r="X2025" t="s">
        <v>2388</v>
      </c>
    </row>
    <row r="2026" spans="24:24">
      <c r="X2026" t="s">
        <v>2389</v>
      </c>
    </row>
    <row r="2027" spans="24:24">
      <c r="X2027" t="s">
        <v>2390</v>
      </c>
    </row>
    <row r="2028" spans="24:24">
      <c r="X2028" t="s">
        <v>2391</v>
      </c>
    </row>
    <row r="2029" spans="24:24">
      <c r="X2029" t="s">
        <v>2392</v>
      </c>
    </row>
    <row r="2030" spans="24:24">
      <c r="X2030" t="s">
        <v>2393</v>
      </c>
    </row>
    <row r="2031" spans="24:24">
      <c r="X2031" t="s">
        <v>2394</v>
      </c>
    </row>
    <row r="2032" spans="24:24">
      <c r="X2032" t="s">
        <v>2395</v>
      </c>
    </row>
    <row r="2033" spans="24:24">
      <c r="X2033" t="s">
        <v>2396</v>
      </c>
    </row>
    <row r="2034" spans="24:24">
      <c r="X2034" t="s">
        <v>425</v>
      </c>
    </row>
    <row r="2035" spans="24:24">
      <c r="X2035" t="s">
        <v>2397</v>
      </c>
    </row>
    <row r="2036" spans="24:24">
      <c r="X2036" t="s">
        <v>2398</v>
      </c>
    </row>
    <row r="2037" spans="24:24">
      <c r="X2037" t="s">
        <v>2399</v>
      </c>
    </row>
    <row r="2038" spans="24:24">
      <c r="X2038" t="s">
        <v>2400</v>
      </c>
    </row>
    <row r="2039" spans="24:24">
      <c r="X2039" t="s">
        <v>2401</v>
      </c>
    </row>
    <row r="2040" spans="24:24">
      <c r="X2040" t="s">
        <v>2402</v>
      </c>
    </row>
    <row r="2041" spans="24:24">
      <c r="X2041" t="s">
        <v>2403</v>
      </c>
    </row>
    <row r="2042" spans="24:24">
      <c r="X2042" t="s">
        <v>2404</v>
      </c>
    </row>
    <row r="2043" spans="24:24">
      <c r="X2043" t="s">
        <v>2405</v>
      </c>
    </row>
    <row r="2044" spans="24:24">
      <c r="X2044" t="s">
        <v>2406</v>
      </c>
    </row>
    <row r="2045" spans="24:24">
      <c r="X2045" t="s">
        <v>2407</v>
      </c>
    </row>
    <row r="2046" spans="24:24">
      <c r="X2046" t="s">
        <v>2408</v>
      </c>
    </row>
    <row r="2047" spans="24:24">
      <c r="X2047" t="s">
        <v>2409</v>
      </c>
    </row>
    <row r="2048" spans="24:24">
      <c r="X2048" t="s">
        <v>2410</v>
      </c>
    </row>
    <row r="2049" spans="24:24">
      <c r="X2049" t="s">
        <v>2411</v>
      </c>
    </row>
    <row r="2050" spans="24:24">
      <c r="X2050" t="s">
        <v>2412</v>
      </c>
    </row>
    <row r="2051" spans="24:24">
      <c r="X2051" t="s">
        <v>2413</v>
      </c>
    </row>
    <row r="2052" spans="24:24">
      <c r="X2052" t="s">
        <v>2414</v>
      </c>
    </row>
    <row r="2053" spans="24:24">
      <c r="X2053" t="s">
        <v>2415</v>
      </c>
    </row>
    <row r="2054" spans="24:24">
      <c r="X2054" t="s">
        <v>2416</v>
      </c>
    </row>
    <row r="2055" spans="24:24">
      <c r="X2055" t="s">
        <v>2417</v>
      </c>
    </row>
    <row r="2056" spans="24:24">
      <c r="X2056" t="s">
        <v>2418</v>
      </c>
    </row>
    <row r="2057" spans="24:24">
      <c r="X2057" t="s">
        <v>2419</v>
      </c>
    </row>
    <row r="2058" spans="24:24">
      <c r="X2058" t="s">
        <v>2420</v>
      </c>
    </row>
    <row r="2059" spans="24:24">
      <c r="X2059" t="s">
        <v>2421</v>
      </c>
    </row>
    <row r="2060" spans="24:24">
      <c r="X2060" t="s">
        <v>2422</v>
      </c>
    </row>
    <row r="2061" spans="24:24">
      <c r="X2061" t="s">
        <v>2423</v>
      </c>
    </row>
    <row r="2062" spans="24:24">
      <c r="X2062" t="s">
        <v>2424</v>
      </c>
    </row>
    <row r="2063" spans="24:24">
      <c r="X2063" t="s">
        <v>2425</v>
      </c>
    </row>
    <row r="2064" spans="24:24">
      <c r="X2064" t="s">
        <v>1782</v>
      </c>
    </row>
    <row r="2065" spans="24:24">
      <c r="X2065" t="s">
        <v>2426</v>
      </c>
    </row>
    <row r="2066" spans="24:24">
      <c r="X2066" t="s">
        <v>2427</v>
      </c>
    </row>
    <row r="2067" spans="24:24">
      <c r="X2067" t="s">
        <v>2428</v>
      </c>
    </row>
    <row r="2068" spans="24:24">
      <c r="X2068" t="s">
        <v>2429</v>
      </c>
    </row>
    <row r="2069" spans="24:24">
      <c r="X2069" t="s">
        <v>2430</v>
      </c>
    </row>
    <row r="2070" spans="24:24">
      <c r="X2070" t="s">
        <v>2431</v>
      </c>
    </row>
    <row r="2071" spans="24:24">
      <c r="X2071" t="s">
        <v>2432</v>
      </c>
    </row>
    <row r="2072" spans="24:24">
      <c r="X2072" t="s">
        <v>2433</v>
      </c>
    </row>
    <row r="2073" spans="24:24">
      <c r="X2073" t="s">
        <v>2434</v>
      </c>
    </row>
    <row r="2074" spans="24:24">
      <c r="X2074" t="s">
        <v>2435</v>
      </c>
    </row>
    <row r="2075" spans="24:24">
      <c r="X2075" t="s">
        <v>2436</v>
      </c>
    </row>
    <row r="2076" spans="24:24">
      <c r="X2076" t="s">
        <v>2437</v>
      </c>
    </row>
    <row r="2077" spans="24:24">
      <c r="X2077" t="s">
        <v>317</v>
      </c>
    </row>
    <row r="2078" spans="24:24">
      <c r="X2078" t="s">
        <v>2438</v>
      </c>
    </row>
    <row r="2079" spans="24:24">
      <c r="X2079" t="s">
        <v>146</v>
      </c>
    </row>
    <row r="2080" spans="24:24">
      <c r="X2080" t="s">
        <v>2439</v>
      </c>
    </row>
    <row r="2081" spans="24:24">
      <c r="X2081" t="s">
        <v>2440</v>
      </c>
    </row>
    <row r="2082" spans="24:24">
      <c r="X2082" t="s">
        <v>2441</v>
      </c>
    </row>
    <row r="2083" spans="24:24">
      <c r="X2083" t="s">
        <v>2442</v>
      </c>
    </row>
    <row r="2084" spans="24:24">
      <c r="X2084" t="s">
        <v>2443</v>
      </c>
    </row>
    <row r="2085" spans="24:24">
      <c r="X2085" t="s">
        <v>2444</v>
      </c>
    </row>
    <row r="2086" spans="24:24">
      <c r="X2086" t="s">
        <v>2445</v>
      </c>
    </row>
    <row r="2087" spans="24:24">
      <c r="X2087" t="s">
        <v>2446</v>
      </c>
    </row>
    <row r="2088" spans="24:24">
      <c r="X2088" t="s">
        <v>2447</v>
      </c>
    </row>
    <row r="2089" spans="24:24">
      <c r="X2089" t="s">
        <v>2448</v>
      </c>
    </row>
    <row r="2090" spans="24:24">
      <c r="X2090" t="s">
        <v>2449</v>
      </c>
    </row>
    <row r="2091" spans="24:24">
      <c r="X2091" t="s">
        <v>2450</v>
      </c>
    </row>
    <row r="2092" spans="24:24">
      <c r="X2092" t="s">
        <v>2451</v>
      </c>
    </row>
    <row r="2093" spans="24:24">
      <c r="X2093" t="s">
        <v>2452</v>
      </c>
    </row>
    <row r="2094" spans="24:24">
      <c r="X2094" t="s">
        <v>2453</v>
      </c>
    </row>
    <row r="2095" spans="24:24">
      <c r="X2095" t="s">
        <v>2454</v>
      </c>
    </row>
    <row r="2096" spans="24:24">
      <c r="X2096" t="s">
        <v>199</v>
      </c>
    </row>
    <row r="2097" spans="24:24">
      <c r="X2097" t="s">
        <v>2455</v>
      </c>
    </row>
    <row r="2098" spans="24:24">
      <c r="X2098" t="s">
        <v>2456</v>
      </c>
    </row>
    <row r="2099" spans="24:24">
      <c r="X2099" t="s">
        <v>71</v>
      </c>
    </row>
    <row r="2100" spans="24:24">
      <c r="X2100" t="s">
        <v>2457</v>
      </c>
    </row>
    <row r="2101" spans="24:24">
      <c r="X2101" t="s">
        <v>2458</v>
      </c>
    </row>
    <row r="2102" spans="24:24">
      <c r="X2102" t="s">
        <v>2459</v>
      </c>
    </row>
    <row r="2103" spans="24:24">
      <c r="X2103" t="s">
        <v>2460</v>
      </c>
    </row>
    <row r="2104" spans="24:24">
      <c r="X2104" t="s">
        <v>2461</v>
      </c>
    </row>
    <row r="2105" spans="24:24">
      <c r="X2105" t="s">
        <v>2462</v>
      </c>
    </row>
    <row r="2106" spans="24:24">
      <c r="X2106" t="s">
        <v>2463</v>
      </c>
    </row>
    <row r="2107" spans="24:24">
      <c r="X2107" t="s">
        <v>2464</v>
      </c>
    </row>
    <row r="2108" spans="24:24">
      <c r="X2108" t="s">
        <v>2465</v>
      </c>
    </row>
    <row r="2109" spans="24:24">
      <c r="X2109" t="s">
        <v>2466</v>
      </c>
    </row>
    <row r="2110" spans="24:24">
      <c r="X2110" t="s">
        <v>2467</v>
      </c>
    </row>
    <row r="2111" spans="24:24">
      <c r="X2111" t="s">
        <v>2468</v>
      </c>
    </row>
    <row r="2112" spans="24:24">
      <c r="X2112" t="s">
        <v>2469</v>
      </c>
    </row>
    <row r="2113" spans="24:24">
      <c r="X2113" t="s">
        <v>64</v>
      </c>
    </row>
    <row r="2114" spans="24:24">
      <c r="X2114" t="s">
        <v>2470</v>
      </c>
    </row>
    <row r="2115" spans="24:24">
      <c r="X2115" t="s">
        <v>2471</v>
      </c>
    </row>
    <row r="2116" spans="24:24">
      <c r="X2116" t="s">
        <v>2472</v>
      </c>
    </row>
    <row r="2117" spans="24:24">
      <c r="X2117" t="s">
        <v>2473</v>
      </c>
    </row>
    <row r="2118" spans="24:24">
      <c r="X2118" t="s">
        <v>2474</v>
      </c>
    </row>
    <row r="2119" spans="24:24">
      <c r="X2119" t="s">
        <v>2475</v>
      </c>
    </row>
    <row r="2120" spans="24:24">
      <c r="X2120" t="s">
        <v>2476</v>
      </c>
    </row>
    <row r="2121" spans="24:24">
      <c r="X2121" t="s">
        <v>1259</v>
      </c>
    </row>
    <row r="2122" spans="24:24">
      <c r="X2122" t="s">
        <v>2477</v>
      </c>
    </row>
    <row r="2123" spans="24:24">
      <c r="X2123" t="s">
        <v>2478</v>
      </c>
    </row>
    <row r="2124" spans="24:24">
      <c r="X2124" t="s">
        <v>2479</v>
      </c>
    </row>
    <row r="2125" spans="24:24">
      <c r="X2125" t="s">
        <v>2480</v>
      </c>
    </row>
    <row r="2126" spans="24:24">
      <c r="X2126" t="s">
        <v>66</v>
      </c>
    </row>
    <row r="2127" spans="24:24">
      <c r="X2127" t="s">
        <v>2481</v>
      </c>
    </row>
    <row r="2128" spans="24:24">
      <c r="X2128" t="s">
        <v>2482</v>
      </c>
    </row>
    <row r="2129" spans="24:24">
      <c r="X2129" t="s">
        <v>2483</v>
      </c>
    </row>
    <row r="2130" spans="24:24">
      <c r="X2130" t="s">
        <v>2484</v>
      </c>
    </row>
    <row r="2131" spans="24:24">
      <c r="X2131" t="s">
        <v>2485</v>
      </c>
    </row>
    <row r="2132" spans="24:24">
      <c r="X2132" t="s">
        <v>2486</v>
      </c>
    </row>
    <row r="2133" spans="24:24">
      <c r="X2133" t="s">
        <v>270</v>
      </c>
    </row>
    <row r="2134" spans="24:24">
      <c r="X2134" t="s">
        <v>2487</v>
      </c>
    </row>
    <row r="2135" spans="24:24">
      <c r="X2135" t="s">
        <v>2488</v>
      </c>
    </row>
    <row r="2136" spans="24:24">
      <c r="X2136" t="s">
        <v>2489</v>
      </c>
    </row>
    <row r="2137" spans="24:24">
      <c r="X2137" t="s">
        <v>2490</v>
      </c>
    </row>
    <row r="2138" spans="24:24">
      <c r="X2138" t="s">
        <v>2491</v>
      </c>
    </row>
    <row r="2139" spans="24:24">
      <c r="X2139" t="s">
        <v>2492</v>
      </c>
    </row>
    <row r="2140" spans="24:24">
      <c r="X2140" t="s">
        <v>2493</v>
      </c>
    </row>
    <row r="2141" spans="24:24">
      <c r="X2141" t="s">
        <v>871</v>
      </c>
    </row>
    <row r="2142" spans="24:24">
      <c r="X2142" t="s">
        <v>2494</v>
      </c>
    </row>
    <row r="2143" spans="24:24">
      <c r="X2143" t="s">
        <v>2495</v>
      </c>
    </row>
    <row r="2144" spans="24:24">
      <c r="X2144" t="s">
        <v>2496</v>
      </c>
    </row>
    <row r="2145" spans="24:24">
      <c r="X2145" t="s">
        <v>2497</v>
      </c>
    </row>
    <row r="2146" spans="24:24">
      <c r="X2146" t="s">
        <v>131</v>
      </c>
    </row>
    <row r="2147" spans="24:24">
      <c r="X2147" t="s">
        <v>2498</v>
      </c>
    </row>
    <row r="2148" spans="24:24">
      <c r="X2148" t="s">
        <v>2499</v>
      </c>
    </row>
    <row r="2149" spans="24:24">
      <c r="X2149" t="s">
        <v>2500</v>
      </c>
    </row>
    <row r="2150" spans="24:24">
      <c r="X2150" t="s">
        <v>2501</v>
      </c>
    </row>
    <row r="2151" spans="24:24">
      <c r="X2151" t="s">
        <v>2502</v>
      </c>
    </row>
    <row r="2152" spans="24:24">
      <c r="X2152" t="s">
        <v>2503</v>
      </c>
    </row>
    <row r="2153" spans="24:24">
      <c r="X2153" t="s">
        <v>2504</v>
      </c>
    </row>
    <row r="2154" spans="24:24">
      <c r="X2154" t="s">
        <v>2505</v>
      </c>
    </row>
    <row r="2155" spans="24:24">
      <c r="X2155" t="s">
        <v>2506</v>
      </c>
    </row>
    <row r="2156" spans="24:24">
      <c r="X2156" t="s">
        <v>2507</v>
      </c>
    </row>
    <row r="2157" spans="24:24">
      <c r="X2157" t="s">
        <v>182</v>
      </c>
    </row>
    <row r="2158" spans="24:24">
      <c r="X2158" t="s">
        <v>69</v>
      </c>
    </row>
    <row r="2159" spans="24:24">
      <c r="X2159" t="s">
        <v>2508</v>
      </c>
    </row>
    <row r="2160" spans="24:24">
      <c r="X2160" t="s">
        <v>129</v>
      </c>
    </row>
    <row r="2161" spans="24:24">
      <c r="X2161" t="s">
        <v>2509</v>
      </c>
    </row>
    <row r="2162" spans="24:24">
      <c r="X2162" t="s">
        <v>2510</v>
      </c>
    </row>
    <row r="2163" spans="24:24">
      <c r="X2163" t="s">
        <v>2511</v>
      </c>
    </row>
    <row r="2164" spans="24:24">
      <c r="X2164" t="s">
        <v>2512</v>
      </c>
    </row>
    <row r="2165" spans="24:24">
      <c r="X2165" t="s">
        <v>2513</v>
      </c>
    </row>
    <row r="2166" spans="24:24">
      <c r="X2166" t="s">
        <v>2514</v>
      </c>
    </row>
    <row r="2167" spans="24:24">
      <c r="X2167" t="s">
        <v>2515</v>
      </c>
    </row>
    <row r="2168" spans="24:24">
      <c r="X2168" t="s">
        <v>2516</v>
      </c>
    </row>
    <row r="2169" spans="24:24">
      <c r="X2169" t="s">
        <v>71</v>
      </c>
    </row>
    <row r="2170" spans="24:24">
      <c r="X2170" t="s">
        <v>2517</v>
      </c>
    </row>
    <row r="2171" spans="24:24">
      <c r="X2171" t="s">
        <v>2518</v>
      </c>
    </row>
    <row r="2172" spans="24:24">
      <c r="X2172" t="s">
        <v>2519</v>
      </c>
    </row>
    <row r="2173" spans="24:24">
      <c r="X2173" t="s">
        <v>2520</v>
      </c>
    </row>
    <row r="2174" spans="24:24">
      <c r="X2174" t="s">
        <v>2521</v>
      </c>
    </row>
    <row r="2175" spans="24:24">
      <c r="X2175" t="s">
        <v>2522</v>
      </c>
    </row>
    <row r="2176" spans="24:24">
      <c r="X2176" t="s">
        <v>2523</v>
      </c>
    </row>
    <row r="2177" spans="24:24">
      <c r="X2177" t="s">
        <v>2524</v>
      </c>
    </row>
    <row r="2178" spans="24:24">
      <c r="X2178" t="s">
        <v>2525</v>
      </c>
    </row>
    <row r="2179" spans="24:24">
      <c r="X2179" t="s">
        <v>2526</v>
      </c>
    </row>
    <row r="2180" spans="24:24">
      <c r="X2180" t="s">
        <v>2527</v>
      </c>
    </row>
    <row r="2181" spans="24:24">
      <c r="X2181" t="s">
        <v>2528</v>
      </c>
    </row>
    <row r="2182" spans="24:24">
      <c r="X2182" t="s">
        <v>2529</v>
      </c>
    </row>
    <row r="2183" spans="24:24">
      <c r="X2183" t="s">
        <v>2530</v>
      </c>
    </row>
    <row r="2184" spans="24:24">
      <c r="X2184" t="s">
        <v>2531</v>
      </c>
    </row>
    <row r="2185" spans="24:24">
      <c r="X2185" t="s">
        <v>2532</v>
      </c>
    </row>
    <row r="2186" spans="24:24">
      <c r="X2186" t="s">
        <v>2533</v>
      </c>
    </row>
    <row r="2187" spans="24:24">
      <c r="X2187" t="s">
        <v>2534</v>
      </c>
    </row>
    <row r="2188" spans="24:24">
      <c r="X2188" t="s">
        <v>2535</v>
      </c>
    </row>
    <row r="2189" spans="24:24">
      <c r="X2189" t="s">
        <v>2536</v>
      </c>
    </row>
    <row r="2190" spans="24:24">
      <c r="X2190" t="s">
        <v>2537</v>
      </c>
    </row>
    <row r="2191" spans="24:24">
      <c r="X2191" t="s">
        <v>2538</v>
      </c>
    </row>
    <row r="2192" spans="24:24">
      <c r="X2192" t="s">
        <v>2539</v>
      </c>
    </row>
    <row r="2193" spans="24:24">
      <c r="X2193" t="s">
        <v>2540</v>
      </c>
    </row>
    <row r="2194" spans="24:24">
      <c r="X2194" t="s">
        <v>2541</v>
      </c>
    </row>
    <row r="2195" spans="24:24">
      <c r="X2195" t="s">
        <v>2542</v>
      </c>
    </row>
    <row r="2196" spans="24:24">
      <c r="X2196" t="s">
        <v>2543</v>
      </c>
    </row>
    <row r="2197" spans="24:24">
      <c r="X2197" t="s">
        <v>2544</v>
      </c>
    </row>
    <row r="2198" spans="24:24">
      <c r="X2198" t="s">
        <v>211</v>
      </c>
    </row>
    <row r="2199" spans="24:24">
      <c r="X2199" t="s">
        <v>2545</v>
      </c>
    </row>
    <row r="2200" spans="24:24">
      <c r="X2200" t="s">
        <v>2546</v>
      </c>
    </row>
    <row r="2201" spans="24:24">
      <c r="X2201" t="s">
        <v>2547</v>
      </c>
    </row>
    <row r="2202" spans="24:24">
      <c r="X2202" t="s">
        <v>2548</v>
      </c>
    </row>
    <row r="2203" spans="24:24">
      <c r="X2203" t="s">
        <v>2549</v>
      </c>
    </row>
    <row r="2204" spans="24:24">
      <c r="X2204" t="s">
        <v>2550</v>
      </c>
    </row>
    <row r="2205" spans="24:24">
      <c r="X2205" t="s">
        <v>2551</v>
      </c>
    </row>
    <row r="2206" spans="24:24">
      <c r="X2206" t="s">
        <v>2552</v>
      </c>
    </row>
    <row r="2207" spans="24:24">
      <c r="X2207" t="s">
        <v>2553</v>
      </c>
    </row>
    <row r="2208" spans="24:24">
      <c r="X2208" t="s">
        <v>2554</v>
      </c>
    </row>
    <row r="2209" spans="24:24">
      <c r="X2209" t="s">
        <v>2555</v>
      </c>
    </row>
    <row r="2210" spans="24:24">
      <c r="X2210" t="s">
        <v>2556</v>
      </c>
    </row>
    <row r="2211" spans="24:24">
      <c r="X2211" t="s">
        <v>2557</v>
      </c>
    </row>
    <row r="2212" spans="24:24">
      <c r="X2212" t="s">
        <v>2558</v>
      </c>
    </row>
    <row r="2213" spans="24:24">
      <c r="X2213" t="s">
        <v>2559</v>
      </c>
    </row>
    <row r="2214" spans="24:24">
      <c r="X2214" t="s">
        <v>2560</v>
      </c>
    </row>
    <row r="2215" spans="24:24">
      <c r="X2215" t="s">
        <v>2561</v>
      </c>
    </row>
    <row r="2216" spans="24:24">
      <c r="X2216" t="s">
        <v>2562</v>
      </c>
    </row>
    <row r="2217" spans="24:24">
      <c r="X2217" t="s">
        <v>2563</v>
      </c>
    </row>
    <row r="2218" spans="24:24">
      <c r="X2218" t="s">
        <v>2564</v>
      </c>
    </row>
    <row r="2219" spans="24:24">
      <c r="X2219" t="s">
        <v>2565</v>
      </c>
    </row>
    <row r="2220" spans="24:24">
      <c r="X2220" t="s">
        <v>2566</v>
      </c>
    </row>
    <row r="2221" spans="24:24">
      <c r="X2221" t="s">
        <v>2567</v>
      </c>
    </row>
    <row r="2222" spans="24:24">
      <c r="X2222" t="s">
        <v>2568</v>
      </c>
    </row>
    <row r="2223" spans="24:24">
      <c r="X2223" t="s">
        <v>2569</v>
      </c>
    </row>
    <row r="2224" spans="24:24">
      <c r="X2224" t="s">
        <v>2570</v>
      </c>
    </row>
    <row r="2225" spans="24:24">
      <c r="X2225" t="s">
        <v>2571</v>
      </c>
    </row>
    <row r="2226" spans="24:24">
      <c r="X2226" t="s">
        <v>2572</v>
      </c>
    </row>
    <row r="2227" spans="24:24">
      <c r="X2227" t="s">
        <v>2573</v>
      </c>
    </row>
    <row r="2228" spans="24:24">
      <c r="X2228" t="s">
        <v>2574</v>
      </c>
    </row>
    <row r="2229" spans="24:24">
      <c r="X2229" t="s">
        <v>2575</v>
      </c>
    </row>
    <row r="2230" spans="24:24">
      <c r="X2230" t="s">
        <v>2576</v>
      </c>
    </row>
    <row r="2231" spans="24:24">
      <c r="X2231" t="s">
        <v>2577</v>
      </c>
    </row>
    <row r="2232" spans="24:24">
      <c r="X2232" t="s">
        <v>2578</v>
      </c>
    </row>
    <row r="2233" spans="24:24">
      <c r="X2233" t="s">
        <v>2579</v>
      </c>
    </row>
    <row r="2234" spans="24:24">
      <c r="X2234" t="s">
        <v>239</v>
      </c>
    </row>
    <row r="2235" spans="24:24">
      <c r="X2235" t="s">
        <v>2580</v>
      </c>
    </row>
    <row r="2236" spans="24:24">
      <c r="X2236" t="s">
        <v>2581</v>
      </c>
    </row>
    <row r="2237" spans="24:24">
      <c r="X2237" t="s">
        <v>2582</v>
      </c>
    </row>
    <row r="2238" spans="24:24">
      <c r="X2238" t="s">
        <v>2583</v>
      </c>
    </row>
    <row r="2239" spans="24:24">
      <c r="X2239" t="s">
        <v>2584</v>
      </c>
    </row>
    <row r="2240" spans="24:24">
      <c r="X2240" t="s">
        <v>2585</v>
      </c>
    </row>
    <row r="2241" spans="24:24">
      <c r="X2241" t="s">
        <v>2586</v>
      </c>
    </row>
    <row r="2242" spans="24:24">
      <c r="X2242" t="s">
        <v>2587</v>
      </c>
    </row>
    <row r="2243" spans="24:24">
      <c r="X2243" t="s">
        <v>2588</v>
      </c>
    </row>
    <row r="2244" spans="24:24">
      <c r="X2244" t="s">
        <v>2589</v>
      </c>
    </row>
    <row r="2245" spans="24:24">
      <c r="X2245" t="s">
        <v>2590</v>
      </c>
    </row>
    <row r="2246" spans="24:24">
      <c r="X2246" t="s">
        <v>2591</v>
      </c>
    </row>
    <row r="2247" spans="24:24">
      <c r="X2247" t="s">
        <v>2592</v>
      </c>
    </row>
    <row r="2248" spans="24:24">
      <c r="X2248" t="s">
        <v>2593</v>
      </c>
    </row>
    <row r="2249" spans="24:24">
      <c r="X2249" t="s">
        <v>2594</v>
      </c>
    </row>
    <row r="2250" spans="24:24">
      <c r="X2250" t="s">
        <v>2595</v>
      </c>
    </row>
    <row r="2251" spans="24:24">
      <c r="X2251" t="s">
        <v>2596</v>
      </c>
    </row>
    <row r="2252" spans="24:24">
      <c r="X2252" t="s">
        <v>135</v>
      </c>
    </row>
    <row r="2253" spans="24:24">
      <c r="X2253" t="s">
        <v>2597</v>
      </c>
    </row>
    <row r="2254" spans="24:24">
      <c r="X2254" t="s">
        <v>2598</v>
      </c>
    </row>
    <row r="2255" spans="24:24">
      <c r="X2255" t="s">
        <v>2599</v>
      </c>
    </row>
    <row r="2256" spans="24:24">
      <c r="X2256" t="s">
        <v>2600</v>
      </c>
    </row>
    <row r="2257" spans="24:24">
      <c r="X2257" t="s">
        <v>2601</v>
      </c>
    </row>
    <row r="2258" spans="24:24">
      <c r="X2258" t="s">
        <v>2602</v>
      </c>
    </row>
    <row r="2259" spans="24:24">
      <c r="X2259" t="s">
        <v>2603</v>
      </c>
    </row>
    <row r="2260" spans="24:24">
      <c r="X2260" t="s">
        <v>2604</v>
      </c>
    </row>
    <row r="2261" spans="24:24">
      <c r="X2261" t="s">
        <v>2605</v>
      </c>
    </row>
    <row r="2262" spans="24:24">
      <c r="X2262" t="s">
        <v>2606</v>
      </c>
    </row>
    <row r="2263" spans="24:24">
      <c r="X2263" t="s">
        <v>2607</v>
      </c>
    </row>
    <row r="2264" spans="24:24">
      <c r="X2264" t="s">
        <v>2608</v>
      </c>
    </row>
    <row r="2265" spans="24:24">
      <c r="X2265" t="s">
        <v>2609</v>
      </c>
    </row>
    <row r="2266" spans="24:24">
      <c r="X2266" t="s">
        <v>2610</v>
      </c>
    </row>
    <row r="2267" spans="24:24">
      <c r="X2267" t="s">
        <v>2611</v>
      </c>
    </row>
    <row r="2268" spans="24:24">
      <c r="X2268" t="s">
        <v>2612</v>
      </c>
    </row>
    <row r="2269" spans="24:24">
      <c r="X2269" t="s">
        <v>2613</v>
      </c>
    </row>
    <row r="2270" spans="24:24">
      <c r="X2270" t="s">
        <v>2614</v>
      </c>
    </row>
    <row r="2271" spans="24:24">
      <c r="X2271" t="s">
        <v>2615</v>
      </c>
    </row>
    <row r="2272" spans="24:24">
      <c r="X2272" t="s">
        <v>2616</v>
      </c>
    </row>
    <row r="2273" spans="24:24">
      <c r="X2273" t="s">
        <v>2617</v>
      </c>
    </row>
    <row r="2274" spans="24:24">
      <c r="X2274" t="s">
        <v>2618</v>
      </c>
    </row>
    <row r="2275" spans="24:24">
      <c r="X2275" t="s">
        <v>2619</v>
      </c>
    </row>
    <row r="2276" spans="24:24">
      <c r="X2276" t="s">
        <v>2620</v>
      </c>
    </row>
    <row r="2277" spans="24:24">
      <c r="X2277" t="s">
        <v>2621</v>
      </c>
    </row>
    <row r="2278" spans="24:24">
      <c r="X2278" t="s">
        <v>2622</v>
      </c>
    </row>
    <row r="2279" spans="24:24">
      <c r="X2279" t="s">
        <v>2623</v>
      </c>
    </row>
    <row r="2280" spans="24:24">
      <c r="X2280" t="s">
        <v>2624</v>
      </c>
    </row>
    <row r="2281" spans="24:24">
      <c r="X2281" t="s">
        <v>2625</v>
      </c>
    </row>
    <row r="2282" spans="24:24">
      <c r="X2282" t="s">
        <v>2626</v>
      </c>
    </row>
    <row r="2283" spans="24:24">
      <c r="X2283" t="s">
        <v>2627</v>
      </c>
    </row>
    <row r="2284" spans="24:24">
      <c r="X2284" t="s">
        <v>2628</v>
      </c>
    </row>
    <row r="2285" spans="24:24">
      <c r="X2285" t="s">
        <v>2629</v>
      </c>
    </row>
    <row r="2286" spans="24:24">
      <c r="X2286" t="s">
        <v>2630</v>
      </c>
    </row>
    <row r="2287" spans="24:24">
      <c r="X2287" t="s">
        <v>2631</v>
      </c>
    </row>
    <row r="2288" spans="24:24">
      <c r="X2288" t="s">
        <v>2632</v>
      </c>
    </row>
    <row r="2289" spans="24:24">
      <c r="X2289" t="s">
        <v>2633</v>
      </c>
    </row>
    <row r="2290" spans="24:24">
      <c r="X2290" t="s">
        <v>252</v>
      </c>
    </row>
    <row r="2291" spans="24:24">
      <c r="X2291" t="s">
        <v>2634</v>
      </c>
    </row>
    <row r="2292" spans="24:24">
      <c r="X2292" t="s">
        <v>2635</v>
      </c>
    </row>
    <row r="2293" spans="24:24">
      <c r="X2293" t="s">
        <v>2636</v>
      </c>
    </row>
    <row r="2294" spans="24:24">
      <c r="X2294" t="s">
        <v>2637</v>
      </c>
    </row>
    <row r="2295" spans="24:24">
      <c r="X2295" t="s">
        <v>2638</v>
      </c>
    </row>
    <row r="2296" spans="24:24">
      <c r="X2296" t="s">
        <v>2639</v>
      </c>
    </row>
    <row r="2297" spans="24:24">
      <c r="X2297" t="s">
        <v>2129</v>
      </c>
    </row>
    <row r="2298" spans="24:24">
      <c r="X2298" t="s">
        <v>2640</v>
      </c>
    </row>
    <row r="2299" spans="24:24">
      <c r="X2299" t="s">
        <v>2641</v>
      </c>
    </row>
    <row r="2300" spans="24:24">
      <c r="X2300" t="s">
        <v>2642</v>
      </c>
    </row>
    <row r="2301" spans="24:24">
      <c r="X2301" t="s">
        <v>2643</v>
      </c>
    </row>
    <row r="2302" spans="24:24">
      <c r="X2302" t="s">
        <v>2644</v>
      </c>
    </row>
    <row r="2303" spans="24:24">
      <c r="X2303" t="s">
        <v>2645</v>
      </c>
    </row>
    <row r="2304" spans="24:24">
      <c r="X2304" t="s">
        <v>2646</v>
      </c>
    </row>
    <row r="2305" spans="24:24">
      <c r="X2305" t="s">
        <v>2589</v>
      </c>
    </row>
    <row r="2306" spans="24:24">
      <c r="X2306" t="s">
        <v>2647</v>
      </c>
    </row>
    <row r="2307" spans="24:24">
      <c r="X2307" t="s">
        <v>2648</v>
      </c>
    </row>
    <row r="2308" spans="24:24">
      <c r="X2308" t="s">
        <v>2649</v>
      </c>
    </row>
    <row r="2309" spans="24:24">
      <c r="X2309" t="s">
        <v>2650</v>
      </c>
    </row>
    <row r="2310" spans="24:24">
      <c r="X2310" t="s">
        <v>2651</v>
      </c>
    </row>
    <row r="2311" spans="24:24">
      <c r="X2311" t="s">
        <v>2652</v>
      </c>
    </row>
    <row r="2312" spans="24:24">
      <c r="X2312" t="s">
        <v>2653</v>
      </c>
    </row>
    <row r="2313" spans="24:24">
      <c r="X2313" t="s">
        <v>2654</v>
      </c>
    </row>
    <row r="2314" spans="24:24">
      <c r="X2314" t="s">
        <v>2655</v>
      </c>
    </row>
    <row r="2315" spans="24:24">
      <c r="X2315" t="s">
        <v>2656</v>
      </c>
    </row>
    <row r="2316" spans="24:24">
      <c r="X2316" t="s">
        <v>2657</v>
      </c>
    </row>
    <row r="2317" spans="24:24">
      <c r="X2317" t="s">
        <v>2658</v>
      </c>
    </row>
    <row r="2318" spans="24:24">
      <c r="X2318" t="s">
        <v>2659</v>
      </c>
    </row>
    <row r="2319" spans="24:24">
      <c r="X2319" t="s">
        <v>2660</v>
      </c>
    </row>
    <row r="2320" spans="24:24">
      <c r="X2320" t="s">
        <v>2661</v>
      </c>
    </row>
    <row r="2321" spans="24:24">
      <c r="X2321" t="s">
        <v>267</v>
      </c>
    </row>
    <row r="2322" spans="24:24">
      <c r="X2322" t="s">
        <v>2662</v>
      </c>
    </row>
    <row r="2323" spans="24:24">
      <c r="X2323" t="s">
        <v>2663</v>
      </c>
    </row>
    <row r="2324" spans="24:24">
      <c r="X2324" t="s">
        <v>2664</v>
      </c>
    </row>
    <row r="2325" spans="24:24">
      <c r="X2325" t="s">
        <v>181</v>
      </c>
    </row>
    <row r="2326" spans="24:24">
      <c r="X2326" t="s">
        <v>2665</v>
      </c>
    </row>
    <row r="2327" spans="24:24">
      <c r="X2327" t="s">
        <v>2666</v>
      </c>
    </row>
    <row r="2328" spans="24:24">
      <c r="X2328" t="s">
        <v>2667</v>
      </c>
    </row>
    <row r="2329" spans="24:24">
      <c r="X2329" t="s">
        <v>2668</v>
      </c>
    </row>
    <row r="2330" spans="24:24">
      <c r="X2330" t="s">
        <v>2669</v>
      </c>
    </row>
    <row r="2331" spans="24:24">
      <c r="X2331" t="s">
        <v>2670</v>
      </c>
    </row>
    <row r="2332" spans="24:24">
      <c r="X2332" t="s">
        <v>2671</v>
      </c>
    </row>
    <row r="2333" spans="24:24">
      <c r="X2333" t="s">
        <v>2672</v>
      </c>
    </row>
    <row r="2334" spans="24:24">
      <c r="X2334" t="s">
        <v>2673</v>
      </c>
    </row>
    <row r="2335" spans="24:24">
      <c r="X2335" t="s">
        <v>2674</v>
      </c>
    </row>
    <row r="2336" spans="24:24">
      <c r="X2336" t="s">
        <v>2675</v>
      </c>
    </row>
    <row r="2337" spans="24:24">
      <c r="X2337" t="s">
        <v>2676</v>
      </c>
    </row>
    <row r="2338" spans="24:24">
      <c r="X2338" t="s">
        <v>2677</v>
      </c>
    </row>
    <row r="2339" spans="24:24">
      <c r="X2339" t="s">
        <v>2678</v>
      </c>
    </row>
    <row r="2340" spans="24:24">
      <c r="X2340" t="s">
        <v>2679</v>
      </c>
    </row>
    <row r="2341" spans="24:24">
      <c r="X2341" t="s">
        <v>2680</v>
      </c>
    </row>
    <row r="2342" spans="24:24">
      <c r="X2342" t="s">
        <v>2681</v>
      </c>
    </row>
    <row r="2343" spans="24:24">
      <c r="X2343" t="s">
        <v>2682</v>
      </c>
    </row>
    <row r="2344" spans="24:24">
      <c r="X2344" t="s">
        <v>2683</v>
      </c>
    </row>
    <row r="2345" spans="24:24">
      <c r="X2345" t="s">
        <v>2684</v>
      </c>
    </row>
    <row r="2346" spans="24:24">
      <c r="X2346" t="s">
        <v>2685</v>
      </c>
    </row>
    <row r="2347" spans="24:24">
      <c r="X2347" t="s">
        <v>2686</v>
      </c>
    </row>
    <row r="2348" spans="24:24">
      <c r="X2348" t="s">
        <v>2687</v>
      </c>
    </row>
    <row r="2349" spans="24:24">
      <c r="X2349" t="s">
        <v>2688</v>
      </c>
    </row>
    <row r="2350" spans="24:24">
      <c r="X2350" t="s">
        <v>2689</v>
      </c>
    </row>
    <row r="2351" spans="24:24">
      <c r="X2351" t="s">
        <v>2690</v>
      </c>
    </row>
    <row r="2352" spans="24:24">
      <c r="X2352" t="s">
        <v>2691</v>
      </c>
    </row>
    <row r="2353" spans="24:24">
      <c r="X2353" t="s">
        <v>2692</v>
      </c>
    </row>
    <row r="2354" spans="24:24">
      <c r="X2354" t="s">
        <v>2693</v>
      </c>
    </row>
    <row r="2355" spans="24:24">
      <c r="X2355" t="s">
        <v>2694</v>
      </c>
    </row>
    <row r="2356" spans="24:24">
      <c r="X2356" t="s">
        <v>339</v>
      </c>
    </row>
    <row r="2357" spans="24:24">
      <c r="X2357" t="s">
        <v>2695</v>
      </c>
    </row>
    <row r="2358" spans="24:24">
      <c r="X2358" t="s">
        <v>2696</v>
      </c>
    </row>
    <row r="2359" spans="24:24">
      <c r="X2359" t="s">
        <v>344</v>
      </c>
    </row>
    <row r="2360" spans="24:24">
      <c r="X2360" t="s">
        <v>2697</v>
      </c>
    </row>
    <row r="2361" spans="24:24">
      <c r="X2361" t="s">
        <v>2698</v>
      </c>
    </row>
    <row r="2362" spans="24:24">
      <c r="X2362" t="s">
        <v>2699</v>
      </c>
    </row>
    <row r="2363" spans="24:24">
      <c r="X2363" t="s">
        <v>2700</v>
      </c>
    </row>
    <row r="2364" spans="24:24">
      <c r="X2364" t="s">
        <v>2701</v>
      </c>
    </row>
    <row r="2365" spans="24:24">
      <c r="X2365" t="s">
        <v>2702</v>
      </c>
    </row>
    <row r="2366" spans="24:24">
      <c r="X2366" t="s">
        <v>2703</v>
      </c>
    </row>
    <row r="2367" spans="24:24">
      <c r="X2367" t="s">
        <v>2704</v>
      </c>
    </row>
    <row r="2368" spans="24:24">
      <c r="X2368" t="s">
        <v>2705</v>
      </c>
    </row>
    <row r="2369" spans="24:24">
      <c r="X2369" t="s">
        <v>2706</v>
      </c>
    </row>
    <row r="2370" spans="24:24">
      <c r="X2370" t="s">
        <v>2707</v>
      </c>
    </row>
    <row r="2371" spans="24:24">
      <c r="X2371" t="s">
        <v>2708</v>
      </c>
    </row>
    <row r="2372" spans="24:24">
      <c r="X2372" t="s">
        <v>2709</v>
      </c>
    </row>
    <row r="2373" spans="24:24">
      <c r="X2373" t="s">
        <v>2710</v>
      </c>
    </row>
    <row r="2374" spans="24:24">
      <c r="X2374" t="s">
        <v>2711</v>
      </c>
    </row>
    <row r="2375" spans="24:24">
      <c r="X2375" t="s">
        <v>2712</v>
      </c>
    </row>
    <row r="2376" spans="24:24">
      <c r="X2376" t="s">
        <v>2713</v>
      </c>
    </row>
    <row r="2377" spans="24:24">
      <c r="X2377" t="s">
        <v>2714</v>
      </c>
    </row>
    <row r="2378" spans="24:24">
      <c r="X2378" t="s">
        <v>2715</v>
      </c>
    </row>
    <row r="2379" spans="24:24">
      <c r="X2379" t="s">
        <v>2716</v>
      </c>
    </row>
    <row r="2380" spans="24:24">
      <c r="X2380" t="s">
        <v>2717</v>
      </c>
    </row>
    <row r="2381" spans="24:24">
      <c r="X2381" t="s">
        <v>322</v>
      </c>
    </row>
    <row r="2382" spans="24:24">
      <c r="X2382" t="s">
        <v>2718</v>
      </c>
    </row>
    <row r="2383" spans="24:24">
      <c r="X2383" t="s">
        <v>2719</v>
      </c>
    </row>
    <row r="2384" spans="24:24">
      <c r="X2384" t="s">
        <v>2720</v>
      </c>
    </row>
    <row r="2385" spans="24:24">
      <c r="X2385" t="s">
        <v>2721</v>
      </c>
    </row>
    <row r="2386" spans="24:24">
      <c r="X2386" t="s">
        <v>2722</v>
      </c>
    </row>
    <row r="2387" spans="24:24">
      <c r="X2387" t="s">
        <v>2723</v>
      </c>
    </row>
    <row r="2388" spans="24:24">
      <c r="X2388" t="s">
        <v>2724</v>
      </c>
    </row>
    <row r="2389" spans="24:24">
      <c r="X2389" t="s">
        <v>2725</v>
      </c>
    </row>
    <row r="2390" spans="24:24">
      <c r="X2390" t="s">
        <v>2726</v>
      </c>
    </row>
    <row r="2391" spans="24:24">
      <c r="X2391" t="s">
        <v>2727</v>
      </c>
    </row>
    <row r="2392" spans="24:24">
      <c r="X2392" t="s">
        <v>2728</v>
      </c>
    </row>
    <row r="2393" spans="24:24">
      <c r="X2393" t="s">
        <v>2729</v>
      </c>
    </row>
    <row r="2394" spans="24:24">
      <c r="X2394" t="s">
        <v>2730</v>
      </c>
    </row>
    <row r="2395" spans="24:24">
      <c r="X2395" t="s">
        <v>2731</v>
      </c>
    </row>
    <row r="2396" spans="24:24">
      <c r="X2396" t="s">
        <v>2732</v>
      </c>
    </row>
    <row r="2397" spans="24:24">
      <c r="X2397" t="s">
        <v>2733</v>
      </c>
    </row>
    <row r="2398" spans="24:24">
      <c r="X2398" t="s">
        <v>2734</v>
      </c>
    </row>
    <row r="2399" spans="24:24">
      <c r="X2399" t="s">
        <v>2735</v>
      </c>
    </row>
    <row r="2400" spans="24:24">
      <c r="X2400" t="s">
        <v>2736</v>
      </c>
    </row>
    <row r="2401" spans="24:24">
      <c r="X2401" t="s">
        <v>2737</v>
      </c>
    </row>
    <row r="2402" spans="24:24">
      <c r="X2402" t="s">
        <v>2738</v>
      </c>
    </row>
    <row r="2403" spans="24:24">
      <c r="X2403" t="s">
        <v>2739</v>
      </c>
    </row>
    <row r="2404" spans="24:24">
      <c r="X2404" t="s">
        <v>2740</v>
      </c>
    </row>
    <row r="2405" spans="24:24">
      <c r="X2405" t="s">
        <v>2741</v>
      </c>
    </row>
    <row r="2406" spans="24:24">
      <c r="X2406" t="s">
        <v>2742</v>
      </c>
    </row>
    <row r="2407" spans="24:24">
      <c r="X2407" t="s">
        <v>2743</v>
      </c>
    </row>
    <row r="2408" spans="24:24">
      <c r="X2408" t="s">
        <v>2744</v>
      </c>
    </row>
    <row r="2409" spans="24:24">
      <c r="X2409" t="s">
        <v>2745</v>
      </c>
    </row>
    <row r="2410" spans="24:24">
      <c r="X2410" t="s">
        <v>2746</v>
      </c>
    </row>
    <row r="2411" spans="24:24">
      <c r="X2411" t="s">
        <v>2747</v>
      </c>
    </row>
    <row r="2412" spans="24:24">
      <c r="X2412" t="s">
        <v>2748</v>
      </c>
    </row>
    <row r="2413" spans="24:24">
      <c r="X2413" t="s">
        <v>2749</v>
      </c>
    </row>
    <row r="2414" spans="24:24">
      <c r="X2414" t="s">
        <v>2750</v>
      </c>
    </row>
    <row r="2415" spans="24:24">
      <c r="X2415" t="s">
        <v>2751</v>
      </c>
    </row>
    <row r="2416" spans="24:24">
      <c r="X2416" t="s">
        <v>2752</v>
      </c>
    </row>
    <row r="2417" spans="24:24">
      <c r="X2417" t="s">
        <v>2753</v>
      </c>
    </row>
    <row r="2418" spans="24:24">
      <c r="X2418" t="s">
        <v>2754</v>
      </c>
    </row>
    <row r="2419" spans="24:24">
      <c r="X2419" t="s">
        <v>2755</v>
      </c>
    </row>
    <row r="2420" spans="24:24">
      <c r="X2420" t="s">
        <v>2756</v>
      </c>
    </row>
    <row r="2421" spans="24:24">
      <c r="X2421" t="s">
        <v>98</v>
      </c>
    </row>
    <row r="2422" spans="24:24">
      <c r="X2422" t="s">
        <v>2757</v>
      </c>
    </row>
    <row r="2423" spans="24:24">
      <c r="X2423" t="s">
        <v>2758</v>
      </c>
    </row>
    <row r="2424" spans="24:24">
      <c r="X2424" t="s">
        <v>2759</v>
      </c>
    </row>
    <row r="2425" spans="24:24">
      <c r="X2425" t="s">
        <v>2760</v>
      </c>
    </row>
    <row r="2426" spans="24:24">
      <c r="X2426" t="s">
        <v>2761</v>
      </c>
    </row>
    <row r="2427" spans="24:24">
      <c r="X2427" t="s">
        <v>2762</v>
      </c>
    </row>
    <row r="2428" spans="24:24">
      <c r="X2428" t="s">
        <v>2763</v>
      </c>
    </row>
    <row r="2429" spans="24:24">
      <c r="X2429" t="s">
        <v>2764</v>
      </c>
    </row>
    <row r="2430" spans="24:24">
      <c r="X2430" t="s">
        <v>2765</v>
      </c>
    </row>
    <row r="2431" spans="24:24">
      <c r="X2431" t="s">
        <v>37</v>
      </c>
    </row>
    <row r="2432" spans="24:24">
      <c r="X2432" t="s">
        <v>2766</v>
      </c>
    </row>
    <row r="2433" spans="24:24">
      <c r="X2433" t="s">
        <v>2767</v>
      </c>
    </row>
    <row r="2434" spans="24:24">
      <c r="X2434" t="s">
        <v>2768</v>
      </c>
    </row>
    <row r="2435" spans="24:24">
      <c r="X2435" t="s">
        <v>2769</v>
      </c>
    </row>
    <row r="2436" spans="24:24">
      <c r="X2436" t="s">
        <v>2770</v>
      </c>
    </row>
    <row r="2437" spans="24:24">
      <c r="X2437" t="s">
        <v>2771</v>
      </c>
    </row>
    <row r="2438" spans="24:24">
      <c r="X2438" t="s">
        <v>2772</v>
      </c>
    </row>
    <row r="2439" spans="24:24">
      <c r="X2439" t="s">
        <v>2773</v>
      </c>
    </row>
    <row r="2440" spans="24:24">
      <c r="X2440" t="s">
        <v>2774</v>
      </c>
    </row>
    <row r="2441" spans="24:24">
      <c r="X2441" t="s">
        <v>2775</v>
      </c>
    </row>
    <row r="2442" spans="24:24">
      <c r="X2442" t="s">
        <v>2776</v>
      </c>
    </row>
    <row r="2443" spans="24:24">
      <c r="X2443" t="s">
        <v>2777</v>
      </c>
    </row>
    <row r="2444" spans="24:24">
      <c r="X2444" t="s">
        <v>173</v>
      </c>
    </row>
    <row r="2445" spans="24:24">
      <c r="X2445" t="s">
        <v>2778</v>
      </c>
    </row>
    <row r="2446" spans="24:24">
      <c r="X2446" t="s">
        <v>2779</v>
      </c>
    </row>
    <row r="2447" spans="24:24">
      <c r="X2447" t="s">
        <v>2780</v>
      </c>
    </row>
    <row r="2448" spans="24:24">
      <c r="X2448" t="s">
        <v>2781</v>
      </c>
    </row>
    <row r="2449" spans="24:24">
      <c r="X2449" t="s">
        <v>2782</v>
      </c>
    </row>
    <row r="2450" spans="24:24">
      <c r="X2450" t="s">
        <v>2783</v>
      </c>
    </row>
    <row r="2451" spans="24:24">
      <c r="X2451" t="s">
        <v>2784</v>
      </c>
    </row>
    <row r="2452" spans="24:24">
      <c r="X2452" t="s">
        <v>2785</v>
      </c>
    </row>
    <row r="2453" spans="24:24">
      <c r="X2453" t="s">
        <v>2786</v>
      </c>
    </row>
    <row r="2454" spans="24:24">
      <c r="X2454" t="s">
        <v>2787</v>
      </c>
    </row>
    <row r="2455" spans="24:24">
      <c r="X2455" t="s">
        <v>2788</v>
      </c>
    </row>
    <row r="2456" spans="24:24">
      <c r="X2456" t="s">
        <v>2789</v>
      </c>
    </row>
    <row r="2457" spans="24:24">
      <c r="X2457" t="s">
        <v>2790</v>
      </c>
    </row>
    <row r="2458" spans="24:24">
      <c r="X2458" t="s">
        <v>2791</v>
      </c>
    </row>
    <row r="2459" spans="24:24">
      <c r="X2459" t="s">
        <v>248</v>
      </c>
    </row>
    <row r="2460" spans="24:24">
      <c r="X2460" t="s">
        <v>2792</v>
      </c>
    </row>
    <row r="2461" spans="24:24">
      <c r="X2461" t="s">
        <v>2793</v>
      </c>
    </row>
    <row r="2462" spans="24:24">
      <c r="X2462" t="s">
        <v>2794</v>
      </c>
    </row>
    <row r="2463" spans="24:24">
      <c r="X2463" t="s">
        <v>2795</v>
      </c>
    </row>
    <row r="2464" spans="24:24">
      <c r="X2464" t="s">
        <v>2796</v>
      </c>
    </row>
    <row r="2465" spans="24:24">
      <c r="X2465" t="s">
        <v>2797</v>
      </c>
    </row>
    <row r="2466" spans="24:24">
      <c r="X2466" t="s">
        <v>2798</v>
      </c>
    </row>
    <row r="2467" spans="24:24">
      <c r="X2467" t="s">
        <v>2799</v>
      </c>
    </row>
    <row r="2468" spans="24:24">
      <c r="X2468" t="s">
        <v>2800</v>
      </c>
    </row>
    <row r="2469" spans="24:24">
      <c r="X2469" t="s">
        <v>2801</v>
      </c>
    </row>
    <row r="2470" spans="24:24">
      <c r="X2470" t="s">
        <v>2802</v>
      </c>
    </row>
    <row r="2471" spans="24:24">
      <c r="X2471" t="s">
        <v>2803</v>
      </c>
    </row>
    <row r="2472" spans="24:24">
      <c r="X2472" t="s">
        <v>2804</v>
      </c>
    </row>
    <row r="2473" spans="24:24">
      <c r="X2473" t="s">
        <v>194</v>
      </c>
    </row>
    <row r="2474" spans="24:24">
      <c r="X2474" t="s">
        <v>2805</v>
      </c>
    </row>
    <row r="2475" spans="24:24">
      <c r="X2475" t="s">
        <v>2806</v>
      </c>
    </row>
    <row r="2476" spans="24:24">
      <c r="X2476" t="s">
        <v>2807</v>
      </c>
    </row>
    <row r="2477" spans="24:24">
      <c r="X2477" t="s">
        <v>2808</v>
      </c>
    </row>
    <row r="2478" spans="24:24">
      <c r="X2478" t="s">
        <v>2809</v>
      </c>
    </row>
    <row r="2479" spans="24:24">
      <c r="X2479" t="s">
        <v>2810</v>
      </c>
    </row>
    <row r="2480" spans="24:24">
      <c r="X2480" t="s">
        <v>2811</v>
      </c>
    </row>
    <row r="2481" spans="24:24">
      <c r="X2481" t="s">
        <v>415</v>
      </c>
    </row>
    <row r="2482" spans="24:24">
      <c r="X2482" t="s">
        <v>2812</v>
      </c>
    </row>
    <row r="2483" spans="24:24">
      <c r="X2483" t="s">
        <v>2813</v>
      </c>
    </row>
    <row r="2484" spans="24:24">
      <c r="X2484" t="s">
        <v>2814</v>
      </c>
    </row>
    <row r="2485" spans="24:24">
      <c r="X2485" t="s">
        <v>2815</v>
      </c>
    </row>
    <row r="2486" spans="24:24">
      <c r="X2486" t="s">
        <v>2816</v>
      </c>
    </row>
    <row r="2487" spans="24:24">
      <c r="X2487" t="s">
        <v>2817</v>
      </c>
    </row>
    <row r="2488" spans="24:24">
      <c r="X2488" t="s">
        <v>2818</v>
      </c>
    </row>
    <row r="2489" spans="24:24">
      <c r="X2489" t="s">
        <v>2819</v>
      </c>
    </row>
    <row r="2490" spans="24:24">
      <c r="X2490" t="s">
        <v>2820</v>
      </c>
    </row>
    <row r="2491" spans="24:24">
      <c r="X2491" t="s">
        <v>2821</v>
      </c>
    </row>
    <row r="2492" spans="24:24">
      <c r="X2492" t="s">
        <v>2822</v>
      </c>
    </row>
    <row r="2493" spans="24:24">
      <c r="X2493" t="s">
        <v>2823</v>
      </c>
    </row>
    <row r="2494" spans="24:24">
      <c r="X2494" t="s">
        <v>2824</v>
      </c>
    </row>
    <row r="2495" spans="24:24">
      <c r="X2495" t="s">
        <v>2825</v>
      </c>
    </row>
    <row r="2496" spans="24:24">
      <c r="X2496" t="s">
        <v>2826</v>
      </c>
    </row>
    <row r="2497" spans="24:24">
      <c r="X2497" t="s">
        <v>2827</v>
      </c>
    </row>
    <row r="2498" spans="24:24">
      <c r="X2498" t="s">
        <v>2828</v>
      </c>
    </row>
    <row r="2499" spans="24:24">
      <c r="X2499" t="s">
        <v>2829</v>
      </c>
    </row>
    <row r="2500" spans="24:24">
      <c r="X2500" t="s">
        <v>2830</v>
      </c>
    </row>
    <row r="2501" spans="24:24">
      <c r="X2501" t="s">
        <v>2831</v>
      </c>
    </row>
    <row r="2502" spans="24:24">
      <c r="X2502" t="s">
        <v>2832</v>
      </c>
    </row>
    <row r="2503" spans="24:24">
      <c r="X2503" t="s">
        <v>2833</v>
      </c>
    </row>
    <row r="2504" spans="24:24">
      <c r="X2504" t="s">
        <v>2834</v>
      </c>
    </row>
    <row r="2505" spans="24:24">
      <c r="X2505" t="s">
        <v>2835</v>
      </c>
    </row>
    <row r="2506" spans="24:24">
      <c r="X2506" t="s">
        <v>2836</v>
      </c>
    </row>
    <row r="2507" spans="24:24">
      <c r="X2507" t="s">
        <v>2837</v>
      </c>
    </row>
    <row r="2508" spans="24:24">
      <c r="X2508" t="s">
        <v>2838</v>
      </c>
    </row>
    <row r="2509" spans="24:24">
      <c r="X2509" t="s">
        <v>2839</v>
      </c>
    </row>
    <row r="2510" spans="24:24">
      <c r="X2510" t="s">
        <v>2840</v>
      </c>
    </row>
    <row r="2511" spans="24:24">
      <c r="X2511" t="s">
        <v>2841</v>
      </c>
    </row>
    <row r="2512" spans="24:24">
      <c r="X2512" t="s">
        <v>2842</v>
      </c>
    </row>
    <row r="2513" spans="24:24">
      <c r="X2513" t="s">
        <v>2843</v>
      </c>
    </row>
    <row r="2514" spans="24:24">
      <c r="X2514" t="s">
        <v>2844</v>
      </c>
    </row>
    <row r="2515" spans="24:24">
      <c r="X2515" t="s">
        <v>2845</v>
      </c>
    </row>
    <row r="2516" spans="24:24">
      <c r="X2516" t="s">
        <v>2846</v>
      </c>
    </row>
    <row r="2517" spans="24:24">
      <c r="X2517" t="s">
        <v>924</v>
      </c>
    </row>
    <row r="2518" spans="24:24">
      <c r="X2518" t="s">
        <v>2847</v>
      </c>
    </row>
    <row r="2519" spans="24:24">
      <c r="X2519" t="s">
        <v>2848</v>
      </c>
    </row>
    <row r="2520" spans="24:24">
      <c r="X2520" t="s">
        <v>2849</v>
      </c>
    </row>
    <row r="2521" spans="24:24">
      <c r="X2521" t="s">
        <v>152</v>
      </c>
    </row>
    <row r="2522" spans="24:24">
      <c r="X2522" t="s">
        <v>2850</v>
      </c>
    </row>
    <row r="2523" spans="24:24">
      <c r="X2523" t="s">
        <v>2851</v>
      </c>
    </row>
    <row r="2524" spans="24:24">
      <c r="X2524" t="s">
        <v>340</v>
      </c>
    </row>
    <row r="2525" spans="24:24">
      <c r="X2525" t="s">
        <v>2852</v>
      </c>
    </row>
    <row r="2526" spans="24:24">
      <c r="X2526" t="s">
        <v>2853</v>
      </c>
    </row>
    <row r="2527" spans="24:24">
      <c r="X2527" t="s">
        <v>2854</v>
      </c>
    </row>
    <row r="2528" spans="24:24">
      <c r="X2528" t="s">
        <v>2855</v>
      </c>
    </row>
    <row r="2529" spans="24:24">
      <c r="X2529" t="s">
        <v>2856</v>
      </c>
    </row>
    <row r="2530" spans="24:24">
      <c r="X2530" t="s">
        <v>2857</v>
      </c>
    </row>
    <row r="2531" spans="24:24">
      <c r="X2531" t="s">
        <v>2858</v>
      </c>
    </row>
    <row r="2532" spans="24:24">
      <c r="X2532" t="s">
        <v>2859</v>
      </c>
    </row>
    <row r="2533" spans="24:24">
      <c r="X2533" t="s">
        <v>2860</v>
      </c>
    </row>
    <row r="2534" spans="24:24">
      <c r="X2534" t="s">
        <v>2861</v>
      </c>
    </row>
    <row r="2535" spans="24:24">
      <c r="X2535" t="s">
        <v>2862</v>
      </c>
    </row>
    <row r="2536" spans="24:24">
      <c r="X2536" t="s">
        <v>2863</v>
      </c>
    </row>
    <row r="2537" spans="24:24">
      <c r="X2537" t="s">
        <v>2864</v>
      </c>
    </row>
    <row r="2538" spans="24:24">
      <c r="X2538" t="s">
        <v>2865</v>
      </c>
    </row>
    <row r="2539" spans="24:24">
      <c r="X2539" t="s">
        <v>2866</v>
      </c>
    </row>
    <row r="2540" spans="24:24">
      <c r="X2540" t="s">
        <v>2867</v>
      </c>
    </row>
    <row r="2541" spans="24:24">
      <c r="X2541" t="s">
        <v>2868</v>
      </c>
    </row>
    <row r="2542" spans="24:24">
      <c r="X2542" t="s">
        <v>2869</v>
      </c>
    </row>
    <row r="2543" spans="24:24">
      <c r="X2543" t="s">
        <v>2870</v>
      </c>
    </row>
    <row r="2544" spans="24:24">
      <c r="X2544" t="s">
        <v>2871</v>
      </c>
    </row>
    <row r="2545" spans="24:24">
      <c r="X2545" t="s">
        <v>2872</v>
      </c>
    </row>
    <row r="2546" spans="24:24">
      <c r="X2546" t="s">
        <v>2873</v>
      </c>
    </row>
    <row r="2547" spans="24:24">
      <c r="X2547" t="s">
        <v>336</v>
      </c>
    </row>
    <row r="2548" spans="24:24">
      <c r="X2548" t="s">
        <v>2874</v>
      </c>
    </row>
    <row r="2549" spans="24:24">
      <c r="X2549" t="s">
        <v>2875</v>
      </c>
    </row>
    <row r="2550" spans="24:24">
      <c r="X2550" t="s">
        <v>2876</v>
      </c>
    </row>
    <row r="2551" spans="24:24">
      <c r="X2551" t="s">
        <v>2877</v>
      </c>
    </row>
    <row r="2552" spans="24:24">
      <c r="X2552" t="s">
        <v>2878</v>
      </c>
    </row>
    <row r="2553" spans="24:24">
      <c r="X2553" t="s">
        <v>2879</v>
      </c>
    </row>
    <row r="2554" spans="24:24">
      <c r="X2554" t="s">
        <v>414</v>
      </c>
    </row>
    <row r="2555" spans="24:24">
      <c r="X2555" t="s">
        <v>2880</v>
      </c>
    </row>
    <row r="2556" spans="24:24">
      <c r="X2556" t="s">
        <v>2881</v>
      </c>
    </row>
    <row r="2557" spans="24:24">
      <c r="X2557" t="s">
        <v>2882</v>
      </c>
    </row>
    <row r="2558" spans="24:24">
      <c r="X2558" t="s">
        <v>2883</v>
      </c>
    </row>
    <row r="2559" spans="24:24">
      <c r="X2559" t="s">
        <v>2884</v>
      </c>
    </row>
    <row r="2560" spans="24:24">
      <c r="X2560" t="s">
        <v>2885</v>
      </c>
    </row>
    <row r="2561" spans="24:24">
      <c r="X2561" t="s">
        <v>2886</v>
      </c>
    </row>
    <row r="2562" spans="24:24">
      <c r="X2562" t="s">
        <v>2887</v>
      </c>
    </row>
    <row r="2563" spans="24:24">
      <c r="X2563" t="s">
        <v>2888</v>
      </c>
    </row>
    <row r="2564" spans="24:24">
      <c r="X2564" t="s">
        <v>2889</v>
      </c>
    </row>
    <row r="2565" spans="24:24">
      <c r="X2565" t="s">
        <v>2890</v>
      </c>
    </row>
    <row r="2566" spans="24:24">
      <c r="X2566" t="s">
        <v>2891</v>
      </c>
    </row>
    <row r="2567" spans="24:24">
      <c r="X2567" t="s">
        <v>2892</v>
      </c>
    </row>
    <row r="2568" spans="24:24">
      <c r="X2568" t="s">
        <v>2893</v>
      </c>
    </row>
    <row r="2569" spans="24:24">
      <c r="X2569" t="s">
        <v>2894</v>
      </c>
    </row>
    <row r="2570" spans="24:24">
      <c r="X2570" t="s">
        <v>1120</v>
      </c>
    </row>
    <row r="2571" spans="24:24">
      <c r="X2571" t="s">
        <v>2895</v>
      </c>
    </row>
    <row r="2572" spans="24:24">
      <c r="X2572" t="s">
        <v>2896</v>
      </c>
    </row>
    <row r="2573" spans="24:24">
      <c r="X2573" t="s">
        <v>2897</v>
      </c>
    </row>
    <row r="2574" spans="24:24">
      <c r="X2574" t="s">
        <v>2898</v>
      </c>
    </row>
    <row r="2575" spans="24:24">
      <c r="X2575" t="s">
        <v>2899</v>
      </c>
    </row>
    <row r="2576" spans="24:24">
      <c r="X2576" t="s">
        <v>2900</v>
      </c>
    </row>
    <row r="2577" spans="24:24">
      <c r="X2577" t="s">
        <v>48</v>
      </c>
    </row>
    <row r="2578" spans="24:24">
      <c r="X2578" t="s">
        <v>151</v>
      </c>
    </row>
    <row r="2579" spans="24:24">
      <c r="X2579" t="s">
        <v>2901</v>
      </c>
    </row>
    <row r="2580" spans="24:24">
      <c r="X2580" t="s">
        <v>334</v>
      </c>
    </row>
    <row r="2581" spans="24:24">
      <c r="X2581" t="s">
        <v>2902</v>
      </c>
    </row>
    <row r="2582" spans="24:24">
      <c r="X2582" t="s">
        <v>2903</v>
      </c>
    </row>
    <row r="2583" spans="24:24">
      <c r="X2583" t="s">
        <v>2904</v>
      </c>
    </row>
    <row r="2584" spans="24:24">
      <c r="X2584" t="s">
        <v>2905</v>
      </c>
    </row>
    <row r="2585" spans="24:24">
      <c r="X2585" t="s">
        <v>2906</v>
      </c>
    </row>
    <row r="2586" spans="24:24">
      <c r="X2586" t="s">
        <v>2907</v>
      </c>
    </row>
    <row r="2587" spans="24:24">
      <c r="X2587" t="s">
        <v>2908</v>
      </c>
    </row>
    <row r="2588" spans="24:24">
      <c r="X2588" t="s">
        <v>2909</v>
      </c>
    </row>
    <row r="2589" spans="24:24">
      <c r="X2589" t="s">
        <v>2910</v>
      </c>
    </row>
    <row r="2590" spans="24:24">
      <c r="X2590" t="s">
        <v>2911</v>
      </c>
    </row>
    <row r="2591" spans="24:24">
      <c r="X2591" t="s">
        <v>2912</v>
      </c>
    </row>
    <row r="2592" spans="24:24">
      <c r="X2592" t="s">
        <v>2913</v>
      </c>
    </row>
    <row r="2593" spans="24:24">
      <c r="X2593" t="s">
        <v>2914</v>
      </c>
    </row>
    <row r="2594" spans="24:24">
      <c r="X2594" t="s">
        <v>2915</v>
      </c>
    </row>
    <row r="2595" spans="24:24">
      <c r="X2595" t="s">
        <v>2916</v>
      </c>
    </row>
    <row r="2596" spans="24:24">
      <c r="X2596" t="s">
        <v>138</v>
      </c>
    </row>
    <row r="2597" spans="24:24">
      <c r="X2597" t="s">
        <v>2917</v>
      </c>
    </row>
    <row r="2598" spans="24:24">
      <c r="X2598" t="s">
        <v>2918</v>
      </c>
    </row>
    <row r="2599" spans="24:24">
      <c r="X2599" t="s">
        <v>331</v>
      </c>
    </row>
    <row r="2600" spans="24:24">
      <c r="X2600" t="s">
        <v>2919</v>
      </c>
    </row>
    <row r="2601" spans="24:24">
      <c r="X2601" t="s">
        <v>2920</v>
      </c>
    </row>
    <row r="2602" spans="24:24">
      <c r="X2602" t="s">
        <v>2921</v>
      </c>
    </row>
    <row r="2603" spans="24:24">
      <c r="X2603" t="s">
        <v>2922</v>
      </c>
    </row>
    <row r="2604" spans="24:24">
      <c r="X2604" t="s">
        <v>2923</v>
      </c>
    </row>
    <row r="2605" spans="24:24">
      <c r="X2605" t="s">
        <v>2924</v>
      </c>
    </row>
    <row r="2606" spans="24:24">
      <c r="X2606" t="s">
        <v>2925</v>
      </c>
    </row>
    <row r="2607" spans="24:24">
      <c r="X2607" t="s">
        <v>2926</v>
      </c>
    </row>
    <row r="2608" spans="24:24">
      <c r="X2608" t="s">
        <v>2927</v>
      </c>
    </row>
    <row r="2609" spans="24:24">
      <c r="X2609" t="s">
        <v>2928</v>
      </c>
    </row>
    <row r="2610" spans="24:24">
      <c r="X2610" t="s">
        <v>2929</v>
      </c>
    </row>
    <row r="2611" spans="24:24">
      <c r="X2611" t="s">
        <v>2930</v>
      </c>
    </row>
    <row r="2612" spans="24:24">
      <c r="X2612" t="s">
        <v>2931</v>
      </c>
    </row>
    <row r="2613" spans="24:24">
      <c r="X2613" t="s">
        <v>2932</v>
      </c>
    </row>
    <row r="2614" spans="24:24">
      <c r="X2614" t="s">
        <v>2933</v>
      </c>
    </row>
    <row r="2615" spans="24:24">
      <c r="X2615" t="s">
        <v>2934</v>
      </c>
    </row>
    <row r="2616" spans="24:24">
      <c r="X2616" t="s">
        <v>2935</v>
      </c>
    </row>
    <row r="2617" spans="24:24">
      <c r="X2617" t="s">
        <v>2936</v>
      </c>
    </row>
    <row r="2618" spans="24:24">
      <c r="X2618" t="s">
        <v>2937</v>
      </c>
    </row>
    <row r="2619" spans="24:24">
      <c r="X2619" t="s">
        <v>2938</v>
      </c>
    </row>
    <row r="2620" spans="24:24">
      <c r="X2620" t="s">
        <v>2939</v>
      </c>
    </row>
    <row r="2621" spans="24:24">
      <c r="X2621" t="s">
        <v>408</v>
      </c>
    </row>
    <row r="2622" spans="24:24">
      <c r="X2622" t="s">
        <v>2940</v>
      </c>
    </row>
    <row r="2623" spans="24:24">
      <c r="X2623" t="s">
        <v>2941</v>
      </c>
    </row>
    <row r="2624" spans="24:24">
      <c r="X2624" t="s">
        <v>285</v>
      </c>
    </row>
    <row r="2625" spans="24:24">
      <c r="X2625" t="s">
        <v>2942</v>
      </c>
    </row>
    <row r="2626" spans="24:24">
      <c r="X2626" t="s">
        <v>2943</v>
      </c>
    </row>
    <row r="2627" spans="24:24">
      <c r="X2627" t="s">
        <v>2944</v>
      </c>
    </row>
    <row r="2628" spans="24:24">
      <c r="X2628" t="s">
        <v>2945</v>
      </c>
    </row>
    <row r="2629" spans="24:24">
      <c r="X2629" t="s">
        <v>2946</v>
      </c>
    </row>
    <row r="2630" spans="24:24">
      <c r="X2630" t="s">
        <v>2947</v>
      </c>
    </row>
    <row r="2631" spans="24:24">
      <c r="X2631" t="s">
        <v>2948</v>
      </c>
    </row>
    <row r="2632" spans="24:24">
      <c r="X2632" t="s">
        <v>2949</v>
      </c>
    </row>
    <row r="2633" spans="24:24">
      <c r="X2633" t="s">
        <v>2950</v>
      </c>
    </row>
    <row r="2634" spans="24:24">
      <c r="X2634" t="s">
        <v>2951</v>
      </c>
    </row>
    <row r="2635" spans="24:24">
      <c r="X2635" t="s">
        <v>2952</v>
      </c>
    </row>
    <row r="2636" spans="24:24">
      <c r="X2636" t="s">
        <v>2953</v>
      </c>
    </row>
    <row r="2637" spans="24:24">
      <c r="X2637" t="s">
        <v>2954</v>
      </c>
    </row>
    <row r="2638" spans="24:24">
      <c r="X2638" t="s">
        <v>2955</v>
      </c>
    </row>
    <row r="2639" spans="24:24">
      <c r="X2639" t="s">
        <v>2956</v>
      </c>
    </row>
    <row r="2640" spans="24:24">
      <c r="X2640" t="s">
        <v>2957</v>
      </c>
    </row>
    <row r="2641" spans="24:24">
      <c r="X2641" t="s">
        <v>2958</v>
      </c>
    </row>
    <row r="2642" spans="24:24">
      <c r="X2642" t="s">
        <v>2959</v>
      </c>
    </row>
    <row r="2643" spans="24:24">
      <c r="X2643" t="s">
        <v>2960</v>
      </c>
    </row>
    <row r="2644" spans="24:24">
      <c r="X2644" t="s">
        <v>106</v>
      </c>
    </row>
    <row r="2645" spans="24:24">
      <c r="X2645" t="s">
        <v>2961</v>
      </c>
    </row>
    <row r="2646" spans="24:24">
      <c r="X2646" t="s">
        <v>2962</v>
      </c>
    </row>
    <row r="2647" spans="24:24">
      <c r="X2647" t="s">
        <v>2963</v>
      </c>
    </row>
    <row r="2648" spans="24:24">
      <c r="X2648" t="s">
        <v>2964</v>
      </c>
    </row>
    <row r="2649" spans="24:24">
      <c r="X2649" t="s">
        <v>2965</v>
      </c>
    </row>
    <row r="2650" spans="24:24">
      <c r="X2650" t="s">
        <v>2966</v>
      </c>
    </row>
    <row r="2651" spans="24:24">
      <c r="X2651" t="s">
        <v>2287</v>
      </c>
    </row>
    <row r="2652" spans="24:24">
      <c r="X2652" t="s">
        <v>2967</v>
      </c>
    </row>
    <row r="2653" spans="24:24">
      <c r="X2653" t="s">
        <v>2968</v>
      </c>
    </row>
    <row r="2654" spans="24:24">
      <c r="X2654" t="s">
        <v>2969</v>
      </c>
    </row>
    <row r="2655" spans="24:24">
      <c r="X2655" t="s">
        <v>2970</v>
      </c>
    </row>
    <row r="2656" spans="24:24">
      <c r="X2656" t="s">
        <v>2971</v>
      </c>
    </row>
    <row r="2657" spans="24:24">
      <c r="X2657" t="s">
        <v>2972</v>
      </c>
    </row>
    <row r="2658" spans="24:24">
      <c r="X2658" t="s">
        <v>2973</v>
      </c>
    </row>
    <row r="2659" spans="24:24">
      <c r="X2659" t="s">
        <v>2974</v>
      </c>
    </row>
    <row r="2660" spans="24:24">
      <c r="X2660" t="s">
        <v>2975</v>
      </c>
    </row>
    <row r="2661" spans="24:24">
      <c r="X2661" t="s">
        <v>2976</v>
      </c>
    </row>
    <row r="2662" spans="24:24">
      <c r="X2662" t="s">
        <v>2977</v>
      </c>
    </row>
    <row r="2663" spans="24:24">
      <c r="X2663" t="s">
        <v>2978</v>
      </c>
    </row>
    <row r="2664" spans="24:24">
      <c r="X2664" t="s">
        <v>2979</v>
      </c>
    </row>
    <row r="2665" spans="24:24">
      <c r="X2665" t="s">
        <v>2980</v>
      </c>
    </row>
    <row r="2666" spans="24:24">
      <c r="X2666" t="s">
        <v>2981</v>
      </c>
    </row>
    <row r="2667" spans="24:24">
      <c r="X2667" t="s">
        <v>2982</v>
      </c>
    </row>
    <row r="2668" spans="24:24">
      <c r="X2668" t="s">
        <v>278</v>
      </c>
    </row>
    <row r="2669" spans="24:24">
      <c r="X2669" t="s">
        <v>2983</v>
      </c>
    </row>
    <row r="2670" spans="24:24">
      <c r="X2670" t="s">
        <v>2984</v>
      </c>
    </row>
    <row r="2671" spans="24:24">
      <c r="X2671" t="s">
        <v>2985</v>
      </c>
    </row>
    <row r="2672" spans="24:24">
      <c r="X2672" t="s">
        <v>2986</v>
      </c>
    </row>
    <row r="2673" spans="24:24">
      <c r="X2673" t="s">
        <v>2987</v>
      </c>
    </row>
    <row r="2674" spans="24:24">
      <c r="X2674" t="s">
        <v>2988</v>
      </c>
    </row>
    <row r="2675" spans="24:24">
      <c r="X2675" t="s">
        <v>2989</v>
      </c>
    </row>
    <row r="2676" spans="24:24">
      <c r="X2676" t="s">
        <v>2990</v>
      </c>
    </row>
    <row r="2677" spans="24:24">
      <c r="X2677" t="s">
        <v>25</v>
      </c>
    </row>
    <row r="2678" spans="24:24">
      <c r="X2678" t="s">
        <v>2991</v>
      </c>
    </row>
    <row r="2679" spans="24:24">
      <c r="X2679" t="s">
        <v>2992</v>
      </c>
    </row>
    <row r="2680" spans="24:24">
      <c r="X2680" t="s">
        <v>2993</v>
      </c>
    </row>
    <row r="2681" spans="24:24">
      <c r="X2681" t="s">
        <v>2994</v>
      </c>
    </row>
    <row r="2682" spans="24:24">
      <c r="X2682" t="s">
        <v>2995</v>
      </c>
    </row>
    <row r="2683" spans="24:24">
      <c r="X2683" t="s">
        <v>2996</v>
      </c>
    </row>
    <row r="2684" spans="24:24">
      <c r="X2684" t="s">
        <v>2997</v>
      </c>
    </row>
    <row r="2685" spans="24:24">
      <c r="X2685" t="s">
        <v>2998</v>
      </c>
    </row>
    <row r="2686" spans="24:24">
      <c r="X2686" t="s">
        <v>2999</v>
      </c>
    </row>
    <row r="2687" spans="24:24">
      <c r="X2687" t="s">
        <v>3000</v>
      </c>
    </row>
    <row r="2688" spans="24:24">
      <c r="X2688" t="s">
        <v>3001</v>
      </c>
    </row>
    <row r="2689" spans="24:24">
      <c r="X2689" t="s">
        <v>49</v>
      </c>
    </row>
    <row r="2690" spans="24:24">
      <c r="X2690" t="s">
        <v>114</v>
      </c>
    </row>
    <row r="2691" spans="24:24">
      <c r="X2691" t="s">
        <v>3002</v>
      </c>
    </row>
    <row r="2692" spans="24:24">
      <c r="X2692" t="s">
        <v>3003</v>
      </c>
    </row>
    <row r="2693" spans="24:24">
      <c r="X2693" t="s">
        <v>3004</v>
      </c>
    </row>
    <row r="2694" spans="24:24">
      <c r="X2694" t="s">
        <v>3005</v>
      </c>
    </row>
    <row r="2695" spans="24:24">
      <c r="X2695" t="s">
        <v>3006</v>
      </c>
    </row>
    <row r="2696" spans="24:24">
      <c r="X2696" t="s">
        <v>3007</v>
      </c>
    </row>
    <row r="2697" spans="24:24">
      <c r="X2697" t="s">
        <v>3008</v>
      </c>
    </row>
    <row r="2698" spans="24:24">
      <c r="X2698" t="s">
        <v>3009</v>
      </c>
    </row>
    <row r="2699" spans="24:24">
      <c r="X2699" t="s">
        <v>3010</v>
      </c>
    </row>
    <row r="2700" spans="24:24">
      <c r="X2700" t="s">
        <v>3011</v>
      </c>
    </row>
    <row r="2701" spans="24:24">
      <c r="X2701" t="s">
        <v>3012</v>
      </c>
    </row>
    <row r="2702" spans="24:24">
      <c r="X2702" t="s">
        <v>3013</v>
      </c>
    </row>
    <row r="2703" spans="24:24">
      <c r="X2703" t="s">
        <v>3014</v>
      </c>
    </row>
    <row r="2704" spans="24:24">
      <c r="X2704" t="s">
        <v>3015</v>
      </c>
    </row>
    <row r="2705" spans="24:24">
      <c r="X2705" t="s">
        <v>3016</v>
      </c>
    </row>
    <row r="2706" spans="24:24">
      <c r="X2706" t="s">
        <v>1823</v>
      </c>
    </row>
    <row r="2707" spans="24:24">
      <c r="X2707" t="s">
        <v>3017</v>
      </c>
    </row>
    <row r="2708" spans="24:24">
      <c r="X2708" t="s">
        <v>3018</v>
      </c>
    </row>
    <row r="2709" spans="24:24">
      <c r="X2709" t="s">
        <v>3019</v>
      </c>
    </row>
    <row r="2710" spans="24:24">
      <c r="X2710" t="s">
        <v>3020</v>
      </c>
    </row>
    <row r="2711" spans="24:24">
      <c r="X2711" t="s">
        <v>3021</v>
      </c>
    </row>
    <row r="2712" spans="24:24">
      <c r="X2712" t="s">
        <v>3022</v>
      </c>
    </row>
    <row r="2713" spans="24:24">
      <c r="X2713" t="s">
        <v>3023</v>
      </c>
    </row>
    <row r="2714" spans="24:24">
      <c r="X2714" t="s">
        <v>3024</v>
      </c>
    </row>
    <row r="2715" spans="24:24">
      <c r="X2715" t="s">
        <v>3025</v>
      </c>
    </row>
    <row r="2716" spans="24:24">
      <c r="X2716" t="s">
        <v>3026</v>
      </c>
    </row>
    <row r="2717" spans="24:24">
      <c r="X2717" t="s">
        <v>3027</v>
      </c>
    </row>
    <row r="2718" spans="24:24">
      <c r="X2718" t="s">
        <v>3028</v>
      </c>
    </row>
    <row r="2719" spans="24:24">
      <c r="X2719" t="s">
        <v>3029</v>
      </c>
    </row>
    <row r="2720" spans="24:24">
      <c r="X2720" t="s">
        <v>3030</v>
      </c>
    </row>
    <row r="2721" spans="24:24">
      <c r="X2721" t="s">
        <v>3031</v>
      </c>
    </row>
    <row r="2722" spans="24:24">
      <c r="X2722" t="s">
        <v>3032</v>
      </c>
    </row>
    <row r="2723" spans="24:24">
      <c r="X2723" t="s">
        <v>3033</v>
      </c>
    </row>
    <row r="2724" spans="24:24">
      <c r="X2724" t="s">
        <v>3034</v>
      </c>
    </row>
    <row r="2725" spans="24:24">
      <c r="X2725" t="s">
        <v>3035</v>
      </c>
    </row>
    <row r="2726" spans="24:24">
      <c r="X2726" t="s">
        <v>3036</v>
      </c>
    </row>
    <row r="2727" spans="24:24">
      <c r="X2727" t="s">
        <v>3037</v>
      </c>
    </row>
    <row r="2728" spans="24:24">
      <c r="X2728" t="s">
        <v>3038</v>
      </c>
    </row>
    <row r="2729" spans="24:24">
      <c r="X2729" t="s">
        <v>3039</v>
      </c>
    </row>
    <row r="2730" spans="24:24">
      <c r="X2730" t="s">
        <v>3040</v>
      </c>
    </row>
    <row r="2731" spans="24:24">
      <c r="X2731" t="s">
        <v>3041</v>
      </c>
    </row>
    <row r="2732" spans="24:24">
      <c r="X2732" t="s">
        <v>3042</v>
      </c>
    </row>
    <row r="2733" spans="24:24">
      <c r="X2733" t="s">
        <v>3043</v>
      </c>
    </row>
    <row r="2734" spans="24:24">
      <c r="X2734" t="s">
        <v>3044</v>
      </c>
    </row>
    <row r="2735" spans="24:24">
      <c r="X2735" t="s">
        <v>3045</v>
      </c>
    </row>
    <row r="2736" spans="24:24">
      <c r="X2736" t="s">
        <v>3046</v>
      </c>
    </row>
    <row r="2737" spans="24:24">
      <c r="X2737" t="s">
        <v>3047</v>
      </c>
    </row>
    <row r="2738" spans="24:24">
      <c r="X2738" t="s">
        <v>3048</v>
      </c>
    </row>
    <row r="2739" spans="24:24">
      <c r="X2739" t="s">
        <v>3049</v>
      </c>
    </row>
    <row r="2740" spans="24:24">
      <c r="X2740" t="s">
        <v>3050</v>
      </c>
    </row>
    <row r="2741" spans="24:24">
      <c r="X2741" t="s">
        <v>3051</v>
      </c>
    </row>
    <row r="2742" spans="24:24">
      <c r="X2742" t="s">
        <v>43</v>
      </c>
    </row>
    <row r="2743" spans="24:24">
      <c r="X2743" t="s">
        <v>3052</v>
      </c>
    </row>
    <row r="2744" spans="24:24">
      <c r="X2744" t="s">
        <v>3053</v>
      </c>
    </row>
    <row r="2745" spans="24:24">
      <c r="X2745" t="s">
        <v>3054</v>
      </c>
    </row>
    <row r="2746" spans="24:24">
      <c r="X2746" t="s">
        <v>3055</v>
      </c>
    </row>
    <row r="2747" spans="24:24">
      <c r="X2747" t="s">
        <v>3056</v>
      </c>
    </row>
    <row r="2748" spans="24:24">
      <c r="X2748" t="s">
        <v>3057</v>
      </c>
    </row>
    <row r="2749" spans="24:24">
      <c r="X2749" t="s">
        <v>3058</v>
      </c>
    </row>
    <row r="2750" spans="24:24">
      <c r="X2750" t="s">
        <v>3059</v>
      </c>
    </row>
    <row r="2751" spans="24:24">
      <c r="X2751" t="s">
        <v>3060</v>
      </c>
    </row>
    <row r="2752" spans="24:24">
      <c r="X2752" t="s">
        <v>3061</v>
      </c>
    </row>
    <row r="2753" spans="24:24">
      <c r="X2753" t="s">
        <v>3062</v>
      </c>
    </row>
    <row r="2754" spans="24:24">
      <c r="X2754" t="s">
        <v>1399</v>
      </c>
    </row>
    <row r="2755" spans="24:24">
      <c r="X2755" t="s">
        <v>3063</v>
      </c>
    </row>
    <row r="2756" spans="24:24">
      <c r="X2756" t="s">
        <v>3064</v>
      </c>
    </row>
    <row r="2757" spans="24:24">
      <c r="X2757" t="s">
        <v>71</v>
      </c>
    </row>
    <row r="2758" spans="24:24">
      <c r="X2758" t="s">
        <v>3065</v>
      </c>
    </row>
    <row r="2759" spans="24:24">
      <c r="X2759" t="s">
        <v>3066</v>
      </c>
    </row>
    <row r="2760" spans="24:24">
      <c r="X2760" t="s">
        <v>273</v>
      </c>
    </row>
    <row r="2761" spans="24:24">
      <c r="X2761" t="s">
        <v>3067</v>
      </c>
    </row>
    <row r="2762" spans="24:24">
      <c r="X2762" t="s">
        <v>3068</v>
      </c>
    </row>
    <row r="2763" spans="24:24">
      <c r="X2763" t="s">
        <v>3069</v>
      </c>
    </row>
    <row r="2764" spans="24:24">
      <c r="X2764" t="s">
        <v>3070</v>
      </c>
    </row>
    <row r="2765" spans="24:24">
      <c r="X2765" t="s">
        <v>3071</v>
      </c>
    </row>
    <row r="2766" spans="24:24">
      <c r="X2766" t="s">
        <v>3072</v>
      </c>
    </row>
    <row r="2767" spans="24:24">
      <c r="X2767" t="s">
        <v>3073</v>
      </c>
    </row>
    <row r="2768" spans="24:24">
      <c r="X2768" t="s">
        <v>3074</v>
      </c>
    </row>
    <row r="2769" spans="24:24">
      <c r="X2769" t="s">
        <v>3075</v>
      </c>
    </row>
    <row r="2770" spans="24:24">
      <c r="X2770" t="s">
        <v>3076</v>
      </c>
    </row>
    <row r="2771" spans="24:24">
      <c r="X2771" t="s">
        <v>3077</v>
      </c>
    </row>
    <row r="2772" spans="24:24">
      <c r="X2772" t="s">
        <v>3078</v>
      </c>
    </row>
    <row r="2773" spans="24:24">
      <c r="X2773" t="s">
        <v>3079</v>
      </c>
    </row>
    <row r="2774" spans="24:24">
      <c r="X2774" t="s">
        <v>3080</v>
      </c>
    </row>
    <row r="2775" spans="24:24">
      <c r="X2775" t="s">
        <v>3081</v>
      </c>
    </row>
    <row r="2776" spans="24:24">
      <c r="X2776" t="s">
        <v>3082</v>
      </c>
    </row>
    <row r="2777" spans="24:24">
      <c r="X2777" t="s">
        <v>3083</v>
      </c>
    </row>
    <row r="2778" spans="24:24">
      <c r="X2778" t="s">
        <v>265</v>
      </c>
    </row>
    <row r="2779" spans="24:24">
      <c r="X2779" t="s">
        <v>99</v>
      </c>
    </row>
    <row r="2780" spans="24:24">
      <c r="X2780" t="s">
        <v>3084</v>
      </c>
    </row>
    <row r="2781" spans="24:24">
      <c r="X2781" t="s">
        <v>3085</v>
      </c>
    </row>
    <row r="2782" spans="24:24">
      <c r="X2782" t="s">
        <v>3086</v>
      </c>
    </row>
    <row r="2783" spans="24:24">
      <c r="X2783" t="s">
        <v>3087</v>
      </c>
    </row>
    <row r="2784" spans="24:24">
      <c r="X2784" t="s">
        <v>3088</v>
      </c>
    </row>
    <row r="2785" spans="24:24">
      <c r="X2785" t="s">
        <v>3089</v>
      </c>
    </row>
    <row r="2786" spans="24:24">
      <c r="X2786" t="s">
        <v>3090</v>
      </c>
    </row>
    <row r="2787" spans="24:24">
      <c r="X2787" t="s">
        <v>3091</v>
      </c>
    </row>
    <row r="2788" spans="24:24">
      <c r="X2788" t="s">
        <v>3092</v>
      </c>
    </row>
    <row r="2789" spans="24:24">
      <c r="X2789" t="s">
        <v>3093</v>
      </c>
    </row>
    <row r="2790" spans="24:24">
      <c r="X2790" t="s">
        <v>3094</v>
      </c>
    </row>
    <row r="2791" spans="24:24">
      <c r="X2791" t="s">
        <v>3095</v>
      </c>
    </row>
    <row r="2792" spans="24:24">
      <c r="X2792" t="s">
        <v>3096</v>
      </c>
    </row>
    <row r="2793" spans="24:24">
      <c r="X2793" t="s">
        <v>3097</v>
      </c>
    </row>
    <row r="2794" spans="24:24">
      <c r="X2794" t="s">
        <v>3098</v>
      </c>
    </row>
    <row r="2795" spans="24:24">
      <c r="X2795" t="s">
        <v>3099</v>
      </c>
    </row>
    <row r="2796" spans="24:24">
      <c r="X2796" t="s">
        <v>3100</v>
      </c>
    </row>
    <row r="2797" spans="24:24">
      <c r="X2797" t="s">
        <v>272</v>
      </c>
    </row>
    <row r="2798" spans="24:24">
      <c r="X2798" t="s">
        <v>289</v>
      </c>
    </row>
    <row r="2799" spans="24:24">
      <c r="X2799" t="s">
        <v>309</v>
      </c>
    </row>
    <row r="2800" spans="24:24">
      <c r="X2800" t="s">
        <v>3101</v>
      </c>
    </row>
    <row r="2801" spans="24:24">
      <c r="X2801" t="s">
        <v>3102</v>
      </c>
    </row>
    <row r="2802" spans="24:24">
      <c r="X2802" t="s">
        <v>3103</v>
      </c>
    </row>
    <row r="2803" spans="24:24">
      <c r="X2803" t="s">
        <v>3104</v>
      </c>
    </row>
    <row r="2804" spans="24:24">
      <c r="X2804" t="s">
        <v>3105</v>
      </c>
    </row>
    <row r="2805" spans="24:24">
      <c r="X2805" t="s">
        <v>3106</v>
      </c>
    </row>
    <row r="2806" spans="24:24">
      <c r="X2806" t="s">
        <v>3107</v>
      </c>
    </row>
    <row r="2807" spans="24:24">
      <c r="X2807" t="s">
        <v>3108</v>
      </c>
    </row>
    <row r="2808" spans="24:24">
      <c r="X2808" t="s">
        <v>3109</v>
      </c>
    </row>
    <row r="2809" spans="24:24">
      <c r="X2809" t="s">
        <v>3110</v>
      </c>
    </row>
    <row r="2810" spans="24:24">
      <c r="X2810" t="s">
        <v>3111</v>
      </c>
    </row>
    <row r="2811" spans="24:24">
      <c r="X2811" t="s">
        <v>3112</v>
      </c>
    </row>
    <row r="2812" spans="24:24">
      <c r="X2812" t="s">
        <v>3113</v>
      </c>
    </row>
    <row r="2813" spans="24:24">
      <c r="X2813" t="s">
        <v>3114</v>
      </c>
    </row>
    <row r="2814" spans="24:24">
      <c r="X2814" t="s">
        <v>3115</v>
      </c>
    </row>
    <row r="2815" spans="24:24">
      <c r="X2815" t="s">
        <v>3116</v>
      </c>
    </row>
    <row r="2816" spans="24:24">
      <c r="X2816" t="s">
        <v>3117</v>
      </c>
    </row>
    <row r="2817" spans="24:24">
      <c r="X2817" t="s">
        <v>306</v>
      </c>
    </row>
    <row r="2818" spans="24:24">
      <c r="X2818" t="s">
        <v>3118</v>
      </c>
    </row>
    <row r="2819" spans="24:24">
      <c r="X2819" t="s">
        <v>3119</v>
      </c>
    </row>
    <row r="2820" spans="24:24">
      <c r="X2820" t="s">
        <v>3120</v>
      </c>
    </row>
    <row r="2821" spans="24:24">
      <c r="X2821" t="s">
        <v>3121</v>
      </c>
    </row>
    <row r="2822" spans="24:24">
      <c r="X2822" t="s">
        <v>3122</v>
      </c>
    </row>
    <row r="2823" spans="24:24">
      <c r="X2823" t="s">
        <v>1426</v>
      </c>
    </row>
    <row r="2824" spans="24:24">
      <c r="X2824" t="s">
        <v>3123</v>
      </c>
    </row>
    <row r="2825" spans="24:24">
      <c r="X2825" t="s">
        <v>3124</v>
      </c>
    </row>
    <row r="2826" spans="24:24">
      <c r="X2826" t="s">
        <v>3125</v>
      </c>
    </row>
    <row r="2827" spans="24:24">
      <c r="X2827" t="s">
        <v>3126</v>
      </c>
    </row>
    <row r="2828" spans="24:24">
      <c r="X2828" t="s">
        <v>3127</v>
      </c>
    </row>
    <row r="2829" spans="24:24">
      <c r="X2829" t="s">
        <v>3128</v>
      </c>
    </row>
    <row r="2830" spans="24:24">
      <c r="X2830" t="s">
        <v>3129</v>
      </c>
    </row>
    <row r="2831" spans="24:24">
      <c r="X2831" t="s">
        <v>3130</v>
      </c>
    </row>
    <row r="2832" spans="24:24">
      <c r="X2832" t="s">
        <v>3131</v>
      </c>
    </row>
    <row r="2833" spans="24:24">
      <c r="X2833" t="s">
        <v>3132</v>
      </c>
    </row>
    <row r="2834" spans="24:24">
      <c r="X2834" t="s">
        <v>3133</v>
      </c>
    </row>
    <row r="2835" spans="24:24">
      <c r="X2835" t="s">
        <v>347</v>
      </c>
    </row>
    <row r="2836" spans="24:24">
      <c r="X2836" t="s">
        <v>3134</v>
      </c>
    </row>
    <row r="2837" spans="24:24">
      <c r="X2837" t="s">
        <v>3135</v>
      </c>
    </row>
    <row r="2838" spans="24:24">
      <c r="X2838" t="s">
        <v>3136</v>
      </c>
    </row>
    <row r="2839" spans="24:24">
      <c r="X2839" t="s">
        <v>3137</v>
      </c>
    </row>
    <row r="2840" spans="24:24">
      <c r="X2840" t="s">
        <v>3138</v>
      </c>
    </row>
    <row r="2841" spans="24:24">
      <c r="X2841" t="s">
        <v>3139</v>
      </c>
    </row>
    <row r="2842" spans="24:24">
      <c r="X2842" t="s">
        <v>3140</v>
      </c>
    </row>
    <row r="2843" spans="24:24">
      <c r="X2843" t="s">
        <v>3141</v>
      </c>
    </row>
    <row r="2844" spans="24:24">
      <c r="X2844" t="s">
        <v>3142</v>
      </c>
    </row>
    <row r="2845" spans="24:24">
      <c r="X2845" t="s">
        <v>218</v>
      </c>
    </row>
    <row r="2846" spans="24:24">
      <c r="X2846" t="s">
        <v>3143</v>
      </c>
    </row>
    <row r="2847" spans="24:24">
      <c r="X2847" t="s">
        <v>3144</v>
      </c>
    </row>
    <row r="2848" spans="24:24">
      <c r="X2848" t="s">
        <v>3145</v>
      </c>
    </row>
    <row r="2849" spans="24:24">
      <c r="X2849" t="s">
        <v>3146</v>
      </c>
    </row>
    <row r="2850" spans="24:24">
      <c r="X2850" t="s">
        <v>3147</v>
      </c>
    </row>
    <row r="2851" spans="24:24">
      <c r="X2851" t="s">
        <v>3148</v>
      </c>
    </row>
    <row r="2852" spans="24:24">
      <c r="X2852" t="s">
        <v>3149</v>
      </c>
    </row>
    <row r="2853" spans="24:24">
      <c r="X2853" t="s">
        <v>3150</v>
      </c>
    </row>
    <row r="2854" spans="24:24">
      <c r="X2854" t="s">
        <v>3151</v>
      </c>
    </row>
    <row r="2855" spans="24:24">
      <c r="X2855" t="s">
        <v>3152</v>
      </c>
    </row>
    <row r="2856" spans="24:24">
      <c r="X2856" t="s">
        <v>74</v>
      </c>
    </row>
    <row r="2857" spans="24:24">
      <c r="X2857" t="s">
        <v>253</v>
      </c>
    </row>
    <row r="2858" spans="24:24">
      <c r="X2858" t="s">
        <v>3153</v>
      </c>
    </row>
    <row r="2859" spans="24:24">
      <c r="X2859" t="s">
        <v>3154</v>
      </c>
    </row>
    <row r="2860" spans="24:24">
      <c r="X2860" t="s">
        <v>3155</v>
      </c>
    </row>
    <row r="2861" spans="24:24">
      <c r="X2861" t="s">
        <v>3156</v>
      </c>
    </row>
    <row r="2862" spans="24:24">
      <c r="X2862" t="s">
        <v>3157</v>
      </c>
    </row>
    <row r="2863" spans="24:24">
      <c r="X2863" t="s">
        <v>3158</v>
      </c>
    </row>
    <row r="2864" spans="24:24">
      <c r="X2864" t="s">
        <v>3159</v>
      </c>
    </row>
    <row r="2865" spans="24:24">
      <c r="X2865" t="s">
        <v>3160</v>
      </c>
    </row>
    <row r="2866" spans="24:24">
      <c r="X2866" t="s">
        <v>3161</v>
      </c>
    </row>
    <row r="2867" spans="24:24">
      <c r="X2867" t="s">
        <v>3162</v>
      </c>
    </row>
    <row r="2868" spans="24:24">
      <c r="X2868" t="s">
        <v>3163</v>
      </c>
    </row>
    <row r="2869" spans="24:24">
      <c r="X2869" t="s">
        <v>3164</v>
      </c>
    </row>
    <row r="2870" spans="24:24">
      <c r="X2870" t="s">
        <v>3165</v>
      </c>
    </row>
    <row r="2871" spans="24:24">
      <c r="X2871" t="s">
        <v>3166</v>
      </c>
    </row>
    <row r="2872" spans="24:24">
      <c r="X2872" t="s">
        <v>3167</v>
      </c>
    </row>
    <row r="2873" spans="24:24">
      <c r="X2873" t="s">
        <v>3168</v>
      </c>
    </row>
    <row r="2874" spans="24:24">
      <c r="X2874" t="s">
        <v>3169</v>
      </c>
    </row>
    <row r="2875" spans="24:24">
      <c r="X2875" t="s">
        <v>3170</v>
      </c>
    </row>
    <row r="2876" spans="24:24">
      <c r="X2876" t="s">
        <v>3171</v>
      </c>
    </row>
    <row r="2877" spans="24:24">
      <c r="X2877" t="s">
        <v>3172</v>
      </c>
    </row>
    <row r="2878" spans="24:24">
      <c r="X2878" t="s">
        <v>3173</v>
      </c>
    </row>
    <row r="2879" spans="24:24">
      <c r="X2879" t="s">
        <v>3174</v>
      </c>
    </row>
    <row r="2880" spans="24:24">
      <c r="X2880" t="s">
        <v>3175</v>
      </c>
    </row>
    <row r="2881" spans="24:24">
      <c r="X2881" t="s">
        <v>3176</v>
      </c>
    </row>
    <row r="2882" spans="24:24">
      <c r="X2882" t="s">
        <v>3177</v>
      </c>
    </row>
    <row r="2883" spans="24:24">
      <c r="X2883" t="s">
        <v>3178</v>
      </c>
    </row>
    <row r="2884" spans="24:24">
      <c r="X2884" t="s">
        <v>3179</v>
      </c>
    </row>
    <row r="2885" spans="24:24">
      <c r="X2885" t="s">
        <v>294</v>
      </c>
    </row>
    <row r="2886" spans="24:24">
      <c r="X2886" t="s">
        <v>3180</v>
      </c>
    </row>
    <row r="2887" spans="24:24">
      <c r="X2887" t="s">
        <v>3181</v>
      </c>
    </row>
    <row r="2888" spans="24:24">
      <c r="X2888" t="s">
        <v>3182</v>
      </c>
    </row>
    <row r="2889" spans="24:24">
      <c r="X2889" t="s">
        <v>3183</v>
      </c>
    </row>
    <row r="2890" spans="24:24">
      <c r="X2890" t="s">
        <v>3184</v>
      </c>
    </row>
    <row r="2891" spans="24:24">
      <c r="X2891" t="s">
        <v>187</v>
      </c>
    </row>
    <row r="2892" spans="24:24">
      <c r="X2892" t="s">
        <v>3185</v>
      </c>
    </row>
    <row r="2893" spans="24:24">
      <c r="X2893" t="s">
        <v>3186</v>
      </c>
    </row>
    <row r="2894" spans="24:24">
      <c r="X2894" t="s">
        <v>3187</v>
      </c>
    </row>
    <row r="2895" spans="24:24">
      <c r="X2895" t="s">
        <v>142</v>
      </c>
    </row>
    <row r="2896" spans="24:24">
      <c r="X2896" t="s">
        <v>3188</v>
      </c>
    </row>
    <row r="2897" spans="24:24">
      <c r="X2897" t="s">
        <v>3189</v>
      </c>
    </row>
    <row r="2898" spans="24:24">
      <c r="X2898" t="s">
        <v>3190</v>
      </c>
    </row>
    <row r="2899" spans="24:24">
      <c r="X2899" t="s">
        <v>3191</v>
      </c>
    </row>
    <row r="2900" spans="24:24">
      <c r="X2900" t="s">
        <v>269</v>
      </c>
    </row>
    <row r="2901" spans="24:24">
      <c r="X2901" t="s">
        <v>3192</v>
      </c>
    </row>
    <row r="2902" spans="24:24">
      <c r="X2902" t="s">
        <v>3193</v>
      </c>
    </row>
    <row r="2903" spans="24:24">
      <c r="X2903" t="s">
        <v>236</v>
      </c>
    </row>
    <row r="2904" spans="24:24">
      <c r="X2904" t="s">
        <v>3194</v>
      </c>
    </row>
    <row r="2905" spans="24:24">
      <c r="X2905" t="s">
        <v>3195</v>
      </c>
    </row>
    <row r="2906" spans="24:24">
      <c r="X2906" t="s">
        <v>3196</v>
      </c>
    </row>
    <row r="2907" spans="24:24">
      <c r="X2907" t="s">
        <v>3197</v>
      </c>
    </row>
    <row r="2908" spans="24:24">
      <c r="X2908" t="s">
        <v>3198</v>
      </c>
    </row>
    <row r="2909" spans="24:24">
      <c r="X2909" t="s">
        <v>3199</v>
      </c>
    </row>
    <row r="2910" spans="24:24">
      <c r="X2910" t="s">
        <v>3200</v>
      </c>
    </row>
    <row r="2911" spans="24:24">
      <c r="X2911" t="s">
        <v>3201</v>
      </c>
    </row>
    <row r="2912" spans="24:24">
      <c r="X2912" t="s">
        <v>3202</v>
      </c>
    </row>
    <row r="2913" spans="24:24">
      <c r="X2913" t="s">
        <v>3203</v>
      </c>
    </row>
    <row r="2914" spans="24:24">
      <c r="X2914" t="s">
        <v>3204</v>
      </c>
    </row>
    <row r="2915" spans="24:24">
      <c r="X2915" t="s">
        <v>3205</v>
      </c>
    </row>
    <row r="2916" spans="24:24">
      <c r="X2916" t="s">
        <v>3206</v>
      </c>
    </row>
    <row r="2917" spans="24:24">
      <c r="X2917" t="s">
        <v>3207</v>
      </c>
    </row>
    <row r="2918" spans="24:24">
      <c r="X2918" t="s">
        <v>3208</v>
      </c>
    </row>
    <row r="2919" spans="24:24">
      <c r="X2919" t="s">
        <v>3209</v>
      </c>
    </row>
    <row r="2920" spans="24:24">
      <c r="X2920" t="s">
        <v>3210</v>
      </c>
    </row>
    <row r="2921" spans="24:24">
      <c r="X2921" t="s">
        <v>3211</v>
      </c>
    </row>
    <row r="2922" spans="24:24">
      <c r="X2922" t="s">
        <v>3212</v>
      </c>
    </row>
    <row r="2923" spans="24:24">
      <c r="X2923" t="s">
        <v>3213</v>
      </c>
    </row>
    <row r="2924" spans="24:24">
      <c r="X2924" t="s">
        <v>3214</v>
      </c>
    </row>
    <row r="2925" spans="24:24">
      <c r="X2925" t="s">
        <v>3215</v>
      </c>
    </row>
    <row r="2926" spans="24:24">
      <c r="X2926" t="s">
        <v>3216</v>
      </c>
    </row>
    <row r="2927" spans="24:24">
      <c r="X2927" t="s">
        <v>3217</v>
      </c>
    </row>
    <row r="2928" spans="24:24">
      <c r="X2928" t="s">
        <v>319</v>
      </c>
    </row>
    <row r="2929" spans="24:24">
      <c r="X2929" t="s">
        <v>3218</v>
      </c>
    </row>
    <row r="2930" spans="24:24">
      <c r="X2930" t="s">
        <v>3219</v>
      </c>
    </row>
    <row r="2931" spans="24:24">
      <c r="X2931" t="s">
        <v>3220</v>
      </c>
    </row>
    <row r="2932" spans="24:24">
      <c r="X2932" t="s">
        <v>3221</v>
      </c>
    </row>
    <row r="2933" spans="24:24">
      <c r="X2933" t="s">
        <v>3222</v>
      </c>
    </row>
    <row r="2934" spans="24:24">
      <c r="X2934" t="s">
        <v>3223</v>
      </c>
    </row>
    <row r="2935" spans="24:24">
      <c r="X2935" t="s">
        <v>17</v>
      </c>
    </row>
    <row r="2936" spans="24:24">
      <c r="X2936" t="s">
        <v>3224</v>
      </c>
    </row>
    <row r="2937" spans="24:24">
      <c r="X2937" t="s">
        <v>3225</v>
      </c>
    </row>
    <row r="2938" spans="24:24">
      <c r="X2938" t="s">
        <v>3226</v>
      </c>
    </row>
    <row r="2939" spans="24:24">
      <c r="X2939" t="s">
        <v>118</v>
      </c>
    </row>
    <row r="2940" spans="24:24">
      <c r="X2940" t="s">
        <v>3227</v>
      </c>
    </row>
    <row r="2941" spans="24:24">
      <c r="X2941" t="s">
        <v>3228</v>
      </c>
    </row>
    <row r="2942" spans="24:24">
      <c r="X2942" t="s">
        <v>3229</v>
      </c>
    </row>
    <row r="2943" spans="24:24">
      <c r="X2943" t="s">
        <v>3230</v>
      </c>
    </row>
    <row r="2944" spans="24:24">
      <c r="X2944" t="s">
        <v>3231</v>
      </c>
    </row>
    <row r="2945" spans="24:24">
      <c r="X2945" t="s">
        <v>3232</v>
      </c>
    </row>
    <row r="2946" spans="24:24">
      <c r="X2946" t="s">
        <v>3233</v>
      </c>
    </row>
    <row r="2947" spans="24:24">
      <c r="X2947" t="s">
        <v>3234</v>
      </c>
    </row>
    <row r="2948" spans="24:24">
      <c r="X2948" t="s">
        <v>3235</v>
      </c>
    </row>
    <row r="2949" spans="24:24">
      <c r="X2949" t="s">
        <v>3236</v>
      </c>
    </row>
    <row r="2950" spans="24:24">
      <c r="X2950" t="s">
        <v>276</v>
      </c>
    </row>
    <row r="2951" spans="24:24">
      <c r="X2951" t="s">
        <v>3237</v>
      </c>
    </row>
    <row r="2952" spans="24:24">
      <c r="X2952" t="s">
        <v>3238</v>
      </c>
    </row>
    <row r="2953" spans="24:24">
      <c r="X2953" t="s">
        <v>3239</v>
      </c>
    </row>
    <row r="2954" spans="24:24">
      <c r="X2954" t="s">
        <v>3240</v>
      </c>
    </row>
    <row r="2955" spans="24:24">
      <c r="X2955" t="s">
        <v>3241</v>
      </c>
    </row>
    <row r="2956" spans="24:24">
      <c r="X2956" t="s">
        <v>3242</v>
      </c>
    </row>
    <row r="2957" spans="24:24">
      <c r="X2957" t="s">
        <v>3243</v>
      </c>
    </row>
    <row r="2958" spans="24:24">
      <c r="X2958" t="s">
        <v>3244</v>
      </c>
    </row>
    <row r="2959" spans="24:24">
      <c r="X2959" t="s">
        <v>3245</v>
      </c>
    </row>
    <row r="2960" spans="24:24">
      <c r="X2960" t="s">
        <v>3246</v>
      </c>
    </row>
    <row r="2961" spans="24:24">
      <c r="X2961" t="s">
        <v>3247</v>
      </c>
    </row>
    <row r="2962" spans="24:24">
      <c r="X2962" t="s">
        <v>3248</v>
      </c>
    </row>
    <row r="2963" spans="24:24">
      <c r="X2963" t="s">
        <v>3249</v>
      </c>
    </row>
    <row r="2964" spans="24:24">
      <c r="X2964" t="s">
        <v>3250</v>
      </c>
    </row>
    <row r="2965" spans="24:24">
      <c r="X2965" t="s">
        <v>3251</v>
      </c>
    </row>
    <row r="2966" spans="24:24">
      <c r="X2966" t="s">
        <v>3252</v>
      </c>
    </row>
    <row r="2967" spans="24:24">
      <c r="X2967" t="s">
        <v>3253</v>
      </c>
    </row>
    <row r="2968" spans="24:24">
      <c r="X2968" t="s">
        <v>3254</v>
      </c>
    </row>
    <row r="2969" spans="24:24">
      <c r="X2969" t="s">
        <v>3255</v>
      </c>
    </row>
    <row r="2970" spans="24:24">
      <c r="X2970" t="s">
        <v>3256</v>
      </c>
    </row>
    <row r="2971" spans="24:24">
      <c r="X2971" t="s">
        <v>3257</v>
      </c>
    </row>
    <row r="2972" spans="24:24">
      <c r="X2972" t="s">
        <v>3258</v>
      </c>
    </row>
    <row r="2973" spans="24:24">
      <c r="X2973" t="s">
        <v>3259</v>
      </c>
    </row>
    <row r="2974" spans="24:24">
      <c r="X2974" t="s">
        <v>3260</v>
      </c>
    </row>
    <row r="2975" spans="24:24">
      <c r="X2975" t="s">
        <v>3261</v>
      </c>
    </row>
    <row r="2976" spans="24:24">
      <c r="X2976" t="s">
        <v>3262</v>
      </c>
    </row>
    <row r="2977" spans="24:24">
      <c r="X2977" t="s">
        <v>3263</v>
      </c>
    </row>
    <row r="2978" spans="24:24">
      <c r="X2978" t="s">
        <v>3264</v>
      </c>
    </row>
    <row r="2979" spans="24:24">
      <c r="X2979" t="s">
        <v>3265</v>
      </c>
    </row>
    <row r="2980" spans="24:24">
      <c r="X2980" t="s">
        <v>3266</v>
      </c>
    </row>
    <row r="2981" spans="24:24">
      <c r="X2981" t="s">
        <v>3267</v>
      </c>
    </row>
    <row r="2982" spans="24:24">
      <c r="X2982" t="s">
        <v>3268</v>
      </c>
    </row>
    <row r="2983" spans="24:24">
      <c r="X2983" t="s">
        <v>3269</v>
      </c>
    </row>
    <row r="2984" spans="24:24">
      <c r="X2984" t="s">
        <v>3270</v>
      </c>
    </row>
    <row r="2985" spans="24:24">
      <c r="X2985" t="s">
        <v>126</v>
      </c>
    </row>
    <row r="2986" spans="24:24">
      <c r="X2986" t="s">
        <v>3271</v>
      </c>
    </row>
    <row r="2987" spans="24:24">
      <c r="X2987" t="s">
        <v>3272</v>
      </c>
    </row>
    <row r="2988" spans="24:24">
      <c r="X2988" t="s">
        <v>3273</v>
      </c>
    </row>
    <row r="2989" spans="24:24">
      <c r="X2989" t="s">
        <v>3274</v>
      </c>
    </row>
    <row r="2990" spans="24:24">
      <c r="X2990" t="s">
        <v>3275</v>
      </c>
    </row>
    <row r="2991" spans="24:24">
      <c r="X2991" t="s">
        <v>3276</v>
      </c>
    </row>
    <row r="2992" spans="24:24">
      <c r="X2992" t="s">
        <v>3277</v>
      </c>
    </row>
    <row r="2993" spans="24:24">
      <c r="X2993" t="s">
        <v>3278</v>
      </c>
    </row>
    <row r="2994" spans="24:24">
      <c r="X2994" t="s">
        <v>3279</v>
      </c>
    </row>
    <row r="2995" spans="24:24">
      <c r="X2995" t="s">
        <v>3280</v>
      </c>
    </row>
    <row r="2996" spans="24:24">
      <c r="X2996" t="s">
        <v>3281</v>
      </c>
    </row>
    <row r="2997" spans="24:24">
      <c r="X2997" t="s">
        <v>354</v>
      </c>
    </row>
    <row r="2998" spans="24:24">
      <c r="X2998" t="s">
        <v>3282</v>
      </c>
    </row>
    <row r="2999" spans="24:24">
      <c r="X2999" t="s">
        <v>3283</v>
      </c>
    </row>
    <row r="3000" spans="24:24">
      <c r="X3000" t="s">
        <v>3284</v>
      </c>
    </row>
    <row r="3001" spans="24:24">
      <c r="X3001" t="s">
        <v>3285</v>
      </c>
    </row>
    <row r="3002" spans="24:24">
      <c r="X3002" t="s">
        <v>3286</v>
      </c>
    </row>
    <row r="3003" spans="24:24">
      <c r="X3003" t="s">
        <v>3287</v>
      </c>
    </row>
    <row r="3004" spans="24:24">
      <c r="X3004" t="s">
        <v>3288</v>
      </c>
    </row>
    <row r="3005" spans="24:24">
      <c r="X3005" t="s">
        <v>3289</v>
      </c>
    </row>
    <row r="3006" spans="24:24">
      <c r="X3006" t="s">
        <v>3290</v>
      </c>
    </row>
    <row r="3007" spans="24:24">
      <c r="X3007" t="s">
        <v>3291</v>
      </c>
    </row>
    <row r="3008" spans="24:24">
      <c r="X3008" t="s">
        <v>3292</v>
      </c>
    </row>
    <row r="3009" spans="24:24">
      <c r="X3009" t="s">
        <v>3293</v>
      </c>
    </row>
    <row r="3010" spans="24:24">
      <c r="X3010" t="s">
        <v>3294</v>
      </c>
    </row>
    <row r="3011" spans="24:24">
      <c r="X3011" t="s">
        <v>3295</v>
      </c>
    </row>
    <row r="3012" spans="24:24">
      <c r="X3012" t="s">
        <v>3296</v>
      </c>
    </row>
    <row r="3013" spans="24:24">
      <c r="X3013" t="s">
        <v>3297</v>
      </c>
    </row>
    <row r="3014" spans="24:24">
      <c r="X3014" t="s">
        <v>3298</v>
      </c>
    </row>
    <row r="3015" spans="24:24">
      <c r="X3015" t="s">
        <v>3299</v>
      </c>
    </row>
    <row r="3016" spans="24:24">
      <c r="X3016" t="s">
        <v>3300</v>
      </c>
    </row>
    <row r="3017" spans="24:24">
      <c r="X3017" t="s">
        <v>350</v>
      </c>
    </row>
    <row r="3018" spans="24:24">
      <c r="X3018" t="s">
        <v>153</v>
      </c>
    </row>
    <row r="3019" spans="24:24">
      <c r="X3019" t="s">
        <v>3301</v>
      </c>
    </row>
    <row r="3020" spans="24:24">
      <c r="X3020" t="s">
        <v>168</v>
      </c>
    </row>
    <row r="3021" spans="24:24">
      <c r="X3021" t="s">
        <v>3302</v>
      </c>
    </row>
    <row r="3022" spans="24:24">
      <c r="X3022" t="s">
        <v>3303</v>
      </c>
    </row>
    <row r="3023" spans="24:24">
      <c r="X3023" t="s">
        <v>3304</v>
      </c>
    </row>
    <row r="3024" spans="24:24">
      <c r="X3024" t="s">
        <v>3305</v>
      </c>
    </row>
    <row r="3025" spans="24:24">
      <c r="X3025" t="s">
        <v>3306</v>
      </c>
    </row>
    <row r="3026" spans="24:24">
      <c r="X3026" t="s">
        <v>3307</v>
      </c>
    </row>
    <row r="3027" spans="24:24">
      <c r="X3027" t="s">
        <v>3308</v>
      </c>
    </row>
    <row r="3028" spans="24:24">
      <c r="X3028" t="s">
        <v>3309</v>
      </c>
    </row>
    <row r="3029" spans="24:24">
      <c r="X3029" t="s">
        <v>3310</v>
      </c>
    </row>
    <row r="3030" spans="24:24">
      <c r="X3030" t="s">
        <v>3311</v>
      </c>
    </row>
    <row r="3031" spans="24:24">
      <c r="X3031" t="s">
        <v>3312</v>
      </c>
    </row>
    <row r="3032" spans="24:24">
      <c r="X3032" t="s">
        <v>3313</v>
      </c>
    </row>
    <row r="3033" spans="24:24">
      <c r="X3033" t="s">
        <v>3314</v>
      </c>
    </row>
    <row r="3034" spans="24:24">
      <c r="X3034" t="s">
        <v>3315</v>
      </c>
    </row>
    <row r="3035" spans="24:24">
      <c r="X3035" t="s">
        <v>55</v>
      </c>
    </row>
    <row r="3036" spans="24:24">
      <c r="X3036" t="s">
        <v>3316</v>
      </c>
    </row>
    <row r="3037" spans="24:24">
      <c r="X3037" t="s">
        <v>3317</v>
      </c>
    </row>
    <row r="3038" spans="24:24">
      <c r="X3038" t="s">
        <v>3318</v>
      </c>
    </row>
    <row r="3039" spans="24:24">
      <c r="X3039" t="s">
        <v>3319</v>
      </c>
    </row>
    <row r="3040" spans="24:24">
      <c r="X3040" t="s">
        <v>3320</v>
      </c>
    </row>
    <row r="3041" spans="24:24">
      <c r="X3041" t="s">
        <v>3321</v>
      </c>
    </row>
    <row r="3042" spans="24:24">
      <c r="X3042" t="s">
        <v>3322</v>
      </c>
    </row>
    <row r="3043" spans="24:24">
      <c r="X3043" t="s">
        <v>3323</v>
      </c>
    </row>
    <row r="3044" spans="24:24">
      <c r="X3044" t="s">
        <v>3324</v>
      </c>
    </row>
    <row r="3045" spans="24:24">
      <c r="X3045" t="s">
        <v>3325</v>
      </c>
    </row>
    <row r="3046" spans="24:24">
      <c r="X3046" t="s">
        <v>3326</v>
      </c>
    </row>
    <row r="3047" spans="24:24">
      <c r="X3047" t="s">
        <v>3327</v>
      </c>
    </row>
    <row r="3048" spans="24:24">
      <c r="X3048" t="s">
        <v>3328</v>
      </c>
    </row>
    <row r="3049" spans="24:24">
      <c r="X3049" t="s">
        <v>3329</v>
      </c>
    </row>
    <row r="3050" spans="24:24">
      <c r="X3050" t="s">
        <v>3330</v>
      </c>
    </row>
    <row r="3051" spans="24:24">
      <c r="X3051" t="s">
        <v>3331</v>
      </c>
    </row>
    <row r="3052" spans="24:24">
      <c r="X3052" t="s">
        <v>208</v>
      </c>
    </row>
    <row r="3053" spans="24:24">
      <c r="X3053" t="s">
        <v>3332</v>
      </c>
    </row>
    <row r="3054" spans="24:24">
      <c r="X3054" t="s">
        <v>3333</v>
      </c>
    </row>
    <row r="3055" spans="24:24">
      <c r="X3055" t="s">
        <v>3334</v>
      </c>
    </row>
    <row r="3056" spans="24:24">
      <c r="X3056" t="s">
        <v>3335</v>
      </c>
    </row>
    <row r="3057" spans="24:24">
      <c r="X3057" t="s">
        <v>3336</v>
      </c>
    </row>
    <row r="3058" spans="24:24">
      <c r="X3058" t="s">
        <v>3337</v>
      </c>
    </row>
    <row r="3059" spans="24:24">
      <c r="X3059" t="s">
        <v>3338</v>
      </c>
    </row>
    <row r="3060" spans="24:24">
      <c r="X3060" t="s">
        <v>3339</v>
      </c>
    </row>
    <row r="3061" spans="24:24">
      <c r="X3061" t="s">
        <v>3340</v>
      </c>
    </row>
    <row r="3062" spans="24:24">
      <c r="X3062" t="s">
        <v>3341</v>
      </c>
    </row>
    <row r="3063" spans="24:24">
      <c r="X3063" t="s">
        <v>3342</v>
      </c>
    </row>
    <row r="3064" spans="24:24">
      <c r="X3064" t="s">
        <v>3343</v>
      </c>
    </row>
    <row r="3065" spans="24:24">
      <c r="X3065" t="s">
        <v>3344</v>
      </c>
    </row>
    <row r="3066" spans="24:24">
      <c r="X3066" t="s">
        <v>3345</v>
      </c>
    </row>
    <row r="3067" spans="24:24">
      <c r="X3067" t="s">
        <v>3346</v>
      </c>
    </row>
    <row r="3068" spans="24:24">
      <c r="X3068" t="s">
        <v>3347</v>
      </c>
    </row>
    <row r="3069" spans="24:24">
      <c r="X3069" t="s">
        <v>3348</v>
      </c>
    </row>
    <row r="3070" spans="24:24">
      <c r="X3070" t="s">
        <v>3349</v>
      </c>
    </row>
    <row r="3071" spans="24:24">
      <c r="X3071" t="s">
        <v>3350</v>
      </c>
    </row>
    <row r="3072" spans="24:24">
      <c r="X3072" t="s">
        <v>3351</v>
      </c>
    </row>
    <row r="3073" spans="24:24">
      <c r="X3073" t="s">
        <v>3352</v>
      </c>
    </row>
    <row r="3074" spans="24:24">
      <c r="X3074" t="s">
        <v>3353</v>
      </c>
    </row>
    <row r="3075" spans="24:24">
      <c r="X3075" t="s">
        <v>3354</v>
      </c>
    </row>
    <row r="3076" spans="24:24">
      <c r="X3076" t="s">
        <v>82</v>
      </c>
    </row>
    <row r="3077" spans="24:24">
      <c r="X3077" t="s">
        <v>3355</v>
      </c>
    </row>
    <row r="3078" spans="24:24">
      <c r="X3078" t="s">
        <v>3356</v>
      </c>
    </row>
    <row r="3079" spans="24:24">
      <c r="X3079" t="s">
        <v>3357</v>
      </c>
    </row>
    <row r="3080" spans="24:24">
      <c r="X3080" t="s">
        <v>3358</v>
      </c>
    </row>
    <row r="3081" spans="24:24">
      <c r="X3081" t="s">
        <v>3359</v>
      </c>
    </row>
    <row r="3082" spans="24:24">
      <c r="X3082" t="s">
        <v>3360</v>
      </c>
    </row>
    <row r="3083" spans="24:24">
      <c r="X3083" t="s">
        <v>3361</v>
      </c>
    </row>
    <row r="3084" spans="24:24">
      <c r="X3084" t="s">
        <v>3362</v>
      </c>
    </row>
    <row r="3085" spans="24:24">
      <c r="X3085" t="s">
        <v>3363</v>
      </c>
    </row>
    <row r="3086" spans="24:24">
      <c r="X3086" t="s">
        <v>3364</v>
      </c>
    </row>
    <row r="3087" spans="24:24">
      <c r="X3087" t="s">
        <v>3365</v>
      </c>
    </row>
    <row r="3088" spans="24:24">
      <c r="X3088" t="s">
        <v>3366</v>
      </c>
    </row>
    <row r="3089" spans="24:24">
      <c r="X3089" t="s">
        <v>3367</v>
      </c>
    </row>
    <row r="3090" spans="24:24">
      <c r="X3090" t="s">
        <v>115</v>
      </c>
    </row>
    <row r="3091" spans="24:24">
      <c r="X3091" t="s">
        <v>3368</v>
      </c>
    </row>
    <row r="3092" spans="24:24">
      <c r="X3092" t="s">
        <v>3369</v>
      </c>
    </row>
    <row r="3093" spans="24:24">
      <c r="X3093" t="s">
        <v>3370</v>
      </c>
    </row>
    <row r="3094" spans="24:24">
      <c r="X3094" t="s">
        <v>113</v>
      </c>
    </row>
    <row r="3095" spans="24:24">
      <c r="X3095" t="s">
        <v>3371</v>
      </c>
    </row>
    <row r="3096" spans="24:24">
      <c r="X3096" t="s">
        <v>3372</v>
      </c>
    </row>
    <row r="3097" spans="24:24">
      <c r="X3097" t="s">
        <v>3373</v>
      </c>
    </row>
    <row r="3098" spans="24:24">
      <c r="X3098" t="s">
        <v>3374</v>
      </c>
    </row>
    <row r="3099" spans="24:24">
      <c r="X3099" t="s">
        <v>3375</v>
      </c>
    </row>
    <row r="3100" spans="24:24">
      <c r="X3100" t="s">
        <v>3376</v>
      </c>
    </row>
    <row r="3101" spans="24:24">
      <c r="X3101" t="s">
        <v>3377</v>
      </c>
    </row>
    <row r="3102" spans="24:24">
      <c r="X3102" t="s">
        <v>3378</v>
      </c>
    </row>
    <row r="3103" spans="24:24">
      <c r="X3103" t="s">
        <v>217</v>
      </c>
    </row>
    <row r="3104" spans="24:24">
      <c r="X3104" t="s">
        <v>3379</v>
      </c>
    </row>
    <row r="3105" spans="24:24">
      <c r="X3105" t="s">
        <v>3380</v>
      </c>
    </row>
    <row r="3106" spans="24:24">
      <c r="X3106" t="s">
        <v>3381</v>
      </c>
    </row>
    <row r="3107" spans="24:24">
      <c r="X3107" t="s">
        <v>3382</v>
      </c>
    </row>
    <row r="3108" spans="24:24">
      <c r="X3108" t="s">
        <v>3383</v>
      </c>
    </row>
    <row r="3109" spans="24:24">
      <c r="X3109" t="s">
        <v>3384</v>
      </c>
    </row>
    <row r="3110" spans="24:24">
      <c r="X3110" t="s">
        <v>3385</v>
      </c>
    </row>
    <row r="3111" spans="24:24">
      <c r="X3111" t="s">
        <v>3386</v>
      </c>
    </row>
    <row r="3112" spans="24:24">
      <c r="X3112" t="s">
        <v>3387</v>
      </c>
    </row>
    <row r="3113" spans="24:24">
      <c r="X3113" t="s">
        <v>3388</v>
      </c>
    </row>
    <row r="3114" spans="24:24">
      <c r="X3114" t="s">
        <v>3389</v>
      </c>
    </row>
    <row r="3115" spans="24:24">
      <c r="X3115" t="s">
        <v>3390</v>
      </c>
    </row>
    <row r="3116" spans="24:24">
      <c r="X3116" t="s">
        <v>3391</v>
      </c>
    </row>
    <row r="3117" spans="24:24">
      <c r="X3117" t="s">
        <v>3392</v>
      </c>
    </row>
    <row r="3118" spans="24:24">
      <c r="X3118" t="s">
        <v>3393</v>
      </c>
    </row>
    <row r="3119" spans="24:24">
      <c r="X3119" t="s">
        <v>3394</v>
      </c>
    </row>
    <row r="3120" spans="24:24">
      <c r="X3120" t="s">
        <v>3395</v>
      </c>
    </row>
    <row r="3121" spans="24:24">
      <c r="X3121" t="s">
        <v>3396</v>
      </c>
    </row>
    <row r="3122" spans="24:24">
      <c r="X3122" t="s">
        <v>3397</v>
      </c>
    </row>
    <row r="3123" spans="24:24">
      <c r="X3123" t="s">
        <v>238</v>
      </c>
    </row>
    <row r="3124" spans="24:24">
      <c r="X3124" t="s">
        <v>216</v>
      </c>
    </row>
    <row r="3125" spans="24:24">
      <c r="X3125" t="s">
        <v>3398</v>
      </c>
    </row>
    <row r="3126" spans="24:24">
      <c r="X3126" t="s">
        <v>3399</v>
      </c>
    </row>
    <row r="3127" spans="24:24">
      <c r="X3127" t="s">
        <v>3400</v>
      </c>
    </row>
    <row r="3128" spans="24:24">
      <c r="X3128" t="s">
        <v>3401</v>
      </c>
    </row>
    <row r="3129" spans="24:24">
      <c r="X3129" t="s">
        <v>3402</v>
      </c>
    </row>
    <row r="3130" spans="24:24">
      <c r="X3130" t="s">
        <v>3403</v>
      </c>
    </row>
    <row r="3131" spans="24:24">
      <c r="X3131" t="s">
        <v>3404</v>
      </c>
    </row>
    <row r="3132" spans="24:24">
      <c r="X3132" t="s">
        <v>3405</v>
      </c>
    </row>
    <row r="3133" spans="24:24">
      <c r="X3133" t="s">
        <v>3406</v>
      </c>
    </row>
    <row r="3134" spans="24:24">
      <c r="X3134" t="s">
        <v>3407</v>
      </c>
    </row>
    <row r="3135" spans="24:24">
      <c r="X3135" t="s">
        <v>91</v>
      </c>
    </row>
    <row r="3136" spans="24:24">
      <c r="X3136" t="s">
        <v>111</v>
      </c>
    </row>
    <row r="3137" spans="24:24">
      <c r="X3137" t="s">
        <v>3408</v>
      </c>
    </row>
    <row r="3138" spans="24:24">
      <c r="X3138" t="s">
        <v>3409</v>
      </c>
    </row>
    <row r="3139" spans="24:24">
      <c r="X3139" t="s">
        <v>3410</v>
      </c>
    </row>
    <row r="3140" spans="24:24">
      <c r="X3140" t="s">
        <v>3411</v>
      </c>
    </row>
    <row r="3141" spans="24:24">
      <c r="X3141" t="s">
        <v>3412</v>
      </c>
    </row>
    <row r="3142" spans="24:24">
      <c r="X3142" t="s">
        <v>3413</v>
      </c>
    </row>
    <row r="3143" spans="24:24">
      <c r="X3143" t="s">
        <v>3414</v>
      </c>
    </row>
    <row r="3144" spans="24:24">
      <c r="X3144" t="s">
        <v>32</v>
      </c>
    </row>
    <row r="3145" spans="24:24">
      <c r="X3145" t="s">
        <v>374</v>
      </c>
    </row>
    <row r="3146" spans="24:24">
      <c r="X3146" t="s">
        <v>3415</v>
      </c>
    </row>
    <row r="3147" spans="24:24">
      <c r="X3147" t="s">
        <v>3416</v>
      </c>
    </row>
    <row r="3148" spans="24:24">
      <c r="X3148" t="s">
        <v>3417</v>
      </c>
    </row>
    <row r="3149" spans="24:24">
      <c r="X3149" t="s">
        <v>3418</v>
      </c>
    </row>
    <row r="3150" spans="24:24">
      <c r="X3150" t="s">
        <v>3419</v>
      </c>
    </row>
    <row r="3151" spans="24:24">
      <c r="X3151" t="s">
        <v>3420</v>
      </c>
    </row>
    <row r="3152" spans="24:24">
      <c r="X3152" t="s">
        <v>3421</v>
      </c>
    </row>
    <row r="3153" spans="24:24">
      <c r="X3153" t="s">
        <v>3422</v>
      </c>
    </row>
    <row r="3154" spans="24:24">
      <c r="X3154" t="s">
        <v>3423</v>
      </c>
    </row>
    <row r="3155" spans="24:24">
      <c r="X3155" t="s">
        <v>3424</v>
      </c>
    </row>
    <row r="3156" spans="24:24">
      <c r="X3156" t="s">
        <v>3425</v>
      </c>
    </row>
    <row r="3157" spans="24:24">
      <c r="X3157" t="s">
        <v>3426</v>
      </c>
    </row>
    <row r="3158" spans="24:24">
      <c r="X3158" t="s">
        <v>458</v>
      </c>
    </row>
    <row r="3159" spans="24:24">
      <c r="X3159" t="s">
        <v>455</v>
      </c>
    </row>
    <row r="3160" spans="24:24">
      <c r="X3160" t="s">
        <v>467</v>
      </c>
    </row>
    <row r="3161" spans="24:24">
      <c r="X3161" t="s">
        <v>434</v>
      </c>
    </row>
    <row r="3162" spans="24:24">
      <c r="X3162" t="s">
        <v>452</v>
      </c>
    </row>
    <row r="3163" spans="24:24">
      <c r="X3163" t="s">
        <v>438</v>
      </c>
    </row>
    <row r="3164" spans="24:24">
      <c r="X3164" t="s">
        <v>466</v>
      </c>
    </row>
    <row r="3165" spans="24:24">
      <c r="X3165" t="s">
        <v>52</v>
      </c>
    </row>
    <row r="3166" spans="24:24">
      <c r="X3166" t="s">
        <v>220</v>
      </c>
    </row>
    <row r="3167" spans="24:24">
      <c r="X3167" t="s">
        <v>465</v>
      </c>
    </row>
    <row r="3168" spans="24:24">
      <c r="X3168" t="s">
        <v>441</v>
      </c>
    </row>
    <row r="3169" spans="24:24">
      <c r="X3169" t="s">
        <v>442</v>
      </c>
    </row>
    <row r="3170" spans="24:24">
      <c r="X3170" t="s">
        <v>470</v>
      </c>
    </row>
    <row r="3171" spans="24:24">
      <c r="X3171" t="s">
        <v>232</v>
      </c>
    </row>
    <row r="3172" spans="24:24">
      <c r="X3172" t="s">
        <v>463</v>
      </c>
    </row>
    <row r="3173" spans="24:24">
      <c r="X3173" t="s">
        <v>447</v>
      </c>
    </row>
    <row r="3174" spans="24:24">
      <c r="X3174" t="s">
        <v>439</v>
      </c>
    </row>
    <row r="3175" spans="24:24">
      <c r="X3175" t="s">
        <v>446</v>
      </c>
    </row>
    <row r="3176" spans="24:24">
      <c r="X3176" t="s">
        <v>469</v>
      </c>
    </row>
    <row r="3177" spans="24:24">
      <c r="X3177" t="s">
        <v>445</v>
      </c>
    </row>
    <row r="3178" spans="24:24">
      <c r="X3178" t="s">
        <v>444</v>
      </c>
    </row>
    <row r="3179" spans="24:24">
      <c r="X3179" t="s">
        <v>456</v>
      </c>
    </row>
    <row r="3180" spans="24:24">
      <c r="X3180" t="s">
        <v>454</v>
      </c>
    </row>
    <row r="3181" spans="24:24">
      <c r="X3181" t="s">
        <v>457</v>
      </c>
    </row>
    <row r="3182" spans="24:24">
      <c r="X3182" t="s">
        <v>451</v>
      </c>
    </row>
    <row r="3183" spans="24:24">
      <c r="X3183" t="s">
        <v>461</v>
      </c>
    </row>
    <row r="3184" spans="24:24">
      <c r="X3184" t="s">
        <v>191</v>
      </c>
    </row>
    <row r="3185" spans="24:24">
      <c r="X3185" t="s">
        <v>440</v>
      </c>
    </row>
    <row r="3186" spans="24:24">
      <c r="X3186" t="s">
        <v>468</v>
      </c>
    </row>
    <row r="3187" spans="24:24">
      <c r="X3187" t="s">
        <v>161</v>
      </c>
    </row>
    <row r="3188" spans="24:24">
      <c r="X3188" t="s">
        <v>459</v>
      </c>
    </row>
    <row r="3189" spans="24:24">
      <c r="X3189" t="s">
        <v>100</v>
      </c>
    </row>
    <row r="3190" spans="24:24">
      <c r="X3190" t="s">
        <v>460</v>
      </c>
    </row>
    <row r="3191" spans="24:24">
      <c r="X3191" t="s">
        <v>462</v>
      </c>
    </row>
    <row r="3192" spans="24:24">
      <c r="X3192" t="s">
        <v>436</v>
      </c>
    </row>
    <row r="3193" spans="24:24">
      <c r="X3193" t="s">
        <v>449</v>
      </c>
    </row>
    <row r="3194" spans="24:24">
      <c r="X3194" t="s">
        <v>89</v>
      </c>
    </row>
    <row r="3195" spans="24:24">
      <c r="X3195" t="s">
        <v>200</v>
      </c>
    </row>
    <row r="3196" spans="24:24">
      <c r="X3196" t="s">
        <v>464</v>
      </c>
    </row>
    <row r="3197" spans="24:24">
      <c r="X3197" t="s">
        <v>453</v>
      </c>
    </row>
    <row r="3198" spans="24:24">
      <c r="X3198" t="s">
        <v>204</v>
      </c>
    </row>
    <row r="3199" spans="24:24">
      <c r="X3199" t="s">
        <v>3427</v>
      </c>
    </row>
    <row r="3200" spans="24:24">
      <c r="X3200" t="s">
        <v>433</v>
      </c>
    </row>
    <row r="3201" spans="24:24">
      <c r="X3201" t="s">
        <v>471</v>
      </c>
    </row>
    <row r="3202" spans="24:24">
      <c r="X3202" t="s">
        <v>437</v>
      </c>
    </row>
    <row r="3203" spans="24:24">
      <c r="X3203" t="s">
        <v>448</v>
      </c>
    </row>
    <row r="3204" spans="24:24">
      <c r="X3204" t="s">
        <v>333</v>
      </c>
    </row>
    <row r="3205" spans="24:24">
      <c r="X3205" t="s">
        <v>327</v>
      </c>
    </row>
    <row r="3206" spans="24:24">
      <c r="X3206" t="s">
        <v>39</v>
      </c>
    </row>
    <row r="3207" spans="24:24">
      <c r="X3207" t="s">
        <v>23</v>
      </c>
    </row>
    <row r="3208" spans="24:24">
      <c r="X3208" t="s">
        <v>34</v>
      </c>
    </row>
    <row r="3209" spans="24:24">
      <c r="X3209" t="s">
        <v>227</v>
      </c>
    </row>
    <row r="3210" spans="24:24">
      <c r="X3210" t="s">
        <v>450</v>
      </c>
    </row>
    <row r="3211" spans="24:24">
      <c r="X3211" t="s">
        <v>432</v>
      </c>
    </row>
    <row r="3212" spans="24:24">
      <c r="X3212" t="s">
        <v>108</v>
      </c>
    </row>
    <row r="3213" spans="24:24">
      <c r="X3213" t="s">
        <v>435</v>
      </c>
    </row>
    <row r="3214" spans="24:24">
      <c r="X3214" t="s">
        <v>196</v>
      </c>
    </row>
    <row r="3215" spans="24:24">
      <c r="X3215" t="s">
        <v>13</v>
      </c>
    </row>
    <row r="3216" spans="24:24">
      <c r="X3216" t="s">
        <v>226</v>
      </c>
    </row>
    <row r="3217" spans="24:24">
      <c r="X3217" t="s">
        <v>230</v>
      </c>
    </row>
  </sheetData>
  <conditionalFormatting sqref="O38:O42 O4:P5 P34:P42 B85:B100 O7:P33 O6 J85:J100 L85:Q100 O43:P83 F85:F100 D85:D100 O84:Q84">
    <cfRule type="duplicateValues" priority="26"/>
  </conditionalFormatting>
  <conditionalFormatting sqref="U5">
    <cfRule type="duplicateValues" dxfId="20" priority="21"/>
  </conditionalFormatting>
  <conditionalFormatting sqref="A1 C1 E1 G1 I1 K1 S1:S1048576 K85:K1048576 I85:I1048576 G85:G1048576 E85:E1048576 C85:C1048576 A85:A1048576">
    <cfRule type="duplicateValues" dxfId="19" priority="18"/>
  </conditionalFormatting>
  <conditionalFormatting sqref="A2:A84 C2:C84 E2:E84 G2:G84 I2:I84 K2:K84 M2:M84 S1:S1048576">
    <cfRule type="duplicateValues" dxfId="18" priority="11"/>
  </conditionalFormatting>
  <conditionalFormatting sqref="M2">
    <cfRule type="duplicateValues" dxfId="17" priority="10"/>
  </conditionalFormatting>
  <conditionalFormatting sqref="K9:K10">
    <cfRule type="duplicateValues" dxfId="16" priority="8"/>
  </conditionalFormatting>
  <conditionalFormatting sqref="K3:L8">
    <cfRule type="duplicateValues" dxfId="15" priority="6"/>
  </conditionalFormatting>
  <conditionalFormatting sqref="M3:M57">
    <cfRule type="duplicateValues" dxfId="14" priority="17"/>
  </conditionalFormatting>
  <conditionalFormatting sqref="R1">
    <cfRule type="duplicateValues" dxfId="13" priority="2"/>
    <cfRule type="duplicateValues" dxfId="12" priority="3"/>
  </conditionalFormatting>
  <conditionalFormatting sqref="R1">
    <cfRule type="duplicateValues" dxfId="11" priority="4"/>
  </conditionalFormatting>
  <conditionalFormatting sqref="R1">
    <cfRule type="duplicateValues" dxfId="10" priority="1"/>
  </conditionalFormatting>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217"/>
  <sheetViews>
    <sheetView tabSelected="1" workbookViewId="0"/>
  </sheetViews>
  <sheetFormatPr defaultRowHeight="14.5"/>
  <sheetData>
    <row r="1" spans="1:24">
      <c r="A1" s="34" t="s">
        <v>20213</v>
      </c>
      <c r="B1" t="s">
        <v>473</v>
      </c>
      <c r="C1" t="s">
        <v>3428</v>
      </c>
      <c r="D1" t="s">
        <v>3429</v>
      </c>
      <c r="E1" t="s">
        <v>3430</v>
      </c>
      <c r="F1" t="s">
        <v>3431</v>
      </c>
      <c r="G1" t="s">
        <v>3432</v>
      </c>
      <c r="H1" t="s">
        <v>3433</v>
      </c>
      <c r="I1" t="s">
        <v>3434</v>
      </c>
      <c r="J1" t="s">
        <v>474</v>
      </c>
      <c r="M1" s="4" t="s">
        <v>2</v>
      </c>
      <c r="N1" s="2"/>
    </row>
    <row r="2" spans="1:24">
      <c r="A2" t="s">
        <v>3435</v>
      </c>
      <c r="B2">
        <v>-0.16774205877333401</v>
      </c>
      <c r="C2">
        <v>7.4671623924930897</v>
      </c>
      <c r="D2">
        <v>1</v>
      </c>
      <c r="E2">
        <v>1</v>
      </c>
      <c r="F2">
        <v>15</v>
      </c>
      <c r="G2">
        <v>18</v>
      </c>
      <c r="H2" t="s">
        <v>28</v>
      </c>
      <c r="I2" t="s">
        <v>3436</v>
      </c>
      <c r="J2" t="s">
        <v>475</v>
      </c>
      <c r="M2" s="5" t="s">
        <v>8</v>
      </c>
      <c r="N2" s="6" t="s">
        <v>9</v>
      </c>
    </row>
    <row r="3" spans="1:24">
      <c r="A3" t="s">
        <v>3437</v>
      </c>
      <c r="B3">
        <v>-0.16774205877333401</v>
      </c>
      <c r="C3">
        <v>7.4671623924930897</v>
      </c>
      <c r="D3">
        <v>1</v>
      </c>
      <c r="E3">
        <v>1</v>
      </c>
      <c r="F3">
        <v>15</v>
      </c>
      <c r="G3">
        <v>18</v>
      </c>
      <c r="H3" t="s">
        <v>28</v>
      </c>
      <c r="I3" t="s">
        <v>3438</v>
      </c>
      <c r="J3" t="s">
        <v>476</v>
      </c>
      <c r="M3" s="1" t="s">
        <v>19</v>
      </c>
      <c r="N3" s="24" t="s">
        <v>20</v>
      </c>
      <c r="O3" t="s">
        <v>5051</v>
      </c>
      <c r="P3">
        <v>9.2367791810668204E-2</v>
      </c>
      <c r="Q3">
        <v>9.3769782490439795</v>
      </c>
      <c r="R3">
        <v>0.78838759432766903</v>
      </c>
      <c r="S3">
        <v>1</v>
      </c>
      <c r="T3">
        <v>62</v>
      </c>
      <c r="U3">
        <v>62</v>
      </c>
      <c r="V3" t="s">
        <v>19</v>
      </c>
      <c r="W3" t="s">
        <v>5052</v>
      </c>
      <c r="X3" t="s">
        <v>20</v>
      </c>
    </row>
    <row r="4" spans="1:24">
      <c r="A4" t="s">
        <v>3439</v>
      </c>
      <c r="B4">
        <v>-0.16774205877333401</v>
      </c>
      <c r="C4">
        <v>7.4671623924930897</v>
      </c>
      <c r="D4">
        <v>1</v>
      </c>
      <c r="E4">
        <v>1</v>
      </c>
      <c r="F4">
        <v>15</v>
      </c>
      <c r="G4">
        <v>18</v>
      </c>
      <c r="H4" t="s">
        <v>3440</v>
      </c>
      <c r="I4" t="s">
        <v>3441</v>
      </c>
      <c r="J4" t="s">
        <v>477</v>
      </c>
      <c r="M4" s="1" t="s">
        <v>28</v>
      </c>
      <c r="N4" s="2" t="s">
        <v>29</v>
      </c>
      <c r="O4" t="s">
        <v>6889</v>
      </c>
      <c r="P4">
        <v>1.0455419001360999</v>
      </c>
      <c r="Q4">
        <v>6.0077454204962004</v>
      </c>
      <c r="R4">
        <v>0.38784028491668798</v>
      </c>
      <c r="S4">
        <v>0.89283776398859604</v>
      </c>
      <c r="T4">
        <v>8</v>
      </c>
      <c r="U4">
        <v>4</v>
      </c>
      <c r="V4" t="s">
        <v>28</v>
      </c>
      <c r="W4" t="s">
        <v>3438</v>
      </c>
      <c r="X4" t="s">
        <v>29</v>
      </c>
    </row>
    <row r="5" spans="1:24">
      <c r="A5" t="s">
        <v>3442</v>
      </c>
      <c r="B5">
        <v>-0.16774205877333401</v>
      </c>
      <c r="C5">
        <v>7.4671623924930897</v>
      </c>
      <c r="D5">
        <v>1</v>
      </c>
      <c r="E5">
        <v>1</v>
      </c>
      <c r="F5">
        <v>15</v>
      </c>
      <c r="G5">
        <v>18</v>
      </c>
      <c r="H5" t="s">
        <v>3443</v>
      </c>
      <c r="I5" t="s">
        <v>3444</v>
      </c>
      <c r="J5" t="s">
        <v>478</v>
      </c>
      <c r="M5" s="1" t="s">
        <v>38</v>
      </c>
      <c r="N5" s="2" t="s">
        <v>39</v>
      </c>
      <c r="O5" t="s">
        <v>9520</v>
      </c>
      <c r="P5">
        <v>2.1842219029155299</v>
      </c>
      <c r="Q5">
        <v>8.4228699282068398</v>
      </c>
      <c r="R5" s="14">
        <v>1.05047932258474E-7</v>
      </c>
      <c r="S5" s="14">
        <v>2.8152845845271101E-5</v>
      </c>
      <c r="T5">
        <v>52</v>
      </c>
      <c r="U5">
        <v>12</v>
      </c>
      <c r="V5" t="s">
        <v>38</v>
      </c>
      <c r="W5" t="s">
        <v>9521</v>
      </c>
      <c r="X5" t="s">
        <v>39</v>
      </c>
    </row>
    <row r="6" spans="1:24">
      <c r="A6" t="s">
        <v>3445</v>
      </c>
      <c r="B6">
        <v>-0.16774205877333401</v>
      </c>
      <c r="C6">
        <v>7.4671623924930897</v>
      </c>
      <c r="D6">
        <v>1</v>
      </c>
      <c r="E6">
        <v>1</v>
      </c>
      <c r="F6">
        <v>15</v>
      </c>
      <c r="G6">
        <v>18</v>
      </c>
      <c r="H6" t="s">
        <v>3446</v>
      </c>
      <c r="I6" t="s">
        <v>3447</v>
      </c>
      <c r="J6" t="s">
        <v>479</v>
      </c>
      <c r="M6" s="1" t="s">
        <v>47</v>
      </c>
      <c r="N6" s="2" t="s">
        <v>48</v>
      </c>
      <c r="O6" t="s">
        <v>8298</v>
      </c>
      <c r="P6">
        <v>-0.15050845958707901</v>
      </c>
      <c r="Q6">
        <v>12.297646010008799</v>
      </c>
      <c r="R6">
        <v>0.12532443128271401</v>
      </c>
      <c r="S6">
        <v>0.62877280968051097</v>
      </c>
      <c r="T6">
        <v>430</v>
      </c>
      <c r="U6">
        <v>509</v>
      </c>
      <c r="V6" t="s">
        <v>6129</v>
      </c>
      <c r="W6" t="s">
        <v>6130</v>
      </c>
      <c r="X6" t="s">
        <v>48</v>
      </c>
    </row>
    <row r="7" spans="1:24">
      <c r="A7" t="s">
        <v>3448</v>
      </c>
      <c r="B7">
        <v>-0.16774205877333401</v>
      </c>
      <c r="C7">
        <v>7.4671623924930897</v>
      </c>
      <c r="D7">
        <v>1</v>
      </c>
      <c r="E7">
        <v>1</v>
      </c>
      <c r="F7">
        <v>15</v>
      </c>
      <c r="G7">
        <v>18</v>
      </c>
      <c r="H7" t="s">
        <v>3449</v>
      </c>
      <c r="I7" t="s">
        <v>3450</v>
      </c>
      <c r="J7" t="s">
        <v>480</v>
      </c>
      <c r="M7" s="1" t="s">
        <v>57</v>
      </c>
      <c r="N7" s="2" t="s">
        <v>58</v>
      </c>
      <c r="O7" t="s">
        <v>3455</v>
      </c>
      <c r="P7">
        <v>-0.162860654732979</v>
      </c>
      <c r="Q7">
        <v>5.8822028822966903</v>
      </c>
      <c r="R7">
        <v>1</v>
      </c>
      <c r="S7">
        <v>1</v>
      </c>
      <c r="T7">
        <v>5</v>
      </c>
      <c r="U7">
        <v>6</v>
      </c>
      <c r="V7" t="s">
        <v>57</v>
      </c>
      <c r="W7" t="s">
        <v>3456</v>
      </c>
      <c r="X7" t="s">
        <v>58</v>
      </c>
    </row>
    <row r="8" spans="1:24">
      <c r="A8" t="s">
        <v>3451</v>
      </c>
      <c r="B8">
        <v>-0.162860654732979</v>
      </c>
      <c r="C8">
        <v>5.8822028822966903</v>
      </c>
      <c r="D8">
        <v>1</v>
      </c>
      <c r="E8">
        <v>1</v>
      </c>
      <c r="F8">
        <v>5</v>
      </c>
      <c r="G8">
        <v>6</v>
      </c>
      <c r="H8" t="s">
        <v>3452</v>
      </c>
      <c r="I8" t="s">
        <v>3453</v>
      </c>
      <c r="J8" t="s">
        <v>481</v>
      </c>
      <c r="M8" s="1" t="s">
        <v>68</v>
      </c>
      <c r="N8" s="2" t="s">
        <v>69</v>
      </c>
      <c r="O8" t="s">
        <v>7504</v>
      </c>
      <c r="P8">
        <v>0.43057867867560801</v>
      </c>
      <c r="Q8">
        <v>8.5102591284108708</v>
      </c>
      <c r="R8">
        <v>0.27580680850926598</v>
      </c>
      <c r="S8">
        <v>0.82802009188941295</v>
      </c>
      <c r="T8">
        <v>38</v>
      </c>
      <c r="U8">
        <v>30</v>
      </c>
      <c r="V8" t="s">
        <v>68</v>
      </c>
      <c r="W8" t="s">
        <v>7505</v>
      </c>
      <c r="X8" t="s">
        <v>69</v>
      </c>
    </row>
    <row r="9" spans="1:24">
      <c r="A9" t="s">
        <v>3454</v>
      </c>
      <c r="B9">
        <v>-0.162860654732979</v>
      </c>
      <c r="C9">
        <v>5.8822028822966903</v>
      </c>
      <c r="D9">
        <v>1</v>
      </c>
      <c r="E9">
        <v>1</v>
      </c>
      <c r="F9">
        <v>5</v>
      </c>
      <c r="G9">
        <v>6</v>
      </c>
      <c r="H9" t="s">
        <v>28</v>
      </c>
      <c r="I9" t="s">
        <v>3438</v>
      </c>
      <c r="J9" t="s">
        <v>482</v>
      </c>
      <c r="M9" s="1" t="s">
        <v>79</v>
      </c>
      <c r="N9" s="2" t="s">
        <v>80</v>
      </c>
      <c r="O9" t="s">
        <v>3823</v>
      </c>
      <c r="P9">
        <v>1.6681531765620799E-2</v>
      </c>
      <c r="Q9">
        <v>8.6707012951440294</v>
      </c>
      <c r="R9">
        <v>1</v>
      </c>
      <c r="S9">
        <v>1</v>
      </c>
      <c r="T9">
        <v>37</v>
      </c>
      <c r="U9">
        <v>39</v>
      </c>
      <c r="V9" t="s">
        <v>79</v>
      </c>
      <c r="W9" t="s">
        <v>3824</v>
      </c>
      <c r="X9" t="s">
        <v>80</v>
      </c>
    </row>
    <row r="10" spans="1:24">
      <c r="A10" t="s">
        <v>3455</v>
      </c>
      <c r="B10">
        <v>-0.162860654732979</v>
      </c>
      <c r="C10">
        <v>5.8822028822966903</v>
      </c>
      <c r="D10">
        <v>1</v>
      </c>
      <c r="E10">
        <v>1</v>
      </c>
      <c r="F10">
        <v>5</v>
      </c>
      <c r="G10">
        <v>6</v>
      </c>
      <c r="H10" t="s">
        <v>57</v>
      </c>
      <c r="I10" t="s">
        <v>3456</v>
      </c>
      <c r="J10" t="s">
        <v>58</v>
      </c>
      <c r="M10" s="1" t="s">
        <v>87</v>
      </c>
      <c r="N10" s="2" t="s">
        <v>88</v>
      </c>
      <c r="O10" t="s">
        <v>4278</v>
      </c>
      <c r="P10">
        <v>-6.6803717224669197E-3</v>
      </c>
      <c r="Q10">
        <v>7.2807535986221898</v>
      </c>
      <c r="R10">
        <v>0.999999999999996</v>
      </c>
      <c r="S10">
        <v>1</v>
      </c>
      <c r="T10">
        <v>14</v>
      </c>
      <c r="U10">
        <v>15</v>
      </c>
      <c r="V10" t="s">
        <v>87</v>
      </c>
      <c r="W10" t="s">
        <v>4279</v>
      </c>
      <c r="X10" t="s">
        <v>88</v>
      </c>
    </row>
    <row r="11" spans="1:24">
      <c r="A11" t="s">
        <v>3457</v>
      </c>
      <c r="B11">
        <v>-0.162860654732979</v>
      </c>
      <c r="C11">
        <v>5.8822028822966903</v>
      </c>
      <c r="D11">
        <v>1</v>
      </c>
      <c r="E11">
        <v>1</v>
      </c>
      <c r="F11">
        <v>5</v>
      </c>
      <c r="G11">
        <v>6</v>
      </c>
      <c r="H11" t="s">
        <v>28</v>
      </c>
      <c r="I11" t="s">
        <v>3438</v>
      </c>
      <c r="J11" t="s">
        <v>483</v>
      </c>
      <c r="M11" s="1" t="s">
        <v>97</v>
      </c>
      <c r="N11" s="2" t="s">
        <v>98</v>
      </c>
      <c r="O11" t="s">
        <v>7996</v>
      </c>
      <c r="P11">
        <v>-1.6020730827485199</v>
      </c>
      <c r="Q11">
        <v>5.5926868494692696</v>
      </c>
      <c r="R11">
        <v>0.17978592519580699</v>
      </c>
      <c r="S11">
        <v>0.72273941928714502</v>
      </c>
      <c r="T11">
        <v>2</v>
      </c>
      <c r="U11">
        <v>7</v>
      </c>
      <c r="V11" t="s">
        <v>97</v>
      </c>
      <c r="W11" t="s">
        <v>7997</v>
      </c>
      <c r="X11" t="s">
        <v>98</v>
      </c>
    </row>
    <row r="12" spans="1:24">
      <c r="A12" t="s">
        <v>3458</v>
      </c>
      <c r="B12">
        <v>-0.162860654732979</v>
      </c>
      <c r="C12">
        <v>5.8822028822966903</v>
      </c>
      <c r="D12">
        <v>1</v>
      </c>
      <c r="E12">
        <v>1</v>
      </c>
      <c r="F12">
        <v>5</v>
      </c>
      <c r="G12">
        <v>6</v>
      </c>
      <c r="H12" t="s">
        <v>28</v>
      </c>
      <c r="I12" t="s">
        <v>3438</v>
      </c>
      <c r="J12" t="s">
        <v>484</v>
      </c>
      <c r="M12" s="1" t="s">
        <v>28</v>
      </c>
      <c r="N12" s="2" t="s">
        <v>106</v>
      </c>
      <c r="O12" t="s">
        <v>8422</v>
      </c>
      <c r="P12">
        <v>-1.7882926608931</v>
      </c>
      <c r="Q12">
        <v>5.7446877013612196</v>
      </c>
      <c r="R12">
        <v>0.109462886227619</v>
      </c>
      <c r="S12">
        <v>0.61223068192699803</v>
      </c>
      <c r="T12">
        <v>2</v>
      </c>
      <c r="U12">
        <v>8</v>
      </c>
      <c r="V12" t="s">
        <v>28</v>
      </c>
      <c r="W12" t="s">
        <v>3438</v>
      </c>
      <c r="X12" t="s">
        <v>106</v>
      </c>
    </row>
    <row r="13" spans="1:24">
      <c r="A13" t="s">
        <v>3459</v>
      </c>
      <c r="B13">
        <v>-0.162860654732979</v>
      </c>
      <c r="C13">
        <v>5.8822028822966903</v>
      </c>
      <c r="D13">
        <v>1</v>
      </c>
      <c r="E13">
        <v>1</v>
      </c>
      <c r="F13">
        <v>5</v>
      </c>
      <c r="G13">
        <v>6</v>
      </c>
      <c r="H13" t="s">
        <v>28</v>
      </c>
      <c r="I13" t="s">
        <v>3438</v>
      </c>
      <c r="J13" t="s">
        <v>485</v>
      </c>
      <c r="M13" s="1" t="s">
        <v>28</v>
      </c>
      <c r="N13" s="2" t="s">
        <v>109</v>
      </c>
    </row>
    <row r="14" spans="1:24">
      <c r="A14" t="s">
        <v>3460</v>
      </c>
      <c r="B14">
        <v>-0.162860654732979</v>
      </c>
      <c r="C14">
        <v>5.8822028822966903</v>
      </c>
      <c r="D14">
        <v>1</v>
      </c>
      <c r="E14">
        <v>1</v>
      </c>
      <c r="F14">
        <v>5</v>
      </c>
      <c r="G14">
        <v>6</v>
      </c>
      <c r="H14" t="s">
        <v>28</v>
      </c>
      <c r="I14" t="s">
        <v>3438</v>
      </c>
      <c r="J14" t="s">
        <v>486</v>
      </c>
      <c r="M14" s="1" t="s">
        <v>12</v>
      </c>
      <c r="N14" s="2" t="s">
        <v>11</v>
      </c>
    </row>
    <row r="15" spans="1:24">
      <c r="A15" t="s">
        <v>3461</v>
      </c>
      <c r="B15">
        <v>-0.162860654732979</v>
      </c>
      <c r="C15">
        <v>5.8822028822966903</v>
      </c>
      <c r="D15">
        <v>1</v>
      </c>
      <c r="E15">
        <v>1</v>
      </c>
      <c r="F15">
        <v>5</v>
      </c>
      <c r="G15">
        <v>6</v>
      </c>
      <c r="H15" t="s">
        <v>3462</v>
      </c>
      <c r="I15" t="s">
        <v>3463</v>
      </c>
      <c r="J15" t="s">
        <v>487</v>
      </c>
      <c r="M15" s="1" t="s">
        <v>28</v>
      </c>
      <c r="N15" s="2" t="s">
        <v>120</v>
      </c>
      <c r="O15" t="s">
        <v>6817</v>
      </c>
      <c r="P15">
        <v>-0.53276289297905799</v>
      </c>
      <c r="Q15">
        <v>6.9463248530596999</v>
      </c>
      <c r="R15">
        <v>0.40514548370433301</v>
      </c>
      <c r="S15">
        <v>0.91057982275118399</v>
      </c>
      <c r="T15">
        <v>9</v>
      </c>
      <c r="U15">
        <v>14</v>
      </c>
      <c r="V15" t="s">
        <v>28</v>
      </c>
      <c r="W15" t="s">
        <v>3438</v>
      </c>
      <c r="X15" t="s">
        <v>120</v>
      </c>
    </row>
    <row r="16" spans="1:24">
      <c r="A16" t="s">
        <v>3464</v>
      </c>
      <c r="B16">
        <v>-0.162860654732979</v>
      </c>
      <c r="C16">
        <v>5.8822028822966903</v>
      </c>
      <c r="D16">
        <v>1</v>
      </c>
      <c r="E16">
        <v>1</v>
      </c>
      <c r="F16">
        <v>5</v>
      </c>
      <c r="G16">
        <v>6</v>
      </c>
      <c r="H16" t="s">
        <v>28</v>
      </c>
      <c r="I16" t="s">
        <v>3465</v>
      </c>
      <c r="J16" t="s">
        <v>488</v>
      </c>
      <c r="M16" s="1" t="s">
        <v>128</v>
      </c>
      <c r="N16" s="2" t="s">
        <v>129</v>
      </c>
      <c r="O16" t="s">
        <v>7509</v>
      </c>
      <c r="P16">
        <v>-0.26448407790030298</v>
      </c>
      <c r="Q16">
        <v>9.7625887496807007</v>
      </c>
      <c r="R16">
        <v>0.271743629230428</v>
      </c>
      <c r="S16">
        <v>0.82601844197075303</v>
      </c>
      <c r="T16">
        <v>71</v>
      </c>
      <c r="U16">
        <v>91</v>
      </c>
      <c r="V16" t="s">
        <v>128</v>
      </c>
      <c r="W16" t="s">
        <v>4748</v>
      </c>
      <c r="X16" t="s">
        <v>129</v>
      </c>
    </row>
    <row r="17" spans="1:24">
      <c r="A17" t="s">
        <v>3466</v>
      </c>
      <c r="B17">
        <v>-0.162860654732979</v>
      </c>
      <c r="C17">
        <v>5.8822028822966903</v>
      </c>
      <c r="D17">
        <v>1</v>
      </c>
      <c r="E17">
        <v>1</v>
      </c>
      <c r="F17">
        <v>5</v>
      </c>
      <c r="G17">
        <v>6</v>
      </c>
      <c r="H17" t="s">
        <v>28</v>
      </c>
      <c r="I17" t="s">
        <v>3465</v>
      </c>
      <c r="J17" t="s">
        <v>489</v>
      </c>
      <c r="M17" s="1" t="s">
        <v>28</v>
      </c>
      <c r="N17" s="2" t="s">
        <v>137</v>
      </c>
      <c r="O17" t="s">
        <v>4953</v>
      </c>
      <c r="P17">
        <v>-0.26158382961321303</v>
      </c>
      <c r="Q17">
        <v>6.4227693202268297</v>
      </c>
      <c r="R17">
        <v>0.80369789187322405</v>
      </c>
      <c r="S17">
        <v>1</v>
      </c>
      <c r="T17">
        <v>7</v>
      </c>
      <c r="U17">
        <v>9</v>
      </c>
      <c r="V17" t="s">
        <v>28</v>
      </c>
      <c r="W17" t="s">
        <v>4954</v>
      </c>
      <c r="X17" t="s">
        <v>137</v>
      </c>
    </row>
    <row r="18" spans="1:24">
      <c r="A18" t="s">
        <v>3467</v>
      </c>
      <c r="B18">
        <v>-0.162860654732979</v>
      </c>
      <c r="C18">
        <v>5.8822028822966903</v>
      </c>
      <c r="D18">
        <v>1</v>
      </c>
      <c r="E18">
        <v>1</v>
      </c>
      <c r="F18">
        <v>5</v>
      </c>
      <c r="G18">
        <v>6</v>
      </c>
      <c r="H18" t="s">
        <v>28</v>
      </c>
      <c r="I18" t="s">
        <v>3438</v>
      </c>
      <c r="J18" t="s">
        <v>490</v>
      </c>
      <c r="M18" s="1" t="s">
        <v>28</v>
      </c>
      <c r="N18" s="2" t="s">
        <v>143</v>
      </c>
      <c r="O18" t="s">
        <v>3467</v>
      </c>
      <c r="P18">
        <v>-0.162860654732979</v>
      </c>
      <c r="Q18">
        <v>5.8822028822966903</v>
      </c>
      <c r="R18">
        <v>1</v>
      </c>
      <c r="S18">
        <v>1</v>
      </c>
      <c r="T18">
        <v>5</v>
      </c>
      <c r="U18">
        <v>6</v>
      </c>
      <c r="V18" t="s">
        <v>28</v>
      </c>
      <c r="W18" t="s">
        <v>3438</v>
      </c>
      <c r="X18" t="s">
        <v>490</v>
      </c>
    </row>
    <row r="19" spans="1:24">
      <c r="A19" t="s">
        <v>3468</v>
      </c>
      <c r="B19">
        <v>-0.162860654732979</v>
      </c>
      <c r="C19">
        <v>5.8822028822966903</v>
      </c>
      <c r="D19">
        <v>1</v>
      </c>
      <c r="E19">
        <v>1</v>
      </c>
      <c r="F19">
        <v>5</v>
      </c>
      <c r="G19">
        <v>6</v>
      </c>
      <c r="H19" t="s">
        <v>28</v>
      </c>
      <c r="I19" t="s">
        <v>3438</v>
      </c>
      <c r="J19" t="s">
        <v>491</v>
      </c>
      <c r="M19" s="1" t="s">
        <v>28</v>
      </c>
      <c r="N19" s="2" t="s">
        <v>151</v>
      </c>
      <c r="O19" t="s">
        <v>8299</v>
      </c>
      <c r="P19">
        <v>-2.2403416891089898</v>
      </c>
      <c r="Q19">
        <v>5.2301166201110298</v>
      </c>
      <c r="R19">
        <v>0.125065621718084</v>
      </c>
      <c r="S19">
        <v>0.62845474913337296</v>
      </c>
      <c r="T19">
        <v>1</v>
      </c>
      <c r="U19">
        <v>6</v>
      </c>
      <c r="V19" t="s">
        <v>28</v>
      </c>
      <c r="W19" t="s">
        <v>3657</v>
      </c>
      <c r="X19" t="s">
        <v>151</v>
      </c>
    </row>
    <row r="20" spans="1:24">
      <c r="A20" t="s">
        <v>3469</v>
      </c>
      <c r="B20">
        <v>-0.162860654732979</v>
      </c>
      <c r="C20">
        <v>5.8822028822966903</v>
      </c>
      <c r="D20">
        <v>1</v>
      </c>
      <c r="E20">
        <v>1</v>
      </c>
      <c r="F20">
        <v>5</v>
      </c>
      <c r="G20">
        <v>6</v>
      </c>
      <c r="H20" t="s">
        <v>3470</v>
      </c>
      <c r="I20" t="s">
        <v>3471</v>
      </c>
      <c r="J20" t="s">
        <v>492</v>
      </c>
      <c r="M20" s="1" t="s">
        <v>28</v>
      </c>
      <c r="N20" s="2" t="s">
        <v>159</v>
      </c>
      <c r="O20" t="s">
        <v>4107</v>
      </c>
      <c r="P20">
        <v>0.213620825958005</v>
      </c>
      <c r="Q20">
        <v>6.9463387433030803</v>
      </c>
      <c r="R20">
        <v>1</v>
      </c>
      <c r="S20">
        <v>1</v>
      </c>
      <c r="T20">
        <v>12</v>
      </c>
      <c r="U20">
        <v>11</v>
      </c>
      <c r="V20" t="s">
        <v>28</v>
      </c>
      <c r="W20" t="s">
        <v>3438</v>
      </c>
      <c r="X20" t="s">
        <v>159</v>
      </c>
    </row>
    <row r="21" spans="1:24">
      <c r="A21" t="s">
        <v>3472</v>
      </c>
      <c r="B21">
        <v>-0.162860654732979</v>
      </c>
      <c r="C21">
        <v>5.8822028822966903</v>
      </c>
      <c r="D21">
        <v>1</v>
      </c>
      <c r="E21">
        <v>1</v>
      </c>
      <c r="F21">
        <v>5</v>
      </c>
      <c r="G21">
        <v>6</v>
      </c>
      <c r="H21" t="s">
        <v>28</v>
      </c>
      <c r="I21" t="s">
        <v>3438</v>
      </c>
      <c r="J21" t="s">
        <v>493</v>
      </c>
      <c r="M21" s="1" t="s">
        <v>28</v>
      </c>
      <c r="N21" s="2" t="s">
        <v>165</v>
      </c>
    </row>
    <row r="22" spans="1:24">
      <c r="A22" t="s">
        <v>3473</v>
      </c>
      <c r="B22">
        <v>-0.162860654732979</v>
      </c>
      <c r="C22">
        <v>5.8822028822966903</v>
      </c>
      <c r="D22">
        <v>1</v>
      </c>
      <c r="E22">
        <v>1</v>
      </c>
      <c r="F22">
        <v>5</v>
      </c>
      <c r="G22">
        <v>6</v>
      </c>
      <c r="H22" t="s">
        <v>28</v>
      </c>
      <c r="I22" t="s">
        <v>3474</v>
      </c>
      <c r="J22" t="s">
        <v>494</v>
      </c>
      <c r="M22" s="1" t="s">
        <v>28</v>
      </c>
      <c r="N22" s="2" t="s">
        <v>172</v>
      </c>
      <c r="O22" t="s">
        <v>4584</v>
      </c>
      <c r="P22">
        <v>-0.13720912132754701</v>
      </c>
      <c r="Q22">
        <v>8.0666234175916998</v>
      </c>
      <c r="R22">
        <v>0.88786491220416497</v>
      </c>
      <c r="S22">
        <v>1</v>
      </c>
      <c r="T22">
        <v>23</v>
      </c>
      <c r="U22">
        <v>27</v>
      </c>
      <c r="V22" t="s">
        <v>28</v>
      </c>
      <c r="W22" t="s">
        <v>3491</v>
      </c>
      <c r="X22" t="s">
        <v>172</v>
      </c>
    </row>
    <row r="23" spans="1:24">
      <c r="A23" t="s">
        <v>3475</v>
      </c>
      <c r="B23">
        <v>-0.162860654732979</v>
      </c>
      <c r="C23">
        <v>5.8822028822966903</v>
      </c>
      <c r="D23">
        <v>1</v>
      </c>
      <c r="E23">
        <v>1</v>
      </c>
      <c r="F23">
        <v>5</v>
      </c>
      <c r="G23">
        <v>6</v>
      </c>
      <c r="H23" t="s">
        <v>3476</v>
      </c>
      <c r="I23" t="s">
        <v>3477</v>
      </c>
      <c r="J23" t="s">
        <v>495</v>
      </c>
      <c r="M23" s="1" t="s">
        <v>28</v>
      </c>
      <c r="N23" s="2" t="s">
        <v>179</v>
      </c>
    </row>
    <row r="24" spans="1:24">
      <c r="A24" t="s">
        <v>3478</v>
      </c>
      <c r="B24">
        <v>-0.162860654732979</v>
      </c>
      <c r="C24">
        <v>5.8822028822966903</v>
      </c>
      <c r="D24">
        <v>1</v>
      </c>
      <c r="E24">
        <v>1</v>
      </c>
      <c r="F24">
        <v>5</v>
      </c>
      <c r="G24">
        <v>6</v>
      </c>
      <c r="H24" t="s">
        <v>28</v>
      </c>
      <c r="I24" t="s">
        <v>3438</v>
      </c>
      <c r="J24" t="s">
        <v>496</v>
      </c>
      <c r="M24" s="1" t="s">
        <v>28</v>
      </c>
      <c r="N24" s="2" t="s">
        <v>184</v>
      </c>
      <c r="O24" t="s">
        <v>6163</v>
      </c>
      <c r="P24">
        <v>0.85893482651729702</v>
      </c>
      <c r="Q24">
        <v>5.88221214804509</v>
      </c>
      <c r="R24">
        <v>0.54894087850671403</v>
      </c>
      <c r="S24">
        <v>0.98515282660579895</v>
      </c>
      <c r="T24">
        <v>7</v>
      </c>
      <c r="U24">
        <v>4</v>
      </c>
      <c r="V24" t="s">
        <v>28</v>
      </c>
      <c r="W24" t="s">
        <v>3438</v>
      </c>
      <c r="X24" t="s">
        <v>184</v>
      </c>
    </row>
    <row r="25" spans="1:24">
      <c r="A25" t="s">
        <v>3479</v>
      </c>
      <c r="B25">
        <v>-0.162860654732979</v>
      </c>
      <c r="C25">
        <v>5.8822028822966903</v>
      </c>
      <c r="D25">
        <v>1</v>
      </c>
      <c r="E25">
        <v>1</v>
      </c>
      <c r="F25">
        <v>5</v>
      </c>
      <c r="G25">
        <v>6</v>
      </c>
      <c r="H25" t="s">
        <v>28</v>
      </c>
      <c r="I25" t="s">
        <v>3438</v>
      </c>
      <c r="J25" t="s">
        <v>497</v>
      </c>
      <c r="M25" s="1" t="s">
        <v>28</v>
      </c>
      <c r="N25" s="2" t="s">
        <v>189</v>
      </c>
      <c r="O25" t="s">
        <v>6704</v>
      </c>
      <c r="P25">
        <v>-0.27743360778189902</v>
      </c>
      <c r="Q25">
        <v>8.7081576792414808</v>
      </c>
      <c r="R25">
        <v>0.429108255316208</v>
      </c>
      <c r="S25">
        <v>0.92635877862465599</v>
      </c>
      <c r="T25">
        <v>34</v>
      </c>
      <c r="U25">
        <v>44</v>
      </c>
      <c r="V25" t="s">
        <v>28</v>
      </c>
      <c r="W25" t="s">
        <v>3438</v>
      </c>
      <c r="X25" t="s">
        <v>189</v>
      </c>
    </row>
    <row r="26" spans="1:24">
      <c r="A26" t="s">
        <v>3480</v>
      </c>
      <c r="B26">
        <v>-0.12800663004624499</v>
      </c>
      <c r="C26">
        <v>7.7081709392794098</v>
      </c>
      <c r="D26">
        <v>1</v>
      </c>
      <c r="E26">
        <v>1</v>
      </c>
      <c r="F26">
        <v>18</v>
      </c>
      <c r="G26">
        <v>21</v>
      </c>
      <c r="H26" t="s">
        <v>28</v>
      </c>
      <c r="I26" t="s">
        <v>3438</v>
      </c>
      <c r="J26" t="s">
        <v>498</v>
      </c>
      <c r="M26" s="1" t="s">
        <v>193</v>
      </c>
      <c r="N26" s="2" t="s">
        <v>194</v>
      </c>
      <c r="O26" t="s">
        <v>8098</v>
      </c>
      <c r="P26">
        <v>0.60128403317214196</v>
      </c>
      <c r="Q26">
        <v>8.0952226981460296</v>
      </c>
      <c r="R26">
        <v>0.16131295895838499</v>
      </c>
      <c r="S26">
        <v>0.69635231679216802</v>
      </c>
      <c r="T26">
        <v>30</v>
      </c>
      <c r="U26">
        <v>21</v>
      </c>
      <c r="V26" t="s">
        <v>193</v>
      </c>
      <c r="W26" t="s">
        <v>8099</v>
      </c>
      <c r="X26" t="s">
        <v>194</v>
      </c>
    </row>
    <row r="27" spans="1:24">
      <c r="A27" t="s">
        <v>3481</v>
      </c>
      <c r="B27">
        <v>-0.12800663004624499</v>
      </c>
      <c r="C27">
        <v>7.7081709392794098</v>
      </c>
      <c r="D27">
        <v>1</v>
      </c>
      <c r="E27">
        <v>1</v>
      </c>
      <c r="F27">
        <v>18</v>
      </c>
      <c r="G27">
        <v>21</v>
      </c>
      <c r="H27" t="s">
        <v>3482</v>
      </c>
      <c r="I27" t="s">
        <v>3483</v>
      </c>
      <c r="J27" t="s">
        <v>499</v>
      </c>
      <c r="M27" s="1" t="s">
        <v>28</v>
      </c>
      <c r="N27" s="2" t="s">
        <v>198</v>
      </c>
      <c r="O27" t="s">
        <v>6197</v>
      </c>
      <c r="P27">
        <v>-0.38454192724742298</v>
      </c>
      <c r="Q27">
        <v>7.0077277875105599</v>
      </c>
      <c r="R27">
        <v>0.54150148918666696</v>
      </c>
      <c r="S27">
        <v>0.98515282660579895</v>
      </c>
      <c r="T27">
        <v>10</v>
      </c>
      <c r="U27">
        <v>14</v>
      </c>
      <c r="V27" t="s">
        <v>6198</v>
      </c>
      <c r="W27" t="s">
        <v>6199</v>
      </c>
      <c r="X27" t="s">
        <v>198</v>
      </c>
    </row>
    <row r="28" spans="1:24">
      <c r="A28" t="s">
        <v>3484</v>
      </c>
      <c r="B28">
        <v>-0.12800663004624499</v>
      </c>
      <c r="C28">
        <v>7.7081709392794098</v>
      </c>
      <c r="D28">
        <v>1</v>
      </c>
      <c r="E28">
        <v>1</v>
      </c>
      <c r="F28">
        <v>18</v>
      </c>
      <c r="G28">
        <v>21</v>
      </c>
      <c r="H28" t="s">
        <v>3485</v>
      </c>
      <c r="I28" t="s">
        <v>3486</v>
      </c>
      <c r="J28" t="s">
        <v>500</v>
      </c>
      <c r="M28" s="1" t="s">
        <v>28</v>
      </c>
      <c r="N28" s="2" t="s">
        <v>202</v>
      </c>
    </row>
    <row r="29" spans="1:24">
      <c r="A29" t="s">
        <v>3487</v>
      </c>
      <c r="B29">
        <v>-0.12483758011061399</v>
      </c>
      <c r="C29">
        <v>6.1232111307899002</v>
      </c>
      <c r="D29">
        <v>1</v>
      </c>
      <c r="E29">
        <v>1</v>
      </c>
      <c r="F29">
        <v>6</v>
      </c>
      <c r="G29">
        <v>7</v>
      </c>
      <c r="H29" t="s">
        <v>28</v>
      </c>
      <c r="I29" t="s">
        <v>3488</v>
      </c>
      <c r="J29" t="s">
        <v>501</v>
      </c>
      <c r="M29" s="1" t="s">
        <v>28</v>
      </c>
      <c r="N29" s="2" t="s">
        <v>206</v>
      </c>
      <c r="O29" t="s">
        <v>6376</v>
      </c>
      <c r="P29">
        <v>1.03073992863811</v>
      </c>
      <c r="Q29">
        <v>5.5927053827552102</v>
      </c>
      <c r="R29">
        <v>0.50791091043804304</v>
      </c>
      <c r="S29">
        <v>0.96717042113910401</v>
      </c>
      <c r="T29">
        <v>6</v>
      </c>
      <c r="U29">
        <v>3</v>
      </c>
      <c r="V29" t="s">
        <v>28</v>
      </c>
      <c r="W29" t="s">
        <v>3438</v>
      </c>
      <c r="X29" t="s">
        <v>206</v>
      </c>
    </row>
    <row r="30" spans="1:24">
      <c r="A30" t="s">
        <v>3489</v>
      </c>
      <c r="B30">
        <v>-0.12483758011061399</v>
      </c>
      <c r="C30">
        <v>6.1232111307899002</v>
      </c>
      <c r="D30">
        <v>1</v>
      </c>
      <c r="E30">
        <v>1</v>
      </c>
      <c r="F30">
        <v>6</v>
      </c>
      <c r="G30">
        <v>7</v>
      </c>
      <c r="H30" t="s">
        <v>28</v>
      </c>
      <c r="I30" t="s">
        <v>3438</v>
      </c>
      <c r="J30" t="s">
        <v>502</v>
      </c>
      <c r="M30" s="1" t="s">
        <v>210</v>
      </c>
      <c r="N30" s="2" t="s">
        <v>211</v>
      </c>
      <c r="O30" t="s">
        <v>7583</v>
      </c>
      <c r="P30">
        <v>-0.34312663305964602</v>
      </c>
      <c r="Q30">
        <v>9.2429209119795495</v>
      </c>
      <c r="R30">
        <v>0.26020561683738302</v>
      </c>
      <c r="S30">
        <v>0.81743906439779201</v>
      </c>
      <c r="T30">
        <v>48</v>
      </c>
      <c r="U30">
        <v>65</v>
      </c>
      <c r="V30" t="s">
        <v>210</v>
      </c>
      <c r="W30" t="s">
        <v>7584</v>
      </c>
      <c r="X30" t="s">
        <v>211</v>
      </c>
    </row>
    <row r="31" spans="1:24">
      <c r="A31" t="s">
        <v>3490</v>
      </c>
      <c r="B31">
        <v>-0.12483758011061399</v>
      </c>
      <c r="C31">
        <v>6.1232111307899002</v>
      </c>
      <c r="D31">
        <v>1</v>
      </c>
      <c r="E31">
        <v>1</v>
      </c>
      <c r="F31">
        <v>6</v>
      </c>
      <c r="G31">
        <v>7</v>
      </c>
      <c r="H31" t="s">
        <v>28</v>
      </c>
      <c r="I31" t="s">
        <v>3491</v>
      </c>
      <c r="J31" t="s">
        <v>503</v>
      </c>
      <c r="M31" s="1" t="s">
        <v>215</v>
      </c>
      <c r="N31" s="2" t="s">
        <v>216</v>
      </c>
      <c r="O31" t="s">
        <v>9355</v>
      </c>
      <c r="P31">
        <v>-1.3825923185182001</v>
      </c>
      <c r="Q31">
        <v>7.8150470488761004</v>
      </c>
      <c r="R31">
        <v>4.3628953189397803E-3</v>
      </c>
      <c r="S31">
        <v>0.14475408477597401</v>
      </c>
      <c r="T31">
        <v>11</v>
      </c>
      <c r="U31">
        <v>31</v>
      </c>
      <c r="V31" t="s">
        <v>215</v>
      </c>
      <c r="W31" t="s">
        <v>9356</v>
      </c>
      <c r="X31" t="s">
        <v>216</v>
      </c>
    </row>
    <row r="32" spans="1:24">
      <c r="A32" t="s">
        <v>3492</v>
      </c>
      <c r="B32">
        <v>-0.12483758011061399</v>
      </c>
      <c r="C32">
        <v>6.1232111307899002</v>
      </c>
      <c r="D32">
        <v>1</v>
      </c>
      <c r="E32">
        <v>1</v>
      </c>
      <c r="F32">
        <v>6</v>
      </c>
      <c r="G32">
        <v>7</v>
      </c>
      <c r="H32" t="s">
        <v>28</v>
      </c>
      <c r="I32" t="s">
        <v>3438</v>
      </c>
      <c r="J32" t="s">
        <v>504</v>
      </c>
      <c r="M32" s="1" t="s">
        <v>28</v>
      </c>
      <c r="N32" s="2" t="s">
        <v>220</v>
      </c>
      <c r="O32" t="s">
        <v>9440</v>
      </c>
      <c r="P32">
        <v>-2.7655753321097101</v>
      </c>
      <c r="Q32">
        <v>6.5926666836698002</v>
      </c>
      <c r="R32">
        <v>1.31833460952686E-3</v>
      </c>
      <c r="S32">
        <v>7.8574809799788606E-2</v>
      </c>
      <c r="T32">
        <v>2</v>
      </c>
      <c r="U32">
        <v>16</v>
      </c>
      <c r="V32" t="s">
        <v>28</v>
      </c>
      <c r="W32" t="s">
        <v>3438</v>
      </c>
      <c r="X32" t="s">
        <v>220</v>
      </c>
    </row>
    <row r="33" spans="1:24">
      <c r="A33" t="s">
        <v>3493</v>
      </c>
      <c r="B33">
        <v>-0.12483758011061399</v>
      </c>
      <c r="C33">
        <v>6.1232111307899002</v>
      </c>
      <c r="D33">
        <v>1</v>
      </c>
      <c r="E33">
        <v>1</v>
      </c>
      <c r="F33">
        <v>6</v>
      </c>
      <c r="G33">
        <v>7</v>
      </c>
      <c r="H33" t="s">
        <v>3494</v>
      </c>
      <c r="I33" t="s">
        <v>3495</v>
      </c>
      <c r="J33" t="s">
        <v>505</v>
      </c>
      <c r="M33" s="1" t="s">
        <v>224</v>
      </c>
      <c r="N33" s="2" t="s">
        <v>225</v>
      </c>
      <c r="O33" t="s">
        <v>4171</v>
      </c>
      <c r="P33">
        <v>0.27615035198362903</v>
      </c>
      <c r="Q33">
        <v>6.3296667891598002</v>
      </c>
      <c r="R33">
        <v>1</v>
      </c>
      <c r="S33">
        <v>1</v>
      </c>
      <c r="T33">
        <v>8</v>
      </c>
      <c r="U33">
        <v>7</v>
      </c>
      <c r="V33" t="s">
        <v>4172</v>
      </c>
      <c r="W33" t="s">
        <v>3687</v>
      </c>
      <c r="X33" t="s">
        <v>225</v>
      </c>
    </row>
    <row r="34" spans="1:24">
      <c r="A34" t="s">
        <v>3496</v>
      </c>
      <c r="B34">
        <v>-0.12483758011061399</v>
      </c>
      <c r="C34">
        <v>6.1232111307899002</v>
      </c>
      <c r="D34">
        <v>1</v>
      </c>
      <c r="E34">
        <v>1</v>
      </c>
      <c r="F34">
        <v>6</v>
      </c>
      <c r="G34">
        <v>7</v>
      </c>
      <c r="H34" t="s">
        <v>28</v>
      </c>
      <c r="I34" t="s">
        <v>3438</v>
      </c>
      <c r="J34" t="s">
        <v>506</v>
      </c>
      <c r="M34" s="1" t="s">
        <v>229</v>
      </c>
      <c r="N34" s="2" t="s">
        <v>230</v>
      </c>
      <c r="O34" t="s">
        <v>9534</v>
      </c>
      <c r="P34">
        <v>-1.25897825640283</v>
      </c>
      <c r="Q34">
        <v>11.9239531517799</v>
      </c>
      <c r="R34" s="14">
        <v>1.28675712024843E-27</v>
      </c>
      <c r="S34" s="14">
        <v>4.1382108987189603E-24</v>
      </c>
      <c r="T34">
        <v>204</v>
      </c>
      <c r="U34">
        <v>521</v>
      </c>
      <c r="V34" t="s">
        <v>229</v>
      </c>
      <c r="W34" t="s">
        <v>9535</v>
      </c>
      <c r="X34" t="s">
        <v>230</v>
      </c>
    </row>
    <row r="35" spans="1:24">
      <c r="A35" t="s">
        <v>3497</v>
      </c>
      <c r="B35">
        <v>-0.12483758011061399</v>
      </c>
      <c r="C35">
        <v>6.1232111307899002</v>
      </c>
      <c r="D35">
        <v>1</v>
      </c>
      <c r="E35">
        <v>1</v>
      </c>
      <c r="F35">
        <v>6</v>
      </c>
      <c r="G35">
        <v>7</v>
      </c>
      <c r="H35" t="s">
        <v>28</v>
      </c>
      <c r="I35" t="s">
        <v>3438</v>
      </c>
      <c r="J35" t="s">
        <v>507</v>
      </c>
      <c r="M35" s="1" t="s">
        <v>234</v>
      </c>
      <c r="N35" s="2" t="s">
        <v>235</v>
      </c>
      <c r="O35" t="s">
        <v>7166</v>
      </c>
      <c r="P35">
        <v>-0.31295613704580599</v>
      </c>
      <c r="Q35">
        <v>9.1642130930314298</v>
      </c>
      <c r="R35">
        <v>0.334996817846068</v>
      </c>
      <c r="S35">
        <v>0.86545792088516005</v>
      </c>
      <c r="T35">
        <v>46</v>
      </c>
      <c r="U35">
        <v>61</v>
      </c>
      <c r="V35" t="s">
        <v>234</v>
      </c>
      <c r="W35" t="s">
        <v>7167</v>
      </c>
      <c r="X35" t="s">
        <v>235</v>
      </c>
    </row>
    <row r="36" spans="1:24">
      <c r="A36" t="s">
        <v>3498</v>
      </c>
      <c r="B36">
        <v>-0.12483758011061399</v>
      </c>
      <c r="C36">
        <v>6.1232111307899002</v>
      </c>
      <c r="D36">
        <v>1</v>
      </c>
      <c r="E36">
        <v>1</v>
      </c>
      <c r="F36">
        <v>6</v>
      </c>
      <c r="G36">
        <v>7</v>
      </c>
      <c r="H36" t="s">
        <v>28</v>
      </c>
      <c r="I36" t="s">
        <v>3438</v>
      </c>
      <c r="J36" t="s">
        <v>508</v>
      </c>
      <c r="M36" s="1" t="s">
        <v>28</v>
      </c>
      <c r="N36" s="2" t="s">
        <v>239</v>
      </c>
      <c r="O36" t="s">
        <v>7650</v>
      </c>
      <c r="P36">
        <v>0.26037800375731801</v>
      </c>
      <c r="Q36">
        <v>10.109316002633401</v>
      </c>
      <c r="R36">
        <v>0.238565627581626</v>
      </c>
      <c r="S36">
        <v>0.77970229502287502</v>
      </c>
      <c r="T36">
        <v>109</v>
      </c>
      <c r="U36">
        <v>97</v>
      </c>
      <c r="V36" t="s">
        <v>28</v>
      </c>
      <c r="W36" t="s">
        <v>3657</v>
      </c>
      <c r="X36" t="s">
        <v>239</v>
      </c>
    </row>
    <row r="37" spans="1:24">
      <c r="A37" t="s">
        <v>3499</v>
      </c>
      <c r="B37">
        <v>-0.12483758011061399</v>
      </c>
      <c r="C37">
        <v>6.1232111307899002</v>
      </c>
      <c r="D37">
        <v>1</v>
      </c>
      <c r="E37">
        <v>1</v>
      </c>
      <c r="F37">
        <v>6</v>
      </c>
      <c r="G37">
        <v>7</v>
      </c>
      <c r="H37" t="s">
        <v>28</v>
      </c>
      <c r="I37" t="s">
        <v>3438</v>
      </c>
      <c r="J37" t="s">
        <v>509</v>
      </c>
      <c r="M37" s="1" t="s">
        <v>28</v>
      </c>
      <c r="N37" s="2" t="s">
        <v>242</v>
      </c>
      <c r="O37" t="s">
        <v>5377</v>
      </c>
      <c r="P37">
        <v>0.77884748974514495</v>
      </c>
      <c r="Q37">
        <v>5.4227779904650601</v>
      </c>
      <c r="R37">
        <v>0.72661717246559498</v>
      </c>
      <c r="S37">
        <v>1</v>
      </c>
      <c r="T37">
        <v>5</v>
      </c>
      <c r="U37">
        <v>3</v>
      </c>
      <c r="V37" t="s">
        <v>28</v>
      </c>
      <c r="W37" t="s">
        <v>3438</v>
      </c>
      <c r="X37" t="s">
        <v>242</v>
      </c>
    </row>
    <row r="38" spans="1:24">
      <c r="A38" t="s">
        <v>3500</v>
      </c>
      <c r="B38">
        <v>-0.12483758011061399</v>
      </c>
      <c r="C38">
        <v>6.1232111307899002</v>
      </c>
      <c r="D38">
        <v>1</v>
      </c>
      <c r="E38">
        <v>1</v>
      </c>
      <c r="F38">
        <v>6</v>
      </c>
      <c r="G38">
        <v>7</v>
      </c>
      <c r="H38" t="s">
        <v>3501</v>
      </c>
      <c r="I38" t="s">
        <v>3502</v>
      </c>
      <c r="J38" t="s">
        <v>510</v>
      </c>
      <c r="M38" s="1" t="s">
        <v>28</v>
      </c>
      <c r="N38" s="2" t="s">
        <v>247</v>
      </c>
      <c r="O38" t="s">
        <v>5627</v>
      </c>
      <c r="P38">
        <v>-0.314715414231589</v>
      </c>
      <c r="Q38">
        <v>6.8150848005453302</v>
      </c>
      <c r="R38">
        <v>0.66379187607192403</v>
      </c>
      <c r="S38">
        <v>1</v>
      </c>
      <c r="T38">
        <v>9</v>
      </c>
      <c r="U38">
        <v>12</v>
      </c>
      <c r="V38" t="s">
        <v>28</v>
      </c>
      <c r="W38" t="s">
        <v>3438</v>
      </c>
      <c r="X38" t="s">
        <v>247</v>
      </c>
    </row>
    <row r="39" spans="1:24">
      <c r="A39" t="s">
        <v>3503</v>
      </c>
      <c r="B39">
        <v>-0.12483758011061399</v>
      </c>
      <c r="C39">
        <v>6.1232111307899002</v>
      </c>
      <c r="D39">
        <v>1</v>
      </c>
      <c r="E39">
        <v>1</v>
      </c>
      <c r="F39">
        <v>6</v>
      </c>
      <c r="G39">
        <v>7</v>
      </c>
      <c r="H39" t="s">
        <v>3504</v>
      </c>
      <c r="I39" t="s">
        <v>3505</v>
      </c>
      <c r="J39" t="s">
        <v>511</v>
      </c>
      <c r="M39" s="1" t="s">
        <v>28</v>
      </c>
      <c r="N39" s="2" t="s">
        <v>251</v>
      </c>
      <c r="O39" t="s">
        <v>4173</v>
      </c>
      <c r="P39">
        <v>0.27615035198362903</v>
      </c>
      <c r="Q39">
        <v>6.3296667891598002</v>
      </c>
      <c r="R39">
        <v>1</v>
      </c>
      <c r="S39">
        <v>1</v>
      </c>
      <c r="T39">
        <v>8</v>
      </c>
      <c r="U39">
        <v>7</v>
      </c>
      <c r="V39" t="s">
        <v>4174</v>
      </c>
      <c r="W39" t="s">
        <v>4175</v>
      </c>
      <c r="X39" t="s">
        <v>251</v>
      </c>
    </row>
    <row r="40" spans="1:24">
      <c r="A40" t="s">
        <v>3506</v>
      </c>
      <c r="B40">
        <v>-0.12483758011061399</v>
      </c>
      <c r="C40">
        <v>6.1232111307899002</v>
      </c>
      <c r="D40">
        <v>1</v>
      </c>
      <c r="E40">
        <v>1</v>
      </c>
      <c r="F40">
        <v>6</v>
      </c>
      <c r="G40">
        <v>7</v>
      </c>
      <c r="H40" t="s">
        <v>3507</v>
      </c>
      <c r="I40" t="s">
        <v>3508</v>
      </c>
      <c r="J40" t="s">
        <v>512</v>
      </c>
      <c r="M40" s="1" t="s">
        <v>28</v>
      </c>
      <c r="N40" s="2" t="s">
        <v>257</v>
      </c>
      <c r="O40" t="s">
        <v>3506</v>
      </c>
      <c r="P40">
        <v>-0.12483758011061399</v>
      </c>
      <c r="Q40">
        <v>6.1232111307899002</v>
      </c>
      <c r="R40">
        <v>1</v>
      </c>
      <c r="S40">
        <v>1</v>
      </c>
      <c r="T40">
        <v>6</v>
      </c>
      <c r="U40">
        <v>7</v>
      </c>
      <c r="V40" t="s">
        <v>3507</v>
      </c>
      <c r="W40" t="s">
        <v>3508</v>
      </c>
      <c r="X40" t="s">
        <v>512</v>
      </c>
    </row>
    <row r="41" spans="1:24">
      <c r="A41" t="s">
        <v>3509</v>
      </c>
      <c r="B41">
        <v>-0.12483758011061399</v>
      </c>
      <c r="C41">
        <v>6.1232111307899002</v>
      </c>
      <c r="D41">
        <v>1</v>
      </c>
      <c r="E41">
        <v>1</v>
      </c>
      <c r="F41">
        <v>6</v>
      </c>
      <c r="G41">
        <v>7</v>
      </c>
      <c r="H41" t="s">
        <v>3510</v>
      </c>
      <c r="I41" t="s">
        <v>3438</v>
      </c>
      <c r="J41" t="s">
        <v>513</v>
      </c>
      <c r="M41" s="1" t="s">
        <v>264</v>
      </c>
      <c r="N41" s="2" t="s">
        <v>265</v>
      </c>
      <c r="O41" t="s">
        <v>8688</v>
      </c>
      <c r="P41">
        <v>0.51306279601429206</v>
      </c>
      <c r="Q41">
        <v>9.2041775030078306</v>
      </c>
      <c r="R41">
        <v>7.0331291765186196E-2</v>
      </c>
      <c r="S41">
        <v>0.50401086723988897</v>
      </c>
      <c r="T41">
        <v>63</v>
      </c>
      <c r="U41">
        <v>47</v>
      </c>
      <c r="V41" t="s">
        <v>264</v>
      </c>
      <c r="W41" t="s">
        <v>3438</v>
      </c>
      <c r="X41" t="s">
        <v>265</v>
      </c>
    </row>
    <row r="42" spans="1:24">
      <c r="A42" t="s">
        <v>3511</v>
      </c>
      <c r="B42">
        <v>-0.12483758011061399</v>
      </c>
      <c r="C42">
        <v>6.1232111307899002</v>
      </c>
      <c r="D42">
        <v>1</v>
      </c>
      <c r="E42">
        <v>1</v>
      </c>
      <c r="F42">
        <v>6</v>
      </c>
      <c r="G42">
        <v>7</v>
      </c>
      <c r="H42" t="s">
        <v>3512</v>
      </c>
      <c r="I42" t="s">
        <v>3513</v>
      </c>
      <c r="J42" t="s">
        <v>514</v>
      </c>
      <c r="M42" s="1" t="s">
        <v>268</v>
      </c>
      <c r="N42" s="2" t="s">
        <v>269</v>
      </c>
      <c r="O42" t="s">
        <v>5746</v>
      </c>
      <c r="P42">
        <v>0.53776464570969096</v>
      </c>
      <c r="Q42">
        <v>6.6707086349355098</v>
      </c>
      <c r="R42">
        <v>0.64776437034252099</v>
      </c>
      <c r="S42">
        <v>1</v>
      </c>
      <c r="T42">
        <v>11</v>
      </c>
      <c r="U42">
        <v>8</v>
      </c>
      <c r="V42" t="s">
        <v>5747</v>
      </c>
      <c r="W42" t="s">
        <v>5748</v>
      </c>
      <c r="X42" t="s">
        <v>269</v>
      </c>
    </row>
    <row r="43" spans="1:24">
      <c r="A43" t="s">
        <v>3514</v>
      </c>
      <c r="B43">
        <v>-0.12483758011061399</v>
      </c>
      <c r="C43">
        <v>6.1232111307899002</v>
      </c>
      <c r="D43">
        <v>1</v>
      </c>
      <c r="E43">
        <v>1</v>
      </c>
      <c r="F43">
        <v>6</v>
      </c>
      <c r="G43">
        <v>7</v>
      </c>
      <c r="H43" t="s">
        <v>3515</v>
      </c>
      <c r="I43" t="s">
        <v>3516</v>
      </c>
      <c r="J43" t="s">
        <v>515</v>
      </c>
      <c r="M43" s="1" t="s">
        <v>28</v>
      </c>
      <c r="N43" s="2" t="s">
        <v>272</v>
      </c>
      <c r="O43" t="s">
        <v>8719</v>
      </c>
      <c r="P43">
        <v>1.01574487166658</v>
      </c>
      <c r="Q43">
        <v>7.5520838307097797</v>
      </c>
      <c r="R43">
        <v>6.5485805934675304E-2</v>
      </c>
      <c r="S43">
        <v>0.49103747796773101</v>
      </c>
      <c r="T43">
        <v>23</v>
      </c>
      <c r="U43">
        <v>12</v>
      </c>
      <c r="V43" t="s">
        <v>28</v>
      </c>
      <c r="W43" t="s">
        <v>3438</v>
      </c>
      <c r="X43" t="s">
        <v>272</v>
      </c>
    </row>
    <row r="44" spans="1:24">
      <c r="A44" t="s">
        <v>3517</v>
      </c>
      <c r="B44">
        <v>-0.12483758011061399</v>
      </c>
      <c r="C44">
        <v>6.1232111307899002</v>
      </c>
      <c r="D44">
        <v>1</v>
      </c>
      <c r="E44">
        <v>1</v>
      </c>
      <c r="F44">
        <v>6</v>
      </c>
      <c r="G44">
        <v>7</v>
      </c>
      <c r="H44" t="s">
        <v>3518</v>
      </c>
      <c r="I44" t="s">
        <v>3519</v>
      </c>
      <c r="J44" t="s">
        <v>516</v>
      </c>
      <c r="M44" s="1" t="s">
        <v>28</v>
      </c>
      <c r="N44" s="2" t="s">
        <v>81</v>
      </c>
    </row>
    <row r="45" spans="1:24">
      <c r="A45" t="s">
        <v>3520</v>
      </c>
      <c r="B45">
        <v>-0.12483758011061399</v>
      </c>
      <c r="C45">
        <v>6.1232111307899002</v>
      </c>
      <c r="D45">
        <v>1</v>
      </c>
      <c r="E45">
        <v>1</v>
      </c>
      <c r="F45">
        <v>6</v>
      </c>
      <c r="G45">
        <v>7</v>
      </c>
      <c r="H45" t="s">
        <v>3521</v>
      </c>
      <c r="I45" t="s">
        <v>3522</v>
      </c>
      <c r="J45" t="s">
        <v>517</v>
      </c>
      <c r="M45" s="1" t="s">
        <v>277</v>
      </c>
      <c r="N45" s="2" t="s">
        <v>278</v>
      </c>
      <c r="O45" t="s">
        <v>8468</v>
      </c>
      <c r="P45">
        <v>0.69367181506020403</v>
      </c>
      <c r="Q45">
        <v>8.1507225800902692</v>
      </c>
      <c r="R45">
        <v>9.8815395190072194E-2</v>
      </c>
      <c r="S45">
        <v>0.57567537419363601</v>
      </c>
      <c r="T45">
        <v>32</v>
      </c>
      <c r="U45">
        <v>21</v>
      </c>
      <c r="V45" t="s">
        <v>371</v>
      </c>
      <c r="W45" t="s">
        <v>8469</v>
      </c>
      <c r="X45" t="s">
        <v>278</v>
      </c>
    </row>
    <row r="46" spans="1:24">
      <c r="A46" t="s">
        <v>3523</v>
      </c>
      <c r="B46">
        <v>-0.12483758011061399</v>
      </c>
      <c r="C46">
        <v>6.1232111307899002</v>
      </c>
      <c r="D46">
        <v>1</v>
      </c>
      <c r="E46">
        <v>1</v>
      </c>
      <c r="F46">
        <v>6</v>
      </c>
      <c r="G46">
        <v>7</v>
      </c>
      <c r="H46" t="s">
        <v>3524</v>
      </c>
      <c r="I46" t="s">
        <v>3525</v>
      </c>
      <c r="J46" t="s">
        <v>518</v>
      </c>
      <c r="M46" s="1" t="s">
        <v>281</v>
      </c>
      <c r="N46" s="2" t="s">
        <v>282</v>
      </c>
      <c r="O46" t="s">
        <v>6742</v>
      </c>
      <c r="P46">
        <v>-0.72785712698161897</v>
      </c>
      <c r="Q46">
        <v>6.2301194609571899</v>
      </c>
      <c r="R46">
        <v>0.42411508907454398</v>
      </c>
      <c r="S46">
        <v>0.922749192776672</v>
      </c>
      <c r="T46">
        <v>5</v>
      </c>
      <c r="U46">
        <v>9</v>
      </c>
      <c r="V46" t="s">
        <v>372</v>
      </c>
      <c r="W46" t="s">
        <v>6743</v>
      </c>
      <c r="X46" t="s">
        <v>282</v>
      </c>
    </row>
    <row r="47" spans="1:24">
      <c r="A47" t="s">
        <v>3526</v>
      </c>
      <c r="B47">
        <v>-0.12483758011061399</v>
      </c>
      <c r="C47">
        <v>6.1232111307899002</v>
      </c>
      <c r="D47">
        <v>1</v>
      </c>
      <c r="E47">
        <v>1</v>
      </c>
      <c r="F47">
        <v>6</v>
      </c>
      <c r="G47">
        <v>7</v>
      </c>
      <c r="H47" t="s">
        <v>28</v>
      </c>
      <c r="I47" t="s">
        <v>3527</v>
      </c>
      <c r="J47" t="s">
        <v>519</v>
      </c>
      <c r="M47" s="1" t="s">
        <v>284</v>
      </c>
      <c r="N47" s="2" t="s">
        <v>285</v>
      </c>
      <c r="O47" t="s">
        <v>8383</v>
      </c>
      <c r="P47">
        <v>-0.417535316209456</v>
      </c>
      <c r="Q47">
        <v>9.4561524948270606</v>
      </c>
      <c r="R47">
        <v>0.116644322031246</v>
      </c>
      <c r="S47">
        <v>0.62368254287825098</v>
      </c>
      <c r="T47">
        <v>54</v>
      </c>
      <c r="U47">
        <v>77</v>
      </c>
      <c r="V47" t="s">
        <v>8384</v>
      </c>
      <c r="W47" t="s">
        <v>3450</v>
      </c>
      <c r="X47" t="s">
        <v>285</v>
      </c>
    </row>
    <row r="48" spans="1:24">
      <c r="A48" t="s">
        <v>3528</v>
      </c>
      <c r="B48">
        <v>-0.117329641829671</v>
      </c>
      <c r="C48">
        <v>7.7803208740671499</v>
      </c>
      <c r="D48">
        <v>1</v>
      </c>
      <c r="E48">
        <v>1</v>
      </c>
      <c r="F48">
        <v>19</v>
      </c>
      <c r="G48">
        <v>22</v>
      </c>
      <c r="H48" t="s">
        <v>28</v>
      </c>
      <c r="I48" t="s">
        <v>3438</v>
      </c>
      <c r="J48" t="s">
        <v>520</v>
      </c>
      <c r="M48" s="1" t="s">
        <v>284</v>
      </c>
      <c r="N48" s="2" t="s">
        <v>289</v>
      </c>
      <c r="O48" t="s">
        <v>8720</v>
      </c>
      <c r="P48">
        <v>1.01574487166658</v>
      </c>
      <c r="Q48">
        <v>7.5520838307097797</v>
      </c>
      <c r="R48">
        <v>6.5485805934675304E-2</v>
      </c>
      <c r="S48">
        <v>0.49103747796773101</v>
      </c>
      <c r="T48">
        <v>23</v>
      </c>
      <c r="U48">
        <v>12</v>
      </c>
      <c r="V48" t="s">
        <v>428</v>
      </c>
      <c r="W48" t="s">
        <v>3450</v>
      </c>
      <c r="X48" t="s">
        <v>289</v>
      </c>
    </row>
    <row r="49" spans="1:24">
      <c r="A49" t="s">
        <v>3529</v>
      </c>
      <c r="B49">
        <v>-0.117329641829671</v>
      </c>
      <c r="C49">
        <v>7.7803208740671499</v>
      </c>
      <c r="D49">
        <v>1</v>
      </c>
      <c r="E49">
        <v>1</v>
      </c>
      <c r="F49">
        <v>19</v>
      </c>
      <c r="G49">
        <v>22</v>
      </c>
      <c r="H49" t="s">
        <v>3530</v>
      </c>
      <c r="I49" t="s">
        <v>3531</v>
      </c>
      <c r="J49" t="s">
        <v>521</v>
      </c>
      <c r="M49" s="1" t="s">
        <v>28</v>
      </c>
      <c r="N49" s="2" t="s">
        <v>292</v>
      </c>
      <c r="O49" t="s">
        <v>5382</v>
      </c>
      <c r="P49">
        <v>0.77884748974514495</v>
      </c>
      <c r="Q49">
        <v>5.4227779904650601</v>
      </c>
      <c r="R49">
        <v>0.72661717246559498</v>
      </c>
      <c r="S49">
        <v>1</v>
      </c>
      <c r="T49">
        <v>5</v>
      </c>
      <c r="U49">
        <v>3</v>
      </c>
      <c r="V49" t="s">
        <v>28</v>
      </c>
      <c r="W49" t="s">
        <v>5383</v>
      </c>
      <c r="X49" t="s">
        <v>292</v>
      </c>
    </row>
    <row r="50" spans="1:24">
      <c r="A50" t="s">
        <v>3532</v>
      </c>
      <c r="B50">
        <v>-0.117329641829671</v>
      </c>
      <c r="C50">
        <v>7.7803208740671499</v>
      </c>
      <c r="D50">
        <v>1</v>
      </c>
      <c r="E50">
        <v>1</v>
      </c>
      <c r="F50">
        <v>19</v>
      </c>
      <c r="G50">
        <v>22</v>
      </c>
      <c r="H50" t="s">
        <v>3533</v>
      </c>
      <c r="I50" t="s">
        <v>3534</v>
      </c>
      <c r="J50" t="s">
        <v>522</v>
      </c>
      <c r="M50" s="1" t="s">
        <v>296</v>
      </c>
      <c r="N50" s="2" t="s">
        <v>297</v>
      </c>
      <c r="O50" t="s">
        <v>3708</v>
      </c>
      <c r="P50">
        <v>-2.49689418551154E-2</v>
      </c>
      <c r="Q50">
        <v>9.0374806421939802</v>
      </c>
      <c r="R50">
        <v>1</v>
      </c>
      <c r="S50">
        <v>1</v>
      </c>
      <c r="T50">
        <v>47</v>
      </c>
      <c r="U50">
        <v>51</v>
      </c>
      <c r="V50" t="s">
        <v>296</v>
      </c>
      <c r="W50" t="s">
        <v>3709</v>
      </c>
      <c r="X50" t="s">
        <v>297</v>
      </c>
    </row>
    <row r="51" spans="1:24">
      <c r="A51" t="s">
        <v>3535</v>
      </c>
      <c r="B51">
        <v>-0.107639425732519</v>
      </c>
      <c r="C51">
        <v>7.8490337731567097</v>
      </c>
      <c r="D51">
        <v>1</v>
      </c>
      <c r="E51">
        <v>1</v>
      </c>
      <c r="F51">
        <v>20</v>
      </c>
      <c r="G51">
        <v>23</v>
      </c>
      <c r="H51" t="s">
        <v>3536</v>
      </c>
      <c r="I51" t="s">
        <v>3438</v>
      </c>
      <c r="J51" t="s">
        <v>523</v>
      </c>
      <c r="M51" s="1" t="s">
        <v>28</v>
      </c>
      <c r="N51" s="2" t="s">
        <v>300</v>
      </c>
      <c r="O51" t="s">
        <v>3535</v>
      </c>
      <c r="P51">
        <v>-0.107639425732519</v>
      </c>
      <c r="Q51">
        <v>7.8490337731567097</v>
      </c>
      <c r="R51">
        <v>1</v>
      </c>
      <c r="S51">
        <v>1</v>
      </c>
      <c r="T51">
        <v>20</v>
      </c>
      <c r="U51">
        <v>23</v>
      </c>
      <c r="V51" t="s">
        <v>3536</v>
      </c>
      <c r="W51" t="s">
        <v>3438</v>
      </c>
      <c r="X51" t="s">
        <v>523</v>
      </c>
    </row>
    <row r="52" spans="1:24">
      <c r="A52" t="s">
        <v>3537</v>
      </c>
      <c r="B52">
        <v>-9.8805035730165497E-2</v>
      </c>
      <c r="C52">
        <v>7.9146222637600703</v>
      </c>
      <c r="D52">
        <v>1</v>
      </c>
      <c r="E52">
        <v>1</v>
      </c>
      <c r="F52">
        <v>21</v>
      </c>
      <c r="G52">
        <v>24</v>
      </c>
      <c r="H52" t="s">
        <v>28</v>
      </c>
      <c r="I52" t="s">
        <v>3538</v>
      </c>
      <c r="J52" t="s">
        <v>524</v>
      </c>
      <c r="M52" s="1" t="s">
        <v>304</v>
      </c>
      <c r="N52" s="2" t="s">
        <v>305</v>
      </c>
      <c r="O52" t="s">
        <v>4525</v>
      </c>
      <c r="P52">
        <v>-7.1805608011429101E-2</v>
      </c>
      <c r="Q52">
        <v>8.5520517344419993</v>
      </c>
      <c r="R52">
        <v>0.90514038991982404</v>
      </c>
      <c r="S52">
        <v>1</v>
      </c>
      <c r="T52">
        <v>33</v>
      </c>
      <c r="U52">
        <v>37</v>
      </c>
      <c r="V52" t="s">
        <v>304</v>
      </c>
      <c r="W52" t="s">
        <v>4526</v>
      </c>
      <c r="X52" t="s">
        <v>305</v>
      </c>
    </row>
    <row r="53" spans="1:24">
      <c r="A53" t="s">
        <v>3539</v>
      </c>
      <c r="B53">
        <v>-9.8805035730165497E-2</v>
      </c>
      <c r="C53">
        <v>7.9146222637600703</v>
      </c>
      <c r="D53">
        <v>1</v>
      </c>
      <c r="E53">
        <v>1</v>
      </c>
      <c r="F53">
        <v>21</v>
      </c>
      <c r="G53">
        <v>24</v>
      </c>
      <c r="H53" t="s">
        <v>3540</v>
      </c>
      <c r="I53" t="s">
        <v>3541</v>
      </c>
      <c r="J53" t="s">
        <v>525</v>
      </c>
      <c r="M53" s="1" t="s">
        <v>308</v>
      </c>
      <c r="N53" s="2" t="s">
        <v>309</v>
      </c>
      <c r="O53" t="s">
        <v>8721</v>
      </c>
      <c r="P53">
        <v>-0.85503830475184195</v>
      </c>
      <c r="Q53">
        <v>8.0665956747918308</v>
      </c>
      <c r="R53">
        <v>6.5242252733618306E-2</v>
      </c>
      <c r="S53">
        <v>0.49103747796773101</v>
      </c>
      <c r="T53">
        <v>17</v>
      </c>
      <c r="U53">
        <v>33</v>
      </c>
      <c r="V53" t="s">
        <v>308</v>
      </c>
      <c r="W53" t="s">
        <v>8722</v>
      </c>
      <c r="X53" t="s">
        <v>309</v>
      </c>
    </row>
    <row r="54" spans="1:24">
      <c r="A54" t="s">
        <v>3542</v>
      </c>
      <c r="B54">
        <v>-9.8805035730165497E-2</v>
      </c>
      <c r="C54">
        <v>7.9146222637600703</v>
      </c>
      <c r="D54">
        <v>1</v>
      </c>
      <c r="E54">
        <v>1</v>
      </c>
      <c r="F54">
        <v>21</v>
      </c>
      <c r="G54">
        <v>24</v>
      </c>
      <c r="H54" t="s">
        <v>28</v>
      </c>
      <c r="I54" t="s">
        <v>3438</v>
      </c>
      <c r="J54" t="s">
        <v>526</v>
      </c>
      <c r="M54" s="1" t="s">
        <v>313</v>
      </c>
      <c r="N54" s="2" t="s">
        <v>314</v>
      </c>
      <c r="O54" t="s">
        <v>4469</v>
      </c>
      <c r="P54">
        <v>-7.6807875497398106E-2</v>
      </c>
      <c r="Q54">
        <v>9.0951918249009793</v>
      </c>
      <c r="R54">
        <v>0.92139125163374103</v>
      </c>
      <c r="S54">
        <v>1</v>
      </c>
      <c r="T54">
        <v>48</v>
      </c>
      <c r="U54">
        <v>54</v>
      </c>
      <c r="V54" t="s">
        <v>313</v>
      </c>
      <c r="W54" t="s">
        <v>4470</v>
      </c>
      <c r="X54" t="s">
        <v>314</v>
      </c>
    </row>
    <row r="55" spans="1:24">
      <c r="A55" t="s">
        <v>3543</v>
      </c>
      <c r="B55">
        <v>-9.6676299779752797E-2</v>
      </c>
      <c r="C55">
        <v>6.3296621572165401</v>
      </c>
      <c r="D55">
        <v>1</v>
      </c>
      <c r="E55">
        <v>1</v>
      </c>
      <c r="F55">
        <v>7</v>
      </c>
      <c r="G55">
        <v>8</v>
      </c>
      <c r="H55" t="s">
        <v>28</v>
      </c>
      <c r="I55" t="s">
        <v>3438</v>
      </c>
      <c r="J55" t="s">
        <v>527</v>
      </c>
      <c r="M55" s="1" t="s">
        <v>318</v>
      </c>
      <c r="N55" s="2" t="s">
        <v>319</v>
      </c>
      <c r="O55" t="s">
        <v>8974</v>
      </c>
      <c r="P55">
        <v>-2.1011767048960199</v>
      </c>
      <c r="Q55">
        <v>6.0077176247705397</v>
      </c>
      <c r="R55">
        <v>3.86306250971361E-2</v>
      </c>
      <c r="S55">
        <v>0.41642613228808301</v>
      </c>
      <c r="T55">
        <v>2</v>
      </c>
      <c r="U55">
        <v>10</v>
      </c>
      <c r="V55" t="s">
        <v>318</v>
      </c>
      <c r="W55" t="s">
        <v>8975</v>
      </c>
      <c r="X55" t="s">
        <v>319</v>
      </c>
    </row>
    <row r="56" spans="1:24">
      <c r="A56" t="s">
        <v>3544</v>
      </c>
      <c r="B56">
        <v>-9.6676299779752797E-2</v>
      </c>
      <c r="C56">
        <v>6.3296621572165401</v>
      </c>
      <c r="D56">
        <v>1</v>
      </c>
      <c r="E56">
        <v>1</v>
      </c>
      <c r="F56">
        <v>7</v>
      </c>
      <c r="G56">
        <v>8</v>
      </c>
      <c r="H56" t="s">
        <v>28</v>
      </c>
      <c r="I56" t="s">
        <v>3545</v>
      </c>
      <c r="J56" t="s">
        <v>528</v>
      </c>
      <c r="M56" s="1" t="s">
        <v>28</v>
      </c>
      <c r="N56" s="2" t="s">
        <v>323</v>
      </c>
      <c r="O56" t="s">
        <v>4084</v>
      </c>
      <c r="P56">
        <v>0.196021873845344</v>
      </c>
      <c r="Q56">
        <v>7.1776645860793398</v>
      </c>
      <c r="R56">
        <v>1</v>
      </c>
      <c r="S56">
        <v>1</v>
      </c>
      <c r="T56">
        <v>14</v>
      </c>
      <c r="U56">
        <v>13</v>
      </c>
      <c r="V56" t="s">
        <v>28</v>
      </c>
      <c r="W56" t="s">
        <v>4085</v>
      </c>
      <c r="X56" t="s">
        <v>323</v>
      </c>
    </row>
    <row r="57" spans="1:24">
      <c r="A57" t="s">
        <v>3546</v>
      </c>
      <c r="B57">
        <v>-9.6676299779752797E-2</v>
      </c>
      <c r="C57">
        <v>6.3296621572165401</v>
      </c>
      <c r="D57">
        <v>1</v>
      </c>
      <c r="E57">
        <v>1</v>
      </c>
      <c r="F57">
        <v>7</v>
      </c>
      <c r="G57">
        <v>8</v>
      </c>
      <c r="H57" t="s">
        <v>28</v>
      </c>
      <c r="I57" t="s">
        <v>3547</v>
      </c>
      <c r="J57" t="s">
        <v>529</v>
      </c>
      <c r="M57" s="1" t="s">
        <v>28</v>
      </c>
      <c r="N57" s="2" t="s">
        <v>327</v>
      </c>
      <c r="O57" t="s">
        <v>9511</v>
      </c>
      <c r="P57">
        <v>1.75776212345311</v>
      </c>
      <c r="Q57">
        <v>8.8151979702967704</v>
      </c>
      <c r="R57" s="14">
        <v>3.2115562304122102E-7</v>
      </c>
      <c r="S57" s="14">
        <v>6.4552280231285498E-5</v>
      </c>
      <c r="T57">
        <v>64</v>
      </c>
      <c r="U57">
        <v>20</v>
      </c>
      <c r="V57" t="s">
        <v>9512</v>
      </c>
      <c r="W57" t="s">
        <v>9513</v>
      </c>
      <c r="X57" t="s">
        <v>437</v>
      </c>
    </row>
    <row r="58" spans="1:24">
      <c r="A58" t="s">
        <v>3548</v>
      </c>
      <c r="B58">
        <v>-9.6676299779752797E-2</v>
      </c>
      <c r="C58">
        <v>6.3296621572165401</v>
      </c>
      <c r="D58">
        <v>1</v>
      </c>
      <c r="E58">
        <v>1</v>
      </c>
      <c r="F58">
        <v>7</v>
      </c>
      <c r="G58">
        <v>8</v>
      </c>
      <c r="H58" t="s">
        <v>28</v>
      </c>
      <c r="I58" t="s">
        <v>3438</v>
      </c>
      <c r="J58" t="s">
        <v>530</v>
      </c>
      <c r="M58" s="1" t="s">
        <v>28</v>
      </c>
      <c r="N58" s="2" t="s">
        <v>330</v>
      </c>
      <c r="O58" t="s">
        <v>5919</v>
      </c>
      <c r="P58">
        <v>-0.47596468808865</v>
      </c>
      <c r="Q58">
        <v>6.3296575252890701</v>
      </c>
      <c r="R58">
        <v>0.60737616726717103</v>
      </c>
      <c r="S58">
        <v>1</v>
      </c>
      <c r="T58">
        <v>6</v>
      </c>
      <c r="U58">
        <v>9</v>
      </c>
      <c r="V58" t="s">
        <v>28</v>
      </c>
      <c r="W58" t="s">
        <v>3438</v>
      </c>
      <c r="X58" t="s">
        <v>330</v>
      </c>
    </row>
    <row r="59" spans="1:24">
      <c r="A59" t="s">
        <v>3549</v>
      </c>
      <c r="B59">
        <v>-9.6676299779752797E-2</v>
      </c>
      <c r="C59">
        <v>6.3296621572165401</v>
      </c>
      <c r="D59">
        <v>1</v>
      </c>
      <c r="E59">
        <v>1</v>
      </c>
      <c r="F59">
        <v>7</v>
      </c>
      <c r="G59">
        <v>8</v>
      </c>
      <c r="H59" t="s">
        <v>28</v>
      </c>
      <c r="I59" t="s">
        <v>3438</v>
      </c>
      <c r="J59" t="s">
        <v>531</v>
      </c>
      <c r="M59" s="1" t="s">
        <v>332</v>
      </c>
      <c r="N59" s="2" t="s">
        <v>333</v>
      </c>
      <c r="O59" t="s">
        <v>9517</v>
      </c>
      <c r="P59">
        <v>-1.0320266764419299</v>
      </c>
      <c r="Q59">
        <v>10.341447714596001</v>
      </c>
      <c r="R59" s="14">
        <v>1.5408162885676799E-7</v>
      </c>
      <c r="S59" s="14">
        <v>3.5394751314526001E-5</v>
      </c>
      <c r="T59">
        <v>76</v>
      </c>
      <c r="U59">
        <v>166</v>
      </c>
      <c r="V59" t="s">
        <v>332</v>
      </c>
      <c r="W59" t="s">
        <v>9518</v>
      </c>
      <c r="X59" t="s">
        <v>333</v>
      </c>
    </row>
    <row r="60" spans="1:24">
      <c r="A60" t="s">
        <v>3550</v>
      </c>
      <c r="B60">
        <v>-9.6676299779752797E-2</v>
      </c>
      <c r="C60">
        <v>6.3296621572165401</v>
      </c>
      <c r="D60">
        <v>1</v>
      </c>
      <c r="E60">
        <v>1</v>
      </c>
      <c r="F60">
        <v>7</v>
      </c>
      <c r="G60">
        <v>8</v>
      </c>
      <c r="H60" t="s">
        <v>28</v>
      </c>
      <c r="I60" t="s">
        <v>3438</v>
      </c>
      <c r="J60" t="s">
        <v>532</v>
      </c>
      <c r="M60" s="1" t="s">
        <v>337</v>
      </c>
      <c r="N60" s="2" t="s">
        <v>338</v>
      </c>
    </row>
    <row r="61" spans="1:24">
      <c r="A61" t="s">
        <v>3551</v>
      </c>
      <c r="B61">
        <v>-9.6676299779752797E-2</v>
      </c>
      <c r="C61">
        <v>6.3296621572165401</v>
      </c>
      <c r="D61">
        <v>1</v>
      </c>
      <c r="E61">
        <v>1</v>
      </c>
      <c r="F61">
        <v>7</v>
      </c>
      <c r="G61">
        <v>8</v>
      </c>
      <c r="H61" t="s">
        <v>28</v>
      </c>
      <c r="I61" t="s">
        <v>3438</v>
      </c>
      <c r="J61" t="s">
        <v>221</v>
      </c>
      <c r="M61" s="1" t="s">
        <v>96</v>
      </c>
      <c r="N61" s="2" t="s">
        <v>95</v>
      </c>
      <c r="O61" t="s">
        <v>5126</v>
      </c>
      <c r="P61">
        <v>0.55459873199851994</v>
      </c>
      <c r="Q61">
        <v>6.0077407878381504</v>
      </c>
      <c r="R61">
        <v>0.77448170953272799</v>
      </c>
      <c r="S61">
        <v>1</v>
      </c>
      <c r="T61">
        <v>7</v>
      </c>
      <c r="U61">
        <v>5</v>
      </c>
      <c r="V61" t="s">
        <v>96</v>
      </c>
      <c r="W61" t="s">
        <v>5127</v>
      </c>
      <c r="X61" t="s">
        <v>95</v>
      </c>
    </row>
    <row r="62" spans="1:24">
      <c r="A62" t="s">
        <v>3552</v>
      </c>
      <c r="B62">
        <v>-9.6676299779752797E-2</v>
      </c>
      <c r="C62">
        <v>6.3296621572165401</v>
      </c>
      <c r="D62">
        <v>1</v>
      </c>
      <c r="E62">
        <v>1</v>
      </c>
      <c r="F62">
        <v>7</v>
      </c>
      <c r="G62">
        <v>8</v>
      </c>
      <c r="H62" t="s">
        <v>28</v>
      </c>
      <c r="I62" t="s">
        <v>3438</v>
      </c>
      <c r="J62" t="s">
        <v>533</v>
      </c>
      <c r="M62" s="1" t="s">
        <v>28</v>
      </c>
      <c r="N62" s="2" t="s">
        <v>341</v>
      </c>
      <c r="O62" t="s">
        <v>4396</v>
      </c>
      <c r="P62">
        <v>-0.21704941018264901</v>
      </c>
      <c r="Q62">
        <v>5.5926961160825499</v>
      </c>
      <c r="R62">
        <v>0.99999999999997302</v>
      </c>
      <c r="S62">
        <v>1</v>
      </c>
      <c r="T62">
        <v>4</v>
      </c>
      <c r="U62">
        <v>5</v>
      </c>
      <c r="V62" t="s">
        <v>28</v>
      </c>
      <c r="W62" t="s">
        <v>3438</v>
      </c>
      <c r="X62" t="s">
        <v>341</v>
      </c>
    </row>
    <row r="63" spans="1:24">
      <c r="A63" t="s">
        <v>3553</v>
      </c>
      <c r="B63">
        <v>-9.6676299779752797E-2</v>
      </c>
      <c r="C63">
        <v>6.3296621572165401</v>
      </c>
      <c r="D63">
        <v>1</v>
      </c>
      <c r="E63">
        <v>1</v>
      </c>
      <c r="F63">
        <v>7</v>
      </c>
      <c r="G63">
        <v>8</v>
      </c>
      <c r="H63" t="s">
        <v>28</v>
      </c>
      <c r="I63" t="s">
        <v>3438</v>
      </c>
      <c r="J63" t="s">
        <v>534</v>
      </c>
      <c r="M63" s="1" t="s">
        <v>28</v>
      </c>
      <c r="N63" s="2" t="s">
        <v>72</v>
      </c>
      <c r="O63" t="s">
        <v>6503</v>
      </c>
      <c r="P63">
        <v>0.185251519620098</v>
      </c>
      <c r="Q63">
        <v>9.6989201202546607</v>
      </c>
      <c r="R63">
        <v>0.47300987894468699</v>
      </c>
      <c r="S63">
        <v>0.94872018118755597</v>
      </c>
      <c r="T63">
        <v>80</v>
      </c>
      <c r="U63">
        <v>75</v>
      </c>
      <c r="V63" t="s">
        <v>73</v>
      </c>
      <c r="W63" t="s">
        <v>4297</v>
      </c>
      <c r="X63" t="s">
        <v>72</v>
      </c>
    </row>
    <row r="64" spans="1:24">
      <c r="A64" t="s">
        <v>3554</v>
      </c>
      <c r="B64">
        <v>-9.6676299779752797E-2</v>
      </c>
      <c r="C64">
        <v>6.3296621572165401</v>
      </c>
      <c r="D64">
        <v>1</v>
      </c>
      <c r="E64">
        <v>1</v>
      </c>
      <c r="F64">
        <v>7</v>
      </c>
      <c r="G64">
        <v>8</v>
      </c>
      <c r="H64" t="s">
        <v>28</v>
      </c>
      <c r="I64" t="s">
        <v>3555</v>
      </c>
      <c r="J64" t="s">
        <v>535</v>
      </c>
      <c r="M64" s="1" t="s">
        <v>28</v>
      </c>
      <c r="N64" s="2" t="s">
        <v>344</v>
      </c>
      <c r="O64" t="s">
        <v>7869</v>
      </c>
      <c r="P64">
        <v>1.1890396774879599</v>
      </c>
      <c r="Q64">
        <v>6.4227878471337103</v>
      </c>
      <c r="R64">
        <v>0.21029676356964799</v>
      </c>
      <c r="S64">
        <v>0.76825993710629303</v>
      </c>
      <c r="T64">
        <v>11</v>
      </c>
      <c r="U64">
        <v>5</v>
      </c>
      <c r="V64" t="s">
        <v>28</v>
      </c>
      <c r="W64" t="s">
        <v>3438</v>
      </c>
      <c r="X64" t="s">
        <v>344</v>
      </c>
    </row>
    <row r="65" spans="1:24">
      <c r="A65" t="s">
        <v>3556</v>
      </c>
      <c r="B65">
        <v>-9.6676299779752797E-2</v>
      </c>
      <c r="C65">
        <v>6.3296621572165401</v>
      </c>
      <c r="D65">
        <v>1</v>
      </c>
      <c r="E65">
        <v>1</v>
      </c>
      <c r="F65">
        <v>7</v>
      </c>
      <c r="G65">
        <v>8</v>
      </c>
      <c r="H65" t="s">
        <v>28</v>
      </c>
      <c r="I65" t="s">
        <v>3438</v>
      </c>
      <c r="J65" t="s">
        <v>536</v>
      </c>
      <c r="M65" s="1" t="s">
        <v>345</v>
      </c>
      <c r="N65" s="2" t="s">
        <v>346</v>
      </c>
      <c r="O65" t="s">
        <v>6673</v>
      </c>
      <c r="P65">
        <v>-0.45807774551632602</v>
      </c>
      <c r="Q65">
        <v>7.8150748025494599</v>
      </c>
      <c r="R65">
        <v>0.44128099349119798</v>
      </c>
      <c r="S65">
        <v>0.92723885866619504</v>
      </c>
      <c r="T65">
        <v>17</v>
      </c>
      <c r="U65">
        <v>25</v>
      </c>
      <c r="V65" t="s">
        <v>345</v>
      </c>
      <c r="W65" t="s">
        <v>6674</v>
      </c>
      <c r="X65" t="s">
        <v>346</v>
      </c>
    </row>
    <row r="66" spans="1:24">
      <c r="A66" t="s">
        <v>3557</v>
      </c>
      <c r="B66">
        <v>-9.6676299779752797E-2</v>
      </c>
      <c r="C66">
        <v>6.3296621572165401</v>
      </c>
      <c r="D66">
        <v>1</v>
      </c>
      <c r="E66">
        <v>1</v>
      </c>
      <c r="F66">
        <v>7</v>
      </c>
      <c r="G66">
        <v>8</v>
      </c>
      <c r="H66" t="s">
        <v>28</v>
      </c>
      <c r="I66" t="s">
        <v>3438</v>
      </c>
      <c r="J66" t="s">
        <v>537</v>
      </c>
      <c r="M66" s="1" t="s">
        <v>28</v>
      </c>
      <c r="N66" s="2" t="s">
        <v>348</v>
      </c>
      <c r="O66" t="s">
        <v>3682</v>
      </c>
      <c r="P66">
        <v>-3.2554757793670903E-2</v>
      </c>
      <c r="Q66">
        <v>8.5312954096023503</v>
      </c>
      <c r="R66">
        <v>1</v>
      </c>
      <c r="S66">
        <v>1</v>
      </c>
      <c r="T66">
        <v>33</v>
      </c>
      <c r="U66">
        <v>36</v>
      </c>
      <c r="V66" t="s">
        <v>28</v>
      </c>
      <c r="W66" t="s">
        <v>3438</v>
      </c>
      <c r="X66" t="s">
        <v>348</v>
      </c>
    </row>
    <row r="67" spans="1:24">
      <c r="A67" t="s">
        <v>3558</v>
      </c>
      <c r="B67">
        <v>-9.6676299779752797E-2</v>
      </c>
      <c r="C67">
        <v>6.3296621572165401</v>
      </c>
      <c r="D67">
        <v>1</v>
      </c>
      <c r="E67">
        <v>1</v>
      </c>
      <c r="F67">
        <v>7</v>
      </c>
      <c r="G67">
        <v>8</v>
      </c>
      <c r="H67" t="s">
        <v>28</v>
      </c>
      <c r="I67" t="s">
        <v>3438</v>
      </c>
      <c r="J67" t="s">
        <v>538</v>
      </c>
      <c r="M67" s="1" t="s">
        <v>28</v>
      </c>
      <c r="N67" s="2" t="s">
        <v>349</v>
      </c>
      <c r="O67" t="s">
        <v>5961</v>
      </c>
      <c r="P67">
        <v>0.26909557498029602</v>
      </c>
      <c r="Q67">
        <v>7.4227797686023198</v>
      </c>
      <c r="R67">
        <v>0.596910942209391</v>
      </c>
      <c r="S67">
        <v>1</v>
      </c>
      <c r="T67">
        <v>17</v>
      </c>
      <c r="U67">
        <v>15</v>
      </c>
      <c r="V67" t="s">
        <v>28</v>
      </c>
      <c r="W67" t="s">
        <v>3438</v>
      </c>
      <c r="X67" t="s">
        <v>349</v>
      </c>
    </row>
    <row r="68" spans="1:24">
      <c r="A68" t="s">
        <v>3559</v>
      </c>
      <c r="B68">
        <v>-9.6676299779752797E-2</v>
      </c>
      <c r="C68">
        <v>6.3296621572165401</v>
      </c>
      <c r="D68">
        <v>1</v>
      </c>
      <c r="E68">
        <v>1</v>
      </c>
      <c r="F68">
        <v>7</v>
      </c>
      <c r="G68">
        <v>8</v>
      </c>
      <c r="H68" t="s">
        <v>28</v>
      </c>
      <c r="I68" t="s">
        <v>3438</v>
      </c>
      <c r="J68" t="s">
        <v>539</v>
      </c>
      <c r="M68" s="1" t="s">
        <v>28</v>
      </c>
      <c r="N68" s="2" t="s">
        <v>351</v>
      </c>
      <c r="O68" t="s">
        <v>6687</v>
      </c>
      <c r="P68">
        <v>-0.34787782219584701</v>
      </c>
      <c r="Q68">
        <v>8.3053993935136994</v>
      </c>
      <c r="R68">
        <v>0.43567173528305703</v>
      </c>
      <c r="S68">
        <v>0.92723885866619504</v>
      </c>
      <c r="T68">
        <v>25</v>
      </c>
      <c r="U68">
        <v>34</v>
      </c>
      <c r="V68" t="s">
        <v>28</v>
      </c>
      <c r="W68" t="s">
        <v>3438</v>
      </c>
      <c r="X68" t="s">
        <v>351</v>
      </c>
    </row>
    <row r="69" spans="1:24">
      <c r="A69" t="s">
        <v>3560</v>
      </c>
      <c r="B69">
        <v>-9.6676299779752797E-2</v>
      </c>
      <c r="C69">
        <v>6.3296621572165401</v>
      </c>
      <c r="D69">
        <v>1</v>
      </c>
      <c r="E69">
        <v>1</v>
      </c>
      <c r="F69">
        <v>7</v>
      </c>
      <c r="G69">
        <v>8</v>
      </c>
      <c r="H69" t="s">
        <v>3561</v>
      </c>
      <c r="I69" t="s">
        <v>3562</v>
      </c>
      <c r="J69" t="s">
        <v>540</v>
      </c>
      <c r="M69" s="1" t="s">
        <v>28</v>
      </c>
      <c r="N69" s="2" t="s">
        <v>353</v>
      </c>
      <c r="O69" t="s">
        <v>5608</v>
      </c>
      <c r="P69">
        <v>-0.26702392443978601</v>
      </c>
      <c r="Q69">
        <v>8.0077249551096195</v>
      </c>
      <c r="R69">
        <v>0.66584462194729199</v>
      </c>
      <c r="S69">
        <v>1</v>
      </c>
      <c r="T69">
        <v>21</v>
      </c>
      <c r="U69">
        <v>27</v>
      </c>
      <c r="V69" t="s">
        <v>28</v>
      </c>
      <c r="W69" t="s">
        <v>3438</v>
      </c>
      <c r="X69" t="s">
        <v>353</v>
      </c>
    </row>
    <row r="70" spans="1:24">
      <c r="A70" t="s">
        <v>3563</v>
      </c>
      <c r="B70">
        <v>-9.6676299779752797E-2</v>
      </c>
      <c r="C70">
        <v>6.3296621572165401</v>
      </c>
      <c r="D70">
        <v>1</v>
      </c>
      <c r="E70">
        <v>1</v>
      </c>
      <c r="F70">
        <v>7</v>
      </c>
      <c r="G70">
        <v>8</v>
      </c>
      <c r="H70" t="s">
        <v>28</v>
      </c>
      <c r="I70" t="s">
        <v>3438</v>
      </c>
      <c r="J70" t="s">
        <v>541</v>
      </c>
      <c r="M70" s="1" t="s">
        <v>284</v>
      </c>
      <c r="N70" s="2" t="s">
        <v>355</v>
      </c>
    </row>
    <row r="71" spans="1:24">
      <c r="A71" t="s">
        <v>3564</v>
      </c>
      <c r="B71">
        <v>-9.6676299779752797E-2</v>
      </c>
      <c r="C71">
        <v>6.3296621572165401</v>
      </c>
      <c r="D71">
        <v>1</v>
      </c>
      <c r="E71">
        <v>1</v>
      </c>
      <c r="F71">
        <v>7</v>
      </c>
      <c r="G71">
        <v>8</v>
      </c>
      <c r="H71" t="s">
        <v>28</v>
      </c>
      <c r="I71" t="s">
        <v>3438</v>
      </c>
      <c r="J71" t="s">
        <v>542</v>
      </c>
      <c r="M71" s="1" t="s">
        <v>28</v>
      </c>
      <c r="N71" s="2" t="s">
        <v>358</v>
      </c>
    </row>
    <row r="72" spans="1:24">
      <c r="A72" t="s">
        <v>3565</v>
      </c>
      <c r="B72">
        <v>-9.6676299779752797E-2</v>
      </c>
      <c r="C72">
        <v>6.3296621572165401</v>
      </c>
      <c r="D72">
        <v>1</v>
      </c>
      <c r="E72">
        <v>1</v>
      </c>
      <c r="F72">
        <v>7</v>
      </c>
      <c r="G72">
        <v>8</v>
      </c>
      <c r="H72" t="s">
        <v>3566</v>
      </c>
      <c r="I72" t="s">
        <v>3567</v>
      </c>
      <c r="J72" t="s">
        <v>543</v>
      </c>
      <c r="M72" s="1" t="s">
        <v>28</v>
      </c>
      <c r="N72" s="2" t="s">
        <v>360</v>
      </c>
    </row>
    <row r="73" spans="1:24">
      <c r="A73" t="s">
        <v>3568</v>
      </c>
      <c r="B73">
        <v>-9.6676299779752797E-2</v>
      </c>
      <c r="C73">
        <v>6.3296621572165401</v>
      </c>
      <c r="D73">
        <v>1</v>
      </c>
      <c r="E73">
        <v>1</v>
      </c>
      <c r="F73">
        <v>7</v>
      </c>
      <c r="G73">
        <v>8</v>
      </c>
      <c r="H73" t="s">
        <v>28</v>
      </c>
      <c r="I73" t="s">
        <v>3438</v>
      </c>
      <c r="J73" t="s">
        <v>544</v>
      </c>
      <c r="M73" s="1" t="s">
        <v>28</v>
      </c>
      <c r="N73" s="2" t="s">
        <v>363</v>
      </c>
    </row>
    <row r="74" spans="1:24">
      <c r="A74" t="s">
        <v>3569</v>
      </c>
      <c r="B74">
        <v>-8.6478750883654906E-2</v>
      </c>
      <c r="C74">
        <v>7.4227705125613896</v>
      </c>
      <c r="D74">
        <v>1</v>
      </c>
      <c r="E74">
        <v>1</v>
      </c>
      <c r="F74">
        <v>15</v>
      </c>
      <c r="G74">
        <v>17</v>
      </c>
      <c r="H74" t="s">
        <v>3570</v>
      </c>
      <c r="I74" t="s">
        <v>3571</v>
      </c>
      <c r="J74" t="s">
        <v>545</v>
      </c>
      <c r="M74" s="1" t="s">
        <v>28</v>
      </c>
      <c r="N74" s="2" t="s">
        <v>364</v>
      </c>
    </row>
    <row r="75" spans="1:24">
      <c r="A75" t="s">
        <v>3572</v>
      </c>
      <c r="B75">
        <v>-8.6478750883654906E-2</v>
      </c>
      <c r="C75">
        <v>7.4227705125613896</v>
      </c>
      <c r="D75">
        <v>1</v>
      </c>
      <c r="E75">
        <v>1</v>
      </c>
      <c r="F75">
        <v>15</v>
      </c>
      <c r="G75">
        <v>17</v>
      </c>
      <c r="H75" t="s">
        <v>28</v>
      </c>
      <c r="I75" t="s">
        <v>3438</v>
      </c>
      <c r="J75" t="s">
        <v>546</v>
      </c>
      <c r="M75" s="1" t="s">
        <v>28</v>
      </c>
      <c r="N75" s="2" t="s">
        <v>367</v>
      </c>
      <c r="O75" t="s">
        <v>3904</v>
      </c>
      <c r="P75">
        <v>8.8325434630114205E-2</v>
      </c>
      <c r="Q75">
        <v>5.7447016005885398</v>
      </c>
      <c r="R75">
        <v>1</v>
      </c>
      <c r="S75">
        <v>1</v>
      </c>
      <c r="T75">
        <v>5</v>
      </c>
      <c r="U75">
        <v>5</v>
      </c>
      <c r="V75" t="s">
        <v>28</v>
      </c>
      <c r="W75" t="s">
        <v>3438</v>
      </c>
      <c r="X75" t="s">
        <v>367</v>
      </c>
    </row>
    <row r="76" spans="1:24">
      <c r="A76" t="s">
        <v>3573</v>
      </c>
      <c r="B76">
        <v>-8.6478750883654906E-2</v>
      </c>
      <c r="C76">
        <v>7.4227705125613896</v>
      </c>
      <c r="D76">
        <v>1</v>
      </c>
      <c r="E76">
        <v>1</v>
      </c>
      <c r="F76">
        <v>15</v>
      </c>
      <c r="G76">
        <v>17</v>
      </c>
      <c r="H76" t="s">
        <v>3574</v>
      </c>
      <c r="I76" t="s">
        <v>3575</v>
      </c>
      <c r="J76" t="s">
        <v>547</v>
      </c>
      <c r="M76" s="1" t="s">
        <v>369</v>
      </c>
      <c r="N76" s="2" t="s">
        <v>370</v>
      </c>
      <c r="O76" t="s">
        <v>6952</v>
      </c>
      <c r="P76">
        <v>0.25814581072163401</v>
      </c>
      <c r="Q76">
        <v>9.1232340187379908</v>
      </c>
      <c r="R76">
        <v>0.37882302186397698</v>
      </c>
      <c r="S76">
        <v>0.89283776398859604</v>
      </c>
      <c r="T76">
        <v>55</v>
      </c>
      <c r="U76">
        <v>49</v>
      </c>
      <c r="V76" t="s">
        <v>28</v>
      </c>
      <c r="W76" t="s">
        <v>3438</v>
      </c>
      <c r="X76" t="s">
        <v>370</v>
      </c>
    </row>
    <row r="77" spans="1:24">
      <c r="A77" t="s">
        <v>3576</v>
      </c>
      <c r="B77">
        <v>-8.6478750883654906E-2</v>
      </c>
      <c r="C77">
        <v>7.4227705125613896</v>
      </c>
      <c r="D77">
        <v>1</v>
      </c>
      <c r="E77">
        <v>1</v>
      </c>
      <c r="F77">
        <v>15</v>
      </c>
      <c r="G77">
        <v>17</v>
      </c>
      <c r="H77" t="s">
        <v>3577</v>
      </c>
      <c r="I77" t="s">
        <v>3578</v>
      </c>
      <c r="J77" t="s">
        <v>548</v>
      </c>
      <c r="O77" s="9" t="s">
        <v>9536</v>
      </c>
      <c r="P77" s="9">
        <f>AVERAGE(P3:P76)</f>
        <v>-7.3697486722416772E-2</v>
      </c>
    </row>
    <row r="78" spans="1:24">
      <c r="A78" t="s">
        <v>3579</v>
      </c>
      <c r="B78">
        <v>-7.6434529430078002E-2</v>
      </c>
      <c r="C78">
        <v>8.0951949561508307</v>
      </c>
      <c r="D78">
        <v>1</v>
      </c>
      <c r="E78">
        <v>1</v>
      </c>
      <c r="F78">
        <v>24</v>
      </c>
      <c r="G78">
        <v>27</v>
      </c>
      <c r="H78" t="s">
        <v>28</v>
      </c>
      <c r="I78" t="s">
        <v>3580</v>
      </c>
      <c r="J78" t="s">
        <v>549</v>
      </c>
      <c r="M78" s="5" t="s">
        <v>431</v>
      </c>
      <c r="N78" s="2"/>
    </row>
    <row r="79" spans="1:24">
      <c r="A79" t="s">
        <v>3581</v>
      </c>
      <c r="B79">
        <v>-7.6434529430078002E-2</v>
      </c>
      <c r="C79">
        <v>8.0951949561508307</v>
      </c>
      <c r="D79">
        <v>1</v>
      </c>
      <c r="E79">
        <v>1</v>
      </c>
      <c r="F79">
        <v>24</v>
      </c>
      <c r="G79">
        <v>27</v>
      </c>
      <c r="H79" t="s">
        <v>28</v>
      </c>
      <c r="I79" t="s">
        <v>3438</v>
      </c>
      <c r="J79" t="s">
        <v>550</v>
      </c>
      <c r="M79" s="5" t="s">
        <v>373</v>
      </c>
      <c r="N79" s="6" t="s">
        <v>374</v>
      </c>
      <c r="O79" t="s">
        <v>9398</v>
      </c>
      <c r="P79">
        <v>0.47731710082462397</v>
      </c>
      <c r="Q79">
        <v>10.8280416145071</v>
      </c>
      <c r="R79">
        <v>3.0404057877956299E-3</v>
      </c>
      <c r="S79">
        <v>0.13394445224042101</v>
      </c>
      <c r="T79">
        <v>192</v>
      </c>
      <c r="U79">
        <v>147</v>
      </c>
      <c r="V79" t="s">
        <v>373</v>
      </c>
      <c r="W79" t="s">
        <v>9399</v>
      </c>
      <c r="X79" t="s">
        <v>374</v>
      </c>
    </row>
    <row r="80" spans="1:24">
      <c r="A80" t="s">
        <v>3582</v>
      </c>
      <c r="B80">
        <v>-7.6064796147606598E-2</v>
      </c>
      <c r="C80">
        <v>7.5102335027201903</v>
      </c>
      <c r="D80">
        <v>1</v>
      </c>
      <c r="E80">
        <v>1</v>
      </c>
      <c r="F80">
        <v>16</v>
      </c>
      <c r="G80">
        <v>18</v>
      </c>
      <c r="H80" t="s">
        <v>28</v>
      </c>
      <c r="I80" t="s">
        <v>3438</v>
      </c>
      <c r="J80" t="s">
        <v>551</v>
      </c>
      <c r="M80" s="1" t="s">
        <v>376</v>
      </c>
      <c r="N80" s="2" t="s">
        <v>377</v>
      </c>
      <c r="O80" t="s">
        <v>4850</v>
      </c>
      <c r="P80">
        <v>-7.2850634597692504E-2</v>
      </c>
      <c r="Q80">
        <v>8.8657111695751905</v>
      </c>
      <c r="R80">
        <v>0.83073654482148895</v>
      </c>
      <c r="S80">
        <v>1</v>
      </c>
      <c r="T80">
        <v>41</v>
      </c>
      <c r="U80">
        <v>46</v>
      </c>
      <c r="V80" t="s">
        <v>376</v>
      </c>
      <c r="W80" t="s">
        <v>4851</v>
      </c>
      <c r="X80" t="s">
        <v>377</v>
      </c>
    </row>
    <row r="81" spans="1:24">
      <c r="A81" t="s">
        <v>3583</v>
      </c>
      <c r="B81">
        <v>-7.6064796147606598E-2</v>
      </c>
      <c r="C81">
        <v>7.5102335027201903</v>
      </c>
      <c r="D81">
        <v>1</v>
      </c>
      <c r="E81">
        <v>1</v>
      </c>
      <c r="F81">
        <v>16</v>
      </c>
      <c r="G81">
        <v>18</v>
      </c>
      <c r="H81" t="s">
        <v>3584</v>
      </c>
      <c r="I81" t="s">
        <v>3585</v>
      </c>
      <c r="J81" t="s">
        <v>552</v>
      </c>
      <c r="M81" s="1" t="s">
        <v>380</v>
      </c>
      <c r="N81" s="2" t="s">
        <v>104</v>
      </c>
      <c r="O81" t="s">
        <v>4307</v>
      </c>
      <c r="P81">
        <v>2.1099681518797798E-2</v>
      </c>
      <c r="Q81">
        <v>9.3416380438593496</v>
      </c>
      <c r="R81">
        <v>0.999999999999995</v>
      </c>
      <c r="S81">
        <v>1</v>
      </c>
      <c r="T81">
        <v>59</v>
      </c>
      <c r="U81">
        <v>62</v>
      </c>
      <c r="V81" t="s">
        <v>380</v>
      </c>
      <c r="W81" t="s">
        <v>4308</v>
      </c>
      <c r="X81" t="s">
        <v>104</v>
      </c>
    </row>
    <row r="82" spans="1:24">
      <c r="A82" t="s">
        <v>3586</v>
      </c>
      <c r="B82">
        <v>-7.6064796147606598E-2</v>
      </c>
      <c r="C82">
        <v>7.5102335027201903</v>
      </c>
      <c r="D82">
        <v>1</v>
      </c>
      <c r="E82">
        <v>1</v>
      </c>
      <c r="F82">
        <v>16</v>
      </c>
      <c r="G82">
        <v>18</v>
      </c>
      <c r="H82" t="s">
        <v>28</v>
      </c>
      <c r="I82" t="s">
        <v>3587</v>
      </c>
      <c r="J82" t="s">
        <v>553</v>
      </c>
      <c r="M82" s="1" t="s">
        <v>337</v>
      </c>
      <c r="N82" s="2" t="s">
        <v>381</v>
      </c>
      <c r="O82" t="s">
        <v>3967</v>
      </c>
      <c r="P82">
        <v>9.0234486436504904E-2</v>
      </c>
      <c r="Q82">
        <v>6.5926991020586998</v>
      </c>
      <c r="R82">
        <v>1</v>
      </c>
      <c r="S82">
        <v>1</v>
      </c>
      <c r="T82">
        <v>9</v>
      </c>
      <c r="U82">
        <v>9</v>
      </c>
      <c r="V82" t="s">
        <v>3968</v>
      </c>
      <c r="W82" t="s">
        <v>3571</v>
      </c>
      <c r="X82" t="s">
        <v>381</v>
      </c>
    </row>
    <row r="83" spans="1:24">
      <c r="A83" t="s">
        <v>3588</v>
      </c>
      <c r="B83">
        <v>-7.4976755994406397E-2</v>
      </c>
      <c r="C83">
        <v>6.5102345517885096</v>
      </c>
      <c r="D83">
        <v>1</v>
      </c>
      <c r="E83">
        <v>1</v>
      </c>
      <c r="F83">
        <v>8</v>
      </c>
      <c r="G83">
        <v>9</v>
      </c>
      <c r="H83" t="s">
        <v>28</v>
      </c>
      <c r="I83" t="s">
        <v>3589</v>
      </c>
      <c r="J83" t="s">
        <v>554</v>
      </c>
      <c r="O83" s="9" t="s">
        <v>9536</v>
      </c>
      <c r="P83" s="9">
        <f>AVERAGE(P79:P82)</f>
        <v>0.12895015854555855</v>
      </c>
    </row>
    <row r="84" spans="1:24">
      <c r="A84" t="s">
        <v>3590</v>
      </c>
      <c r="B84">
        <v>-7.4976755994406397E-2</v>
      </c>
      <c r="C84">
        <v>6.5102345517885096</v>
      </c>
      <c r="D84">
        <v>1</v>
      </c>
      <c r="E84">
        <v>1</v>
      </c>
      <c r="F84">
        <v>8</v>
      </c>
      <c r="G84">
        <v>9</v>
      </c>
      <c r="H84" t="s">
        <v>28</v>
      </c>
      <c r="I84" t="s">
        <v>3438</v>
      </c>
      <c r="J84" t="s">
        <v>555</v>
      </c>
    </row>
    <row r="85" spans="1:24">
      <c r="A85" t="s">
        <v>3591</v>
      </c>
      <c r="B85">
        <v>-7.4976755994406397E-2</v>
      </c>
      <c r="C85">
        <v>6.5102345517885096</v>
      </c>
      <c r="D85">
        <v>1</v>
      </c>
      <c r="E85">
        <v>1</v>
      </c>
      <c r="F85">
        <v>8</v>
      </c>
      <c r="G85">
        <v>9</v>
      </c>
      <c r="H85" t="s">
        <v>28</v>
      </c>
      <c r="I85" t="s">
        <v>3438</v>
      </c>
      <c r="J85" t="s">
        <v>556</v>
      </c>
    </row>
    <row r="86" spans="1:24">
      <c r="A86" t="s">
        <v>3592</v>
      </c>
      <c r="B86">
        <v>-7.4976755994406397E-2</v>
      </c>
      <c r="C86">
        <v>6.5102345517885096</v>
      </c>
      <c r="D86">
        <v>1</v>
      </c>
      <c r="E86">
        <v>1</v>
      </c>
      <c r="F86">
        <v>8</v>
      </c>
      <c r="G86">
        <v>9</v>
      </c>
      <c r="H86" t="s">
        <v>28</v>
      </c>
      <c r="I86" t="s">
        <v>3593</v>
      </c>
      <c r="J86" t="s">
        <v>557</v>
      </c>
    </row>
    <row r="87" spans="1:24">
      <c r="A87" t="s">
        <v>3594</v>
      </c>
      <c r="B87">
        <v>-7.4976755994406397E-2</v>
      </c>
      <c r="C87">
        <v>6.5102345517885096</v>
      </c>
      <c r="D87">
        <v>1</v>
      </c>
      <c r="E87">
        <v>1</v>
      </c>
      <c r="F87">
        <v>8</v>
      </c>
      <c r="G87">
        <v>9</v>
      </c>
      <c r="H87" t="s">
        <v>28</v>
      </c>
      <c r="I87" t="s">
        <v>3595</v>
      </c>
      <c r="J87" t="s">
        <v>558</v>
      </c>
    </row>
    <row r="88" spans="1:24">
      <c r="A88" t="s">
        <v>3596</v>
      </c>
      <c r="B88">
        <v>-7.4976755994406397E-2</v>
      </c>
      <c r="C88">
        <v>6.5102345517885096</v>
      </c>
      <c r="D88">
        <v>1</v>
      </c>
      <c r="E88">
        <v>1</v>
      </c>
      <c r="F88">
        <v>8</v>
      </c>
      <c r="G88">
        <v>9</v>
      </c>
      <c r="H88" t="s">
        <v>28</v>
      </c>
      <c r="I88" t="s">
        <v>3438</v>
      </c>
      <c r="J88" t="s">
        <v>559</v>
      </c>
    </row>
    <row r="89" spans="1:24">
      <c r="A89" t="s">
        <v>3597</v>
      </c>
      <c r="B89">
        <v>-7.4976755994406397E-2</v>
      </c>
      <c r="C89">
        <v>6.5102345517885096</v>
      </c>
      <c r="D89">
        <v>1</v>
      </c>
      <c r="E89">
        <v>1</v>
      </c>
      <c r="F89">
        <v>8</v>
      </c>
      <c r="G89">
        <v>9</v>
      </c>
      <c r="H89" t="s">
        <v>3598</v>
      </c>
      <c r="I89" t="s">
        <v>3599</v>
      </c>
      <c r="J89" t="s">
        <v>560</v>
      </c>
    </row>
    <row r="90" spans="1:24">
      <c r="A90" t="s">
        <v>3600</v>
      </c>
      <c r="B90">
        <v>-7.4976755994406397E-2</v>
      </c>
      <c r="C90">
        <v>6.5102345517885096</v>
      </c>
      <c r="D90">
        <v>1</v>
      </c>
      <c r="E90">
        <v>1</v>
      </c>
      <c r="F90">
        <v>8</v>
      </c>
      <c r="G90">
        <v>9</v>
      </c>
      <c r="H90" t="s">
        <v>28</v>
      </c>
      <c r="I90" t="s">
        <v>3438</v>
      </c>
      <c r="J90" t="s">
        <v>375</v>
      </c>
    </row>
    <row r="91" spans="1:24">
      <c r="A91" t="s">
        <v>3601</v>
      </c>
      <c r="B91">
        <v>-7.4976755994406397E-2</v>
      </c>
      <c r="C91">
        <v>6.5102345517885096</v>
      </c>
      <c r="D91">
        <v>1</v>
      </c>
      <c r="E91">
        <v>1</v>
      </c>
      <c r="F91">
        <v>8</v>
      </c>
      <c r="G91">
        <v>9</v>
      </c>
      <c r="H91" t="s">
        <v>28</v>
      </c>
      <c r="I91" t="s">
        <v>3438</v>
      </c>
      <c r="J91" t="s">
        <v>561</v>
      </c>
    </row>
    <row r="92" spans="1:24">
      <c r="A92" t="s">
        <v>3602</v>
      </c>
      <c r="B92">
        <v>-6.6795800680390496E-2</v>
      </c>
      <c r="C92">
        <v>7.5926958117908896</v>
      </c>
      <c r="D92">
        <v>1</v>
      </c>
      <c r="E92">
        <v>1</v>
      </c>
      <c r="F92">
        <v>17</v>
      </c>
      <c r="G92">
        <v>19</v>
      </c>
      <c r="H92" t="s">
        <v>28</v>
      </c>
      <c r="I92" t="s">
        <v>3438</v>
      </c>
      <c r="J92" t="s">
        <v>562</v>
      </c>
    </row>
    <row r="93" spans="1:24">
      <c r="A93" t="s">
        <v>3603</v>
      </c>
      <c r="B93">
        <v>-6.6795800680390496E-2</v>
      </c>
      <c r="C93">
        <v>7.5926958117908896</v>
      </c>
      <c r="D93">
        <v>1</v>
      </c>
      <c r="E93">
        <v>1</v>
      </c>
      <c r="F93">
        <v>17</v>
      </c>
      <c r="G93">
        <v>19</v>
      </c>
      <c r="H93" t="s">
        <v>28</v>
      </c>
      <c r="I93" t="s">
        <v>3438</v>
      </c>
      <c r="J93" t="s">
        <v>36</v>
      </c>
    </row>
    <row r="94" spans="1:24">
      <c r="A94" t="s">
        <v>3604</v>
      </c>
      <c r="B94">
        <v>-6.6795800680390496E-2</v>
      </c>
      <c r="C94">
        <v>7.5926958117908896</v>
      </c>
      <c r="D94">
        <v>1</v>
      </c>
      <c r="E94">
        <v>1</v>
      </c>
      <c r="F94">
        <v>17</v>
      </c>
      <c r="G94">
        <v>19</v>
      </c>
      <c r="H94" t="s">
        <v>28</v>
      </c>
      <c r="I94" t="s">
        <v>3593</v>
      </c>
      <c r="J94" t="s">
        <v>563</v>
      </c>
    </row>
    <row r="95" spans="1:24">
      <c r="A95" t="s">
        <v>3605</v>
      </c>
      <c r="B95">
        <v>-5.8492616850204501E-2</v>
      </c>
      <c r="C95">
        <v>7.6706984726411704</v>
      </c>
      <c r="D95">
        <v>1</v>
      </c>
      <c r="E95">
        <v>1</v>
      </c>
      <c r="F95">
        <v>18</v>
      </c>
      <c r="G95">
        <v>20</v>
      </c>
      <c r="H95" t="s">
        <v>28</v>
      </c>
      <c r="I95" t="s">
        <v>3438</v>
      </c>
      <c r="J95" t="s">
        <v>564</v>
      </c>
    </row>
    <row r="96" spans="1:24">
      <c r="A96" t="s">
        <v>3606</v>
      </c>
      <c r="B96">
        <v>-5.8492616850204501E-2</v>
      </c>
      <c r="C96">
        <v>7.6706984726411704</v>
      </c>
      <c r="D96">
        <v>1</v>
      </c>
      <c r="E96">
        <v>1</v>
      </c>
      <c r="F96">
        <v>18</v>
      </c>
      <c r="G96">
        <v>20</v>
      </c>
      <c r="H96" t="s">
        <v>3607</v>
      </c>
      <c r="I96" t="s">
        <v>3608</v>
      </c>
      <c r="J96" t="s">
        <v>565</v>
      </c>
    </row>
    <row r="97" spans="1:10">
      <c r="A97" t="s">
        <v>3609</v>
      </c>
      <c r="B97">
        <v>-5.8492616850204501E-2</v>
      </c>
      <c r="C97">
        <v>7.6706984726411704</v>
      </c>
      <c r="D97">
        <v>1</v>
      </c>
      <c r="E97">
        <v>1</v>
      </c>
      <c r="F97">
        <v>18</v>
      </c>
      <c r="G97">
        <v>20</v>
      </c>
      <c r="H97" t="s">
        <v>3610</v>
      </c>
      <c r="I97" t="s">
        <v>3611</v>
      </c>
      <c r="J97" t="s">
        <v>566</v>
      </c>
    </row>
    <row r="98" spans="1:10">
      <c r="A98" t="s">
        <v>3612</v>
      </c>
      <c r="B98">
        <v>-5.8492616850204501E-2</v>
      </c>
      <c r="C98">
        <v>7.6706984726411704</v>
      </c>
      <c r="D98">
        <v>1</v>
      </c>
      <c r="E98">
        <v>1</v>
      </c>
      <c r="F98">
        <v>18</v>
      </c>
      <c r="G98">
        <v>20</v>
      </c>
      <c r="H98" t="s">
        <v>3613</v>
      </c>
      <c r="I98" t="s">
        <v>3614</v>
      </c>
      <c r="J98" t="s">
        <v>567</v>
      </c>
    </row>
    <row r="99" spans="1:10">
      <c r="A99" t="s">
        <v>3615</v>
      </c>
      <c r="B99">
        <v>-5.7742027732953102E-2</v>
      </c>
      <c r="C99">
        <v>6.6706993728821304</v>
      </c>
      <c r="D99">
        <v>1</v>
      </c>
      <c r="E99">
        <v>1</v>
      </c>
      <c r="F99">
        <v>9</v>
      </c>
      <c r="G99">
        <v>10</v>
      </c>
      <c r="H99" t="s">
        <v>28</v>
      </c>
      <c r="I99" t="s">
        <v>3438</v>
      </c>
      <c r="J99" t="s">
        <v>568</v>
      </c>
    </row>
    <row r="100" spans="1:10">
      <c r="A100" t="s">
        <v>3616</v>
      </c>
      <c r="B100">
        <v>-5.7742027732953102E-2</v>
      </c>
      <c r="C100">
        <v>6.6706993728821304</v>
      </c>
      <c r="D100">
        <v>1</v>
      </c>
      <c r="E100">
        <v>1</v>
      </c>
      <c r="F100">
        <v>9</v>
      </c>
      <c r="G100">
        <v>10</v>
      </c>
      <c r="H100" t="s">
        <v>28</v>
      </c>
      <c r="I100" t="s">
        <v>3617</v>
      </c>
      <c r="J100" t="s">
        <v>569</v>
      </c>
    </row>
    <row r="101" spans="1:10">
      <c r="A101" t="s">
        <v>3618</v>
      </c>
      <c r="B101">
        <v>-5.7742027732953102E-2</v>
      </c>
      <c r="C101">
        <v>6.6706993728821304</v>
      </c>
      <c r="D101">
        <v>1</v>
      </c>
      <c r="E101">
        <v>1</v>
      </c>
      <c r="F101">
        <v>9</v>
      </c>
      <c r="G101">
        <v>10</v>
      </c>
      <c r="H101" t="s">
        <v>28</v>
      </c>
      <c r="I101" t="s">
        <v>3438</v>
      </c>
      <c r="J101" t="s">
        <v>570</v>
      </c>
    </row>
    <row r="102" spans="1:10">
      <c r="A102" t="s">
        <v>3619</v>
      </c>
      <c r="B102">
        <v>-5.7742027732953102E-2</v>
      </c>
      <c r="C102">
        <v>6.6706993728821304</v>
      </c>
      <c r="D102">
        <v>1</v>
      </c>
      <c r="E102">
        <v>1</v>
      </c>
      <c r="F102">
        <v>9</v>
      </c>
      <c r="G102">
        <v>10</v>
      </c>
      <c r="H102" t="s">
        <v>3620</v>
      </c>
      <c r="I102" t="s">
        <v>3621</v>
      </c>
      <c r="J102" t="s">
        <v>571</v>
      </c>
    </row>
    <row r="103" spans="1:10">
      <c r="A103" t="s">
        <v>3622</v>
      </c>
      <c r="B103">
        <v>-5.7742027732953102E-2</v>
      </c>
      <c r="C103">
        <v>6.6706993728821304</v>
      </c>
      <c r="D103">
        <v>1</v>
      </c>
      <c r="E103">
        <v>1</v>
      </c>
      <c r="F103">
        <v>9</v>
      </c>
      <c r="G103">
        <v>10</v>
      </c>
      <c r="H103" t="s">
        <v>28</v>
      </c>
      <c r="I103" t="s">
        <v>3438</v>
      </c>
      <c r="J103" t="s">
        <v>572</v>
      </c>
    </row>
    <row r="104" spans="1:10">
      <c r="A104" t="s">
        <v>3623</v>
      </c>
      <c r="B104">
        <v>-5.7742027732953102E-2</v>
      </c>
      <c r="C104">
        <v>6.6706993728821304</v>
      </c>
      <c r="D104">
        <v>1</v>
      </c>
      <c r="E104">
        <v>1</v>
      </c>
      <c r="F104">
        <v>9</v>
      </c>
      <c r="G104">
        <v>10</v>
      </c>
      <c r="H104" t="s">
        <v>28</v>
      </c>
      <c r="I104" t="s">
        <v>3438</v>
      </c>
      <c r="J104" t="s">
        <v>343</v>
      </c>
    </row>
    <row r="105" spans="1:10">
      <c r="A105" t="s">
        <v>3624</v>
      </c>
      <c r="B105">
        <v>-5.7742027732953102E-2</v>
      </c>
      <c r="C105">
        <v>6.6706993728821304</v>
      </c>
      <c r="D105">
        <v>1</v>
      </c>
      <c r="E105">
        <v>1</v>
      </c>
      <c r="F105">
        <v>9</v>
      </c>
      <c r="G105">
        <v>10</v>
      </c>
      <c r="H105" t="s">
        <v>28</v>
      </c>
      <c r="I105" t="s">
        <v>3438</v>
      </c>
      <c r="J105" t="s">
        <v>573</v>
      </c>
    </row>
    <row r="106" spans="1:10">
      <c r="A106" t="s">
        <v>3625</v>
      </c>
      <c r="B106">
        <v>-5.7742027732953102E-2</v>
      </c>
      <c r="C106">
        <v>6.6706993728821304</v>
      </c>
      <c r="D106">
        <v>1</v>
      </c>
      <c r="E106">
        <v>1</v>
      </c>
      <c r="F106">
        <v>9</v>
      </c>
      <c r="G106">
        <v>10</v>
      </c>
      <c r="H106" t="s">
        <v>3626</v>
      </c>
      <c r="I106" t="s">
        <v>3627</v>
      </c>
      <c r="J106" t="s">
        <v>574</v>
      </c>
    </row>
    <row r="107" spans="1:10">
      <c r="A107" t="s">
        <v>3628</v>
      </c>
      <c r="B107">
        <v>-5.7742027732953102E-2</v>
      </c>
      <c r="C107">
        <v>6.6706993728821304</v>
      </c>
      <c r="D107">
        <v>1</v>
      </c>
      <c r="E107">
        <v>1</v>
      </c>
      <c r="F107">
        <v>9</v>
      </c>
      <c r="G107">
        <v>10</v>
      </c>
      <c r="H107" t="s">
        <v>28</v>
      </c>
      <c r="I107" t="s">
        <v>3629</v>
      </c>
      <c r="J107" t="s">
        <v>575</v>
      </c>
    </row>
    <row r="108" spans="1:10">
      <c r="A108" t="s">
        <v>3630</v>
      </c>
      <c r="B108">
        <v>-5.7742027732953102E-2</v>
      </c>
      <c r="C108">
        <v>6.6706993728821304</v>
      </c>
      <c r="D108">
        <v>1</v>
      </c>
      <c r="E108">
        <v>1</v>
      </c>
      <c r="F108">
        <v>9</v>
      </c>
      <c r="G108">
        <v>10</v>
      </c>
      <c r="H108" t="s">
        <v>28</v>
      </c>
      <c r="I108" t="s">
        <v>3631</v>
      </c>
      <c r="J108" t="s">
        <v>576</v>
      </c>
    </row>
    <row r="109" spans="1:10">
      <c r="A109" t="s">
        <v>3632</v>
      </c>
      <c r="B109">
        <v>-5.1011647714225401E-2</v>
      </c>
      <c r="C109">
        <v>7.7446992029042701</v>
      </c>
      <c r="D109">
        <v>1</v>
      </c>
      <c r="E109">
        <v>1</v>
      </c>
      <c r="F109">
        <v>19</v>
      </c>
      <c r="G109">
        <v>21</v>
      </c>
      <c r="H109" t="s">
        <v>28</v>
      </c>
      <c r="I109" t="s">
        <v>3438</v>
      </c>
      <c r="J109" t="s">
        <v>577</v>
      </c>
    </row>
    <row r="110" spans="1:10">
      <c r="A110" t="s">
        <v>3633</v>
      </c>
      <c r="B110">
        <v>-5.1011647714225401E-2</v>
      </c>
      <c r="C110">
        <v>7.7446992029042701</v>
      </c>
      <c r="D110">
        <v>1</v>
      </c>
      <c r="E110">
        <v>1</v>
      </c>
      <c r="F110">
        <v>19</v>
      </c>
      <c r="G110">
        <v>21</v>
      </c>
      <c r="H110" t="s">
        <v>3634</v>
      </c>
      <c r="I110" t="s">
        <v>3635</v>
      </c>
      <c r="J110" t="s">
        <v>578</v>
      </c>
    </row>
    <row r="111" spans="1:10">
      <c r="A111" t="s">
        <v>3636</v>
      </c>
      <c r="B111">
        <v>-5.1011647714225401E-2</v>
      </c>
      <c r="C111">
        <v>7.7446992029042701</v>
      </c>
      <c r="D111">
        <v>1</v>
      </c>
      <c r="E111">
        <v>1</v>
      </c>
      <c r="F111">
        <v>19</v>
      </c>
      <c r="G111">
        <v>21</v>
      </c>
      <c r="H111" t="s">
        <v>3637</v>
      </c>
      <c r="I111" t="s">
        <v>3638</v>
      </c>
      <c r="J111" t="s">
        <v>579</v>
      </c>
    </row>
    <row r="112" spans="1:10">
      <c r="A112" t="s">
        <v>3639</v>
      </c>
      <c r="B112">
        <v>-5.1011647714225401E-2</v>
      </c>
      <c r="C112">
        <v>7.7446992029042701</v>
      </c>
      <c r="D112">
        <v>1</v>
      </c>
      <c r="E112">
        <v>1</v>
      </c>
      <c r="F112">
        <v>19</v>
      </c>
      <c r="G112">
        <v>21</v>
      </c>
      <c r="H112" t="s">
        <v>3640</v>
      </c>
      <c r="I112" t="s">
        <v>3641</v>
      </c>
      <c r="J112" t="s">
        <v>580</v>
      </c>
    </row>
    <row r="113" spans="1:10">
      <c r="A113" t="s">
        <v>3642</v>
      </c>
      <c r="B113">
        <v>-4.8877954569245798E-2</v>
      </c>
      <c r="C113">
        <v>8.3535076957300998</v>
      </c>
      <c r="D113">
        <v>1</v>
      </c>
      <c r="E113">
        <v>1</v>
      </c>
      <c r="F113">
        <v>29</v>
      </c>
      <c r="G113">
        <v>32</v>
      </c>
      <c r="H113" t="s">
        <v>3643</v>
      </c>
      <c r="I113" t="s">
        <v>3644</v>
      </c>
      <c r="J113" t="s">
        <v>581</v>
      </c>
    </row>
    <row r="114" spans="1:10">
      <c r="A114" t="s">
        <v>3645</v>
      </c>
      <c r="B114">
        <v>-4.4236439079844397E-2</v>
      </c>
      <c r="C114">
        <v>7.8150886795853003</v>
      </c>
      <c r="D114">
        <v>1</v>
      </c>
      <c r="E114">
        <v>1</v>
      </c>
      <c r="F114">
        <v>20</v>
      </c>
      <c r="G114">
        <v>22</v>
      </c>
      <c r="H114" t="s">
        <v>28</v>
      </c>
      <c r="I114" t="s">
        <v>3438</v>
      </c>
      <c r="J114" t="s">
        <v>582</v>
      </c>
    </row>
    <row r="115" spans="1:10">
      <c r="A115" t="s">
        <v>3646</v>
      </c>
      <c r="B115">
        <v>-4.4236439079844397E-2</v>
      </c>
      <c r="C115">
        <v>7.8150886795853003</v>
      </c>
      <c r="D115">
        <v>1</v>
      </c>
      <c r="E115">
        <v>1</v>
      </c>
      <c r="F115">
        <v>20</v>
      </c>
      <c r="G115">
        <v>22</v>
      </c>
      <c r="H115" t="s">
        <v>28</v>
      </c>
      <c r="I115" t="s">
        <v>3438</v>
      </c>
      <c r="J115" t="s">
        <v>583</v>
      </c>
    </row>
    <row r="116" spans="1:10">
      <c r="A116" t="s">
        <v>3647</v>
      </c>
      <c r="B116">
        <v>-4.3721732227201097E-2</v>
      </c>
      <c r="C116">
        <v>6.81508943108794</v>
      </c>
      <c r="D116">
        <v>1</v>
      </c>
      <c r="E116">
        <v>1</v>
      </c>
      <c r="F116">
        <v>10</v>
      </c>
      <c r="G116">
        <v>11</v>
      </c>
      <c r="H116" t="s">
        <v>28</v>
      </c>
      <c r="I116" t="s">
        <v>3438</v>
      </c>
      <c r="J116" t="s">
        <v>584</v>
      </c>
    </row>
    <row r="117" spans="1:10">
      <c r="A117" t="s">
        <v>3648</v>
      </c>
      <c r="B117">
        <v>-4.3721732227201097E-2</v>
      </c>
      <c r="C117">
        <v>6.81508943108794</v>
      </c>
      <c r="D117">
        <v>1</v>
      </c>
      <c r="E117">
        <v>1</v>
      </c>
      <c r="F117">
        <v>10</v>
      </c>
      <c r="G117">
        <v>11</v>
      </c>
      <c r="H117" t="s">
        <v>28</v>
      </c>
      <c r="I117" t="s">
        <v>3438</v>
      </c>
      <c r="J117" t="s">
        <v>585</v>
      </c>
    </row>
    <row r="118" spans="1:10">
      <c r="A118" t="s">
        <v>3649</v>
      </c>
      <c r="B118">
        <v>-4.3721732227201097E-2</v>
      </c>
      <c r="C118">
        <v>6.81508943108794</v>
      </c>
      <c r="D118">
        <v>1</v>
      </c>
      <c r="E118">
        <v>1</v>
      </c>
      <c r="F118">
        <v>10</v>
      </c>
      <c r="G118">
        <v>11</v>
      </c>
      <c r="H118" t="s">
        <v>3650</v>
      </c>
      <c r="I118" t="s">
        <v>3651</v>
      </c>
      <c r="J118" t="s">
        <v>586</v>
      </c>
    </row>
    <row r="119" spans="1:10">
      <c r="A119" t="s">
        <v>3652</v>
      </c>
      <c r="B119">
        <v>-4.3721732227201097E-2</v>
      </c>
      <c r="C119">
        <v>6.81508943108794</v>
      </c>
      <c r="D119">
        <v>1</v>
      </c>
      <c r="E119">
        <v>1</v>
      </c>
      <c r="F119">
        <v>10</v>
      </c>
      <c r="G119">
        <v>11</v>
      </c>
      <c r="H119" t="s">
        <v>28</v>
      </c>
      <c r="I119" t="s">
        <v>3438</v>
      </c>
      <c r="J119" t="s">
        <v>587</v>
      </c>
    </row>
    <row r="120" spans="1:10">
      <c r="A120" t="s">
        <v>3653</v>
      </c>
      <c r="B120">
        <v>-4.3721732227201097E-2</v>
      </c>
      <c r="C120">
        <v>6.81508943108794</v>
      </c>
      <c r="D120">
        <v>1</v>
      </c>
      <c r="E120">
        <v>1</v>
      </c>
      <c r="F120">
        <v>10</v>
      </c>
      <c r="G120">
        <v>11</v>
      </c>
      <c r="H120" t="s">
        <v>3654</v>
      </c>
      <c r="I120" t="s">
        <v>3655</v>
      </c>
      <c r="J120" t="s">
        <v>588</v>
      </c>
    </row>
    <row r="121" spans="1:10">
      <c r="A121" t="s">
        <v>3656</v>
      </c>
      <c r="B121">
        <v>-4.3721732227201097E-2</v>
      </c>
      <c r="C121">
        <v>6.81508943108794</v>
      </c>
      <c r="D121">
        <v>1</v>
      </c>
      <c r="E121">
        <v>1</v>
      </c>
      <c r="F121">
        <v>10</v>
      </c>
      <c r="G121">
        <v>11</v>
      </c>
      <c r="H121" t="s">
        <v>28</v>
      </c>
      <c r="I121" t="s">
        <v>3657</v>
      </c>
      <c r="J121" t="s">
        <v>589</v>
      </c>
    </row>
    <row r="122" spans="1:10">
      <c r="A122" t="s">
        <v>3658</v>
      </c>
      <c r="B122">
        <v>-4.3721732227201097E-2</v>
      </c>
      <c r="C122">
        <v>6.81508943108794</v>
      </c>
      <c r="D122">
        <v>1</v>
      </c>
      <c r="E122">
        <v>1</v>
      </c>
      <c r="F122">
        <v>10</v>
      </c>
      <c r="G122">
        <v>11</v>
      </c>
      <c r="H122" t="s">
        <v>28</v>
      </c>
      <c r="I122" t="s">
        <v>3659</v>
      </c>
      <c r="J122" t="s">
        <v>590</v>
      </c>
    </row>
    <row r="123" spans="1:10">
      <c r="A123" t="s">
        <v>3660</v>
      </c>
      <c r="B123">
        <v>-4.3721732227201097E-2</v>
      </c>
      <c r="C123">
        <v>6.81508943108794</v>
      </c>
      <c r="D123">
        <v>1</v>
      </c>
      <c r="E123">
        <v>1</v>
      </c>
      <c r="F123">
        <v>10</v>
      </c>
      <c r="G123">
        <v>11</v>
      </c>
      <c r="H123" t="s">
        <v>28</v>
      </c>
      <c r="I123" t="s">
        <v>3438</v>
      </c>
      <c r="J123" t="s">
        <v>591</v>
      </c>
    </row>
    <row r="124" spans="1:10">
      <c r="A124" t="s">
        <v>3661</v>
      </c>
      <c r="B124">
        <v>-4.3721732227201097E-2</v>
      </c>
      <c r="C124">
        <v>6.81508943108794</v>
      </c>
      <c r="D124">
        <v>1</v>
      </c>
      <c r="E124">
        <v>1</v>
      </c>
      <c r="F124">
        <v>10</v>
      </c>
      <c r="G124">
        <v>11</v>
      </c>
      <c r="H124" t="s">
        <v>28</v>
      </c>
      <c r="I124" t="s">
        <v>3438</v>
      </c>
      <c r="J124" t="s">
        <v>592</v>
      </c>
    </row>
    <row r="125" spans="1:10">
      <c r="A125" t="s">
        <v>3662</v>
      </c>
      <c r="B125">
        <v>-4.3721732227201097E-2</v>
      </c>
      <c r="C125">
        <v>6.81508943108794</v>
      </c>
      <c r="D125">
        <v>1</v>
      </c>
      <c r="E125">
        <v>1</v>
      </c>
      <c r="F125">
        <v>10</v>
      </c>
      <c r="G125">
        <v>11</v>
      </c>
      <c r="H125" t="s">
        <v>3663</v>
      </c>
      <c r="I125" t="s">
        <v>3664</v>
      </c>
      <c r="J125" t="s">
        <v>593</v>
      </c>
    </row>
    <row r="126" spans="1:10">
      <c r="A126" t="s">
        <v>3665</v>
      </c>
      <c r="B126">
        <v>-4.3721732227201097E-2</v>
      </c>
      <c r="C126">
        <v>6.81508943108794</v>
      </c>
      <c r="D126">
        <v>1</v>
      </c>
      <c r="E126">
        <v>1</v>
      </c>
      <c r="F126">
        <v>10</v>
      </c>
      <c r="G126">
        <v>11</v>
      </c>
      <c r="H126" t="s">
        <v>28</v>
      </c>
      <c r="I126" t="s">
        <v>3438</v>
      </c>
      <c r="J126" t="s">
        <v>594</v>
      </c>
    </row>
    <row r="127" spans="1:10">
      <c r="A127" t="s">
        <v>3666</v>
      </c>
      <c r="B127">
        <v>-4.3721732227201097E-2</v>
      </c>
      <c r="C127">
        <v>6.81508943108794</v>
      </c>
      <c r="D127">
        <v>1</v>
      </c>
      <c r="E127">
        <v>1</v>
      </c>
      <c r="F127">
        <v>10</v>
      </c>
      <c r="G127">
        <v>11</v>
      </c>
      <c r="H127" t="s">
        <v>28</v>
      </c>
      <c r="I127" t="s">
        <v>3438</v>
      </c>
      <c r="J127" t="s">
        <v>595</v>
      </c>
    </row>
    <row r="128" spans="1:10">
      <c r="A128" t="s">
        <v>3667</v>
      </c>
      <c r="B128">
        <v>-3.8071551560118398E-2</v>
      </c>
      <c r="C128">
        <v>7.8822030242038004</v>
      </c>
      <c r="D128">
        <v>1</v>
      </c>
      <c r="E128">
        <v>1</v>
      </c>
      <c r="F128">
        <v>21</v>
      </c>
      <c r="G128">
        <v>23</v>
      </c>
      <c r="H128" t="s">
        <v>28</v>
      </c>
      <c r="I128" t="s">
        <v>3438</v>
      </c>
      <c r="J128" t="s">
        <v>596</v>
      </c>
    </row>
    <row r="129" spans="1:10">
      <c r="A129" t="s">
        <v>3668</v>
      </c>
      <c r="B129">
        <v>-3.8071551560118398E-2</v>
      </c>
      <c r="C129">
        <v>7.8822030242038004</v>
      </c>
      <c r="D129">
        <v>1</v>
      </c>
      <c r="E129">
        <v>1</v>
      </c>
      <c r="F129">
        <v>21</v>
      </c>
      <c r="G129">
        <v>23</v>
      </c>
      <c r="H129" t="s">
        <v>28</v>
      </c>
      <c r="I129" t="s">
        <v>3657</v>
      </c>
      <c r="J129" t="s">
        <v>597</v>
      </c>
    </row>
    <row r="130" spans="1:10">
      <c r="A130" t="s">
        <v>3669</v>
      </c>
      <c r="B130">
        <v>-3.8071551560118398E-2</v>
      </c>
      <c r="C130">
        <v>7.8822030242038004</v>
      </c>
      <c r="D130">
        <v>1</v>
      </c>
      <c r="E130">
        <v>1</v>
      </c>
      <c r="F130">
        <v>21</v>
      </c>
      <c r="G130">
        <v>23</v>
      </c>
      <c r="H130" t="s">
        <v>28</v>
      </c>
      <c r="I130" t="s">
        <v>3438</v>
      </c>
      <c r="J130" t="s">
        <v>598</v>
      </c>
    </row>
    <row r="131" spans="1:10">
      <c r="A131" t="s">
        <v>3670</v>
      </c>
      <c r="B131">
        <v>-3.8071551560118398E-2</v>
      </c>
      <c r="C131">
        <v>7.8822030242038004</v>
      </c>
      <c r="D131">
        <v>1</v>
      </c>
      <c r="E131">
        <v>1</v>
      </c>
      <c r="F131">
        <v>21</v>
      </c>
      <c r="G131">
        <v>23</v>
      </c>
      <c r="H131" t="s">
        <v>28</v>
      </c>
      <c r="I131" t="s">
        <v>3438</v>
      </c>
      <c r="J131" t="s">
        <v>599</v>
      </c>
    </row>
    <row r="132" spans="1:10">
      <c r="A132" t="s">
        <v>3671</v>
      </c>
      <c r="B132">
        <v>-3.8071551560118398E-2</v>
      </c>
      <c r="C132">
        <v>7.8822030242038004</v>
      </c>
      <c r="D132">
        <v>1</v>
      </c>
      <c r="E132">
        <v>1</v>
      </c>
      <c r="F132">
        <v>21</v>
      </c>
      <c r="G132">
        <v>23</v>
      </c>
      <c r="H132" t="s">
        <v>28</v>
      </c>
      <c r="I132" t="s">
        <v>3672</v>
      </c>
      <c r="J132" t="s">
        <v>600</v>
      </c>
    </row>
    <row r="133" spans="1:10">
      <c r="A133" t="s">
        <v>3673</v>
      </c>
      <c r="B133">
        <v>-3.6272076942791401E-2</v>
      </c>
      <c r="C133">
        <v>8.4888599946621106</v>
      </c>
      <c r="D133">
        <v>1</v>
      </c>
      <c r="E133">
        <v>1</v>
      </c>
      <c r="F133">
        <v>32</v>
      </c>
      <c r="G133">
        <v>35</v>
      </c>
      <c r="H133" t="s">
        <v>3674</v>
      </c>
      <c r="I133" t="s">
        <v>3675</v>
      </c>
      <c r="J133" t="s">
        <v>601</v>
      </c>
    </row>
    <row r="134" spans="1:10">
      <c r="A134" t="s">
        <v>3676</v>
      </c>
      <c r="B134">
        <v>-3.6272076942791401E-2</v>
      </c>
      <c r="C134">
        <v>8.4888599946621106</v>
      </c>
      <c r="D134">
        <v>1</v>
      </c>
      <c r="E134">
        <v>1</v>
      </c>
      <c r="F134">
        <v>32</v>
      </c>
      <c r="G134">
        <v>35</v>
      </c>
      <c r="H134" t="s">
        <v>3677</v>
      </c>
      <c r="I134" t="s">
        <v>3678</v>
      </c>
      <c r="J134" t="s">
        <v>602</v>
      </c>
    </row>
    <row r="135" spans="1:10">
      <c r="A135" t="s">
        <v>3679</v>
      </c>
      <c r="B135">
        <v>-3.6272076942791401E-2</v>
      </c>
      <c r="C135">
        <v>8.4888599946621106</v>
      </c>
      <c r="D135">
        <v>1</v>
      </c>
      <c r="E135">
        <v>1</v>
      </c>
      <c r="F135">
        <v>32</v>
      </c>
      <c r="G135">
        <v>35</v>
      </c>
      <c r="H135" t="s">
        <v>3680</v>
      </c>
      <c r="I135" t="s">
        <v>3681</v>
      </c>
      <c r="J135" t="s">
        <v>603</v>
      </c>
    </row>
    <row r="136" spans="1:10">
      <c r="A136" t="s">
        <v>3682</v>
      </c>
      <c r="B136">
        <v>-3.2554757793670903E-2</v>
      </c>
      <c r="C136">
        <v>8.5312954096023503</v>
      </c>
      <c r="D136">
        <v>1</v>
      </c>
      <c r="E136">
        <v>1</v>
      </c>
      <c r="F136">
        <v>33</v>
      </c>
      <c r="G136">
        <v>36</v>
      </c>
      <c r="H136" t="s">
        <v>28</v>
      </c>
      <c r="I136" t="s">
        <v>3438</v>
      </c>
      <c r="J136" t="s">
        <v>348</v>
      </c>
    </row>
    <row r="137" spans="1:10">
      <c r="A137" t="s">
        <v>3683</v>
      </c>
      <c r="B137">
        <v>-3.2092784791863199E-2</v>
      </c>
      <c r="C137">
        <v>6.9463341132070902</v>
      </c>
      <c r="D137">
        <v>1</v>
      </c>
      <c r="E137">
        <v>1</v>
      </c>
      <c r="F137">
        <v>11</v>
      </c>
      <c r="G137">
        <v>12</v>
      </c>
      <c r="H137" t="s">
        <v>28</v>
      </c>
      <c r="I137" t="s">
        <v>3438</v>
      </c>
      <c r="J137" t="s">
        <v>604</v>
      </c>
    </row>
    <row r="138" spans="1:10">
      <c r="A138" t="s">
        <v>3684</v>
      </c>
      <c r="B138">
        <v>-3.2092784791863199E-2</v>
      </c>
      <c r="C138">
        <v>6.9463341132070902</v>
      </c>
      <c r="D138">
        <v>1</v>
      </c>
      <c r="E138">
        <v>1</v>
      </c>
      <c r="F138">
        <v>11</v>
      </c>
      <c r="G138">
        <v>12</v>
      </c>
      <c r="H138" t="s">
        <v>28</v>
      </c>
      <c r="I138" t="s">
        <v>3438</v>
      </c>
      <c r="J138" t="s">
        <v>605</v>
      </c>
    </row>
    <row r="139" spans="1:10">
      <c r="A139" t="s">
        <v>3685</v>
      </c>
      <c r="B139">
        <v>-3.2092784791863199E-2</v>
      </c>
      <c r="C139">
        <v>6.9463341132070902</v>
      </c>
      <c r="D139">
        <v>1</v>
      </c>
      <c r="E139">
        <v>1</v>
      </c>
      <c r="F139">
        <v>11</v>
      </c>
      <c r="G139">
        <v>12</v>
      </c>
      <c r="H139" t="s">
        <v>3686</v>
      </c>
      <c r="I139" t="s">
        <v>3687</v>
      </c>
      <c r="J139" t="s">
        <v>606</v>
      </c>
    </row>
    <row r="140" spans="1:10">
      <c r="A140" t="s">
        <v>3688</v>
      </c>
      <c r="B140">
        <v>-3.2092784791863199E-2</v>
      </c>
      <c r="C140">
        <v>6.9463341132070902</v>
      </c>
      <c r="D140">
        <v>1</v>
      </c>
      <c r="E140">
        <v>1</v>
      </c>
      <c r="F140">
        <v>11</v>
      </c>
      <c r="G140">
        <v>12</v>
      </c>
      <c r="H140" t="s">
        <v>28</v>
      </c>
      <c r="I140" t="s">
        <v>3438</v>
      </c>
      <c r="J140" t="s">
        <v>607</v>
      </c>
    </row>
    <row r="141" spans="1:10">
      <c r="A141" t="s">
        <v>3689</v>
      </c>
      <c r="B141">
        <v>-3.2092784791863199E-2</v>
      </c>
      <c r="C141">
        <v>6.9463341132070902</v>
      </c>
      <c r="D141">
        <v>1</v>
      </c>
      <c r="E141">
        <v>1</v>
      </c>
      <c r="F141">
        <v>11</v>
      </c>
      <c r="G141">
        <v>12</v>
      </c>
      <c r="H141" t="s">
        <v>28</v>
      </c>
      <c r="I141" t="s">
        <v>3690</v>
      </c>
      <c r="J141" t="s">
        <v>608</v>
      </c>
    </row>
    <row r="142" spans="1:10">
      <c r="A142" t="s">
        <v>3691</v>
      </c>
      <c r="B142">
        <v>-3.2092784791863199E-2</v>
      </c>
      <c r="C142">
        <v>6.9463341132070902</v>
      </c>
      <c r="D142">
        <v>1</v>
      </c>
      <c r="E142">
        <v>1</v>
      </c>
      <c r="F142">
        <v>11</v>
      </c>
      <c r="G142">
        <v>12</v>
      </c>
      <c r="H142" t="s">
        <v>28</v>
      </c>
      <c r="I142" t="s">
        <v>3438</v>
      </c>
      <c r="J142" t="s">
        <v>609</v>
      </c>
    </row>
    <row r="143" spans="1:10">
      <c r="A143" t="s">
        <v>3692</v>
      </c>
      <c r="B143">
        <v>-3.2092784791863199E-2</v>
      </c>
      <c r="C143">
        <v>6.9463341132070902</v>
      </c>
      <c r="D143">
        <v>1</v>
      </c>
      <c r="E143">
        <v>1</v>
      </c>
      <c r="F143">
        <v>11</v>
      </c>
      <c r="G143">
        <v>12</v>
      </c>
      <c r="H143" t="s">
        <v>28</v>
      </c>
      <c r="I143" t="s">
        <v>3438</v>
      </c>
      <c r="J143" t="s">
        <v>610</v>
      </c>
    </row>
    <row r="144" spans="1:10">
      <c r="A144" t="s">
        <v>3693</v>
      </c>
      <c r="B144">
        <v>-3.2092784791863199E-2</v>
      </c>
      <c r="C144">
        <v>6.9463341132070902</v>
      </c>
      <c r="D144">
        <v>1</v>
      </c>
      <c r="E144">
        <v>1</v>
      </c>
      <c r="F144">
        <v>11</v>
      </c>
      <c r="G144">
        <v>12</v>
      </c>
      <c r="H144" t="s">
        <v>3694</v>
      </c>
      <c r="I144" t="s">
        <v>3695</v>
      </c>
      <c r="J144" t="s">
        <v>611</v>
      </c>
    </row>
    <row r="145" spans="1:10">
      <c r="A145" t="s">
        <v>3696</v>
      </c>
      <c r="B145">
        <v>-2.7411300198002E-2</v>
      </c>
      <c r="C145">
        <v>9.0077331503789804</v>
      </c>
      <c r="D145">
        <v>1</v>
      </c>
      <c r="E145">
        <v>1</v>
      </c>
      <c r="F145">
        <v>46</v>
      </c>
      <c r="G145">
        <v>50</v>
      </c>
      <c r="H145" t="s">
        <v>3697</v>
      </c>
      <c r="I145" t="s">
        <v>3698</v>
      </c>
      <c r="J145" t="s">
        <v>612</v>
      </c>
    </row>
    <row r="146" spans="1:10">
      <c r="A146" t="s">
        <v>3699</v>
      </c>
      <c r="B146">
        <v>-2.7269953492708301E-2</v>
      </c>
      <c r="C146">
        <v>8.0077342037186394</v>
      </c>
      <c r="D146">
        <v>1</v>
      </c>
      <c r="E146">
        <v>1</v>
      </c>
      <c r="F146">
        <v>23</v>
      </c>
      <c r="G146">
        <v>25</v>
      </c>
      <c r="H146" t="s">
        <v>28</v>
      </c>
      <c r="I146" t="s">
        <v>3438</v>
      </c>
      <c r="J146" t="s">
        <v>613</v>
      </c>
    </row>
    <row r="147" spans="1:10">
      <c r="A147" t="s">
        <v>3700</v>
      </c>
      <c r="B147">
        <v>-2.7269953492708301E-2</v>
      </c>
      <c r="C147">
        <v>8.0077342037186394</v>
      </c>
      <c r="D147">
        <v>1</v>
      </c>
      <c r="E147">
        <v>1</v>
      </c>
      <c r="F147">
        <v>23</v>
      </c>
      <c r="G147">
        <v>25</v>
      </c>
      <c r="H147" t="s">
        <v>28</v>
      </c>
      <c r="I147" t="s">
        <v>3701</v>
      </c>
      <c r="J147" t="s">
        <v>614</v>
      </c>
    </row>
    <row r="148" spans="1:10">
      <c r="A148" t="s">
        <v>3702</v>
      </c>
      <c r="B148">
        <v>-2.7269953492708301E-2</v>
      </c>
      <c r="C148">
        <v>8.0077342037186394</v>
      </c>
      <c r="D148">
        <v>1</v>
      </c>
      <c r="E148">
        <v>1</v>
      </c>
      <c r="F148">
        <v>23</v>
      </c>
      <c r="G148">
        <v>25</v>
      </c>
      <c r="H148" t="s">
        <v>3703</v>
      </c>
      <c r="I148" t="s">
        <v>3704</v>
      </c>
      <c r="J148" t="s">
        <v>615</v>
      </c>
    </row>
    <row r="149" spans="1:10">
      <c r="A149" t="s">
        <v>3705</v>
      </c>
      <c r="B149">
        <v>-2.5728102480859799E-2</v>
      </c>
      <c r="C149">
        <v>8.61259580885514</v>
      </c>
      <c r="D149">
        <v>1</v>
      </c>
      <c r="E149">
        <v>1</v>
      </c>
      <c r="F149">
        <v>35</v>
      </c>
      <c r="G149">
        <v>38</v>
      </c>
      <c r="H149" t="s">
        <v>3706</v>
      </c>
      <c r="I149" t="s">
        <v>3707</v>
      </c>
      <c r="J149" t="s">
        <v>616</v>
      </c>
    </row>
    <row r="150" spans="1:10">
      <c r="A150" t="s">
        <v>3708</v>
      </c>
      <c r="B150">
        <v>-2.49689418551154E-2</v>
      </c>
      <c r="C150">
        <v>9.0374806421939802</v>
      </c>
      <c r="D150">
        <v>1</v>
      </c>
      <c r="E150">
        <v>1</v>
      </c>
      <c r="F150">
        <v>47</v>
      </c>
      <c r="G150">
        <v>51</v>
      </c>
      <c r="H150" t="s">
        <v>296</v>
      </c>
      <c r="I150" t="s">
        <v>3709</v>
      </c>
      <c r="J150" t="s">
        <v>297</v>
      </c>
    </row>
    <row r="151" spans="1:10">
      <c r="A151" t="s">
        <v>3710</v>
      </c>
      <c r="B151">
        <v>-2.2511918099379299E-2</v>
      </c>
      <c r="C151">
        <v>8.0666280414432503</v>
      </c>
      <c r="D151">
        <v>1</v>
      </c>
      <c r="E151">
        <v>1</v>
      </c>
      <c r="F151">
        <v>24</v>
      </c>
      <c r="G151">
        <v>26</v>
      </c>
      <c r="H151" t="s">
        <v>3711</v>
      </c>
      <c r="I151" t="s">
        <v>3712</v>
      </c>
      <c r="J151" t="s">
        <v>617</v>
      </c>
    </row>
    <row r="152" spans="1:10">
      <c r="A152" t="s">
        <v>3713</v>
      </c>
      <c r="B152">
        <v>-2.2511918099379299E-2</v>
      </c>
      <c r="C152">
        <v>8.0666280414432503</v>
      </c>
      <c r="D152">
        <v>1</v>
      </c>
      <c r="E152">
        <v>1</v>
      </c>
      <c r="F152">
        <v>24</v>
      </c>
      <c r="G152">
        <v>26</v>
      </c>
      <c r="H152" t="s">
        <v>3714</v>
      </c>
      <c r="I152" t="s">
        <v>3715</v>
      </c>
      <c r="J152" t="s">
        <v>618</v>
      </c>
    </row>
    <row r="153" spans="1:10">
      <c r="A153" t="s">
        <v>3716</v>
      </c>
      <c r="B153">
        <v>-2.2291149409602501E-2</v>
      </c>
      <c r="C153">
        <v>7.0666284957360004</v>
      </c>
      <c r="D153">
        <v>1</v>
      </c>
      <c r="E153">
        <v>1</v>
      </c>
      <c r="F153">
        <v>12</v>
      </c>
      <c r="G153">
        <v>13</v>
      </c>
      <c r="H153" t="s">
        <v>28</v>
      </c>
      <c r="I153" t="s">
        <v>3438</v>
      </c>
      <c r="J153" t="s">
        <v>619</v>
      </c>
    </row>
    <row r="154" spans="1:10">
      <c r="A154" t="s">
        <v>3717</v>
      </c>
      <c r="B154">
        <v>-2.2291149409602501E-2</v>
      </c>
      <c r="C154">
        <v>7.0666284957360004</v>
      </c>
      <c r="D154">
        <v>1</v>
      </c>
      <c r="E154">
        <v>1</v>
      </c>
      <c r="F154">
        <v>12</v>
      </c>
      <c r="G154">
        <v>13</v>
      </c>
      <c r="H154" t="s">
        <v>28</v>
      </c>
      <c r="I154" t="s">
        <v>3657</v>
      </c>
      <c r="J154" t="s">
        <v>620</v>
      </c>
    </row>
    <row r="155" spans="1:10">
      <c r="A155" t="s">
        <v>3718</v>
      </c>
      <c r="B155">
        <v>-2.2291149409602501E-2</v>
      </c>
      <c r="C155">
        <v>7.0666284957360004</v>
      </c>
      <c r="D155">
        <v>1</v>
      </c>
      <c r="E155">
        <v>1</v>
      </c>
      <c r="F155">
        <v>12</v>
      </c>
      <c r="G155">
        <v>13</v>
      </c>
      <c r="H155" t="s">
        <v>3719</v>
      </c>
      <c r="I155" t="s">
        <v>3720</v>
      </c>
      <c r="J155" t="s">
        <v>621</v>
      </c>
    </row>
    <row r="156" spans="1:10">
      <c r="A156" t="s">
        <v>3721</v>
      </c>
      <c r="B156">
        <v>-2.2291149409602501E-2</v>
      </c>
      <c r="C156">
        <v>7.0666284957360004</v>
      </c>
      <c r="D156">
        <v>1</v>
      </c>
      <c r="E156">
        <v>1</v>
      </c>
      <c r="F156">
        <v>12</v>
      </c>
      <c r="G156">
        <v>13</v>
      </c>
      <c r="H156" t="s">
        <v>3722</v>
      </c>
      <c r="I156" t="s">
        <v>3723</v>
      </c>
      <c r="J156" t="s">
        <v>622</v>
      </c>
    </row>
    <row r="157" spans="1:10">
      <c r="A157" t="s">
        <v>3724</v>
      </c>
      <c r="B157">
        <v>-2.2291149409602501E-2</v>
      </c>
      <c r="C157">
        <v>7.0666284957360004</v>
      </c>
      <c r="D157">
        <v>1</v>
      </c>
      <c r="E157">
        <v>1</v>
      </c>
      <c r="F157">
        <v>12</v>
      </c>
      <c r="G157">
        <v>13</v>
      </c>
      <c r="H157" t="s">
        <v>28</v>
      </c>
      <c r="I157" t="s">
        <v>3438</v>
      </c>
      <c r="J157" t="s">
        <v>623</v>
      </c>
    </row>
    <row r="158" spans="1:10">
      <c r="A158" t="s">
        <v>3725</v>
      </c>
      <c r="B158">
        <v>-1.8116956885840599E-2</v>
      </c>
      <c r="C158">
        <v>8.1232117184510404</v>
      </c>
      <c r="D158">
        <v>1</v>
      </c>
      <c r="E158">
        <v>1</v>
      </c>
      <c r="F158">
        <v>25</v>
      </c>
      <c r="G158">
        <v>27</v>
      </c>
      <c r="H158" t="s">
        <v>3726</v>
      </c>
      <c r="I158" t="s">
        <v>3727</v>
      </c>
      <c r="J158" t="s">
        <v>624</v>
      </c>
    </row>
    <row r="159" spans="1:10">
      <c r="A159" t="s">
        <v>3728</v>
      </c>
      <c r="B159">
        <v>-1.8116956885840599E-2</v>
      </c>
      <c r="C159">
        <v>8.1232117184510404</v>
      </c>
      <c r="D159">
        <v>1</v>
      </c>
      <c r="E159">
        <v>1</v>
      </c>
      <c r="F159">
        <v>25</v>
      </c>
      <c r="G159">
        <v>27</v>
      </c>
      <c r="H159" t="s">
        <v>28</v>
      </c>
      <c r="I159" t="s">
        <v>3438</v>
      </c>
      <c r="J159" t="s">
        <v>625</v>
      </c>
    </row>
    <row r="160" spans="1:10">
      <c r="A160" t="s">
        <v>3729</v>
      </c>
      <c r="B160">
        <v>-1.8116956885840599E-2</v>
      </c>
      <c r="C160">
        <v>8.1232117184510404</v>
      </c>
      <c r="D160">
        <v>1</v>
      </c>
      <c r="E160">
        <v>1</v>
      </c>
      <c r="F160">
        <v>25</v>
      </c>
      <c r="G160">
        <v>27</v>
      </c>
      <c r="H160" t="s">
        <v>3730</v>
      </c>
      <c r="I160" t="s">
        <v>3731</v>
      </c>
      <c r="J160" t="s">
        <v>626</v>
      </c>
    </row>
    <row r="161" spans="1:10">
      <c r="A161" t="s">
        <v>3732</v>
      </c>
      <c r="B161">
        <v>-1.41097557460154E-2</v>
      </c>
      <c r="C161">
        <v>9.1776590419047199</v>
      </c>
      <c r="D161">
        <v>1</v>
      </c>
      <c r="E161">
        <v>1</v>
      </c>
      <c r="F161">
        <v>52</v>
      </c>
      <c r="G161">
        <v>56</v>
      </c>
      <c r="H161" t="s">
        <v>3733</v>
      </c>
      <c r="I161" t="s">
        <v>3734</v>
      </c>
      <c r="J161" t="s">
        <v>627</v>
      </c>
    </row>
    <row r="162" spans="1:10">
      <c r="A162" t="s">
        <v>3735</v>
      </c>
      <c r="B162">
        <v>-1.40450209483408E-2</v>
      </c>
      <c r="C162">
        <v>8.1776596510852393</v>
      </c>
      <c r="D162">
        <v>1</v>
      </c>
      <c r="E162">
        <v>1</v>
      </c>
      <c r="F162">
        <v>26</v>
      </c>
      <c r="G162">
        <v>28</v>
      </c>
      <c r="H162" t="s">
        <v>28</v>
      </c>
      <c r="I162" t="s">
        <v>3438</v>
      </c>
      <c r="J162" t="s">
        <v>628</v>
      </c>
    </row>
    <row r="163" spans="1:10">
      <c r="A163" t="s">
        <v>3736</v>
      </c>
      <c r="B163">
        <v>-1.3917317162476101E-2</v>
      </c>
      <c r="C163">
        <v>7.1776599569062496</v>
      </c>
      <c r="D163">
        <v>1</v>
      </c>
      <c r="E163">
        <v>1</v>
      </c>
      <c r="F163">
        <v>13</v>
      </c>
      <c r="G163">
        <v>14</v>
      </c>
      <c r="H163" t="s">
        <v>28</v>
      </c>
      <c r="I163" t="s">
        <v>3438</v>
      </c>
      <c r="J163" t="s">
        <v>629</v>
      </c>
    </row>
    <row r="164" spans="1:10">
      <c r="A164" t="s">
        <v>3737</v>
      </c>
      <c r="B164">
        <v>-1.3917317162476101E-2</v>
      </c>
      <c r="C164">
        <v>7.1776599569062496</v>
      </c>
      <c r="D164">
        <v>1</v>
      </c>
      <c r="E164">
        <v>1</v>
      </c>
      <c r="F164">
        <v>13</v>
      </c>
      <c r="G164">
        <v>14</v>
      </c>
      <c r="H164" t="s">
        <v>28</v>
      </c>
      <c r="I164" t="s">
        <v>3438</v>
      </c>
      <c r="J164" t="s">
        <v>27</v>
      </c>
    </row>
    <row r="165" spans="1:10">
      <c r="A165" t="s">
        <v>3738</v>
      </c>
      <c r="B165">
        <v>-1.3917317162476101E-2</v>
      </c>
      <c r="C165">
        <v>7.1776599569062496</v>
      </c>
      <c r="D165">
        <v>1</v>
      </c>
      <c r="E165">
        <v>1</v>
      </c>
      <c r="F165">
        <v>13</v>
      </c>
      <c r="G165">
        <v>14</v>
      </c>
      <c r="H165" t="s">
        <v>28</v>
      </c>
      <c r="I165" t="s">
        <v>3739</v>
      </c>
      <c r="J165" t="s">
        <v>630</v>
      </c>
    </row>
    <row r="166" spans="1:10">
      <c r="A166" t="s">
        <v>3740</v>
      </c>
      <c r="B166">
        <v>-1.3917317162476101E-2</v>
      </c>
      <c r="C166">
        <v>7.1776599569062496</v>
      </c>
      <c r="D166">
        <v>1</v>
      </c>
      <c r="E166">
        <v>1</v>
      </c>
      <c r="F166">
        <v>13</v>
      </c>
      <c r="G166">
        <v>14</v>
      </c>
      <c r="H166" t="s">
        <v>28</v>
      </c>
      <c r="I166" t="s">
        <v>3438</v>
      </c>
      <c r="J166" t="s">
        <v>631</v>
      </c>
    </row>
    <row r="167" spans="1:10">
      <c r="A167" t="s">
        <v>3741</v>
      </c>
      <c r="B167">
        <v>-1.3917317162476101E-2</v>
      </c>
      <c r="C167">
        <v>7.1776599569062496</v>
      </c>
      <c r="D167">
        <v>1</v>
      </c>
      <c r="E167">
        <v>1</v>
      </c>
      <c r="F167">
        <v>13</v>
      </c>
      <c r="G167">
        <v>14</v>
      </c>
      <c r="H167" t="s">
        <v>28</v>
      </c>
      <c r="I167" t="s">
        <v>3438</v>
      </c>
      <c r="J167" t="s">
        <v>632</v>
      </c>
    </row>
    <row r="168" spans="1:10">
      <c r="A168" t="s">
        <v>3742</v>
      </c>
      <c r="B168">
        <v>-1.3917317162476101E-2</v>
      </c>
      <c r="C168">
        <v>7.1776599569062496</v>
      </c>
      <c r="D168">
        <v>1</v>
      </c>
      <c r="E168">
        <v>1</v>
      </c>
      <c r="F168">
        <v>13</v>
      </c>
      <c r="G168">
        <v>14</v>
      </c>
      <c r="H168" t="s">
        <v>28</v>
      </c>
      <c r="I168" t="s">
        <v>3438</v>
      </c>
      <c r="J168" t="s">
        <v>633</v>
      </c>
    </row>
    <row r="169" spans="1:10">
      <c r="A169" t="s">
        <v>3743</v>
      </c>
      <c r="B169">
        <v>-1.19263630183606E-2</v>
      </c>
      <c r="C169">
        <v>10.015227964793199</v>
      </c>
      <c r="D169">
        <v>1</v>
      </c>
      <c r="E169">
        <v>1</v>
      </c>
      <c r="F169">
        <v>93</v>
      </c>
      <c r="G169">
        <v>100</v>
      </c>
      <c r="H169" t="s">
        <v>3744</v>
      </c>
      <c r="I169" t="s">
        <v>3745</v>
      </c>
      <c r="J169" t="s">
        <v>634</v>
      </c>
    </row>
    <row r="170" spans="1:10">
      <c r="A170" t="s">
        <v>3746</v>
      </c>
      <c r="B170">
        <v>-1.0307358404517301E-2</v>
      </c>
      <c r="C170">
        <v>9.2301267582576401</v>
      </c>
      <c r="D170">
        <v>1</v>
      </c>
      <c r="E170">
        <v>1</v>
      </c>
      <c r="F170">
        <v>54</v>
      </c>
      <c r="G170">
        <v>58</v>
      </c>
      <c r="H170" t="s">
        <v>3747</v>
      </c>
      <c r="I170" t="s">
        <v>3748</v>
      </c>
      <c r="J170" t="s">
        <v>635</v>
      </c>
    </row>
    <row r="171" spans="1:10">
      <c r="A171" t="s">
        <v>3749</v>
      </c>
      <c r="B171">
        <v>-1.02617450269346E-2</v>
      </c>
      <c r="C171">
        <v>8.2301272195615898</v>
      </c>
      <c r="D171">
        <v>1</v>
      </c>
      <c r="E171">
        <v>1</v>
      </c>
      <c r="F171">
        <v>27</v>
      </c>
      <c r="G171">
        <v>29</v>
      </c>
      <c r="H171" t="s">
        <v>3750</v>
      </c>
      <c r="I171" t="s">
        <v>3751</v>
      </c>
      <c r="J171" t="s">
        <v>636</v>
      </c>
    </row>
    <row r="172" spans="1:10">
      <c r="A172" t="s">
        <v>3752</v>
      </c>
      <c r="B172">
        <v>-1.02617450269346E-2</v>
      </c>
      <c r="C172">
        <v>8.2301272195615898</v>
      </c>
      <c r="D172">
        <v>1</v>
      </c>
      <c r="E172">
        <v>1</v>
      </c>
      <c r="F172">
        <v>27</v>
      </c>
      <c r="G172">
        <v>29</v>
      </c>
      <c r="H172" t="s">
        <v>28</v>
      </c>
      <c r="I172" t="s">
        <v>3438</v>
      </c>
      <c r="J172" t="s">
        <v>637</v>
      </c>
    </row>
    <row r="173" spans="1:10">
      <c r="A173" t="s">
        <v>3753</v>
      </c>
      <c r="B173">
        <v>-1.02617450269346E-2</v>
      </c>
      <c r="C173">
        <v>8.2301272195615898</v>
      </c>
      <c r="D173">
        <v>1</v>
      </c>
      <c r="E173">
        <v>1</v>
      </c>
      <c r="F173">
        <v>27</v>
      </c>
      <c r="G173">
        <v>29</v>
      </c>
      <c r="H173" t="s">
        <v>3754</v>
      </c>
      <c r="I173" t="s">
        <v>3755</v>
      </c>
      <c r="J173" t="s">
        <v>638</v>
      </c>
    </row>
    <row r="174" spans="1:10">
      <c r="A174" t="s">
        <v>3756</v>
      </c>
      <c r="B174">
        <v>-1.02617450269346E-2</v>
      </c>
      <c r="C174">
        <v>8.2301272195615898</v>
      </c>
      <c r="D174">
        <v>1</v>
      </c>
      <c r="E174">
        <v>1</v>
      </c>
      <c r="F174">
        <v>27</v>
      </c>
      <c r="G174">
        <v>29</v>
      </c>
      <c r="H174" t="s">
        <v>28</v>
      </c>
      <c r="I174" t="s">
        <v>3438</v>
      </c>
      <c r="J174" t="s">
        <v>639</v>
      </c>
    </row>
    <row r="175" spans="1:10">
      <c r="A175" t="s">
        <v>3757</v>
      </c>
      <c r="B175">
        <v>-8.5059115732838992E-3</v>
      </c>
      <c r="C175">
        <v>9.2556619985500195</v>
      </c>
      <c r="D175">
        <v>1</v>
      </c>
      <c r="E175">
        <v>1</v>
      </c>
      <c r="F175">
        <v>55</v>
      </c>
      <c r="G175">
        <v>59</v>
      </c>
      <c r="H175" t="s">
        <v>3758</v>
      </c>
      <c r="I175" t="s">
        <v>3759</v>
      </c>
      <c r="J175" t="s">
        <v>640</v>
      </c>
    </row>
    <row r="176" spans="1:10">
      <c r="A176" t="s">
        <v>3760</v>
      </c>
      <c r="B176">
        <v>-8.5059115732838992E-3</v>
      </c>
      <c r="C176">
        <v>9.2556619985500195</v>
      </c>
      <c r="D176">
        <v>1</v>
      </c>
      <c r="E176">
        <v>1</v>
      </c>
      <c r="F176">
        <v>55</v>
      </c>
      <c r="G176">
        <v>59</v>
      </c>
      <c r="H176" t="s">
        <v>3761</v>
      </c>
      <c r="I176" t="s">
        <v>3762</v>
      </c>
      <c r="J176" t="s">
        <v>641</v>
      </c>
    </row>
    <row r="177" spans="1:10">
      <c r="A177" t="s">
        <v>3763</v>
      </c>
      <c r="B177">
        <v>-8.1602598514409295E-3</v>
      </c>
      <c r="C177">
        <v>9.5826431652798405</v>
      </c>
      <c r="D177">
        <v>1</v>
      </c>
      <c r="E177">
        <v>1</v>
      </c>
      <c r="F177">
        <v>69</v>
      </c>
      <c r="G177">
        <v>74</v>
      </c>
      <c r="H177" t="s">
        <v>3764</v>
      </c>
      <c r="I177" t="s">
        <v>3765</v>
      </c>
      <c r="J177" t="s">
        <v>642</v>
      </c>
    </row>
    <row r="178" spans="1:10">
      <c r="A178" t="s">
        <v>3766</v>
      </c>
      <c r="B178">
        <v>-6.7760866247465702E-3</v>
      </c>
      <c r="C178">
        <v>9.8657153166752298</v>
      </c>
      <c r="D178">
        <v>1</v>
      </c>
      <c r="E178">
        <v>1</v>
      </c>
      <c r="F178">
        <v>84</v>
      </c>
      <c r="G178">
        <v>90</v>
      </c>
      <c r="H178" t="s">
        <v>3767</v>
      </c>
      <c r="I178" t="s">
        <v>3768</v>
      </c>
      <c r="J178" t="s">
        <v>643</v>
      </c>
    </row>
    <row r="179" spans="1:10">
      <c r="A179" t="s">
        <v>3769</v>
      </c>
      <c r="B179">
        <v>-6.7374734070672002E-3</v>
      </c>
      <c r="C179">
        <v>8.2807534411841903</v>
      </c>
      <c r="D179">
        <v>1</v>
      </c>
      <c r="E179">
        <v>1</v>
      </c>
      <c r="F179">
        <v>28</v>
      </c>
      <c r="G179">
        <v>30</v>
      </c>
      <c r="H179" t="s">
        <v>28</v>
      </c>
      <c r="I179" t="s">
        <v>3770</v>
      </c>
      <c r="J179" t="s">
        <v>644</v>
      </c>
    </row>
    <row r="180" spans="1:10">
      <c r="A180" t="s">
        <v>3771</v>
      </c>
      <c r="B180">
        <v>-6.7374734070672002E-3</v>
      </c>
      <c r="C180">
        <v>8.2807534411841903</v>
      </c>
      <c r="D180">
        <v>1</v>
      </c>
      <c r="E180">
        <v>1</v>
      </c>
      <c r="F180">
        <v>28</v>
      </c>
      <c r="G180">
        <v>30</v>
      </c>
      <c r="H180" t="s">
        <v>3772</v>
      </c>
      <c r="I180" t="s">
        <v>3773</v>
      </c>
      <c r="J180" t="s">
        <v>645</v>
      </c>
    </row>
    <row r="181" spans="1:10">
      <c r="A181" t="s">
        <v>3774</v>
      </c>
      <c r="B181">
        <v>-5.0856588582148896E-3</v>
      </c>
      <c r="C181">
        <v>9.3054153300293496</v>
      </c>
      <c r="D181">
        <v>1</v>
      </c>
      <c r="E181">
        <v>1</v>
      </c>
      <c r="F181">
        <v>57</v>
      </c>
      <c r="G181">
        <v>61</v>
      </c>
      <c r="H181" t="s">
        <v>28</v>
      </c>
      <c r="I181" t="s">
        <v>3438</v>
      </c>
      <c r="J181" t="s">
        <v>646</v>
      </c>
    </row>
    <row r="182" spans="1:10">
      <c r="A182" t="s">
        <v>3775</v>
      </c>
      <c r="B182">
        <v>-3.63428745817146E-4</v>
      </c>
      <c r="C182">
        <v>7.3769690626036599</v>
      </c>
      <c r="D182">
        <v>1</v>
      </c>
      <c r="E182">
        <v>1</v>
      </c>
      <c r="F182">
        <v>15</v>
      </c>
      <c r="G182">
        <v>16</v>
      </c>
      <c r="H182" t="s">
        <v>3776</v>
      </c>
      <c r="I182" t="s">
        <v>3777</v>
      </c>
      <c r="J182" t="s">
        <v>647</v>
      </c>
    </row>
    <row r="183" spans="1:10">
      <c r="A183" t="s">
        <v>3778</v>
      </c>
      <c r="B183">
        <v>-3.63428745817146E-4</v>
      </c>
      <c r="C183">
        <v>7.3769690626036599</v>
      </c>
      <c r="D183">
        <v>1</v>
      </c>
      <c r="E183">
        <v>1</v>
      </c>
      <c r="F183">
        <v>15</v>
      </c>
      <c r="G183">
        <v>16</v>
      </c>
      <c r="H183" t="s">
        <v>28</v>
      </c>
      <c r="I183" t="s">
        <v>3438</v>
      </c>
      <c r="J183" t="s">
        <v>648</v>
      </c>
    </row>
    <row r="184" spans="1:10">
      <c r="A184" t="s">
        <v>3779</v>
      </c>
      <c r="B184">
        <v>-3.63428745817146E-4</v>
      </c>
      <c r="C184">
        <v>7.3769690626036599</v>
      </c>
      <c r="D184">
        <v>1</v>
      </c>
      <c r="E184">
        <v>1</v>
      </c>
      <c r="F184">
        <v>15</v>
      </c>
      <c r="G184">
        <v>16</v>
      </c>
      <c r="H184" t="s">
        <v>28</v>
      </c>
      <c r="I184" t="s">
        <v>3593</v>
      </c>
      <c r="J184" t="s">
        <v>649</v>
      </c>
    </row>
    <row r="185" spans="1:10">
      <c r="A185" t="s">
        <v>3780</v>
      </c>
      <c r="B185">
        <v>-3.63428745817146E-4</v>
      </c>
      <c r="C185">
        <v>7.3769690626036599</v>
      </c>
      <c r="D185">
        <v>1</v>
      </c>
      <c r="E185">
        <v>1</v>
      </c>
      <c r="F185">
        <v>15</v>
      </c>
      <c r="G185">
        <v>16</v>
      </c>
      <c r="H185" t="s">
        <v>28</v>
      </c>
      <c r="I185" t="s">
        <v>3781</v>
      </c>
      <c r="J185" t="s">
        <v>650</v>
      </c>
    </row>
    <row r="186" spans="1:10">
      <c r="A186" t="s">
        <v>3782</v>
      </c>
      <c r="B186">
        <v>-3.63428745817146E-4</v>
      </c>
      <c r="C186">
        <v>7.3769690626036599</v>
      </c>
      <c r="D186">
        <v>1</v>
      </c>
      <c r="E186">
        <v>1</v>
      </c>
      <c r="F186">
        <v>15</v>
      </c>
      <c r="G186">
        <v>16</v>
      </c>
      <c r="H186" t="s">
        <v>28</v>
      </c>
      <c r="I186" t="s">
        <v>3438</v>
      </c>
      <c r="J186" t="s">
        <v>651</v>
      </c>
    </row>
    <row r="187" spans="1:10">
      <c r="A187" t="s">
        <v>3783</v>
      </c>
      <c r="B187">
        <v>-3.63428745817146E-4</v>
      </c>
      <c r="C187">
        <v>7.3769690626036599</v>
      </c>
      <c r="D187">
        <v>1</v>
      </c>
      <c r="E187">
        <v>1</v>
      </c>
      <c r="F187">
        <v>15</v>
      </c>
      <c r="G187">
        <v>16</v>
      </c>
      <c r="H187" t="s">
        <v>245</v>
      </c>
      <c r="I187" t="s">
        <v>3784</v>
      </c>
      <c r="J187" t="s">
        <v>244</v>
      </c>
    </row>
    <row r="188" spans="1:10">
      <c r="A188" t="s">
        <v>3785</v>
      </c>
      <c r="B188">
        <v>8.1502881681156801E-4</v>
      </c>
      <c r="C188">
        <v>9.7173936124848606</v>
      </c>
      <c r="D188">
        <v>1</v>
      </c>
      <c r="E188">
        <v>1</v>
      </c>
      <c r="F188">
        <v>76</v>
      </c>
      <c r="G188">
        <v>81</v>
      </c>
      <c r="H188" t="s">
        <v>287</v>
      </c>
      <c r="I188" t="s">
        <v>3786</v>
      </c>
      <c r="J188" t="s">
        <v>286</v>
      </c>
    </row>
    <row r="189" spans="1:10">
      <c r="A189" t="s">
        <v>3787</v>
      </c>
      <c r="B189">
        <v>8.1502881681156801E-4</v>
      </c>
      <c r="C189">
        <v>9.7173936124848606</v>
      </c>
      <c r="D189">
        <v>1</v>
      </c>
      <c r="E189">
        <v>1</v>
      </c>
      <c r="F189">
        <v>76</v>
      </c>
      <c r="G189">
        <v>81</v>
      </c>
      <c r="H189" t="s">
        <v>3788</v>
      </c>
      <c r="I189" t="s">
        <v>3789</v>
      </c>
      <c r="J189" t="s">
        <v>652</v>
      </c>
    </row>
    <row r="190" spans="1:10">
      <c r="A190" t="s">
        <v>3790</v>
      </c>
      <c r="B190">
        <v>1.9684599528944501E-3</v>
      </c>
      <c r="C190">
        <v>9.7356559666306595</v>
      </c>
      <c r="D190">
        <v>1</v>
      </c>
      <c r="E190">
        <v>1</v>
      </c>
      <c r="F190">
        <v>77</v>
      </c>
      <c r="G190">
        <v>82</v>
      </c>
      <c r="H190" t="s">
        <v>3791</v>
      </c>
      <c r="I190" t="s">
        <v>3792</v>
      </c>
      <c r="J190" t="s">
        <v>653</v>
      </c>
    </row>
    <row r="191" spans="1:10">
      <c r="A191" t="s">
        <v>3793</v>
      </c>
      <c r="B191">
        <v>2.5225976495796701E-3</v>
      </c>
      <c r="C191">
        <v>8.4227728915370896</v>
      </c>
      <c r="D191">
        <v>1</v>
      </c>
      <c r="E191">
        <v>1</v>
      </c>
      <c r="F191">
        <v>31</v>
      </c>
      <c r="G191">
        <v>33</v>
      </c>
      <c r="H191" t="s">
        <v>3794</v>
      </c>
      <c r="I191" t="s">
        <v>3795</v>
      </c>
      <c r="J191" t="s">
        <v>654</v>
      </c>
    </row>
    <row r="192" spans="1:10">
      <c r="A192" t="s">
        <v>3796</v>
      </c>
      <c r="B192">
        <v>2.5225976495796701E-3</v>
      </c>
      <c r="C192">
        <v>8.4227728915370896</v>
      </c>
      <c r="D192">
        <v>1</v>
      </c>
      <c r="E192">
        <v>1</v>
      </c>
      <c r="F192">
        <v>31</v>
      </c>
      <c r="G192">
        <v>33</v>
      </c>
      <c r="H192" t="s">
        <v>28</v>
      </c>
      <c r="I192" t="s">
        <v>3438</v>
      </c>
      <c r="J192" t="s">
        <v>655</v>
      </c>
    </row>
    <row r="193" spans="1:10">
      <c r="A193" t="s">
        <v>3797</v>
      </c>
      <c r="B193">
        <v>5.1985117420721401E-3</v>
      </c>
      <c r="C193">
        <v>7.4671670202677598</v>
      </c>
      <c r="D193">
        <v>1</v>
      </c>
      <c r="E193">
        <v>1</v>
      </c>
      <c r="F193">
        <v>16</v>
      </c>
      <c r="G193">
        <v>17</v>
      </c>
      <c r="H193" t="s">
        <v>28</v>
      </c>
      <c r="I193" t="s">
        <v>3438</v>
      </c>
      <c r="J193" t="s">
        <v>656</v>
      </c>
    </row>
    <row r="194" spans="1:10">
      <c r="A194" t="s">
        <v>3798</v>
      </c>
      <c r="B194">
        <v>5.1985117420721401E-3</v>
      </c>
      <c r="C194">
        <v>7.4671670202677598</v>
      </c>
      <c r="D194">
        <v>1</v>
      </c>
      <c r="E194">
        <v>1</v>
      </c>
      <c r="F194">
        <v>16</v>
      </c>
      <c r="G194">
        <v>17</v>
      </c>
      <c r="H194" t="s">
        <v>22</v>
      </c>
      <c r="I194" t="s">
        <v>3799</v>
      </c>
      <c r="J194" t="s">
        <v>21</v>
      </c>
    </row>
    <row r="195" spans="1:10">
      <c r="A195" t="s">
        <v>3800</v>
      </c>
      <c r="B195">
        <v>5.1985117420721401E-3</v>
      </c>
      <c r="C195">
        <v>7.4671670202677598</v>
      </c>
      <c r="D195">
        <v>1</v>
      </c>
      <c r="E195">
        <v>1</v>
      </c>
      <c r="F195">
        <v>16</v>
      </c>
      <c r="G195">
        <v>17</v>
      </c>
      <c r="H195" t="s">
        <v>28</v>
      </c>
      <c r="I195" t="s">
        <v>3657</v>
      </c>
      <c r="J195" t="s">
        <v>657</v>
      </c>
    </row>
    <row r="196" spans="1:10">
      <c r="A196" t="s">
        <v>3801</v>
      </c>
      <c r="B196">
        <v>5.1985117420721401E-3</v>
      </c>
      <c r="C196">
        <v>7.4671670202677598</v>
      </c>
      <c r="D196">
        <v>1</v>
      </c>
      <c r="E196">
        <v>1</v>
      </c>
      <c r="F196">
        <v>16</v>
      </c>
      <c r="G196">
        <v>17</v>
      </c>
      <c r="H196" t="s">
        <v>3802</v>
      </c>
      <c r="I196" t="s">
        <v>3803</v>
      </c>
      <c r="J196" t="s">
        <v>658</v>
      </c>
    </row>
    <row r="197" spans="1:10">
      <c r="A197" t="s">
        <v>3804</v>
      </c>
      <c r="B197">
        <v>5.1985117420721401E-3</v>
      </c>
      <c r="C197">
        <v>7.4671670202677598</v>
      </c>
      <c r="D197">
        <v>1</v>
      </c>
      <c r="E197">
        <v>1</v>
      </c>
      <c r="F197">
        <v>16</v>
      </c>
      <c r="G197">
        <v>17</v>
      </c>
      <c r="H197" t="s">
        <v>28</v>
      </c>
      <c r="I197" t="s">
        <v>3438</v>
      </c>
      <c r="J197" t="s">
        <v>659</v>
      </c>
    </row>
    <row r="198" spans="1:10">
      <c r="A198" t="s">
        <v>3805</v>
      </c>
      <c r="B198">
        <v>5.1985117420721401E-3</v>
      </c>
      <c r="C198">
        <v>7.4671670202677598</v>
      </c>
      <c r="D198">
        <v>1</v>
      </c>
      <c r="E198">
        <v>1</v>
      </c>
      <c r="F198">
        <v>16</v>
      </c>
      <c r="G198">
        <v>17</v>
      </c>
      <c r="H198" t="s">
        <v>28</v>
      </c>
      <c r="I198" t="s">
        <v>3438</v>
      </c>
      <c r="J198" t="s">
        <v>660</v>
      </c>
    </row>
    <row r="199" spans="1:10">
      <c r="A199" t="s">
        <v>3806</v>
      </c>
      <c r="B199">
        <v>5.1985117420721401E-3</v>
      </c>
      <c r="C199">
        <v>7.4671670202677598</v>
      </c>
      <c r="D199">
        <v>1</v>
      </c>
      <c r="E199">
        <v>1</v>
      </c>
      <c r="F199">
        <v>16</v>
      </c>
      <c r="G199">
        <v>17</v>
      </c>
      <c r="H199" t="s">
        <v>3807</v>
      </c>
      <c r="I199" t="s">
        <v>3808</v>
      </c>
      <c r="J199" t="s">
        <v>661</v>
      </c>
    </row>
    <row r="200" spans="1:10">
      <c r="A200" t="s">
        <v>3809</v>
      </c>
      <c r="B200">
        <v>5.1985117420721401E-3</v>
      </c>
      <c r="C200">
        <v>7.4671670202677598</v>
      </c>
      <c r="D200">
        <v>1</v>
      </c>
      <c r="E200">
        <v>1</v>
      </c>
      <c r="F200">
        <v>16</v>
      </c>
      <c r="G200">
        <v>17</v>
      </c>
      <c r="H200" t="s">
        <v>28</v>
      </c>
      <c r="I200" t="s">
        <v>3465</v>
      </c>
      <c r="J200" t="s">
        <v>662</v>
      </c>
    </row>
    <row r="201" spans="1:10">
      <c r="A201" t="s">
        <v>3810</v>
      </c>
      <c r="B201">
        <v>5.26729723946044E-3</v>
      </c>
      <c r="C201">
        <v>10.467167984201399</v>
      </c>
      <c r="D201">
        <v>1</v>
      </c>
      <c r="E201">
        <v>1</v>
      </c>
      <c r="F201">
        <v>128</v>
      </c>
      <c r="G201">
        <v>136</v>
      </c>
      <c r="H201" t="s">
        <v>3811</v>
      </c>
      <c r="I201" t="s">
        <v>3812</v>
      </c>
      <c r="J201" t="s">
        <v>663</v>
      </c>
    </row>
    <row r="202" spans="1:10">
      <c r="A202" t="s">
        <v>3813</v>
      </c>
      <c r="B202">
        <v>6.9929318874751402E-3</v>
      </c>
      <c r="C202">
        <v>10.0809853691666</v>
      </c>
      <c r="D202">
        <v>1</v>
      </c>
      <c r="E202">
        <v>1</v>
      </c>
      <c r="F202">
        <v>98</v>
      </c>
      <c r="G202">
        <v>104</v>
      </c>
      <c r="H202" t="s">
        <v>28</v>
      </c>
      <c r="I202" t="s">
        <v>3438</v>
      </c>
      <c r="J202" t="s">
        <v>664</v>
      </c>
    </row>
    <row r="203" spans="1:10">
      <c r="A203" t="s">
        <v>3814</v>
      </c>
      <c r="B203">
        <v>7.7939128269265603E-3</v>
      </c>
      <c r="C203">
        <v>8.5102360296266504</v>
      </c>
      <c r="D203">
        <v>1</v>
      </c>
      <c r="E203">
        <v>1</v>
      </c>
      <c r="F203">
        <v>33</v>
      </c>
      <c r="G203">
        <v>35</v>
      </c>
      <c r="H203" t="s">
        <v>28</v>
      </c>
      <c r="I203" t="s">
        <v>3438</v>
      </c>
      <c r="J203" t="s">
        <v>665</v>
      </c>
    </row>
    <row r="204" spans="1:10">
      <c r="A204" t="s">
        <v>3815</v>
      </c>
      <c r="B204">
        <v>8.3235907194047793E-3</v>
      </c>
      <c r="C204">
        <v>9.8406264121362703</v>
      </c>
      <c r="D204">
        <v>1</v>
      </c>
      <c r="E204">
        <v>1</v>
      </c>
      <c r="F204">
        <v>83</v>
      </c>
      <c r="G204">
        <v>88</v>
      </c>
      <c r="H204" t="s">
        <v>3816</v>
      </c>
      <c r="I204" t="s">
        <v>3611</v>
      </c>
      <c r="J204" t="s">
        <v>666</v>
      </c>
    </row>
    <row r="205" spans="1:10">
      <c r="A205" t="s">
        <v>3817</v>
      </c>
      <c r="B205">
        <v>1.4638706207006901E-2</v>
      </c>
      <c r="C205">
        <v>8.6322269990426292</v>
      </c>
      <c r="D205">
        <v>1</v>
      </c>
      <c r="E205">
        <v>1</v>
      </c>
      <c r="F205">
        <v>36</v>
      </c>
      <c r="G205">
        <v>38</v>
      </c>
      <c r="H205" t="s">
        <v>3818</v>
      </c>
      <c r="I205" t="s">
        <v>3819</v>
      </c>
      <c r="J205" t="s">
        <v>667</v>
      </c>
    </row>
    <row r="206" spans="1:10">
      <c r="A206" t="s">
        <v>3820</v>
      </c>
      <c r="B206">
        <v>1.4638706207006901E-2</v>
      </c>
      <c r="C206">
        <v>8.6322269990426292</v>
      </c>
      <c r="D206">
        <v>1</v>
      </c>
      <c r="E206">
        <v>1</v>
      </c>
      <c r="F206">
        <v>36</v>
      </c>
      <c r="G206">
        <v>38</v>
      </c>
      <c r="H206" t="s">
        <v>28</v>
      </c>
      <c r="I206" t="s">
        <v>3438</v>
      </c>
      <c r="J206" t="s">
        <v>668</v>
      </c>
    </row>
    <row r="207" spans="1:10">
      <c r="A207" t="s">
        <v>3821</v>
      </c>
      <c r="B207">
        <v>1.46715236209852E-2</v>
      </c>
      <c r="C207">
        <v>9.2171899333724099</v>
      </c>
      <c r="D207">
        <v>1</v>
      </c>
      <c r="E207">
        <v>1</v>
      </c>
      <c r="F207">
        <v>54</v>
      </c>
      <c r="G207">
        <v>57</v>
      </c>
      <c r="H207" t="s">
        <v>28</v>
      </c>
      <c r="I207" t="s">
        <v>3822</v>
      </c>
      <c r="J207" t="s">
        <v>669</v>
      </c>
    </row>
    <row r="208" spans="1:10">
      <c r="A208" t="s">
        <v>3823</v>
      </c>
      <c r="B208">
        <v>1.6681531765620799E-2</v>
      </c>
      <c r="C208">
        <v>8.6707012951440294</v>
      </c>
      <c r="D208">
        <v>1</v>
      </c>
      <c r="E208">
        <v>1</v>
      </c>
      <c r="F208">
        <v>37</v>
      </c>
      <c r="G208">
        <v>39</v>
      </c>
      <c r="H208" t="s">
        <v>79</v>
      </c>
      <c r="I208" t="s">
        <v>3824</v>
      </c>
      <c r="J208" t="s">
        <v>80</v>
      </c>
    </row>
    <row r="209" spans="1:10">
      <c r="A209" t="s">
        <v>3825</v>
      </c>
      <c r="B209">
        <v>1.7720531928001899E-2</v>
      </c>
      <c r="C209">
        <v>9.6895614826182594</v>
      </c>
      <c r="D209">
        <v>1</v>
      </c>
      <c r="E209">
        <v>1</v>
      </c>
      <c r="F209">
        <v>75</v>
      </c>
      <c r="G209">
        <v>79</v>
      </c>
      <c r="H209" t="s">
        <v>3826</v>
      </c>
      <c r="I209" t="s">
        <v>3827</v>
      </c>
      <c r="J209" t="s">
        <v>670</v>
      </c>
    </row>
    <row r="210" spans="1:10">
      <c r="A210" t="s">
        <v>3828</v>
      </c>
      <c r="B210">
        <v>1.85023654818149E-2</v>
      </c>
      <c r="C210">
        <v>7.7081755656713202</v>
      </c>
      <c r="D210">
        <v>1</v>
      </c>
      <c r="E210">
        <v>1</v>
      </c>
      <c r="F210">
        <v>19</v>
      </c>
      <c r="G210">
        <v>20</v>
      </c>
      <c r="H210" t="s">
        <v>28</v>
      </c>
      <c r="I210" t="s">
        <v>3438</v>
      </c>
      <c r="J210" t="s">
        <v>671</v>
      </c>
    </row>
    <row r="211" spans="1:10">
      <c r="A211" t="s">
        <v>3829</v>
      </c>
      <c r="B211">
        <v>1.85023654818149E-2</v>
      </c>
      <c r="C211">
        <v>7.7081755656713202</v>
      </c>
      <c r="D211">
        <v>1</v>
      </c>
      <c r="E211">
        <v>1</v>
      </c>
      <c r="F211">
        <v>19</v>
      </c>
      <c r="G211">
        <v>20</v>
      </c>
      <c r="H211" t="s">
        <v>3830</v>
      </c>
      <c r="I211" t="s">
        <v>3831</v>
      </c>
      <c r="J211" t="s">
        <v>672</v>
      </c>
    </row>
    <row r="212" spans="1:10">
      <c r="A212" t="s">
        <v>3832</v>
      </c>
      <c r="B212">
        <v>1.85023654818149E-2</v>
      </c>
      <c r="C212">
        <v>7.7081755656713202</v>
      </c>
      <c r="D212">
        <v>1</v>
      </c>
      <c r="E212">
        <v>1</v>
      </c>
      <c r="F212">
        <v>19</v>
      </c>
      <c r="G212">
        <v>20</v>
      </c>
      <c r="H212" t="s">
        <v>28</v>
      </c>
      <c r="I212" t="s">
        <v>3438</v>
      </c>
      <c r="J212" t="s">
        <v>673</v>
      </c>
    </row>
    <row r="213" spans="1:10">
      <c r="A213" t="s">
        <v>3833</v>
      </c>
      <c r="B213">
        <v>1.85023654818149E-2</v>
      </c>
      <c r="C213">
        <v>7.7081755656713202</v>
      </c>
      <c r="D213">
        <v>1</v>
      </c>
      <c r="E213">
        <v>1</v>
      </c>
      <c r="F213">
        <v>19</v>
      </c>
      <c r="G213">
        <v>20</v>
      </c>
      <c r="H213" t="s">
        <v>28</v>
      </c>
      <c r="I213" t="s">
        <v>3438</v>
      </c>
      <c r="J213" t="s">
        <v>674</v>
      </c>
    </row>
    <row r="214" spans="1:10">
      <c r="A214" t="s">
        <v>3834</v>
      </c>
      <c r="B214">
        <v>1.8620193769211101E-2</v>
      </c>
      <c r="C214">
        <v>8.7081761488199696</v>
      </c>
      <c r="D214">
        <v>1</v>
      </c>
      <c r="E214">
        <v>1</v>
      </c>
      <c r="F214">
        <v>38</v>
      </c>
      <c r="G214">
        <v>40</v>
      </c>
      <c r="H214" t="s">
        <v>3835</v>
      </c>
      <c r="I214" t="s">
        <v>3836</v>
      </c>
      <c r="J214" t="s">
        <v>675</v>
      </c>
    </row>
    <row r="215" spans="1:10">
      <c r="A215" t="s">
        <v>3837</v>
      </c>
      <c r="B215">
        <v>2.2081555035601001E-2</v>
      </c>
      <c r="C215">
        <v>7.7803255000011804</v>
      </c>
      <c r="D215">
        <v>1</v>
      </c>
      <c r="E215">
        <v>1</v>
      </c>
      <c r="F215">
        <v>20</v>
      </c>
      <c r="G215">
        <v>21</v>
      </c>
      <c r="H215" t="s">
        <v>28</v>
      </c>
      <c r="I215" t="s">
        <v>3438</v>
      </c>
      <c r="J215" t="s">
        <v>676</v>
      </c>
    </row>
    <row r="216" spans="1:10">
      <c r="A216" t="s">
        <v>3838</v>
      </c>
      <c r="B216">
        <v>2.2215354808000701E-2</v>
      </c>
      <c r="C216">
        <v>8.7803262310019008</v>
      </c>
      <c r="D216">
        <v>1</v>
      </c>
      <c r="E216">
        <v>1</v>
      </c>
      <c r="F216">
        <v>40</v>
      </c>
      <c r="G216">
        <v>42</v>
      </c>
      <c r="H216" t="s">
        <v>28</v>
      </c>
      <c r="I216" t="s">
        <v>3438</v>
      </c>
      <c r="J216" t="s">
        <v>677</v>
      </c>
    </row>
    <row r="217" spans="1:10">
      <c r="A217" t="s">
        <v>3839</v>
      </c>
      <c r="B217">
        <v>2.22603157970226E-2</v>
      </c>
      <c r="C217">
        <v>9.3652894597484195</v>
      </c>
      <c r="D217">
        <v>1</v>
      </c>
      <c r="E217">
        <v>1</v>
      </c>
      <c r="F217">
        <v>60</v>
      </c>
      <c r="G217">
        <v>63</v>
      </c>
      <c r="H217" t="s">
        <v>3840</v>
      </c>
      <c r="I217" t="s">
        <v>3841</v>
      </c>
      <c r="J217" t="s">
        <v>678</v>
      </c>
    </row>
    <row r="218" spans="1:10">
      <c r="A218" t="s">
        <v>3842</v>
      </c>
      <c r="B218">
        <v>2.3383936019973701E-2</v>
      </c>
      <c r="C218">
        <v>9.3885593868663602</v>
      </c>
      <c r="D218">
        <v>1</v>
      </c>
      <c r="E218">
        <v>1</v>
      </c>
      <c r="F218">
        <v>61</v>
      </c>
      <c r="G218">
        <v>64</v>
      </c>
      <c r="H218" t="s">
        <v>3843</v>
      </c>
      <c r="I218" t="s">
        <v>3844</v>
      </c>
      <c r="J218" t="s">
        <v>679</v>
      </c>
    </row>
    <row r="219" spans="1:10">
      <c r="A219" t="s">
        <v>3845</v>
      </c>
      <c r="B219">
        <v>2.3885221334238899E-2</v>
      </c>
      <c r="C219">
        <v>8.8150917973314193</v>
      </c>
      <c r="D219">
        <v>1</v>
      </c>
      <c r="E219">
        <v>1</v>
      </c>
      <c r="F219">
        <v>41</v>
      </c>
      <c r="G219">
        <v>43</v>
      </c>
      <c r="H219" t="s">
        <v>28</v>
      </c>
      <c r="I219" t="s">
        <v>3438</v>
      </c>
      <c r="J219" t="s">
        <v>680</v>
      </c>
    </row>
    <row r="220" spans="1:10">
      <c r="A220" t="s">
        <v>3846</v>
      </c>
      <c r="B220">
        <v>2.5331435092555799E-2</v>
      </c>
      <c r="C220">
        <v>7.8490383986296104</v>
      </c>
      <c r="D220">
        <v>1</v>
      </c>
      <c r="E220">
        <v>1</v>
      </c>
      <c r="F220">
        <v>21</v>
      </c>
      <c r="G220">
        <v>22</v>
      </c>
      <c r="H220" t="s">
        <v>3847</v>
      </c>
      <c r="I220" t="s">
        <v>3848</v>
      </c>
      <c r="J220" t="s">
        <v>681</v>
      </c>
    </row>
    <row r="221" spans="1:10">
      <c r="A221" t="s">
        <v>3849</v>
      </c>
      <c r="B221">
        <v>2.54778256191979E-2</v>
      </c>
      <c r="C221">
        <v>8.8490392773941409</v>
      </c>
      <c r="D221">
        <v>1</v>
      </c>
      <c r="E221">
        <v>1</v>
      </c>
      <c r="F221">
        <v>42</v>
      </c>
      <c r="G221">
        <v>44</v>
      </c>
      <c r="H221" t="s">
        <v>3850</v>
      </c>
      <c r="I221" t="s">
        <v>3851</v>
      </c>
      <c r="J221" t="s">
        <v>682</v>
      </c>
    </row>
    <row r="222" spans="1:10">
      <c r="A222" t="s">
        <v>3852</v>
      </c>
      <c r="B222">
        <v>2.6998409537065299E-2</v>
      </c>
      <c r="C222">
        <v>8.8822062894392708</v>
      </c>
      <c r="D222">
        <v>1</v>
      </c>
      <c r="E222">
        <v>1</v>
      </c>
      <c r="F222">
        <v>43</v>
      </c>
      <c r="G222">
        <v>45</v>
      </c>
      <c r="H222" t="s">
        <v>3853</v>
      </c>
      <c r="I222" t="s">
        <v>3854</v>
      </c>
      <c r="J222" t="s">
        <v>683</v>
      </c>
    </row>
    <row r="223" spans="1:10">
      <c r="A223" t="s">
        <v>3855</v>
      </c>
      <c r="B223">
        <v>2.8295462094943501E-2</v>
      </c>
      <c r="C223">
        <v>7.9146268887720099</v>
      </c>
      <c r="D223">
        <v>1</v>
      </c>
      <c r="E223">
        <v>1</v>
      </c>
      <c r="F223">
        <v>22</v>
      </c>
      <c r="G223">
        <v>23</v>
      </c>
      <c r="H223" t="s">
        <v>3856</v>
      </c>
      <c r="I223" t="s">
        <v>3857</v>
      </c>
      <c r="J223" t="s">
        <v>684</v>
      </c>
    </row>
    <row r="224" spans="1:10">
      <c r="A224" t="s">
        <v>3858</v>
      </c>
      <c r="B224">
        <v>2.9842215097863101E-2</v>
      </c>
      <c r="C224">
        <v>8.9463369229905307</v>
      </c>
      <c r="D224">
        <v>1</v>
      </c>
      <c r="E224">
        <v>1</v>
      </c>
      <c r="F224">
        <v>45</v>
      </c>
      <c r="G224">
        <v>47</v>
      </c>
      <c r="H224" t="s">
        <v>28</v>
      </c>
      <c r="I224" t="s">
        <v>3438</v>
      </c>
      <c r="J224" t="s">
        <v>685</v>
      </c>
    </row>
    <row r="225" spans="1:10">
      <c r="A225" t="s">
        <v>3859</v>
      </c>
      <c r="B225">
        <v>3.3504638404760298E-2</v>
      </c>
      <c r="C225">
        <v>8.0374839334984607</v>
      </c>
      <c r="D225">
        <v>1</v>
      </c>
      <c r="E225">
        <v>1</v>
      </c>
      <c r="F225">
        <v>24</v>
      </c>
      <c r="G225">
        <v>25</v>
      </c>
      <c r="H225" t="s">
        <v>3860</v>
      </c>
      <c r="I225" t="s">
        <v>3438</v>
      </c>
      <c r="J225" t="s">
        <v>686</v>
      </c>
    </row>
    <row r="226" spans="1:10">
      <c r="A226" t="s">
        <v>3861</v>
      </c>
      <c r="B226">
        <v>3.3504638404760298E-2</v>
      </c>
      <c r="C226">
        <v>8.0374839334984607</v>
      </c>
      <c r="D226">
        <v>1</v>
      </c>
      <c r="E226">
        <v>1</v>
      </c>
      <c r="F226">
        <v>24</v>
      </c>
      <c r="G226">
        <v>25</v>
      </c>
      <c r="H226" t="s">
        <v>28</v>
      </c>
      <c r="I226" t="s">
        <v>3438</v>
      </c>
      <c r="J226" t="s">
        <v>687</v>
      </c>
    </row>
    <row r="227" spans="1:10">
      <c r="A227" t="s">
        <v>3862</v>
      </c>
      <c r="B227">
        <v>3.3504638404760298E-2</v>
      </c>
      <c r="C227">
        <v>8.0374839334984607</v>
      </c>
      <c r="D227">
        <v>1</v>
      </c>
      <c r="E227">
        <v>1</v>
      </c>
      <c r="F227">
        <v>24</v>
      </c>
      <c r="G227">
        <v>25</v>
      </c>
      <c r="H227" t="s">
        <v>3863</v>
      </c>
      <c r="I227" t="s">
        <v>3864</v>
      </c>
      <c r="J227" t="s">
        <v>688</v>
      </c>
    </row>
    <row r="228" spans="1:10">
      <c r="A228" t="s">
        <v>3865</v>
      </c>
      <c r="B228">
        <v>3.5290118467998503E-2</v>
      </c>
      <c r="C228">
        <v>9.6611817601999608</v>
      </c>
      <c r="D228">
        <v>1</v>
      </c>
      <c r="E228">
        <v>1</v>
      </c>
      <c r="F228">
        <v>74</v>
      </c>
      <c r="G228">
        <v>77</v>
      </c>
      <c r="H228" t="s">
        <v>3866</v>
      </c>
      <c r="I228" t="s">
        <v>3867</v>
      </c>
      <c r="J228" t="s">
        <v>689</v>
      </c>
    </row>
    <row r="229" spans="1:10">
      <c r="A229" t="s">
        <v>3868</v>
      </c>
      <c r="B229">
        <v>3.5290118467998503E-2</v>
      </c>
      <c r="C229">
        <v>9.6611817601999608</v>
      </c>
      <c r="D229">
        <v>1</v>
      </c>
      <c r="E229">
        <v>1</v>
      </c>
      <c r="F229">
        <v>74</v>
      </c>
      <c r="G229">
        <v>77</v>
      </c>
      <c r="H229" t="s">
        <v>3869</v>
      </c>
      <c r="I229" t="s">
        <v>3870</v>
      </c>
      <c r="J229" t="s">
        <v>690</v>
      </c>
    </row>
    <row r="230" spans="1:10">
      <c r="A230" t="s">
        <v>3871</v>
      </c>
      <c r="B230">
        <v>3.5805654444858101E-2</v>
      </c>
      <c r="C230">
        <v>8.0951995797808394</v>
      </c>
      <c r="D230">
        <v>1</v>
      </c>
      <c r="E230">
        <v>1</v>
      </c>
      <c r="F230">
        <v>25</v>
      </c>
      <c r="G230">
        <v>26</v>
      </c>
      <c r="H230" t="s">
        <v>3872</v>
      </c>
      <c r="I230" t="s">
        <v>3873</v>
      </c>
      <c r="J230" t="s">
        <v>691</v>
      </c>
    </row>
    <row r="231" spans="1:10">
      <c r="A231" t="s">
        <v>3874</v>
      </c>
      <c r="B231">
        <v>4.5065138792139199E-2</v>
      </c>
      <c r="C231">
        <v>8.3535123170595291</v>
      </c>
      <c r="D231">
        <v>1</v>
      </c>
      <c r="E231">
        <v>1</v>
      </c>
      <c r="F231">
        <v>30</v>
      </c>
      <c r="G231">
        <v>31</v>
      </c>
      <c r="H231" t="s">
        <v>3875</v>
      </c>
      <c r="I231" t="s">
        <v>3876</v>
      </c>
      <c r="J231" t="s">
        <v>692</v>
      </c>
    </row>
    <row r="232" spans="1:10">
      <c r="A232" t="s">
        <v>3877</v>
      </c>
      <c r="B232">
        <v>4.6566973338227798E-2</v>
      </c>
      <c r="C232">
        <v>8.4000550512454399</v>
      </c>
      <c r="D232">
        <v>1</v>
      </c>
      <c r="E232">
        <v>1</v>
      </c>
      <c r="F232">
        <v>31</v>
      </c>
      <c r="G232">
        <v>32</v>
      </c>
      <c r="H232" t="s">
        <v>28</v>
      </c>
      <c r="I232" t="s">
        <v>3878</v>
      </c>
      <c r="J232" t="s">
        <v>693</v>
      </c>
    </row>
    <row r="233" spans="1:10">
      <c r="A233" t="s">
        <v>3879</v>
      </c>
      <c r="B233">
        <v>4.9303585872128401E-2</v>
      </c>
      <c r="C233">
        <v>8.4888646146125399</v>
      </c>
      <c r="D233">
        <v>1</v>
      </c>
      <c r="E233">
        <v>1</v>
      </c>
      <c r="F233">
        <v>33</v>
      </c>
      <c r="G233">
        <v>34</v>
      </c>
      <c r="H233" t="s">
        <v>3880</v>
      </c>
      <c r="I233" t="s">
        <v>3881</v>
      </c>
      <c r="J233" t="s">
        <v>694</v>
      </c>
    </row>
    <row r="234" spans="1:10">
      <c r="A234" t="s">
        <v>3882</v>
      </c>
      <c r="B234">
        <v>5.28498968003807E-2</v>
      </c>
      <c r="C234">
        <v>8.6126004274275108</v>
      </c>
      <c r="D234">
        <v>1</v>
      </c>
      <c r="E234">
        <v>1</v>
      </c>
      <c r="F234">
        <v>36</v>
      </c>
      <c r="G234">
        <v>37</v>
      </c>
      <c r="H234" t="s">
        <v>3883</v>
      </c>
      <c r="I234" t="s">
        <v>3884</v>
      </c>
      <c r="J234" t="s">
        <v>695</v>
      </c>
    </row>
    <row r="235" spans="1:10">
      <c r="A235" t="s">
        <v>3885</v>
      </c>
      <c r="B235">
        <v>8.8325434630114205E-2</v>
      </c>
      <c r="C235">
        <v>5.7447016005885398</v>
      </c>
      <c r="D235">
        <v>1</v>
      </c>
      <c r="E235">
        <v>1</v>
      </c>
      <c r="F235">
        <v>5</v>
      </c>
      <c r="G235">
        <v>5</v>
      </c>
      <c r="H235" t="s">
        <v>28</v>
      </c>
      <c r="I235" t="s">
        <v>3438</v>
      </c>
      <c r="J235" t="s">
        <v>696</v>
      </c>
    </row>
    <row r="236" spans="1:10">
      <c r="A236" t="s">
        <v>3886</v>
      </c>
      <c r="B236">
        <v>8.8325434630114205E-2</v>
      </c>
      <c r="C236">
        <v>5.7447016005885398</v>
      </c>
      <c r="D236">
        <v>1</v>
      </c>
      <c r="E236">
        <v>1</v>
      </c>
      <c r="F236">
        <v>5</v>
      </c>
      <c r="G236">
        <v>5</v>
      </c>
      <c r="H236" t="s">
        <v>3887</v>
      </c>
      <c r="I236" t="s">
        <v>3888</v>
      </c>
      <c r="J236" t="s">
        <v>697</v>
      </c>
    </row>
    <row r="237" spans="1:10">
      <c r="A237" t="s">
        <v>3889</v>
      </c>
      <c r="B237">
        <v>8.8325434630114205E-2</v>
      </c>
      <c r="C237">
        <v>5.7447016005885398</v>
      </c>
      <c r="D237">
        <v>1</v>
      </c>
      <c r="E237">
        <v>1</v>
      </c>
      <c r="F237">
        <v>5</v>
      </c>
      <c r="G237">
        <v>5</v>
      </c>
      <c r="H237" t="s">
        <v>28</v>
      </c>
      <c r="I237" t="s">
        <v>3890</v>
      </c>
      <c r="J237" t="s">
        <v>698</v>
      </c>
    </row>
    <row r="238" spans="1:10">
      <c r="A238" t="s">
        <v>3891</v>
      </c>
      <c r="B238">
        <v>8.8325434630114205E-2</v>
      </c>
      <c r="C238">
        <v>5.7447016005885398</v>
      </c>
      <c r="D238">
        <v>1</v>
      </c>
      <c r="E238">
        <v>1</v>
      </c>
      <c r="F238">
        <v>5</v>
      </c>
      <c r="G238">
        <v>5</v>
      </c>
      <c r="H238" t="s">
        <v>28</v>
      </c>
      <c r="I238" t="s">
        <v>3438</v>
      </c>
      <c r="J238" t="s">
        <v>699</v>
      </c>
    </row>
    <row r="239" spans="1:10">
      <c r="A239" t="s">
        <v>3892</v>
      </c>
      <c r="B239">
        <v>8.8325434630114205E-2</v>
      </c>
      <c r="C239">
        <v>5.7447016005885398</v>
      </c>
      <c r="D239">
        <v>1</v>
      </c>
      <c r="E239">
        <v>1</v>
      </c>
      <c r="F239">
        <v>5</v>
      </c>
      <c r="G239">
        <v>5</v>
      </c>
      <c r="H239" t="s">
        <v>28</v>
      </c>
      <c r="I239" t="s">
        <v>3893</v>
      </c>
      <c r="J239" t="s">
        <v>700</v>
      </c>
    </row>
    <row r="240" spans="1:10">
      <c r="A240" t="s">
        <v>3894</v>
      </c>
      <c r="B240">
        <v>8.8325434630114205E-2</v>
      </c>
      <c r="C240">
        <v>5.7447016005885398</v>
      </c>
      <c r="D240">
        <v>1</v>
      </c>
      <c r="E240">
        <v>1</v>
      </c>
      <c r="F240">
        <v>5</v>
      </c>
      <c r="G240">
        <v>5</v>
      </c>
      <c r="H240" t="s">
        <v>28</v>
      </c>
      <c r="I240" t="s">
        <v>3438</v>
      </c>
      <c r="J240" t="s">
        <v>701</v>
      </c>
    </row>
    <row r="241" spans="1:10">
      <c r="A241" t="s">
        <v>3895</v>
      </c>
      <c r="B241">
        <v>8.8325434630114205E-2</v>
      </c>
      <c r="C241">
        <v>5.7447016005885398</v>
      </c>
      <c r="D241">
        <v>1</v>
      </c>
      <c r="E241">
        <v>1</v>
      </c>
      <c r="F241">
        <v>5</v>
      </c>
      <c r="G241">
        <v>5</v>
      </c>
      <c r="H241" t="s">
        <v>28</v>
      </c>
      <c r="I241" t="s">
        <v>3438</v>
      </c>
      <c r="J241" t="s">
        <v>702</v>
      </c>
    </row>
    <row r="242" spans="1:10">
      <c r="A242" t="s">
        <v>3896</v>
      </c>
      <c r="B242">
        <v>8.8325434630114205E-2</v>
      </c>
      <c r="C242">
        <v>5.7447016005885398</v>
      </c>
      <c r="D242">
        <v>1</v>
      </c>
      <c r="E242">
        <v>1</v>
      </c>
      <c r="F242">
        <v>5</v>
      </c>
      <c r="G242">
        <v>5</v>
      </c>
      <c r="H242" t="s">
        <v>3897</v>
      </c>
      <c r="I242" t="s">
        <v>3898</v>
      </c>
      <c r="J242" t="s">
        <v>703</v>
      </c>
    </row>
    <row r="243" spans="1:10">
      <c r="A243" t="s">
        <v>3899</v>
      </c>
      <c r="B243">
        <v>8.8325434630114205E-2</v>
      </c>
      <c r="C243">
        <v>5.7447016005885398</v>
      </c>
      <c r="D243">
        <v>1</v>
      </c>
      <c r="E243">
        <v>1</v>
      </c>
      <c r="F243">
        <v>5</v>
      </c>
      <c r="G243">
        <v>5</v>
      </c>
      <c r="H243" t="s">
        <v>28</v>
      </c>
      <c r="I243" t="s">
        <v>3438</v>
      </c>
      <c r="J243" t="s">
        <v>704</v>
      </c>
    </row>
    <row r="244" spans="1:10">
      <c r="A244" t="s">
        <v>3900</v>
      </c>
      <c r="B244">
        <v>8.8325434630114205E-2</v>
      </c>
      <c r="C244">
        <v>5.7447016005885398</v>
      </c>
      <c r="D244">
        <v>1</v>
      </c>
      <c r="E244">
        <v>1</v>
      </c>
      <c r="F244">
        <v>5</v>
      </c>
      <c r="G244">
        <v>5</v>
      </c>
      <c r="H244" t="s">
        <v>28</v>
      </c>
      <c r="I244" t="s">
        <v>3438</v>
      </c>
      <c r="J244" t="s">
        <v>705</v>
      </c>
    </row>
    <row r="245" spans="1:10">
      <c r="A245" t="s">
        <v>3901</v>
      </c>
      <c r="B245">
        <v>8.8325434630114205E-2</v>
      </c>
      <c r="C245">
        <v>5.7447016005885398</v>
      </c>
      <c r="D245">
        <v>1</v>
      </c>
      <c r="E245">
        <v>1</v>
      </c>
      <c r="F245">
        <v>5</v>
      </c>
      <c r="G245">
        <v>5</v>
      </c>
      <c r="H245" t="s">
        <v>3902</v>
      </c>
      <c r="I245" t="s">
        <v>3903</v>
      </c>
      <c r="J245" t="s">
        <v>706</v>
      </c>
    </row>
    <row r="246" spans="1:10">
      <c r="A246" t="s">
        <v>3904</v>
      </c>
      <c r="B246">
        <v>8.8325434630114205E-2</v>
      </c>
      <c r="C246">
        <v>5.7447016005885398</v>
      </c>
      <c r="D246">
        <v>1</v>
      </c>
      <c r="E246">
        <v>1</v>
      </c>
      <c r="F246">
        <v>5</v>
      </c>
      <c r="G246">
        <v>5</v>
      </c>
      <c r="H246" t="s">
        <v>28</v>
      </c>
      <c r="I246" t="s">
        <v>3438</v>
      </c>
      <c r="J246" t="s">
        <v>367</v>
      </c>
    </row>
    <row r="247" spans="1:10">
      <c r="A247" t="s">
        <v>3905</v>
      </c>
      <c r="B247">
        <v>8.9031784159989996E-2</v>
      </c>
      <c r="C247">
        <v>6.0077361551956603</v>
      </c>
      <c r="D247">
        <v>1</v>
      </c>
      <c r="E247">
        <v>1</v>
      </c>
      <c r="F247">
        <v>6</v>
      </c>
      <c r="G247">
        <v>6</v>
      </c>
      <c r="H247" t="s">
        <v>28</v>
      </c>
      <c r="I247" t="s">
        <v>3906</v>
      </c>
      <c r="J247" t="s">
        <v>707</v>
      </c>
    </row>
    <row r="248" spans="1:10">
      <c r="A248" t="s">
        <v>3907</v>
      </c>
      <c r="B248">
        <v>8.9031784159989996E-2</v>
      </c>
      <c r="C248">
        <v>6.0077361551956603</v>
      </c>
      <c r="D248">
        <v>1</v>
      </c>
      <c r="E248">
        <v>1</v>
      </c>
      <c r="F248">
        <v>6</v>
      </c>
      <c r="G248">
        <v>6</v>
      </c>
      <c r="H248" t="s">
        <v>28</v>
      </c>
      <c r="I248" t="s">
        <v>3438</v>
      </c>
      <c r="J248" t="s">
        <v>708</v>
      </c>
    </row>
    <row r="249" spans="1:10">
      <c r="A249" t="s">
        <v>3908</v>
      </c>
      <c r="B249">
        <v>8.9031784159989996E-2</v>
      </c>
      <c r="C249">
        <v>6.0077361551956603</v>
      </c>
      <c r="D249">
        <v>1</v>
      </c>
      <c r="E249">
        <v>1</v>
      </c>
      <c r="F249">
        <v>6</v>
      </c>
      <c r="G249">
        <v>6</v>
      </c>
      <c r="H249" t="s">
        <v>28</v>
      </c>
      <c r="I249" t="s">
        <v>3438</v>
      </c>
      <c r="J249" t="s">
        <v>709</v>
      </c>
    </row>
    <row r="250" spans="1:10">
      <c r="A250" t="s">
        <v>3909</v>
      </c>
      <c r="B250">
        <v>8.9031784159989996E-2</v>
      </c>
      <c r="C250">
        <v>6.0077361551956603</v>
      </c>
      <c r="D250">
        <v>1</v>
      </c>
      <c r="E250">
        <v>1</v>
      </c>
      <c r="F250">
        <v>6</v>
      </c>
      <c r="G250">
        <v>6</v>
      </c>
      <c r="H250" t="s">
        <v>28</v>
      </c>
      <c r="I250" t="s">
        <v>3438</v>
      </c>
      <c r="J250" t="s">
        <v>710</v>
      </c>
    </row>
    <row r="251" spans="1:10">
      <c r="A251" t="s">
        <v>3910</v>
      </c>
      <c r="B251">
        <v>8.9031784159989996E-2</v>
      </c>
      <c r="C251">
        <v>6.0077361551956603</v>
      </c>
      <c r="D251">
        <v>1</v>
      </c>
      <c r="E251">
        <v>1</v>
      </c>
      <c r="F251">
        <v>6</v>
      </c>
      <c r="G251">
        <v>6</v>
      </c>
      <c r="H251" t="s">
        <v>28</v>
      </c>
      <c r="I251" t="s">
        <v>3438</v>
      </c>
      <c r="J251" t="s">
        <v>711</v>
      </c>
    </row>
    <row r="252" spans="1:10">
      <c r="A252" t="s">
        <v>3911</v>
      </c>
      <c r="B252">
        <v>8.9031784159989996E-2</v>
      </c>
      <c r="C252">
        <v>6.0077361551956603</v>
      </c>
      <c r="D252">
        <v>1</v>
      </c>
      <c r="E252">
        <v>1</v>
      </c>
      <c r="F252">
        <v>6</v>
      </c>
      <c r="G252">
        <v>6</v>
      </c>
      <c r="H252" t="s">
        <v>3912</v>
      </c>
      <c r="I252" t="s">
        <v>3913</v>
      </c>
      <c r="J252" t="s">
        <v>712</v>
      </c>
    </row>
    <row r="253" spans="1:10">
      <c r="A253" t="s">
        <v>3914</v>
      </c>
      <c r="B253">
        <v>8.9031784159989996E-2</v>
      </c>
      <c r="C253">
        <v>6.0077361551956603</v>
      </c>
      <c r="D253">
        <v>1</v>
      </c>
      <c r="E253">
        <v>1</v>
      </c>
      <c r="F253">
        <v>6</v>
      </c>
      <c r="G253">
        <v>6</v>
      </c>
      <c r="H253" t="s">
        <v>28</v>
      </c>
      <c r="I253" t="s">
        <v>3438</v>
      </c>
      <c r="J253" t="s">
        <v>713</v>
      </c>
    </row>
    <row r="254" spans="1:10">
      <c r="A254" t="s">
        <v>3915</v>
      </c>
      <c r="B254">
        <v>8.9031784159989996E-2</v>
      </c>
      <c r="C254">
        <v>6.0077361551956603</v>
      </c>
      <c r="D254">
        <v>1</v>
      </c>
      <c r="E254">
        <v>1</v>
      </c>
      <c r="F254">
        <v>6</v>
      </c>
      <c r="G254">
        <v>6</v>
      </c>
      <c r="H254" t="s">
        <v>28</v>
      </c>
      <c r="I254" t="s">
        <v>3474</v>
      </c>
      <c r="J254" t="s">
        <v>714</v>
      </c>
    </row>
    <row r="255" spans="1:10">
      <c r="A255" t="s">
        <v>3916</v>
      </c>
      <c r="B255">
        <v>8.9031784159989996E-2</v>
      </c>
      <c r="C255">
        <v>6.0077361551956603</v>
      </c>
      <c r="D255">
        <v>1</v>
      </c>
      <c r="E255">
        <v>1</v>
      </c>
      <c r="F255">
        <v>6</v>
      </c>
      <c r="G255">
        <v>6</v>
      </c>
      <c r="H255" t="s">
        <v>28</v>
      </c>
      <c r="I255" t="s">
        <v>3438</v>
      </c>
      <c r="J255" t="s">
        <v>715</v>
      </c>
    </row>
    <row r="256" spans="1:10">
      <c r="A256" t="s">
        <v>3917</v>
      </c>
      <c r="B256">
        <v>8.9031784159989996E-2</v>
      </c>
      <c r="C256">
        <v>6.0077361551956603</v>
      </c>
      <c r="D256">
        <v>1</v>
      </c>
      <c r="E256">
        <v>1</v>
      </c>
      <c r="F256">
        <v>6</v>
      </c>
      <c r="G256">
        <v>6</v>
      </c>
      <c r="H256" t="s">
        <v>3918</v>
      </c>
      <c r="I256" t="s">
        <v>3919</v>
      </c>
      <c r="J256" t="s">
        <v>716</v>
      </c>
    </row>
    <row r="257" spans="1:10">
      <c r="A257" t="s">
        <v>3920</v>
      </c>
      <c r="B257">
        <v>8.9031784159989996E-2</v>
      </c>
      <c r="C257">
        <v>6.0077361551956603</v>
      </c>
      <c r="D257">
        <v>1</v>
      </c>
      <c r="E257">
        <v>1</v>
      </c>
      <c r="F257">
        <v>6</v>
      </c>
      <c r="G257">
        <v>6</v>
      </c>
      <c r="H257" t="s">
        <v>3921</v>
      </c>
      <c r="I257" t="s">
        <v>3922</v>
      </c>
      <c r="J257" t="s">
        <v>717</v>
      </c>
    </row>
    <row r="258" spans="1:10">
      <c r="A258" t="s">
        <v>3923</v>
      </c>
      <c r="B258">
        <v>8.9031784159989996E-2</v>
      </c>
      <c r="C258">
        <v>6.0077361551956603</v>
      </c>
      <c r="D258">
        <v>1</v>
      </c>
      <c r="E258">
        <v>1</v>
      </c>
      <c r="F258">
        <v>6</v>
      </c>
      <c r="G258">
        <v>6</v>
      </c>
      <c r="H258" t="s">
        <v>28</v>
      </c>
      <c r="I258" t="s">
        <v>3438</v>
      </c>
      <c r="J258" t="s">
        <v>718</v>
      </c>
    </row>
    <row r="259" spans="1:10">
      <c r="A259" t="s">
        <v>3924</v>
      </c>
      <c r="B259">
        <v>8.9031784159989996E-2</v>
      </c>
      <c r="C259">
        <v>6.0077361551956603</v>
      </c>
      <c r="D259">
        <v>1</v>
      </c>
      <c r="E259">
        <v>1</v>
      </c>
      <c r="F259">
        <v>6</v>
      </c>
      <c r="G259">
        <v>6</v>
      </c>
      <c r="H259" t="s">
        <v>28</v>
      </c>
      <c r="I259" t="s">
        <v>3438</v>
      </c>
      <c r="J259" t="s">
        <v>719</v>
      </c>
    </row>
    <row r="260" spans="1:10">
      <c r="A260" t="s">
        <v>3925</v>
      </c>
      <c r="B260">
        <v>8.9031784159989996E-2</v>
      </c>
      <c r="C260">
        <v>6.0077361551956603</v>
      </c>
      <c r="D260">
        <v>1</v>
      </c>
      <c r="E260">
        <v>1</v>
      </c>
      <c r="F260">
        <v>6</v>
      </c>
      <c r="G260">
        <v>6</v>
      </c>
      <c r="H260" t="s">
        <v>28</v>
      </c>
      <c r="I260" t="s">
        <v>3438</v>
      </c>
      <c r="J260" t="s">
        <v>71</v>
      </c>
    </row>
    <row r="261" spans="1:10">
      <c r="A261" t="s">
        <v>3926</v>
      </c>
      <c r="B261">
        <v>8.9543278364822801E-2</v>
      </c>
      <c r="C261">
        <v>6.2301287252757502</v>
      </c>
      <c r="D261">
        <v>1</v>
      </c>
      <c r="E261">
        <v>1</v>
      </c>
      <c r="F261">
        <v>7</v>
      </c>
      <c r="G261">
        <v>7</v>
      </c>
      <c r="H261" t="s">
        <v>28</v>
      </c>
      <c r="I261" t="s">
        <v>3438</v>
      </c>
      <c r="J261" t="s">
        <v>720</v>
      </c>
    </row>
    <row r="262" spans="1:10">
      <c r="A262" t="s">
        <v>3927</v>
      </c>
      <c r="B262">
        <v>8.9543278364822801E-2</v>
      </c>
      <c r="C262">
        <v>6.2301287252757502</v>
      </c>
      <c r="D262">
        <v>1</v>
      </c>
      <c r="E262">
        <v>1</v>
      </c>
      <c r="F262">
        <v>7</v>
      </c>
      <c r="G262">
        <v>7</v>
      </c>
      <c r="H262" t="s">
        <v>28</v>
      </c>
      <c r="I262" t="s">
        <v>3438</v>
      </c>
      <c r="J262" t="s">
        <v>721</v>
      </c>
    </row>
    <row r="263" spans="1:10">
      <c r="A263" t="s">
        <v>3928</v>
      </c>
      <c r="B263">
        <v>8.9543278364822801E-2</v>
      </c>
      <c r="C263">
        <v>6.2301287252757502</v>
      </c>
      <c r="D263">
        <v>1</v>
      </c>
      <c r="E263">
        <v>1</v>
      </c>
      <c r="F263">
        <v>7</v>
      </c>
      <c r="G263">
        <v>7</v>
      </c>
      <c r="H263" t="s">
        <v>3929</v>
      </c>
      <c r="I263" t="s">
        <v>3930</v>
      </c>
      <c r="J263" t="s">
        <v>722</v>
      </c>
    </row>
    <row r="264" spans="1:10">
      <c r="A264" t="s">
        <v>3931</v>
      </c>
      <c r="B264">
        <v>8.9543278364822801E-2</v>
      </c>
      <c r="C264">
        <v>6.2301287252757502</v>
      </c>
      <c r="D264">
        <v>1</v>
      </c>
      <c r="E264">
        <v>1</v>
      </c>
      <c r="F264">
        <v>7</v>
      </c>
      <c r="G264">
        <v>7</v>
      </c>
      <c r="H264" t="s">
        <v>28</v>
      </c>
      <c r="I264" t="s">
        <v>3438</v>
      </c>
      <c r="J264" t="s">
        <v>723</v>
      </c>
    </row>
    <row r="265" spans="1:10">
      <c r="A265" t="s">
        <v>3932</v>
      </c>
      <c r="B265">
        <v>8.9543278364822801E-2</v>
      </c>
      <c r="C265">
        <v>6.2301287252757502</v>
      </c>
      <c r="D265">
        <v>1</v>
      </c>
      <c r="E265">
        <v>1</v>
      </c>
      <c r="F265">
        <v>7</v>
      </c>
      <c r="G265">
        <v>7</v>
      </c>
      <c r="H265" t="s">
        <v>28</v>
      </c>
      <c r="I265" t="s">
        <v>3933</v>
      </c>
      <c r="J265" t="s">
        <v>15</v>
      </c>
    </row>
    <row r="266" spans="1:10">
      <c r="A266" t="s">
        <v>3934</v>
      </c>
      <c r="B266">
        <v>8.9543278364822801E-2</v>
      </c>
      <c r="C266">
        <v>6.2301287252757502</v>
      </c>
      <c r="D266">
        <v>1</v>
      </c>
      <c r="E266">
        <v>1</v>
      </c>
      <c r="F266">
        <v>7</v>
      </c>
      <c r="G266">
        <v>7</v>
      </c>
      <c r="H266" t="s">
        <v>28</v>
      </c>
      <c r="I266" t="s">
        <v>3438</v>
      </c>
      <c r="J266" t="s">
        <v>724</v>
      </c>
    </row>
    <row r="267" spans="1:10">
      <c r="A267" t="s">
        <v>3935</v>
      </c>
      <c r="B267">
        <v>8.9543278364822801E-2</v>
      </c>
      <c r="C267">
        <v>6.2301287252757502</v>
      </c>
      <c r="D267">
        <v>1</v>
      </c>
      <c r="E267">
        <v>1</v>
      </c>
      <c r="F267">
        <v>7</v>
      </c>
      <c r="G267">
        <v>7</v>
      </c>
      <c r="H267" t="s">
        <v>28</v>
      </c>
      <c r="I267" t="s">
        <v>3438</v>
      </c>
      <c r="J267" t="s">
        <v>725</v>
      </c>
    </row>
    <row r="268" spans="1:10">
      <c r="A268" t="s">
        <v>3936</v>
      </c>
      <c r="B268">
        <v>8.9543278364822801E-2</v>
      </c>
      <c r="C268">
        <v>6.2301287252757502</v>
      </c>
      <c r="D268">
        <v>1</v>
      </c>
      <c r="E268">
        <v>1</v>
      </c>
      <c r="F268">
        <v>7</v>
      </c>
      <c r="G268">
        <v>7</v>
      </c>
      <c r="H268" t="s">
        <v>28</v>
      </c>
      <c r="I268" t="s">
        <v>3438</v>
      </c>
      <c r="J268" t="s">
        <v>726</v>
      </c>
    </row>
    <row r="269" spans="1:10">
      <c r="A269" t="s">
        <v>3937</v>
      </c>
      <c r="B269">
        <v>8.9543278364822801E-2</v>
      </c>
      <c r="C269">
        <v>6.2301287252757502</v>
      </c>
      <c r="D269">
        <v>1</v>
      </c>
      <c r="E269">
        <v>1</v>
      </c>
      <c r="F269">
        <v>7</v>
      </c>
      <c r="G269">
        <v>7</v>
      </c>
      <c r="H269" t="s">
        <v>3938</v>
      </c>
      <c r="I269" t="s">
        <v>3939</v>
      </c>
      <c r="J269" t="s">
        <v>727</v>
      </c>
    </row>
    <row r="270" spans="1:10">
      <c r="A270" t="s">
        <v>3940</v>
      </c>
      <c r="B270">
        <v>8.9543278364822801E-2</v>
      </c>
      <c r="C270">
        <v>6.2301287252757502</v>
      </c>
      <c r="D270">
        <v>1</v>
      </c>
      <c r="E270">
        <v>1</v>
      </c>
      <c r="F270">
        <v>7</v>
      </c>
      <c r="G270">
        <v>7</v>
      </c>
      <c r="H270" t="s">
        <v>3941</v>
      </c>
      <c r="I270" t="s">
        <v>3942</v>
      </c>
      <c r="J270" t="s">
        <v>728</v>
      </c>
    </row>
    <row r="271" spans="1:10">
      <c r="A271" t="s">
        <v>3943</v>
      </c>
      <c r="B271">
        <v>8.9543278364822801E-2</v>
      </c>
      <c r="C271">
        <v>6.2301287252757502</v>
      </c>
      <c r="D271">
        <v>1</v>
      </c>
      <c r="E271">
        <v>1</v>
      </c>
      <c r="F271">
        <v>7</v>
      </c>
      <c r="G271">
        <v>7</v>
      </c>
      <c r="H271" t="s">
        <v>28</v>
      </c>
      <c r="I271" t="s">
        <v>3438</v>
      </c>
      <c r="J271" t="s">
        <v>729</v>
      </c>
    </row>
    <row r="272" spans="1:10">
      <c r="A272" t="s">
        <v>3944</v>
      </c>
      <c r="B272">
        <v>8.9543278364822801E-2</v>
      </c>
      <c r="C272">
        <v>6.2301287252757502</v>
      </c>
      <c r="D272">
        <v>1</v>
      </c>
      <c r="E272">
        <v>1</v>
      </c>
      <c r="F272">
        <v>7</v>
      </c>
      <c r="G272">
        <v>7</v>
      </c>
      <c r="H272" t="s">
        <v>28</v>
      </c>
      <c r="I272" t="s">
        <v>3878</v>
      </c>
      <c r="J272" t="s">
        <v>730</v>
      </c>
    </row>
    <row r="273" spans="1:10">
      <c r="A273" t="s">
        <v>3945</v>
      </c>
      <c r="B273">
        <v>8.9543278364822801E-2</v>
      </c>
      <c r="C273">
        <v>6.2301287252757502</v>
      </c>
      <c r="D273">
        <v>1</v>
      </c>
      <c r="E273">
        <v>1</v>
      </c>
      <c r="F273">
        <v>7</v>
      </c>
      <c r="G273">
        <v>7</v>
      </c>
      <c r="H273" t="s">
        <v>28</v>
      </c>
      <c r="I273" t="s">
        <v>3438</v>
      </c>
      <c r="J273" t="s">
        <v>731</v>
      </c>
    </row>
    <row r="274" spans="1:10">
      <c r="A274" t="s">
        <v>3946</v>
      </c>
      <c r="B274">
        <v>8.9543278364822801E-2</v>
      </c>
      <c r="C274">
        <v>6.2301287252757502</v>
      </c>
      <c r="D274">
        <v>1</v>
      </c>
      <c r="E274">
        <v>1</v>
      </c>
      <c r="F274">
        <v>7</v>
      </c>
      <c r="G274">
        <v>7</v>
      </c>
      <c r="H274" t="s">
        <v>3947</v>
      </c>
      <c r="I274" t="s">
        <v>3948</v>
      </c>
      <c r="J274" t="s">
        <v>732</v>
      </c>
    </row>
    <row r="275" spans="1:10">
      <c r="A275" t="s">
        <v>3949</v>
      </c>
      <c r="B275">
        <v>8.9543278364822801E-2</v>
      </c>
      <c r="C275">
        <v>6.2301287252757502</v>
      </c>
      <c r="D275">
        <v>1</v>
      </c>
      <c r="E275">
        <v>1</v>
      </c>
      <c r="F275">
        <v>7</v>
      </c>
      <c r="G275">
        <v>7</v>
      </c>
      <c r="H275" t="s">
        <v>28</v>
      </c>
      <c r="I275" t="s">
        <v>3438</v>
      </c>
      <c r="J275" t="s">
        <v>733</v>
      </c>
    </row>
    <row r="276" spans="1:10">
      <c r="A276" t="s">
        <v>3950</v>
      </c>
      <c r="B276">
        <v>8.9543278364822801E-2</v>
      </c>
      <c r="C276">
        <v>6.2301287252757502</v>
      </c>
      <c r="D276">
        <v>1</v>
      </c>
      <c r="E276">
        <v>1</v>
      </c>
      <c r="F276">
        <v>7</v>
      </c>
      <c r="G276">
        <v>7</v>
      </c>
      <c r="H276" t="s">
        <v>3951</v>
      </c>
      <c r="I276" t="s">
        <v>3952</v>
      </c>
      <c r="J276" t="s">
        <v>734</v>
      </c>
    </row>
    <row r="277" spans="1:10">
      <c r="A277" t="s">
        <v>3953</v>
      </c>
      <c r="B277">
        <v>8.9543278364822801E-2</v>
      </c>
      <c r="C277">
        <v>6.2301287252757502</v>
      </c>
      <c r="D277">
        <v>1</v>
      </c>
      <c r="E277">
        <v>1</v>
      </c>
      <c r="F277">
        <v>7</v>
      </c>
      <c r="G277">
        <v>7</v>
      </c>
      <c r="H277" t="s">
        <v>28</v>
      </c>
      <c r="I277" t="s">
        <v>3438</v>
      </c>
      <c r="J277" t="s">
        <v>735</v>
      </c>
    </row>
    <row r="278" spans="1:10">
      <c r="A278" t="s">
        <v>3954</v>
      </c>
      <c r="B278">
        <v>8.9930773839053901E-2</v>
      </c>
      <c r="C278">
        <v>6.4227739519320997</v>
      </c>
      <c r="D278">
        <v>1</v>
      </c>
      <c r="E278">
        <v>1</v>
      </c>
      <c r="F278">
        <v>8</v>
      </c>
      <c r="G278">
        <v>8</v>
      </c>
      <c r="H278" t="s">
        <v>28</v>
      </c>
      <c r="I278" t="s">
        <v>3438</v>
      </c>
      <c r="J278" t="s">
        <v>736</v>
      </c>
    </row>
    <row r="279" spans="1:10">
      <c r="A279" t="s">
        <v>3955</v>
      </c>
      <c r="B279">
        <v>8.9930773839053901E-2</v>
      </c>
      <c r="C279">
        <v>6.4227739519320997</v>
      </c>
      <c r="D279">
        <v>1</v>
      </c>
      <c r="E279">
        <v>1</v>
      </c>
      <c r="F279">
        <v>8</v>
      </c>
      <c r="G279">
        <v>8</v>
      </c>
      <c r="H279" t="s">
        <v>28</v>
      </c>
      <c r="I279" t="s">
        <v>3438</v>
      </c>
      <c r="J279" t="s">
        <v>737</v>
      </c>
    </row>
    <row r="280" spans="1:10">
      <c r="A280" t="s">
        <v>3956</v>
      </c>
      <c r="B280">
        <v>8.9930773839053901E-2</v>
      </c>
      <c r="C280">
        <v>6.4227739519320997</v>
      </c>
      <c r="D280">
        <v>1</v>
      </c>
      <c r="E280">
        <v>1</v>
      </c>
      <c r="F280">
        <v>8</v>
      </c>
      <c r="G280">
        <v>8</v>
      </c>
      <c r="H280" t="s">
        <v>28</v>
      </c>
      <c r="I280" t="s">
        <v>3438</v>
      </c>
      <c r="J280" t="s">
        <v>738</v>
      </c>
    </row>
    <row r="281" spans="1:10">
      <c r="A281" t="s">
        <v>3957</v>
      </c>
      <c r="B281">
        <v>8.9930773839053901E-2</v>
      </c>
      <c r="C281">
        <v>6.4227739519320997</v>
      </c>
      <c r="D281">
        <v>1</v>
      </c>
      <c r="E281">
        <v>1</v>
      </c>
      <c r="F281">
        <v>8</v>
      </c>
      <c r="G281">
        <v>8</v>
      </c>
      <c r="H281" t="s">
        <v>28</v>
      </c>
      <c r="I281" t="s">
        <v>3438</v>
      </c>
      <c r="J281" t="s">
        <v>739</v>
      </c>
    </row>
    <row r="282" spans="1:10">
      <c r="A282" t="s">
        <v>3958</v>
      </c>
      <c r="B282">
        <v>8.9930773839053901E-2</v>
      </c>
      <c r="C282">
        <v>6.4227739519320997</v>
      </c>
      <c r="D282">
        <v>1</v>
      </c>
      <c r="E282">
        <v>1</v>
      </c>
      <c r="F282">
        <v>8</v>
      </c>
      <c r="G282">
        <v>8</v>
      </c>
      <c r="H282" t="s">
        <v>28</v>
      </c>
      <c r="I282" t="s">
        <v>3438</v>
      </c>
      <c r="J282" t="s">
        <v>740</v>
      </c>
    </row>
    <row r="283" spans="1:10">
      <c r="A283" t="s">
        <v>3959</v>
      </c>
      <c r="B283">
        <v>8.9930773839053901E-2</v>
      </c>
      <c r="C283">
        <v>6.4227739519320997</v>
      </c>
      <c r="D283">
        <v>1</v>
      </c>
      <c r="E283">
        <v>1</v>
      </c>
      <c r="F283">
        <v>8</v>
      </c>
      <c r="G283">
        <v>8</v>
      </c>
      <c r="H283" t="s">
        <v>28</v>
      </c>
      <c r="I283" t="s">
        <v>3438</v>
      </c>
      <c r="J283" t="s">
        <v>741</v>
      </c>
    </row>
    <row r="284" spans="1:10">
      <c r="A284" t="s">
        <v>3960</v>
      </c>
      <c r="B284">
        <v>8.9930773839053901E-2</v>
      </c>
      <c r="C284">
        <v>6.4227739519320997</v>
      </c>
      <c r="D284">
        <v>1</v>
      </c>
      <c r="E284">
        <v>1</v>
      </c>
      <c r="F284">
        <v>8</v>
      </c>
      <c r="G284">
        <v>8</v>
      </c>
      <c r="H284" t="s">
        <v>28</v>
      </c>
      <c r="I284" t="s">
        <v>3631</v>
      </c>
      <c r="J284" t="s">
        <v>742</v>
      </c>
    </row>
    <row r="285" spans="1:10">
      <c r="A285" t="s">
        <v>3961</v>
      </c>
      <c r="B285">
        <v>8.9930773839053901E-2</v>
      </c>
      <c r="C285">
        <v>6.4227739519320997</v>
      </c>
      <c r="D285">
        <v>1</v>
      </c>
      <c r="E285">
        <v>1</v>
      </c>
      <c r="F285">
        <v>8</v>
      </c>
      <c r="G285">
        <v>8</v>
      </c>
      <c r="H285" t="s">
        <v>3962</v>
      </c>
      <c r="I285" t="s">
        <v>3963</v>
      </c>
      <c r="J285" t="s">
        <v>743</v>
      </c>
    </row>
    <row r="286" spans="1:10">
      <c r="A286" t="s">
        <v>3964</v>
      </c>
      <c r="B286">
        <v>8.9930773839053901E-2</v>
      </c>
      <c r="C286">
        <v>6.4227739519320997</v>
      </c>
      <c r="D286">
        <v>1</v>
      </c>
      <c r="E286">
        <v>1</v>
      </c>
      <c r="F286">
        <v>8</v>
      </c>
      <c r="G286">
        <v>8</v>
      </c>
      <c r="H286" t="s">
        <v>28</v>
      </c>
      <c r="I286" t="s">
        <v>3438</v>
      </c>
      <c r="J286" t="s">
        <v>744</v>
      </c>
    </row>
    <row r="287" spans="1:10">
      <c r="A287" t="s">
        <v>3965</v>
      </c>
      <c r="B287">
        <v>9.0234486436504904E-2</v>
      </c>
      <c r="C287">
        <v>6.5926991020586998</v>
      </c>
      <c r="D287">
        <v>1</v>
      </c>
      <c r="E287">
        <v>1</v>
      </c>
      <c r="F287">
        <v>9</v>
      </c>
      <c r="G287">
        <v>9</v>
      </c>
      <c r="H287" t="s">
        <v>28</v>
      </c>
      <c r="I287" t="s">
        <v>3966</v>
      </c>
      <c r="J287" t="s">
        <v>745</v>
      </c>
    </row>
    <row r="288" spans="1:10">
      <c r="A288" t="s">
        <v>3967</v>
      </c>
      <c r="B288">
        <v>9.0234486436504904E-2</v>
      </c>
      <c r="C288">
        <v>6.5926991020586998</v>
      </c>
      <c r="D288">
        <v>1</v>
      </c>
      <c r="E288">
        <v>1</v>
      </c>
      <c r="F288">
        <v>9</v>
      </c>
      <c r="G288">
        <v>9</v>
      </c>
      <c r="H288" t="s">
        <v>3968</v>
      </c>
      <c r="I288" t="s">
        <v>3571</v>
      </c>
      <c r="J288" t="s">
        <v>381</v>
      </c>
    </row>
    <row r="289" spans="1:10">
      <c r="A289" t="s">
        <v>3969</v>
      </c>
      <c r="B289">
        <v>9.0234486436504904E-2</v>
      </c>
      <c r="C289">
        <v>6.5926991020586998</v>
      </c>
      <c r="D289">
        <v>1</v>
      </c>
      <c r="E289">
        <v>1</v>
      </c>
      <c r="F289">
        <v>9</v>
      </c>
      <c r="G289">
        <v>9</v>
      </c>
      <c r="H289" t="s">
        <v>3970</v>
      </c>
      <c r="I289" t="s">
        <v>3971</v>
      </c>
      <c r="J289" t="s">
        <v>746</v>
      </c>
    </row>
    <row r="290" spans="1:10">
      <c r="A290" t="s">
        <v>3972</v>
      </c>
      <c r="B290">
        <v>9.0234486436504904E-2</v>
      </c>
      <c r="C290">
        <v>6.5926991020586998</v>
      </c>
      <c r="D290">
        <v>1</v>
      </c>
      <c r="E290">
        <v>1</v>
      </c>
      <c r="F290">
        <v>9</v>
      </c>
      <c r="G290">
        <v>9</v>
      </c>
      <c r="H290" t="s">
        <v>3973</v>
      </c>
      <c r="I290" t="s">
        <v>3974</v>
      </c>
      <c r="J290" t="s">
        <v>747</v>
      </c>
    </row>
    <row r="291" spans="1:10">
      <c r="A291" t="s">
        <v>3975</v>
      </c>
      <c r="B291">
        <v>9.0234486436504904E-2</v>
      </c>
      <c r="C291">
        <v>6.5926991020586998</v>
      </c>
      <c r="D291">
        <v>1</v>
      </c>
      <c r="E291">
        <v>1</v>
      </c>
      <c r="F291">
        <v>9</v>
      </c>
      <c r="G291">
        <v>9</v>
      </c>
      <c r="H291" t="s">
        <v>28</v>
      </c>
      <c r="I291" t="s">
        <v>3976</v>
      </c>
      <c r="J291" t="s">
        <v>748</v>
      </c>
    </row>
    <row r="292" spans="1:10">
      <c r="A292" t="s">
        <v>3977</v>
      </c>
      <c r="B292">
        <v>9.0234486436504904E-2</v>
      </c>
      <c r="C292">
        <v>6.5926991020586998</v>
      </c>
      <c r="D292">
        <v>1</v>
      </c>
      <c r="E292">
        <v>1</v>
      </c>
      <c r="F292">
        <v>9</v>
      </c>
      <c r="G292">
        <v>9</v>
      </c>
      <c r="H292" t="s">
        <v>28</v>
      </c>
      <c r="I292" t="s">
        <v>3438</v>
      </c>
      <c r="J292" t="s">
        <v>749</v>
      </c>
    </row>
    <row r="293" spans="1:10">
      <c r="A293" t="s">
        <v>3978</v>
      </c>
      <c r="B293">
        <v>9.0234486436504904E-2</v>
      </c>
      <c r="C293">
        <v>6.5926991020586998</v>
      </c>
      <c r="D293">
        <v>1</v>
      </c>
      <c r="E293">
        <v>1</v>
      </c>
      <c r="F293">
        <v>9</v>
      </c>
      <c r="G293">
        <v>9</v>
      </c>
      <c r="H293" t="s">
        <v>28</v>
      </c>
      <c r="I293" t="s">
        <v>3438</v>
      </c>
      <c r="J293" t="s">
        <v>750</v>
      </c>
    </row>
    <row r="294" spans="1:10">
      <c r="A294" t="s">
        <v>3979</v>
      </c>
      <c r="B294">
        <v>9.0234486436504904E-2</v>
      </c>
      <c r="C294">
        <v>6.5926991020586998</v>
      </c>
      <c r="D294">
        <v>1</v>
      </c>
      <c r="E294">
        <v>1</v>
      </c>
      <c r="F294">
        <v>9</v>
      </c>
      <c r="G294">
        <v>9</v>
      </c>
      <c r="H294" t="s">
        <v>28</v>
      </c>
      <c r="I294" t="s">
        <v>3980</v>
      </c>
      <c r="J294" t="s">
        <v>751</v>
      </c>
    </row>
    <row r="295" spans="1:10">
      <c r="A295" t="s">
        <v>3981</v>
      </c>
      <c r="B295">
        <v>9.0478937998681799E-2</v>
      </c>
      <c r="C295">
        <v>6.7447023441583802</v>
      </c>
      <c r="D295">
        <v>1</v>
      </c>
      <c r="E295">
        <v>1</v>
      </c>
      <c r="F295">
        <v>10</v>
      </c>
      <c r="G295">
        <v>10</v>
      </c>
      <c r="H295" t="s">
        <v>3982</v>
      </c>
      <c r="I295" t="s">
        <v>3571</v>
      </c>
      <c r="J295" t="s">
        <v>752</v>
      </c>
    </row>
    <row r="296" spans="1:10">
      <c r="A296" t="s">
        <v>3983</v>
      </c>
      <c r="B296">
        <v>9.0478937998681799E-2</v>
      </c>
      <c r="C296">
        <v>6.7447023441583802</v>
      </c>
      <c r="D296">
        <v>1</v>
      </c>
      <c r="E296">
        <v>1</v>
      </c>
      <c r="F296">
        <v>10</v>
      </c>
      <c r="G296">
        <v>10</v>
      </c>
      <c r="H296" t="s">
        <v>3984</v>
      </c>
      <c r="I296" t="s">
        <v>3985</v>
      </c>
      <c r="J296" t="s">
        <v>753</v>
      </c>
    </row>
    <row r="297" spans="1:10">
      <c r="A297" t="s">
        <v>3986</v>
      </c>
      <c r="B297">
        <v>9.0478937998681799E-2</v>
      </c>
      <c r="C297">
        <v>6.7447023441583802</v>
      </c>
      <c r="D297">
        <v>1</v>
      </c>
      <c r="E297">
        <v>1</v>
      </c>
      <c r="F297">
        <v>10</v>
      </c>
      <c r="G297">
        <v>10</v>
      </c>
      <c r="H297" t="s">
        <v>28</v>
      </c>
      <c r="I297" t="s">
        <v>3987</v>
      </c>
      <c r="J297" t="s">
        <v>754</v>
      </c>
    </row>
    <row r="298" spans="1:10">
      <c r="A298" t="s">
        <v>3988</v>
      </c>
      <c r="B298">
        <v>9.0478937998681799E-2</v>
      </c>
      <c r="C298">
        <v>6.7447023441583802</v>
      </c>
      <c r="D298">
        <v>1</v>
      </c>
      <c r="E298">
        <v>1</v>
      </c>
      <c r="F298">
        <v>10</v>
      </c>
      <c r="G298">
        <v>10</v>
      </c>
      <c r="H298" t="s">
        <v>3989</v>
      </c>
      <c r="I298" t="s">
        <v>3990</v>
      </c>
      <c r="J298" t="s">
        <v>755</v>
      </c>
    </row>
    <row r="299" spans="1:10">
      <c r="A299" t="s">
        <v>3991</v>
      </c>
      <c r="B299">
        <v>9.0478937998681799E-2</v>
      </c>
      <c r="C299">
        <v>6.7447023441583802</v>
      </c>
      <c r="D299">
        <v>1</v>
      </c>
      <c r="E299">
        <v>1</v>
      </c>
      <c r="F299">
        <v>10</v>
      </c>
      <c r="G299">
        <v>10</v>
      </c>
      <c r="H299" t="s">
        <v>28</v>
      </c>
      <c r="I299" t="s">
        <v>3438</v>
      </c>
      <c r="J299" t="s">
        <v>756</v>
      </c>
    </row>
    <row r="300" spans="1:10">
      <c r="A300" t="s">
        <v>3992</v>
      </c>
      <c r="B300">
        <v>9.0679931480890097E-2</v>
      </c>
      <c r="C300">
        <v>6.8822060165332797</v>
      </c>
      <c r="D300">
        <v>1</v>
      </c>
      <c r="E300">
        <v>1</v>
      </c>
      <c r="F300">
        <v>11</v>
      </c>
      <c r="G300">
        <v>11</v>
      </c>
      <c r="H300" t="s">
        <v>28</v>
      </c>
      <c r="I300" t="s">
        <v>3993</v>
      </c>
      <c r="J300" t="s">
        <v>757</v>
      </c>
    </row>
    <row r="301" spans="1:10">
      <c r="A301" t="s">
        <v>3994</v>
      </c>
      <c r="B301">
        <v>9.0679931480890097E-2</v>
      </c>
      <c r="C301">
        <v>6.8822060165332797</v>
      </c>
      <c r="D301">
        <v>1</v>
      </c>
      <c r="E301">
        <v>1</v>
      </c>
      <c r="F301">
        <v>11</v>
      </c>
      <c r="G301">
        <v>11</v>
      </c>
      <c r="H301" t="s">
        <v>3995</v>
      </c>
      <c r="I301" t="s">
        <v>3996</v>
      </c>
      <c r="J301" t="s">
        <v>758</v>
      </c>
    </row>
    <row r="302" spans="1:10">
      <c r="A302" t="s">
        <v>3997</v>
      </c>
      <c r="B302">
        <v>9.0679931480890097E-2</v>
      </c>
      <c r="C302">
        <v>6.8822060165332797</v>
      </c>
      <c r="D302">
        <v>1</v>
      </c>
      <c r="E302">
        <v>1</v>
      </c>
      <c r="F302">
        <v>11</v>
      </c>
      <c r="G302">
        <v>11</v>
      </c>
      <c r="H302" t="s">
        <v>28</v>
      </c>
      <c r="I302" t="s">
        <v>3438</v>
      </c>
      <c r="J302" t="s">
        <v>759</v>
      </c>
    </row>
    <row r="303" spans="1:10">
      <c r="A303" t="s">
        <v>3998</v>
      </c>
      <c r="B303">
        <v>9.0679931480890097E-2</v>
      </c>
      <c r="C303">
        <v>6.8822060165332797</v>
      </c>
      <c r="D303">
        <v>1</v>
      </c>
      <c r="E303">
        <v>1</v>
      </c>
      <c r="F303">
        <v>11</v>
      </c>
      <c r="G303">
        <v>11</v>
      </c>
      <c r="H303" t="s">
        <v>28</v>
      </c>
      <c r="I303" t="s">
        <v>3999</v>
      </c>
      <c r="J303" t="s">
        <v>760</v>
      </c>
    </row>
    <row r="304" spans="1:10">
      <c r="A304" t="s">
        <v>4000</v>
      </c>
      <c r="B304">
        <v>9.0679931480890097E-2</v>
      </c>
      <c r="C304">
        <v>6.8822060165332797</v>
      </c>
      <c r="D304">
        <v>1</v>
      </c>
      <c r="E304">
        <v>1</v>
      </c>
      <c r="F304">
        <v>11</v>
      </c>
      <c r="G304">
        <v>11</v>
      </c>
      <c r="H304" t="s">
        <v>28</v>
      </c>
      <c r="I304" t="s">
        <v>4001</v>
      </c>
      <c r="J304" t="s">
        <v>761</v>
      </c>
    </row>
    <row r="305" spans="1:10">
      <c r="A305" t="s">
        <v>4002</v>
      </c>
      <c r="B305">
        <v>9.0679931480890097E-2</v>
      </c>
      <c r="C305">
        <v>6.8822060165332797</v>
      </c>
      <c r="D305">
        <v>1</v>
      </c>
      <c r="E305">
        <v>1</v>
      </c>
      <c r="F305">
        <v>11</v>
      </c>
      <c r="G305">
        <v>11</v>
      </c>
      <c r="H305" t="s">
        <v>28</v>
      </c>
      <c r="I305" t="s">
        <v>3438</v>
      </c>
      <c r="J305" t="s">
        <v>762</v>
      </c>
    </row>
    <row r="306" spans="1:10">
      <c r="A306" t="s">
        <v>4003</v>
      </c>
      <c r="B306">
        <v>9.0848109685252004E-2</v>
      </c>
      <c r="C306">
        <v>7.00773704721247</v>
      </c>
      <c r="D306">
        <v>1</v>
      </c>
      <c r="E306">
        <v>1</v>
      </c>
      <c r="F306">
        <v>12</v>
      </c>
      <c r="G306">
        <v>12</v>
      </c>
      <c r="H306" t="s">
        <v>28</v>
      </c>
      <c r="I306" t="s">
        <v>3438</v>
      </c>
      <c r="J306" t="s">
        <v>763</v>
      </c>
    </row>
    <row r="307" spans="1:10">
      <c r="A307" t="s">
        <v>4004</v>
      </c>
      <c r="B307">
        <v>9.0848109685252004E-2</v>
      </c>
      <c r="C307">
        <v>7.00773704721247</v>
      </c>
      <c r="D307">
        <v>1</v>
      </c>
      <c r="E307">
        <v>1</v>
      </c>
      <c r="F307">
        <v>12</v>
      </c>
      <c r="G307">
        <v>12</v>
      </c>
      <c r="H307" t="s">
        <v>4005</v>
      </c>
      <c r="I307" t="s">
        <v>4006</v>
      </c>
      <c r="J307" t="s">
        <v>764</v>
      </c>
    </row>
    <row r="308" spans="1:10">
      <c r="A308" t="s">
        <v>4007</v>
      </c>
      <c r="B308">
        <v>9.0848109685252004E-2</v>
      </c>
      <c r="C308">
        <v>7.00773704721247</v>
      </c>
      <c r="D308">
        <v>1</v>
      </c>
      <c r="E308">
        <v>1</v>
      </c>
      <c r="F308">
        <v>12</v>
      </c>
      <c r="G308">
        <v>12</v>
      </c>
      <c r="H308" t="s">
        <v>31</v>
      </c>
      <c r="I308" t="s">
        <v>4008</v>
      </c>
      <c r="J308" t="s">
        <v>30</v>
      </c>
    </row>
    <row r="309" spans="1:10">
      <c r="A309" t="s">
        <v>4009</v>
      </c>
      <c r="B309">
        <v>9.0848109685252004E-2</v>
      </c>
      <c r="C309">
        <v>7.00773704721247</v>
      </c>
      <c r="D309">
        <v>1</v>
      </c>
      <c r="E309">
        <v>1</v>
      </c>
      <c r="F309">
        <v>12</v>
      </c>
      <c r="G309">
        <v>12</v>
      </c>
      <c r="H309" t="s">
        <v>28</v>
      </c>
      <c r="I309" t="s">
        <v>4010</v>
      </c>
      <c r="J309" t="s">
        <v>765</v>
      </c>
    </row>
    <row r="310" spans="1:10">
      <c r="A310" t="s">
        <v>4011</v>
      </c>
      <c r="B310">
        <v>9.0848109685252004E-2</v>
      </c>
      <c r="C310">
        <v>7.00773704721247</v>
      </c>
      <c r="D310">
        <v>1</v>
      </c>
      <c r="E310">
        <v>1</v>
      </c>
      <c r="F310">
        <v>12</v>
      </c>
      <c r="G310">
        <v>12</v>
      </c>
      <c r="H310" t="s">
        <v>4012</v>
      </c>
      <c r="I310" t="s">
        <v>4013</v>
      </c>
      <c r="J310" t="s">
        <v>766</v>
      </c>
    </row>
    <row r="311" spans="1:10">
      <c r="A311" t="s">
        <v>4014</v>
      </c>
      <c r="B311">
        <v>9.0848109685252004E-2</v>
      </c>
      <c r="C311">
        <v>7.00773704721247</v>
      </c>
      <c r="D311">
        <v>1</v>
      </c>
      <c r="E311">
        <v>1</v>
      </c>
      <c r="F311">
        <v>12</v>
      </c>
      <c r="G311">
        <v>12</v>
      </c>
      <c r="H311" t="s">
        <v>4015</v>
      </c>
      <c r="I311" t="s">
        <v>4016</v>
      </c>
      <c r="J311" t="s">
        <v>767</v>
      </c>
    </row>
    <row r="312" spans="1:10">
      <c r="A312" t="s">
        <v>4017</v>
      </c>
      <c r="B312">
        <v>9.0848109685252004E-2</v>
      </c>
      <c r="C312">
        <v>7.00773704721247</v>
      </c>
      <c r="D312">
        <v>1</v>
      </c>
      <c r="E312">
        <v>1</v>
      </c>
      <c r="F312">
        <v>12</v>
      </c>
      <c r="G312">
        <v>12</v>
      </c>
      <c r="H312" t="s">
        <v>28</v>
      </c>
      <c r="I312" t="s">
        <v>3438</v>
      </c>
      <c r="J312" t="s">
        <v>768</v>
      </c>
    </row>
    <row r="313" spans="1:10">
      <c r="A313" t="s">
        <v>4018</v>
      </c>
      <c r="B313">
        <v>9.0848109685252004E-2</v>
      </c>
      <c r="C313">
        <v>7.00773704721247</v>
      </c>
      <c r="D313">
        <v>1</v>
      </c>
      <c r="E313">
        <v>1</v>
      </c>
      <c r="F313">
        <v>12</v>
      </c>
      <c r="G313">
        <v>12</v>
      </c>
      <c r="H313" t="s">
        <v>4019</v>
      </c>
      <c r="I313" t="s">
        <v>4020</v>
      </c>
      <c r="J313" t="s">
        <v>769</v>
      </c>
    </row>
    <row r="314" spans="1:10">
      <c r="A314" t="s">
        <v>4021</v>
      </c>
      <c r="B314">
        <v>9.0848109685252004E-2</v>
      </c>
      <c r="C314">
        <v>7.00773704721247</v>
      </c>
      <c r="D314">
        <v>1</v>
      </c>
      <c r="E314">
        <v>1</v>
      </c>
      <c r="F314">
        <v>12</v>
      </c>
      <c r="G314">
        <v>12</v>
      </c>
      <c r="H314" t="s">
        <v>4022</v>
      </c>
      <c r="I314" t="s">
        <v>4023</v>
      </c>
      <c r="J314" t="s">
        <v>770</v>
      </c>
    </row>
    <row r="315" spans="1:10">
      <c r="A315" t="s">
        <v>4024</v>
      </c>
      <c r="B315">
        <v>9.0848109685252004E-2</v>
      </c>
      <c r="C315">
        <v>7.00773704721247</v>
      </c>
      <c r="D315">
        <v>1</v>
      </c>
      <c r="E315">
        <v>1</v>
      </c>
      <c r="F315">
        <v>12</v>
      </c>
      <c r="G315">
        <v>12</v>
      </c>
      <c r="H315" t="s">
        <v>4025</v>
      </c>
      <c r="I315" t="s">
        <v>3450</v>
      </c>
      <c r="J315" t="s">
        <v>771</v>
      </c>
    </row>
    <row r="316" spans="1:10">
      <c r="A316" t="s">
        <v>4026</v>
      </c>
      <c r="B316">
        <v>9.0990902490138498E-2</v>
      </c>
      <c r="C316">
        <v>7.1232144131981103</v>
      </c>
      <c r="D316">
        <v>1</v>
      </c>
      <c r="E316">
        <v>1</v>
      </c>
      <c r="F316">
        <v>13</v>
      </c>
      <c r="G316">
        <v>13</v>
      </c>
      <c r="H316" t="s">
        <v>4027</v>
      </c>
      <c r="I316" t="s">
        <v>4028</v>
      </c>
      <c r="J316" t="s">
        <v>772</v>
      </c>
    </row>
    <row r="317" spans="1:10">
      <c r="A317" t="s">
        <v>4029</v>
      </c>
      <c r="B317">
        <v>9.0990902490138498E-2</v>
      </c>
      <c r="C317">
        <v>7.1232144131981103</v>
      </c>
      <c r="D317">
        <v>1</v>
      </c>
      <c r="E317">
        <v>1</v>
      </c>
      <c r="F317">
        <v>13</v>
      </c>
      <c r="G317">
        <v>13</v>
      </c>
      <c r="H317" t="s">
        <v>4030</v>
      </c>
      <c r="I317" t="s">
        <v>4031</v>
      </c>
      <c r="J317" t="s">
        <v>773</v>
      </c>
    </row>
    <row r="318" spans="1:10">
      <c r="A318" t="s">
        <v>4032</v>
      </c>
      <c r="B318">
        <v>9.0990902490138498E-2</v>
      </c>
      <c r="C318">
        <v>7.1232144131981103</v>
      </c>
      <c r="D318">
        <v>1</v>
      </c>
      <c r="E318">
        <v>1</v>
      </c>
      <c r="F318">
        <v>13</v>
      </c>
      <c r="G318">
        <v>13</v>
      </c>
      <c r="H318" t="s">
        <v>4033</v>
      </c>
      <c r="I318" t="s">
        <v>4034</v>
      </c>
      <c r="J318" t="s">
        <v>774</v>
      </c>
    </row>
    <row r="319" spans="1:10">
      <c r="A319" t="s">
        <v>4035</v>
      </c>
      <c r="B319">
        <v>9.0990902490138498E-2</v>
      </c>
      <c r="C319">
        <v>7.1232144131981103</v>
      </c>
      <c r="D319">
        <v>1</v>
      </c>
      <c r="E319">
        <v>1</v>
      </c>
      <c r="F319">
        <v>13</v>
      </c>
      <c r="G319">
        <v>13</v>
      </c>
      <c r="H319" t="s">
        <v>28</v>
      </c>
      <c r="I319" t="s">
        <v>3438</v>
      </c>
      <c r="J319" t="s">
        <v>775</v>
      </c>
    </row>
    <row r="320" spans="1:10">
      <c r="A320" t="s">
        <v>4036</v>
      </c>
      <c r="B320">
        <v>9.0990902490138498E-2</v>
      </c>
      <c r="C320">
        <v>7.1232144131981103</v>
      </c>
      <c r="D320">
        <v>1</v>
      </c>
      <c r="E320">
        <v>1</v>
      </c>
      <c r="F320">
        <v>13</v>
      </c>
      <c r="G320">
        <v>13</v>
      </c>
      <c r="H320" t="s">
        <v>28</v>
      </c>
      <c r="I320" t="s">
        <v>3438</v>
      </c>
      <c r="J320" t="s">
        <v>776</v>
      </c>
    </row>
    <row r="321" spans="1:10">
      <c r="A321" t="s">
        <v>4037</v>
      </c>
      <c r="B321">
        <v>9.0990902490138498E-2</v>
      </c>
      <c r="C321">
        <v>7.1232144131981103</v>
      </c>
      <c r="D321">
        <v>1</v>
      </c>
      <c r="E321">
        <v>1</v>
      </c>
      <c r="F321">
        <v>13</v>
      </c>
      <c r="G321">
        <v>13</v>
      </c>
      <c r="H321" t="s">
        <v>28</v>
      </c>
      <c r="I321" t="s">
        <v>4038</v>
      </c>
      <c r="J321" t="s">
        <v>777</v>
      </c>
    </row>
    <row r="322" spans="1:10">
      <c r="A322" t="s">
        <v>4039</v>
      </c>
      <c r="B322">
        <v>9.0990902490138498E-2</v>
      </c>
      <c r="C322">
        <v>7.1232144131981103</v>
      </c>
      <c r="D322">
        <v>1</v>
      </c>
      <c r="E322">
        <v>1</v>
      </c>
      <c r="F322">
        <v>13</v>
      </c>
      <c r="G322">
        <v>13</v>
      </c>
      <c r="H322" t="s">
        <v>4040</v>
      </c>
      <c r="I322" t="s">
        <v>3571</v>
      </c>
      <c r="J322" t="s">
        <v>778</v>
      </c>
    </row>
    <row r="323" spans="1:10">
      <c r="A323" t="s">
        <v>4041</v>
      </c>
      <c r="B323">
        <v>9.0990902490138498E-2</v>
      </c>
      <c r="C323">
        <v>7.1232144131981103</v>
      </c>
      <c r="D323">
        <v>1</v>
      </c>
      <c r="E323">
        <v>1</v>
      </c>
      <c r="F323">
        <v>13</v>
      </c>
      <c r="G323">
        <v>13</v>
      </c>
      <c r="H323" t="s">
        <v>4042</v>
      </c>
      <c r="I323" t="s">
        <v>4043</v>
      </c>
      <c r="J323" t="s">
        <v>779</v>
      </c>
    </row>
    <row r="324" spans="1:10">
      <c r="A324" t="s">
        <v>4044</v>
      </c>
      <c r="B324">
        <v>9.0990902490138498E-2</v>
      </c>
      <c r="C324">
        <v>7.1232144131981103</v>
      </c>
      <c r="D324">
        <v>1</v>
      </c>
      <c r="E324">
        <v>1</v>
      </c>
      <c r="F324">
        <v>13</v>
      </c>
      <c r="G324">
        <v>13</v>
      </c>
      <c r="H324" t="s">
        <v>28</v>
      </c>
      <c r="I324" t="s">
        <v>4045</v>
      </c>
      <c r="J324" t="s">
        <v>780</v>
      </c>
    </row>
    <row r="325" spans="1:10">
      <c r="A325" t="s">
        <v>4046</v>
      </c>
      <c r="B325">
        <v>9.0990902490138498E-2</v>
      </c>
      <c r="C325">
        <v>7.1232144131981103</v>
      </c>
      <c r="D325">
        <v>1</v>
      </c>
      <c r="E325">
        <v>1</v>
      </c>
      <c r="F325">
        <v>13</v>
      </c>
      <c r="G325">
        <v>13</v>
      </c>
      <c r="H325" t="s">
        <v>4047</v>
      </c>
      <c r="I325" t="s">
        <v>3450</v>
      </c>
      <c r="J325" t="s">
        <v>781</v>
      </c>
    </row>
    <row r="326" spans="1:10">
      <c r="A326" t="s">
        <v>4048</v>
      </c>
      <c r="B326">
        <v>9.0990902490138498E-2</v>
      </c>
      <c r="C326">
        <v>7.1232144131981103</v>
      </c>
      <c r="D326">
        <v>1</v>
      </c>
      <c r="E326">
        <v>1</v>
      </c>
      <c r="F326">
        <v>13</v>
      </c>
      <c r="G326">
        <v>13</v>
      </c>
      <c r="H326" t="s">
        <v>28</v>
      </c>
      <c r="I326" t="s">
        <v>3438</v>
      </c>
      <c r="J326" t="s">
        <v>782</v>
      </c>
    </row>
    <row r="327" spans="1:10">
      <c r="A327" t="s">
        <v>4049</v>
      </c>
      <c r="B327">
        <v>9.1113654192728905E-2</v>
      </c>
      <c r="C327">
        <v>7.2301297656506902</v>
      </c>
      <c r="D327">
        <v>1</v>
      </c>
      <c r="E327">
        <v>1</v>
      </c>
      <c r="F327">
        <v>14</v>
      </c>
      <c r="G327">
        <v>14</v>
      </c>
      <c r="H327" t="s">
        <v>4050</v>
      </c>
      <c r="I327" t="s">
        <v>4051</v>
      </c>
      <c r="J327" t="s">
        <v>783</v>
      </c>
    </row>
    <row r="328" spans="1:10">
      <c r="A328" t="s">
        <v>4052</v>
      </c>
      <c r="B328">
        <v>9.1113654192728905E-2</v>
      </c>
      <c r="C328">
        <v>7.2301297656506902</v>
      </c>
      <c r="D328">
        <v>1</v>
      </c>
      <c r="E328">
        <v>1</v>
      </c>
      <c r="F328">
        <v>14</v>
      </c>
      <c r="G328">
        <v>14</v>
      </c>
      <c r="H328" t="s">
        <v>28</v>
      </c>
      <c r="I328" t="s">
        <v>4053</v>
      </c>
      <c r="J328" t="s">
        <v>784</v>
      </c>
    </row>
    <row r="329" spans="1:10">
      <c r="A329" t="s">
        <v>4054</v>
      </c>
      <c r="B329">
        <v>9.1113654192728905E-2</v>
      </c>
      <c r="C329">
        <v>7.2301297656506902</v>
      </c>
      <c r="D329">
        <v>1</v>
      </c>
      <c r="E329">
        <v>1</v>
      </c>
      <c r="F329">
        <v>14</v>
      </c>
      <c r="G329">
        <v>14</v>
      </c>
      <c r="H329" t="s">
        <v>28</v>
      </c>
      <c r="I329" t="s">
        <v>3438</v>
      </c>
      <c r="J329" t="s">
        <v>785</v>
      </c>
    </row>
    <row r="330" spans="1:10">
      <c r="A330" t="s">
        <v>4055</v>
      </c>
      <c r="B330">
        <v>9.1113654192728905E-2</v>
      </c>
      <c r="C330">
        <v>7.2301297656506902</v>
      </c>
      <c r="D330">
        <v>1</v>
      </c>
      <c r="E330">
        <v>1</v>
      </c>
      <c r="F330">
        <v>14</v>
      </c>
      <c r="G330">
        <v>14</v>
      </c>
      <c r="H330" t="s">
        <v>28</v>
      </c>
      <c r="I330" t="s">
        <v>3438</v>
      </c>
      <c r="J330" t="s">
        <v>786</v>
      </c>
    </row>
    <row r="331" spans="1:10">
      <c r="A331" t="s">
        <v>4056</v>
      </c>
      <c r="B331">
        <v>9.1113654192728905E-2</v>
      </c>
      <c r="C331">
        <v>7.2301297656506902</v>
      </c>
      <c r="D331">
        <v>1</v>
      </c>
      <c r="E331">
        <v>1</v>
      </c>
      <c r="F331">
        <v>14</v>
      </c>
      <c r="G331">
        <v>14</v>
      </c>
      <c r="H331" t="s">
        <v>28</v>
      </c>
      <c r="I331" t="s">
        <v>3438</v>
      </c>
      <c r="J331" t="s">
        <v>787</v>
      </c>
    </row>
    <row r="332" spans="1:10">
      <c r="A332" t="s">
        <v>4057</v>
      </c>
      <c r="B332">
        <v>9.1113654192728905E-2</v>
      </c>
      <c r="C332">
        <v>7.2301297656506902</v>
      </c>
      <c r="D332">
        <v>1</v>
      </c>
      <c r="E332">
        <v>1</v>
      </c>
      <c r="F332">
        <v>14</v>
      </c>
      <c r="G332">
        <v>14</v>
      </c>
      <c r="H332" t="s">
        <v>28</v>
      </c>
      <c r="I332" t="s">
        <v>4058</v>
      </c>
      <c r="J332" t="s">
        <v>788</v>
      </c>
    </row>
    <row r="333" spans="1:10">
      <c r="A333" t="s">
        <v>4059</v>
      </c>
      <c r="B333">
        <v>9.1113654192728905E-2</v>
      </c>
      <c r="C333">
        <v>7.2301297656506902</v>
      </c>
      <c r="D333">
        <v>1</v>
      </c>
      <c r="E333">
        <v>1</v>
      </c>
      <c r="F333">
        <v>14</v>
      </c>
      <c r="G333">
        <v>14</v>
      </c>
      <c r="H333" t="s">
        <v>4060</v>
      </c>
      <c r="I333" t="s">
        <v>4061</v>
      </c>
      <c r="J333" t="s">
        <v>789</v>
      </c>
    </row>
    <row r="334" spans="1:10">
      <c r="A334" t="s">
        <v>4062</v>
      </c>
      <c r="B334">
        <v>9.1113654192728905E-2</v>
      </c>
      <c r="C334">
        <v>7.2301297656506902</v>
      </c>
      <c r="D334">
        <v>1</v>
      </c>
      <c r="E334">
        <v>1</v>
      </c>
      <c r="F334">
        <v>14</v>
      </c>
      <c r="G334">
        <v>14</v>
      </c>
      <c r="H334" t="s">
        <v>4063</v>
      </c>
      <c r="I334" t="s">
        <v>4064</v>
      </c>
      <c r="J334" t="s">
        <v>790</v>
      </c>
    </row>
    <row r="335" spans="1:10">
      <c r="A335" t="s">
        <v>4065</v>
      </c>
      <c r="B335">
        <v>9.1113654192728905E-2</v>
      </c>
      <c r="C335">
        <v>7.2301297656506902</v>
      </c>
      <c r="D335">
        <v>1</v>
      </c>
      <c r="E335">
        <v>1</v>
      </c>
      <c r="F335">
        <v>14</v>
      </c>
      <c r="G335">
        <v>14</v>
      </c>
      <c r="H335" t="s">
        <v>4066</v>
      </c>
      <c r="I335" t="s">
        <v>4067</v>
      </c>
      <c r="J335" t="s">
        <v>791</v>
      </c>
    </row>
    <row r="336" spans="1:10">
      <c r="A336" t="s">
        <v>4068</v>
      </c>
      <c r="B336">
        <v>9.1113654192728905E-2</v>
      </c>
      <c r="C336">
        <v>7.2301297656506902</v>
      </c>
      <c r="D336">
        <v>1</v>
      </c>
      <c r="E336">
        <v>1</v>
      </c>
      <c r="F336">
        <v>14</v>
      </c>
      <c r="G336">
        <v>14</v>
      </c>
      <c r="H336" t="s">
        <v>4069</v>
      </c>
      <c r="I336" t="s">
        <v>4070</v>
      </c>
      <c r="J336" t="s">
        <v>792</v>
      </c>
    </row>
    <row r="337" spans="1:10">
      <c r="A337" t="s">
        <v>4071</v>
      </c>
      <c r="B337">
        <v>9.1220307306578499E-2</v>
      </c>
      <c r="C337">
        <v>7.3296655877080497</v>
      </c>
      <c r="D337">
        <v>1</v>
      </c>
      <c r="E337">
        <v>1</v>
      </c>
      <c r="F337">
        <v>15</v>
      </c>
      <c r="G337">
        <v>15</v>
      </c>
      <c r="H337" t="s">
        <v>28</v>
      </c>
      <c r="I337" t="s">
        <v>3631</v>
      </c>
      <c r="J337" t="s">
        <v>121</v>
      </c>
    </row>
    <row r="338" spans="1:10">
      <c r="A338" t="s">
        <v>4072</v>
      </c>
      <c r="B338">
        <v>9.1220307306578499E-2</v>
      </c>
      <c r="C338">
        <v>7.3296655877080497</v>
      </c>
      <c r="D338">
        <v>1</v>
      </c>
      <c r="E338">
        <v>1</v>
      </c>
      <c r="F338">
        <v>15</v>
      </c>
      <c r="G338">
        <v>15</v>
      </c>
      <c r="H338" t="s">
        <v>28</v>
      </c>
      <c r="I338" t="s">
        <v>3438</v>
      </c>
      <c r="J338" t="s">
        <v>793</v>
      </c>
    </row>
    <row r="339" spans="1:10">
      <c r="A339" t="s">
        <v>4073</v>
      </c>
      <c r="B339">
        <v>9.1220307306578499E-2</v>
      </c>
      <c r="C339">
        <v>7.3296655877080497</v>
      </c>
      <c r="D339">
        <v>1</v>
      </c>
      <c r="E339">
        <v>1</v>
      </c>
      <c r="F339">
        <v>15</v>
      </c>
      <c r="G339">
        <v>15</v>
      </c>
      <c r="H339" t="s">
        <v>28</v>
      </c>
      <c r="I339" t="s">
        <v>4074</v>
      </c>
      <c r="J339" t="s">
        <v>794</v>
      </c>
    </row>
    <row r="340" spans="1:10">
      <c r="A340" t="s">
        <v>4075</v>
      </c>
      <c r="B340">
        <v>0.196021873845344</v>
      </c>
      <c r="C340">
        <v>7.1776645860793398</v>
      </c>
      <c r="D340">
        <v>1</v>
      </c>
      <c r="E340">
        <v>1</v>
      </c>
      <c r="F340">
        <v>14</v>
      </c>
      <c r="G340">
        <v>13</v>
      </c>
      <c r="H340" t="s">
        <v>28</v>
      </c>
      <c r="I340" t="s">
        <v>3438</v>
      </c>
      <c r="J340" t="s">
        <v>795</v>
      </c>
    </row>
    <row r="341" spans="1:10">
      <c r="A341" t="s">
        <v>4076</v>
      </c>
      <c r="B341">
        <v>0.196021873845344</v>
      </c>
      <c r="C341">
        <v>7.1776645860793398</v>
      </c>
      <c r="D341">
        <v>1</v>
      </c>
      <c r="E341">
        <v>1</v>
      </c>
      <c r="F341">
        <v>14</v>
      </c>
      <c r="G341">
        <v>13</v>
      </c>
      <c r="H341" t="s">
        <v>28</v>
      </c>
      <c r="I341" t="s">
        <v>3438</v>
      </c>
      <c r="J341" t="s">
        <v>796</v>
      </c>
    </row>
    <row r="342" spans="1:10">
      <c r="A342" t="s">
        <v>4077</v>
      </c>
      <c r="B342">
        <v>0.196021873845344</v>
      </c>
      <c r="C342">
        <v>7.1776645860793398</v>
      </c>
      <c r="D342">
        <v>1</v>
      </c>
      <c r="E342">
        <v>1</v>
      </c>
      <c r="F342">
        <v>14</v>
      </c>
      <c r="G342">
        <v>13</v>
      </c>
      <c r="H342" t="s">
        <v>4078</v>
      </c>
      <c r="I342" t="s">
        <v>4079</v>
      </c>
      <c r="J342" t="s">
        <v>797</v>
      </c>
    </row>
    <row r="343" spans="1:10">
      <c r="A343" t="s">
        <v>4080</v>
      </c>
      <c r="B343">
        <v>0.196021873845344</v>
      </c>
      <c r="C343">
        <v>7.1776645860793398</v>
      </c>
      <c r="D343">
        <v>1</v>
      </c>
      <c r="E343">
        <v>1</v>
      </c>
      <c r="F343">
        <v>14</v>
      </c>
      <c r="G343">
        <v>13</v>
      </c>
      <c r="H343" t="s">
        <v>28</v>
      </c>
      <c r="I343" t="s">
        <v>3438</v>
      </c>
      <c r="J343" t="s">
        <v>798</v>
      </c>
    </row>
    <row r="344" spans="1:10">
      <c r="A344" t="s">
        <v>4081</v>
      </c>
      <c r="B344">
        <v>0.196021873845344</v>
      </c>
      <c r="C344">
        <v>7.1776645860793398</v>
      </c>
      <c r="D344">
        <v>1</v>
      </c>
      <c r="E344">
        <v>1</v>
      </c>
      <c r="F344">
        <v>14</v>
      </c>
      <c r="G344">
        <v>13</v>
      </c>
      <c r="H344" t="s">
        <v>4082</v>
      </c>
      <c r="I344" t="s">
        <v>4083</v>
      </c>
      <c r="J344" t="s">
        <v>799</v>
      </c>
    </row>
    <row r="345" spans="1:10">
      <c r="A345" t="s">
        <v>4084</v>
      </c>
      <c r="B345">
        <v>0.196021873845344</v>
      </c>
      <c r="C345">
        <v>7.1776645860793398</v>
      </c>
      <c r="D345">
        <v>1</v>
      </c>
      <c r="E345">
        <v>1</v>
      </c>
      <c r="F345">
        <v>14</v>
      </c>
      <c r="G345">
        <v>13</v>
      </c>
      <c r="H345" t="s">
        <v>28</v>
      </c>
      <c r="I345" t="s">
        <v>4085</v>
      </c>
      <c r="J345" t="s">
        <v>323</v>
      </c>
    </row>
    <row r="346" spans="1:10">
      <c r="A346" t="s">
        <v>4086</v>
      </c>
      <c r="B346">
        <v>0.196021873845344</v>
      </c>
      <c r="C346">
        <v>7.1776645860793398</v>
      </c>
      <c r="D346">
        <v>1</v>
      </c>
      <c r="E346">
        <v>1</v>
      </c>
      <c r="F346">
        <v>14</v>
      </c>
      <c r="G346">
        <v>13</v>
      </c>
      <c r="H346" t="s">
        <v>28</v>
      </c>
      <c r="I346" t="s">
        <v>4087</v>
      </c>
      <c r="J346" t="s">
        <v>800</v>
      </c>
    </row>
    <row r="347" spans="1:10">
      <c r="A347" t="s">
        <v>4088</v>
      </c>
      <c r="B347">
        <v>0.204130161584993</v>
      </c>
      <c r="C347">
        <v>7.0666331253704904</v>
      </c>
      <c r="D347">
        <v>1</v>
      </c>
      <c r="E347">
        <v>1</v>
      </c>
      <c r="F347">
        <v>13</v>
      </c>
      <c r="G347">
        <v>12</v>
      </c>
      <c r="H347" t="s">
        <v>28</v>
      </c>
      <c r="I347" t="s">
        <v>3465</v>
      </c>
      <c r="J347" t="s">
        <v>801</v>
      </c>
    </row>
    <row r="348" spans="1:10">
      <c r="A348" t="s">
        <v>4089</v>
      </c>
      <c r="B348">
        <v>0.204130161584993</v>
      </c>
      <c r="C348">
        <v>7.0666331253704904</v>
      </c>
      <c r="D348">
        <v>1</v>
      </c>
      <c r="E348">
        <v>1</v>
      </c>
      <c r="F348">
        <v>13</v>
      </c>
      <c r="G348">
        <v>12</v>
      </c>
      <c r="H348" t="s">
        <v>4090</v>
      </c>
      <c r="I348" t="s">
        <v>4091</v>
      </c>
      <c r="J348" t="s">
        <v>802</v>
      </c>
    </row>
    <row r="349" spans="1:10">
      <c r="A349" t="s">
        <v>4092</v>
      </c>
      <c r="B349">
        <v>0.204130161584993</v>
      </c>
      <c r="C349">
        <v>7.0666331253704904</v>
      </c>
      <c r="D349">
        <v>1</v>
      </c>
      <c r="E349">
        <v>1</v>
      </c>
      <c r="F349">
        <v>13</v>
      </c>
      <c r="G349">
        <v>12</v>
      </c>
      <c r="H349" t="s">
        <v>4093</v>
      </c>
      <c r="I349" t="s">
        <v>4094</v>
      </c>
      <c r="J349" t="s">
        <v>803</v>
      </c>
    </row>
    <row r="350" spans="1:10">
      <c r="A350" t="s">
        <v>4095</v>
      </c>
      <c r="B350">
        <v>0.204130161584993</v>
      </c>
      <c r="C350">
        <v>7.0666331253704904</v>
      </c>
      <c r="D350">
        <v>1</v>
      </c>
      <c r="E350">
        <v>1</v>
      </c>
      <c r="F350">
        <v>13</v>
      </c>
      <c r="G350">
        <v>12</v>
      </c>
      <c r="H350" t="s">
        <v>28</v>
      </c>
      <c r="I350" t="s">
        <v>3438</v>
      </c>
      <c r="J350" t="s">
        <v>804</v>
      </c>
    </row>
    <row r="351" spans="1:10">
      <c r="A351" t="s">
        <v>4096</v>
      </c>
      <c r="B351">
        <v>0.204130161584993</v>
      </c>
      <c r="C351">
        <v>7.0666331253704904</v>
      </c>
      <c r="D351">
        <v>1</v>
      </c>
      <c r="E351">
        <v>1</v>
      </c>
      <c r="F351">
        <v>13</v>
      </c>
      <c r="G351">
        <v>12</v>
      </c>
      <c r="H351" t="s">
        <v>4097</v>
      </c>
      <c r="I351" t="s">
        <v>4098</v>
      </c>
      <c r="J351" t="s">
        <v>805</v>
      </c>
    </row>
    <row r="352" spans="1:10">
      <c r="A352" t="s">
        <v>4099</v>
      </c>
      <c r="B352">
        <v>0.204130161584993</v>
      </c>
      <c r="C352">
        <v>7.0666331253704904</v>
      </c>
      <c r="D352">
        <v>1</v>
      </c>
      <c r="E352">
        <v>1</v>
      </c>
      <c r="F352">
        <v>13</v>
      </c>
      <c r="G352">
        <v>12</v>
      </c>
      <c r="H352" t="s">
        <v>28</v>
      </c>
      <c r="I352" t="s">
        <v>3438</v>
      </c>
      <c r="J352" t="s">
        <v>806</v>
      </c>
    </row>
    <row r="353" spans="1:10">
      <c r="A353" t="s">
        <v>4100</v>
      </c>
      <c r="B353">
        <v>0.204130161584993</v>
      </c>
      <c r="C353">
        <v>7.0666331253704904</v>
      </c>
      <c r="D353">
        <v>1</v>
      </c>
      <c r="E353">
        <v>1</v>
      </c>
      <c r="F353">
        <v>13</v>
      </c>
      <c r="G353">
        <v>12</v>
      </c>
      <c r="H353" t="s">
        <v>4101</v>
      </c>
      <c r="I353" t="s">
        <v>4102</v>
      </c>
      <c r="J353" t="s">
        <v>807</v>
      </c>
    </row>
    <row r="354" spans="1:10">
      <c r="A354" t="s">
        <v>4103</v>
      </c>
      <c r="B354">
        <v>0.204130161584993</v>
      </c>
      <c r="C354">
        <v>7.0666331253704904</v>
      </c>
      <c r="D354">
        <v>1</v>
      </c>
      <c r="E354">
        <v>1</v>
      </c>
      <c r="F354">
        <v>13</v>
      </c>
      <c r="G354">
        <v>12</v>
      </c>
      <c r="H354" t="s">
        <v>28</v>
      </c>
      <c r="I354" t="s">
        <v>3474</v>
      </c>
      <c r="J354" t="s">
        <v>808</v>
      </c>
    </row>
    <row r="355" spans="1:10">
      <c r="A355" t="s">
        <v>4104</v>
      </c>
      <c r="B355">
        <v>0.213620825958005</v>
      </c>
      <c r="C355">
        <v>6.9463387433030803</v>
      </c>
      <c r="D355">
        <v>1</v>
      </c>
      <c r="E355">
        <v>1</v>
      </c>
      <c r="F355">
        <v>12</v>
      </c>
      <c r="G355">
        <v>11</v>
      </c>
      <c r="H355" t="s">
        <v>28</v>
      </c>
      <c r="I355" t="s">
        <v>3438</v>
      </c>
      <c r="J355" t="s">
        <v>809</v>
      </c>
    </row>
    <row r="356" spans="1:10">
      <c r="A356" t="s">
        <v>4105</v>
      </c>
      <c r="B356">
        <v>0.213620825958005</v>
      </c>
      <c r="C356">
        <v>6.9463387433030803</v>
      </c>
      <c r="D356">
        <v>1</v>
      </c>
      <c r="E356">
        <v>1</v>
      </c>
      <c r="F356">
        <v>12</v>
      </c>
      <c r="G356">
        <v>11</v>
      </c>
      <c r="H356" t="s">
        <v>28</v>
      </c>
      <c r="I356" t="s">
        <v>3438</v>
      </c>
      <c r="J356" t="s">
        <v>810</v>
      </c>
    </row>
    <row r="357" spans="1:10">
      <c r="A357" t="s">
        <v>4106</v>
      </c>
      <c r="B357">
        <v>0.213620825958005</v>
      </c>
      <c r="C357">
        <v>6.9463387433030803</v>
      </c>
      <c r="D357">
        <v>1</v>
      </c>
      <c r="E357">
        <v>1</v>
      </c>
      <c r="F357">
        <v>12</v>
      </c>
      <c r="G357">
        <v>11</v>
      </c>
      <c r="H357" t="s">
        <v>28</v>
      </c>
      <c r="I357" t="s">
        <v>3657</v>
      </c>
      <c r="J357" t="s">
        <v>811</v>
      </c>
    </row>
    <row r="358" spans="1:10">
      <c r="A358" t="s">
        <v>4107</v>
      </c>
      <c r="B358">
        <v>0.213620825958005</v>
      </c>
      <c r="C358">
        <v>6.9463387433030803</v>
      </c>
      <c r="D358">
        <v>1</v>
      </c>
      <c r="E358">
        <v>1</v>
      </c>
      <c r="F358">
        <v>12</v>
      </c>
      <c r="G358">
        <v>11</v>
      </c>
      <c r="H358" t="s">
        <v>28</v>
      </c>
      <c r="I358" t="s">
        <v>3438</v>
      </c>
      <c r="J358" t="s">
        <v>159</v>
      </c>
    </row>
    <row r="359" spans="1:10">
      <c r="A359" t="s">
        <v>4108</v>
      </c>
      <c r="B359">
        <v>0.213620825958005</v>
      </c>
      <c r="C359">
        <v>6.9463387433030803</v>
      </c>
      <c r="D359">
        <v>1</v>
      </c>
      <c r="E359">
        <v>1</v>
      </c>
      <c r="F359">
        <v>12</v>
      </c>
      <c r="G359">
        <v>11</v>
      </c>
      <c r="H359" t="s">
        <v>28</v>
      </c>
      <c r="I359" t="s">
        <v>3438</v>
      </c>
      <c r="J359" t="s">
        <v>812</v>
      </c>
    </row>
    <row r="360" spans="1:10">
      <c r="A360" t="s">
        <v>4109</v>
      </c>
      <c r="B360">
        <v>0.213620825958005</v>
      </c>
      <c r="C360">
        <v>6.9463387433030803</v>
      </c>
      <c r="D360">
        <v>1</v>
      </c>
      <c r="E360">
        <v>1</v>
      </c>
      <c r="F360">
        <v>12</v>
      </c>
      <c r="G360">
        <v>11</v>
      </c>
      <c r="H360" t="s">
        <v>4110</v>
      </c>
      <c r="I360" t="s">
        <v>4111</v>
      </c>
      <c r="J360" t="s">
        <v>813</v>
      </c>
    </row>
    <row r="361" spans="1:10">
      <c r="A361" t="s">
        <v>4112</v>
      </c>
      <c r="B361">
        <v>0.213620825958005</v>
      </c>
      <c r="C361">
        <v>6.9463387433030803</v>
      </c>
      <c r="D361">
        <v>1</v>
      </c>
      <c r="E361">
        <v>1</v>
      </c>
      <c r="F361">
        <v>12</v>
      </c>
      <c r="G361">
        <v>11</v>
      </c>
      <c r="H361" t="s">
        <v>28</v>
      </c>
      <c r="I361" t="s">
        <v>3438</v>
      </c>
      <c r="J361" t="s">
        <v>814</v>
      </c>
    </row>
    <row r="362" spans="1:10">
      <c r="A362" t="s">
        <v>4113</v>
      </c>
      <c r="B362">
        <v>0.22488060170677299</v>
      </c>
      <c r="C362">
        <v>6.8150940616455502</v>
      </c>
      <c r="D362">
        <v>1</v>
      </c>
      <c r="E362">
        <v>1</v>
      </c>
      <c r="F362">
        <v>11</v>
      </c>
      <c r="G362">
        <v>10</v>
      </c>
      <c r="H362" t="s">
        <v>28</v>
      </c>
      <c r="I362" t="s">
        <v>3436</v>
      </c>
      <c r="J362" t="s">
        <v>815</v>
      </c>
    </row>
    <row r="363" spans="1:10">
      <c r="A363" t="s">
        <v>4114</v>
      </c>
      <c r="B363">
        <v>0.22488060170677299</v>
      </c>
      <c r="C363">
        <v>6.8150940616455502</v>
      </c>
      <c r="D363">
        <v>1</v>
      </c>
      <c r="E363">
        <v>1</v>
      </c>
      <c r="F363">
        <v>11</v>
      </c>
      <c r="G363">
        <v>10</v>
      </c>
      <c r="H363" t="s">
        <v>4115</v>
      </c>
      <c r="I363" t="s">
        <v>4116</v>
      </c>
      <c r="J363" t="s">
        <v>816</v>
      </c>
    </row>
    <row r="364" spans="1:10">
      <c r="A364" t="s">
        <v>4117</v>
      </c>
      <c r="B364">
        <v>0.22488060170677299</v>
      </c>
      <c r="C364">
        <v>6.8150940616455502</v>
      </c>
      <c r="D364">
        <v>1</v>
      </c>
      <c r="E364">
        <v>1</v>
      </c>
      <c r="F364">
        <v>11</v>
      </c>
      <c r="G364">
        <v>10</v>
      </c>
      <c r="H364" t="s">
        <v>4118</v>
      </c>
      <c r="I364" t="s">
        <v>4119</v>
      </c>
      <c r="J364" t="s">
        <v>817</v>
      </c>
    </row>
    <row r="365" spans="1:10">
      <c r="A365" t="s">
        <v>4120</v>
      </c>
      <c r="B365">
        <v>0.22488060170677299</v>
      </c>
      <c r="C365">
        <v>6.8150940616455502</v>
      </c>
      <c r="D365">
        <v>1</v>
      </c>
      <c r="E365">
        <v>1</v>
      </c>
      <c r="F365">
        <v>11</v>
      </c>
      <c r="G365">
        <v>10</v>
      </c>
      <c r="H365" t="s">
        <v>28</v>
      </c>
      <c r="I365" t="s">
        <v>3438</v>
      </c>
      <c r="J365" t="s">
        <v>818</v>
      </c>
    </row>
    <row r="366" spans="1:10">
      <c r="A366" t="s">
        <v>4121</v>
      </c>
      <c r="B366">
        <v>0.23845545216813999</v>
      </c>
      <c r="C366">
        <v>6.6707040039014798</v>
      </c>
      <c r="D366">
        <v>1</v>
      </c>
      <c r="E366">
        <v>1</v>
      </c>
      <c r="F366">
        <v>10</v>
      </c>
      <c r="G366">
        <v>9</v>
      </c>
      <c r="H366" t="s">
        <v>28</v>
      </c>
      <c r="I366" t="s">
        <v>3438</v>
      </c>
      <c r="J366" t="s">
        <v>819</v>
      </c>
    </row>
    <row r="367" spans="1:10">
      <c r="A367" t="s">
        <v>4122</v>
      </c>
      <c r="B367">
        <v>0.23845545216813999</v>
      </c>
      <c r="C367">
        <v>6.6707040039014798</v>
      </c>
      <c r="D367">
        <v>1</v>
      </c>
      <c r="E367">
        <v>1</v>
      </c>
      <c r="F367">
        <v>10</v>
      </c>
      <c r="G367">
        <v>9</v>
      </c>
      <c r="H367" t="s">
        <v>28</v>
      </c>
      <c r="I367" t="s">
        <v>3438</v>
      </c>
      <c r="J367" t="s">
        <v>820</v>
      </c>
    </row>
    <row r="368" spans="1:10">
      <c r="A368" t="s">
        <v>4123</v>
      </c>
      <c r="B368">
        <v>0.23845545216813999</v>
      </c>
      <c r="C368">
        <v>6.6707040039014798</v>
      </c>
      <c r="D368">
        <v>1</v>
      </c>
      <c r="E368">
        <v>1</v>
      </c>
      <c r="F368">
        <v>10</v>
      </c>
      <c r="G368">
        <v>9</v>
      </c>
      <c r="H368" t="s">
        <v>28</v>
      </c>
      <c r="I368" t="s">
        <v>3438</v>
      </c>
      <c r="J368" t="s">
        <v>821</v>
      </c>
    </row>
    <row r="369" spans="1:10">
      <c r="A369" t="s">
        <v>4124</v>
      </c>
      <c r="B369">
        <v>0.23845545216813999</v>
      </c>
      <c r="C369">
        <v>6.6707040039014798</v>
      </c>
      <c r="D369">
        <v>1</v>
      </c>
      <c r="E369">
        <v>1</v>
      </c>
      <c r="F369">
        <v>10</v>
      </c>
      <c r="G369">
        <v>9</v>
      </c>
      <c r="H369" t="s">
        <v>28</v>
      </c>
      <c r="I369" t="s">
        <v>3878</v>
      </c>
      <c r="J369" t="s">
        <v>822</v>
      </c>
    </row>
    <row r="370" spans="1:10">
      <c r="A370" t="s">
        <v>4125</v>
      </c>
      <c r="B370">
        <v>0.23845545216813999</v>
      </c>
      <c r="C370">
        <v>6.6707040039014798</v>
      </c>
      <c r="D370">
        <v>1</v>
      </c>
      <c r="E370">
        <v>1</v>
      </c>
      <c r="F370">
        <v>10</v>
      </c>
      <c r="G370">
        <v>9</v>
      </c>
      <c r="H370" t="s">
        <v>28</v>
      </c>
      <c r="I370" t="s">
        <v>3822</v>
      </c>
      <c r="J370" t="s">
        <v>823</v>
      </c>
    </row>
    <row r="371" spans="1:10">
      <c r="A371" t="s">
        <v>4126</v>
      </c>
      <c r="B371">
        <v>0.23845545216813999</v>
      </c>
      <c r="C371">
        <v>6.6707040039014798</v>
      </c>
      <c r="D371">
        <v>1</v>
      </c>
      <c r="E371">
        <v>1</v>
      </c>
      <c r="F371">
        <v>10</v>
      </c>
      <c r="G371">
        <v>9</v>
      </c>
      <c r="H371" t="s">
        <v>4127</v>
      </c>
      <c r="I371" t="s">
        <v>4128</v>
      </c>
      <c r="J371" t="s">
        <v>824</v>
      </c>
    </row>
    <row r="372" spans="1:10">
      <c r="A372" t="s">
        <v>4129</v>
      </c>
      <c r="B372">
        <v>0.23845545216813999</v>
      </c>
      <c r="C372">
        <v>6.6707040039014798</v>
      </c>
      <c r="D372">
        <v>1</v>
      </c>
      <c r="E372">
        <v>1</v>
      </c>
      <c r="F372">
        <v>10</v>
      </c>
      <c r="G372">
        <v>9</v>
      </c>
      <c r="H372" t="s">
        <v>28</v>
      </c>
      <c r="I372" t="s">
        <v>3438</v>
      </c>
      <c r="J372" t="s">
        <v>825</v>
      </c>
    </row>
    <row r="373" spans="1:10">
      <c r="A373" t="s">
        <v>4130</v>
      </c>
      <c r="B373">
        <v>0.23845545216813999</v>
      </c>
      <c r="C373">
        <v>6.6707040039014798</v>
      </c>
      <c r="D373">
        <v>1</v>
      </c>
      <c r="E373">
        <v>1</v>
      </c>
      <c r="F373">
        <v>10</v>
      </c>
      <c r="G373">
        <v>9</v>
      </c>
      <c r="H373" t="s">
        <v>28</v>
      </c>
      <c r="I373" t="s">
        <v>3438</v>
      </c>
      <c r="J373" t="s">
        <v>725</v>
      </c>
    </row>
    <row r="374" spans="1:10">
      <c r="A374" t="s">
        <v>4131</v>
      </c>
      <c r="B374">
        <v>0.23845545216813999</v>
      </c>
      <c r="C374">
        <v>6.6707040039014798</v>
      </c>
      <c r="D374">
        <v>1</v>
      </c>
      <c r="E374">
        <v>1</v>
      </c>
      <c r="F374">
        <v>10</v>
      </c>
      <c r="G374">
        <v>9</v>
      </c>
      <c r="H374" t="s">
        <v>4132</v>
      </c>
      <c r="I374" t="s">
        <v>3438</v>
      </c>
      <c r="J374" t="s">
        <v>826</v>
      </c>
    </row>
    <row r="375" spans="1:10">
      <c r="A375" t="s">
        <v>4133</v>
      </c>
      <c r="B375">
        <v>0.23845545216813999</v>
      </c>
      <c r="C375">
        <v>6.6707040039014798</v>
      </c>
      <c r="D375">
        <v>1</v>
      </c>
      <c r="E375">
        <v>1</v>
      </c>
      <c r="F375">
        <v>10</v>
      </c>
      <c r="G375">
        <v>9</v>
      </c>
      <c r="H375" t="s">
        <v>4134</v>
      </c>
      <c r="I375" t="s">
        <v>4135</v>
      </c>
      <c r="J375" t="s">
        <v>827</v>
      </c>
    </row>
    <row r="376" spans="1:10">
      <c r="A376" t="s">
        <v>4136</v>
      </c>
      <c r="B376">
        <v>0.25514201626996502</v>
      </c>
      <c r="C376">
        <v>6.5102391832697402</v>
      </c>
      <c r="D376">
        <v>1</v>
      </c>
      <c r="E376">
        <v>1</v>
      </c>
      <c r="F376">
        <v>9</v>
      </c>
      <c r="G376">
        <v>8</v>
      </c>
      <c r="H376" t="s">
        <v>28</v>
      </c>
      <c r="I376" t="s">
        <v>3438</v>
      </c>
      <c r="J376" t="s">
        <v>828</v>
      </c>
    </row>
    <row r="377" spans="1:10">
      <c r="A377" t="s">
        <v>4137</v>
      </c>
      <c r="B377">
        <v>0.25514201626996502</v>
      </c>
      <c r="C377">
        <v>6.5102391832697402</v>
      </c>
      <c r="D377">
        <v>1</v>
      </c>
      <c r="E377">
        <v>1</v>
      </c>
      <c r="F377">
        <v>9</v>
      </c>
      <c r="G377">
        <v>8</v>
      </c>
      <c r="H377" t="s">
        <v>28</v>
      </c>
      <c r="I377" t="s">
        <v>4138</v>
      </c>
      <c r="J377" t="s">
        <v>829</v>
      </c>
    </row>
    <row r="378" spans="1:10">
      <c r="A378" t="s">
        <v>4139</v>
      </c>
      <c r="B378">
        <v>0.25514201626996502</v>
      </c>
      <c r="C378">
        <v>6.5102391832697402</v>
      </c>
      <c r="D378">
        <v>1</v>
      </c>
      <c r="E378">
        <v>1</v>
      </c>
      <c r="F378">
        <v>9</v>
      </c>
      <c r="G378">
        <v>8</v>
      </c>
      <c r="H378" t="s">
        <v>28</v>
      </c>
      <c r="I378" t="s">
        <v>4140</v>
      </c>
      <c r="J378" t="s">
        <v>830</v>
      </c>
    </row>
    <row r="379" spans="1:10">
      <c r="A379" t="s">
        <v>4141</v>
      </c>
      <c r="B379">
        <v>0.25514201626996502</v>
      </c>
      <c r="C379">
        <v>6.5102391832697402</v>
      </c>
      <c r="D379">
        <v>1</v>
      </c>
      <c r="E379">
        <v>1</v>
      </c>
      <c r="F379">
        <v>9</v>
      </c>
      <c r="G379">
        <v>8</v>
      </c>
      <c r="H379" t="s">
        <v>28</v>
      </c>
      <c r="I379" t="s">
        <v>3438</v>
      </c>
      <c r="J379" t="s">
        <v>831</v>
      </c>
    </row>
    <row r="380" spans="1:10">
      <c r="A380" t="s">
        <v>4142</v>
      </c>
      <c r="B380">
        <v>0.25514201626996502</v>
      </c>
      <c r="C380">
        <v>6.5102391832697402</v>
      </c>
      <c r="D380">
        <v>1</v>
      </c>
      <c r="E380">
        <v>1</v>
      </c>
      <c r="F380">
        <v>9</v>
      </c>
      <c r="G380">
        <v>8</v>
      </c>
      <c r="H380" t="s">
        <v>4143</v>
      </c>
      <c r="I380" t="s">
        <v>4144</v>
      </c>
      <c r="J380" t="s">
        <v>832</v>
      </c>
    </row>
    <row r="381" spans="1:10">
      <c r="A381" t="s">
        <v>4145</v>
      </c>
      <c r="B381">
        <v>0.25514201626996502</v>
      </c>
      <c r="C381">
        <v>6.5102391832697402</v>
      </c>
      <c r="D381">
        <v>1</v>
      </c>
      <c r="E381">
        <v>1</v>
      </c>
      <c r="F381">
        <v>9</v>
      </c>
      <c r="G381">
        <v>8</v>
      </c>
      <c r="H381" t="s">
        <v>28</v>
      </c>
      <c r="I381" t="s">
        <v>3438</v>
      </c>
      <c r="J381" t="s">
        <v>833</v>
      </c>
    </row>
    <row r="382" spans="1:10">
      <c r="A382" t="s">
        <v>4146</v>
      </c>
      <c r="B382">
        <v>0.25514201626996502</v>
      </c>
      <c r="C382">
        <v>6.5102391832697402</v>
      </c>
      <c r="D382">
        <v>1</v>
      </c>
      <c r="E382">
        <v>1</v>
      </c>
      <c r="F382">
        <v>9</v>
      </c>
      <c r="G382">
        <v>8</v>
      </c>
      <c r="H382" t="s">
        <v>28</v>
      </c>
      <c r="I382" t="s">
        <v>4147</v>
      </c>
      <c r="J382" t="s">
        <v>834</v>
      </c>
    </row>
    <row r="383" spans="1:10">
      <c r="A383" t="s">
        <v>4148</v>
      </c>
      <c r="B383">
        <v>0.25514201626996502</v>
      </c>
      <c r="C383">
        <v>6.5102391832697402</v>
      </c>
      <c r="D383">
        <v>1</v>
      </c>
      <c r="E383">
        <v>1</v>
      </c>
      <c r="F383">
        <v>9</v>
      </c>
      <c r="G383">
        <v>8</v>
      </c>
      <c r="H383" t="s">
        <v>28</v>
      </c>
      <c r="I383" t="s">
        <v>3438</v>
      </c>
      <c r="J383" t="s">
        <v>835</v>
      </c>
    </row>
    <row r="384" spans="1:10">
      <c r="A384" t="s">
        <v>4149</v>
      </c>
      <c r="B384">
        <v>0.25514201626996502</v>
      </c>
      <c r="C384">
        <v>6.5102391832697402</v>
      </c>
      <c r="D384">
        <v>1</v>
      </c>
      <c r="E384">
        <v>1</v>
      </c>
      <c r="F384">
        <v>9</v>
      </c>
      <c r="G384">
        <v>8</v>
      </c>
      <c r="H384" t="s">
        <v>28</v>
      </c>
      <c r="I384" t="s">
        <v>3438</v>
      </c>
      <c r="J384" t="s">
        <v>836</v>
      </c>
    </row>
    <row r="385" spans="1:10">
      <c r="A385" t="s">
        <v>4150</v>
      </c>
      <c r="B385">
        <v>0.25514201626996502</v>
      </c>
      <c r="C385">
        <v>6.5102391832697402</v>
      </c>
      <c r="D385">
        <v>1</v>
      </c>
      <c r="E385">
        <v>1</v>
      </c>
      <c r="F385">
        <v>9</v>
      </c>
      <c r="G385">
        <v>8</v>
      </c>
      <c r="H385" t="s">
        <v>4151</v>
      </c>
      <c r="I385" t="s">
        <v>4152</v>
      </c>
      <c r="J385" t="s">
        <v>837</v>
      </c>
    </row>
    <row r="386" spans="1:10">
      <c r="A386" t="s">
        <v>4153</v>
      </c>
      <c r="B386">
        <v>0.25514201626996502</v>
      </c>
      <c r="C386">
        <v>6.5102391832697402</v>
      </c>
      <c r="D386">
        <v>1</v>
      </c>
      <c r="E386">
        <v>1</v>
      </c>
      <c r="F386">
        <v>9</v>
      </c>
      <c r="G386">
        <v>8</v>
      </c>
      <c r="H386" t="s">
        <v>4154</v>
      </c>
      <c r="I386" t="s">
        <v>4155</v>
      </c>
      <c r="J386" t="s">
        <v>838</v>
      </c>
    </row>
    <row r="387" spans="1:10">
      <c r="A387" t="s">
        <v>4156</v>
      </c>
      <c r="B387">
        <v>0.25514201626996502</v>
      </c>
      <c r="C387">
        <v>6.5102391832697402</v>
      </c>
      <c r="D387">
        <v>1</v>
      </c>
      <c r="E387">
        <v>1</v>
      </c>
      <c r="F387">
        <v>9</v>
      </c>
      <c r="G387">
        <v>8</v>
      </c>
      <c r="H387" t="s">
        <v>28</v>
      </c>
      <c r="I387" t="s">
        <v>3474</v>
      </c>
      <c r="J387" t="s">
        <v>839</v>
      </c>
    </row>
    <row r="388" spans="1:10">
      <c r="A388" t="s">
        <v>4157</v>
      </c>
      <c r="B388">
        <v>0.27615035198362903</v>
      </c>
      <c r="C388">
        <v>6.3296667891598002</v>
      </c>
      <c r="D388">
        <v>1</v>
      </c>
      <c r="E388">
        <v>1</v>
      </c>
      <c r="F388">
        <v>8</v>
      </c>
      <c r="G388">
        <v>7</v>
      </c>
      <c r="H388" t="s">
        <v>28</v>
      </c>
      <c r="I388" t="s">
        <v>3438</v>
      </c>
      <c r="J388" t="s">
        <v>190</v>
      </c>
    </row>
    <row r="389" spans="1:10">
      <c r="A389" t="s">
        <v>4158</v>
      </c>
      <c r="B389">
        <v>0.27615035198362903</v>
      </c>
      <c r="C389">
        <v>6.3296667891598002</v>
      </c>
      <c r="D389">
        <v>1</v>
      </c>
      <c r="E389">
        <v>1</v>
      </c>
      <c r="F389">
        <v>8</v>
      </c>
      <c r="G389">
        <v>7</v>
      </c>
      <c r="H389" t="s">
        <v>4159</v>
      </c>
      <c r="I389" t="s">
        <v>3687</v>
      </c>
      <c r="J389" t="s">
        <v>840</v>
      </c>
    </row>
    <row r="390" spans="1:10">
      <c r="A390" t="s">
        <v>4160</v>
      </c>
      <c r="B390">
        <v>0.27615035198362903</v>
      </c>
      <c r="C390">
        <v>6.3296667891598002</v>
      </c>
      <c r="D390">
        <v>1</v>
      </c>
      <c r="E390">
        <v>1</v>
      </c>
      <c r="F390">
        <v>8</v>
      </c>
      <c r="G390">
        <v>7</v>
      </c>
      <c r="H390" t="s">
        <v>28</v>
      </c>
      <c r="I390" t="s">
        <v>3438</v>
      </c>
      <c r="J390" t="s">
        <v>841</v>
      </c>
    </row>
    <row r="391" spans="1:10">
      <c r="A391" t="s">
        <v>4161</v>
      </c>
      <c r="B391">
        <v>0.27615035198362903</v>
      </c>
      <c r="C391">
        <v>6.3296667891598002</v>
      </c>
      <c r="D391">
        <v>1</v>
      </c>
      <c r="E391">
        <v>1</v>
      </c>
      <c r="F391">
        <v>8</v>
      </c>
      <c r="G391">
        <v>7</v>
      </c>
      <c r="H391" t="s">
        <v>28</v>
      </c>
      <c r="I391" t="s">
        <v>4162</v>
      </c>
      <c r="J391" t="s">
        <v>842</v>
      </c>
    </row>
    <row r="392" spans="1:10">
      <c r="A392" t="s">
        <v>4163</v>
      </c>
      <c r="B392">
        <v>0.27615035198362903</v>
      </c>
      <c r="C392">
        <v>6.3296667891598002</v>
      </c>
      <c r="D392">
        <v>1</v>
      </c>
      <c r="E392">
        <v>1</v>
      </c>
      <c r="F392">
        <v>8</v>
      </c>
      <c r="G392">
        <v>7</v>
      </c>
      <c r="H392" t="s">
        <v>28</v>
      </c>
      <c r="I392" t="s">
        <v>4164</v>
      </c>
      <c r="J392" t="s">
        <v>843</v>
      </c>
    </row>
    <row r="393" spans="1:10">
      <c r="A393" t="s">
        <v>4165</v>
      </c>
      <c r="B393">
        <v>0.27615035198362903</v>
      </c>
      <c r="C393">
        <v>6.3296667891598002</v>
      </c>
      <c r="D393">
        <v>1</v>
      </c>
      <c r="E393">
        <v>1</v>
      </c>
      <c r="F393">
        <v>8</v>
      </c>
      <c r="G393">
        <v>7</v>
      </c>
      <c r="H393" t="s">
        <v>28</v>
      </c>
      <c r="I393" t="s">
        <v>3438</v>
      </c>
      <c r="J393" t="s">
        <v>844</v>
      </c>
    </row>
    <row r="394" spans="1:10">
      <c r="A394" t="s">
        <v>4166</v>
      </c>
      <c r="B394">
        <v>0.27615035198362903</v>
      </c>
      <c r="C394">
        <v>6.3296667891598002</v>
      </c>
      <c r="D394">
        <v>1</v>
      </c>
      <c r="E394">
        <v>1</v>
      </c>
      <c r="F394">
        <v>8</v>
      </c>
      <c r="G394">
        <v>7</v>
      </c>
      <c r="H394" t="s">
        <v>4167</v>
      </c>
      <c r="I394" t="s">
        <v>4168</v>
      </c>
      <c r="J394" t="s">
        <v>845</v>
      </c>
    </row>
    <row r="395" spans="1:10">
      <c r="A395" t="s">
        <v>4169</v>
      </c>
      <c r="B395">
        <v>0.27615035198362903</v>
      </c>
      <c r="C395">
        <v>6.3296667891598002</v>
      </c>
      <c r="D395">
        <v>1</v>
      </c>
      <c r="E395">
        <v>1</v>
      </c>
      <c r="F395">
        <v>8</v>
      </c>
      <c r="G395">
        <v>7</v>
      </c>
      <c r="H395" t="s">
        <v>28</v>
      </c>
      <c r="I395" t="s">
        <v>3438</v>
      </c>
      <c r="J395" t="s">
        <v>846</v>
      </c>
    </row>
    <row r="396" spans="1:10">
      <c r="A396" t="s">
        <v>4170</v>
      </c>
      <c r="B396">
        <v>0.27615035198362903</v>
      </c>
      <c r="C396">
        <v>6.3296667891598002</v>
      </c>
      <c r="D396">
        <v>1</v>
      </c>
      <c r="E396">
        <v>1</v>
      </c>
      <c r="F396">
        <v>8</v>
      </c>
      <c r="G396">
        <v>7</v>
      </c>
      <c r="H396" t="s">
        <v>28</v>
      </c>
      <c r="I396" t="s">
        <v>3438</v>
      </c>
      <c r="J396" t="s">
        <v>847</v>
      </c>
    </row>
    <row r="397" spans="1:10">
      <c r="A397" t="s">
        <v>4171</v>
      </c>
      <c r="B397">
        <v>0.27615035198362903</v>
      </c>
      <c r="C397">
        <v>6.3296667891598002</v>
      </c>
      <c r="D397">
        <v>1</v>
      </c>
      <c r="E397">
        <v>1</v>
      </c>
      <c r="F397">
        <v>8</v>
      </c>
      <c r="G397">
        <v>7</v>
      </c>
      <c r="H397" t="s">
        <v>4172</v>
      </c>
      <c r="I397" t="s">
        <v>3687</v>
      </c>
      <c r="J397" t="s">
        <v>225</v>
      </c>
    </row>
    <row r="398" spans="1:10">
      <c r="A398" t="s">
        <v>4173</v>
      </c>
      <c r="B398">
        <v>0.27615035198362903</v>
      </c>
      <c r="C398">
        <v>6.3296667891598002</v>
      </c>
      <c r="D398">
        <v>1</v>
      </c>
      <c r="E398">
        <v>1</v>
      </c>
      <c r="F398">
        <v>8</v>
      </c>
      <c r="G398">
        <v>7</v>
      </c>
      <c r="H398" t="s">
        <v>4174</v>
      </c>
      <c r="I398" t="s">
        <v>4175</v>
      </c>
      <c r="J398" t="s">
        <v>251</v>
      </c>
    </row>
    <row r="399" spans="1:10">
      <c r="A399" t="s">
        <v>4176</v>
      </c>
      <c r="B399">
        <v>0.27615035198362903</v>
      </c>
      <c r="C399">
        <v>6.3296667891598002</v>
      </c>
      <c r="D399">
        <v>1</v>
      </c>
      <c r="E399">
        <v>1</v>
      </c>
      <c r="F399">
        <v>8</v>
      </c>
      <c r="G399">
        <v>7</v>
      </c>
      <c r="H399" t="s">
        <v>4177</v>
      </c>
      <c r="I399" t="s">
        <v>4178</v>
      </c>
      <c r="J399" t="s">
        <v>848</v>
      </c>
    </row>
    <row r="400" spans="1:10">
      <c r="A400" t="s">
        <v>4179</v>
      </c>
      <c r="B400">
        <v>0.27615035198362903</v>
      </c>
      <c r="C400">
        <v>6.3296667891598002</v>
      </c>
      <c r="D400">
        <v>1</v>
      </c>
      <c r="E400">
        <v>1</v>
      </c>
      <c r="F400">
        <v>8</v>
      </c>
      <c r="G400">
        <v>7</v>
      </c>
      <c r="H400" t="s">
        <v>4180</v>
      </c>
      <c r="I400" t="s">
        <v>4181</v>
      </c>
      <c r="J400" t="s">
        <v>849</v>
      </c>
    </row>
    <row r="401" spans="1:10">
      <c r="A401" t="s">
        <v>4182</v>
      </c>
      <c r="B401">
        <v>0.27615035198362903</v>
      </c>
      <c r="C401">
        <v>6.3296667891598002</v>
      </c>
      <c r="D401">
        <v>1</v>
      </c>
      <c r="E401">
        <v>1</v>
      </c>
      <c r="F401">
        <v>8</v>
      </c>
      <c r="G401">
        <v>7</v>
      </c>
      <c r="H401" t="s">
        <v>28</v>
      </c>
      <c r="I401" t="s">
        <v>3438</v>
      </c>
      <c r="J401" t="s">
        <v>561</v>
      </c>
    </row>
    <row r="402" spans="1:10">
      <c r="A402" t="s">
        <v>4183</v>
      </c>
      <c r="B402">
        <v>0.303412642635427</v>
      </c>
      <c r="C402">
        <v>6.1232157631946302</v>
      </c>
      <c r="D402">
        <v>1</v>
      </c>
      <c r="E402">
        <v>1</v>
      </c>
      <c r="F402">
        <v>7</v>
      </c>
      <c r="G402">
        <v>6</v>
      </c>
      <c r="H402" t="s">
        <v>28</v>
      </c>
      <c r="I402" t="s">
        <v>4184</v>
      </c>
      <c r="J402" t="s">
        <v>850</v>
      </c>
    </row>
    <row r="403" spans="1:10">
      <c r="A403" t="s">
        <v>4185</v>
      </c>
      <c r="B403">
        <v>0.303412642635427</v>
      </c>
      <c r="C403">
        <v>6.1232157631946302</v>
      </c>
      <c r="D403">
        <v>1</v>
      </c>
      <c r="E403">
        <v>1</v>
      </c>
      <c r="F403">
        <v>7</v>
      </c>
      <c r="G403">
        <v>6</v>
      </c>
      <c r="H403" t="s">
        <v>167</v>
      </c>
      <c r="I403" t="s">
        <v>4186</v>
      </c>
      <c r="J403" t="s">
        <v>166</v>
      </c>
    </row>
    <row r="404" spans="1:10">
      <c r="A404" t="s">
        <v>4187</v>
      </c>
      <c r="B404">
        <v>0.303412642635427</v>
      </c>
      <c r="C404">
        <v>6.1232157631946302</v>
      </c>
      <c r="D404">
        <v>1</v>
      </c>
      <c r="E404">
        <v>1</v>
      </c>
      <c r="F404">
        <v>7</v>
      </c>
      <c r="G404">
        <v>6</v>
      </c>
      <c r="H404" t="s">
        <v>28</v>
      </c>
      <c r="I404" t="s">
        <v>3438</v>
      </c>
      <c r="J404" t="s">
        <v>851</v>
      </c>
    </row>
    <row r="405" spans="1:10">
      <c r="A405" t="s">
        <v>4188</v>
      </c>
      <c r="B405">
        <v>0.303412642635427</v>
      </c>
      <c r="C405">
        <v>6.1232157631946302</v>
      </c>
      <c r="D405">
        <v>1</v>
      </c>
      <c r="E405">
        <v>1</v>
      </c>
      <c r="F405">
        <v>7</v>
      </c>
      <c r="G405">
        <v>6</v>
      </c>
      <c r="H405" t="s">
        <v>28</v>
      </c>
      <c r="I405" t="s">
        <v>3438</v>
      </c>
      <c r="J405" t="s">
        <v>852</v>
      </c>
    </row>
    <row r="406" spans="1:10">
      <c r="A406" t="s">
        <v>4189</v>
      </c>
      <c r="B406">
        <v>0.303412642635427</v>
      </c>
      <c r="C406">
        <v>6.1232157631946302</v>
      </c>
      <c r="D406">
        <v>1</v>
      </c>
      <c r="E406">
        <v>1</v>
      </c>
      <c r="F406">
        <v>7</v>
      </c>
      <c r="G406">
        <v>6</v>
      </c>
      <c r="H406" t="s">
        <v>4190</v>
      </c>
      <c r="I406" t="s">
        <v>4191</v>
      </c>
      <c r="J406" t="s">
        <v>853</v>
      </c>
    </row>
    <row r="407" spans="1:10">
      <c r="A407" t="s">
        <v>4192</v>
      </c>
      <c r="B407">
        <v>0.303412642635427</v>
      </c>
      <c r="C407">
        <v>6.1232157631946302</v>
      </c>
      <c r="D407">
        <v>1</v>
      </c>
      <c r="E407">
        <v>1</v>
      </c>
      <c r="F407">
        <v>7</v>
      </c>
      <c r="G407">
        <v>6</v>
      </c>
      <c r="H407" t="s">
        <v>28</v>
      </c>
      <c r="I407" t="s">
        <v>3438</v>
      </c>
      <c r="J407" t="s">
        <v>854</v>
      </c>
    </row>
    <row r="408" spans="1:10">
      <c r="A408" t="s">
        <v>4193</v>
      </c>
      <c r="B408">
        <v>0.303412642635427</v>
      </c>
      <c r="C408">
        <v>6.1232157631946302</v>
      </c>
      <c r="D408">
        <v>1</v>
      </c>
      <c r="E408">
        <v>1</v>
      </c>
      <c r="F408">
        <v>7</v>
      </c>
      <c r="G408">
        <v>6</v>
      </c>
      <c r="H408" t="s">
        <v>28</v>
      </c>
      <c r="I408" t="s">
        <v>4194</v>
      </c>
      <c r="J408" t="s">
        <v>855</v>
      </c>
    </row>
    <row r="409" spans="1:10">
      <c r="A409" t="s">
        <v>4195</v>
      </c>
      <c r="B409">
        <v>0.303412642635427</v>
      </c>
      <c r="C409">
        <v>6.1232157631946302</v>
      </c>
      <c r="D409">
        <v>1</v>
      </c>
      <c r="E409">
        <v>1</v>
      </c>
      <c r="F409">
        <v>7</v>
      </c>
      <c r="G409">
        <v>6</v>
      </c>
      <c r="H409" t="s">
        <v>28</v>
      </c>
      <c r="I409" t="s">
        <v>4196</v>
      </c>
      <c r="J409" t="s">
        <v>856</v>
      </c>
    </row>
    <row r="410" spans="1:10">
      <c r="A410" t="s">
        <v>4197</v>
      </c>
      <c r="B410">
        <v>0.303412642635427</v>
      </c>
      <c r="C410">
        <v>6.1232157631946302</v>
      </c>
      <c r="D410">
        <v>1</v>
      </c>
      <c r="E410">
        <v>1</v>
      </c>
      <c r="F410">
        <v>7</v>
      </c>
      <c r="G410">
        <v>6</v>
      </c>
      <c r="H410" t="s">
        <v>28</v>
      </c>
      <c r="I410" t="s">
        <v>3438</v>
      </c>
      <c r="J410" t="s">
        <v>857</v>
      </c>
    </row>
    <row r="411" spans="1:10">
      <c r="A411" t="s">
        <v>4198</v>
      </c>
      <c r="B411">
        <v>0.303412642635427</v>
      </c>
      <c r="C411">
        <v>6.1232157631946302</v>
      </c>
      <c r="D411">
        <v>1</v>
      </c>
      <c r="E411">
        <v>1</v>
      </c>
      <c r="F411">
        <v>7</v>
      </c>
      <c r="G411">
        <v>6</v>
      </c>
      <c r="H411" t="s">
        <v>28</v>
      </c>
      <c r="I411" t="s">
        <v>3438</v>
      </c>
      <c r="J411" t="s">
        <v>858</v>
      </c>
    </row>
    <row r="412" spans="1:10">
      <c r="A412" t="s">
        <v>4199</v>
      </c>
      <c r="B412">
        <v>0.303412642635427</v>
      </c>
      <c r="C412">
        <v>6.1232157631946302</v>
      </c>
      <c r="D412">
        <v>1</v>
      </c>
      <c r="E412">
        <v>1</v>
      </c>
      <c r="F412">
        <v>7</v>
      </c>
      <c r="G412">
        <v>6</v>
      </c>
      <c r="H412" t="s">
        <v>28</v>
      </c>
      <c r="I412" t="s">
        <v>3438</v>
      </c>
      <c r="J412" t="s">
        <v>859</v>
      </c>
    </row>
    <row r="413" spans="1:10">
      <c r="A413" t="s">
        <v>4200</v>
      </c>
      <c r="B413">
        <v>0.303412642635427</v>
      </c>
      <c r="C413">
        <v>6.1232157631946302</v>
      </c>
      <c r="D413">
        <v>1</v>
      </c>
      <c r="E413">
        <v>1</v>
      </c>
      <c r="F413">
        <v>7</v>
      </c>
      <c r="G413">
        <v>6</v>
      </c>
      <c r="H413" t="s">
        <v>4201</v>
      </c>
      <c r="I413" t="s">
        <v>4202</v>
      </c>
      <c r="J413" t="s">
        <v>860</v>
      </c>
    </row>
    <row r="414" spans="1:10">
      <c r="A414" t="s">
        <v>4203</v>
      </c>
      <c r="B414">
        <v>0.303412642635427</v>
      </c>
      <c r="C414">
        <v>6.1232157631946302</v>
      </c>
      <c r="D414">
        <v>1</v>
      </c>
      <c r="E414">
        <v>1</v>
      </c>
      <c r="F414">
        <v>7</v>
      </c>
      <c r="G414">
        <v>6</v>
      </c>
      <c r="H414" t="s">
        <v>4204</v>
      </c>
      <c r="I414" t="s">
        <v>4205</v>
      </c>
      <c r="J414" t="s">
        <v>861</v>
      </c>
    </row>
    <row r="415" spans="1:10">
      <c r="A415" t="s">
        <v>4206</v>
      </c>
      <c r="B415">
        <v>0.303412642635427</v>
      </c>
      <c r="C415">
        <v>6.1232157631946302</v>
      </c>
      <c r="D415">
        <v>1</v>
      </c>
      <c r="E415">
        <v>1</v>
      </c>
      <c r="F415">
        <v>7</v>
      </c>
      <c r="G415">
        <v>6</v>
      </c>
      <c r="H415" t="s">
        <v>28</v>
      </c>
      <c r="I415" t="s">
        <v>3438</v>
      </c>
      <c r="J415" t="s">
        <v>862</v>
      </c>
    </row>
    <row r="416" spans="1:10">
      <c r="A416" t="s">
        <v>4207</v>
      </c>
      <c r="B416">
        <v>0.303412642635427</v>
      </c>
      <c r="C416">
        <v>6.1232157631946302</v>
      </c>
      <c r="D416">
        <v>1</v>
      </c>
      <c r="E416">
        <v>1</v>
      </c>
      <c r="F416">
        <v>7</v>
      </c>
      <c r="G416">
        <v>6</v>
      </c>
      <c r="H416" t="s">
        <v>28</v>
      </c>
      <c r="I416" t="s">
        <v>3438</v>
      </c>
      <c r="J416" t="s">
        <v>863</v>
      </c>
    </row>
    <row r="417" spans="1:10">
      <c r="A417" t="s">
        <v>4208</v>
      </c>
      <c r="B417">
        <v>0.34021787352308303</v>
      </c>
      <c r="C417">
        <v>5.8822075151634499</v>
      </c>
      <c r="D417">
        <v>1</v>
      </c>
      <c r="E417">
        <v>1</v>
      </c>
      <c r="F417">
        <v>6</v>
      </c>
      <c r="G417">
        <v>5</v>
      </c>
      <c r="H417" t="s">
        <v>4209</v>
      </c>
      <c r="I417" t="s">
        <v>3450</v>
      </c>
      <c r="J417" t="s">
        <v>299</v>
      </c>
    </row>
    <row r="418" spans="1:10">
      <c r="A418" t="s">
        <v>4210</v>
      </c>
      <c r="B418">
        <v>0.34021787352308303</v>
      </c>
      <c r="C418">
        <v>5.8822075151634499</v>
      </c>
      <c r="D418">
        <v>1</v>
      </c>
      <c r="E418">
        <v>1</v>
      </c>
      <c r="F418">
        <v>6</v>
      </c>
      <c r="G418">
        <v>5</v>
      </c>
      <c r="H418" t="s">
        <v>28</v>
      </c>
      <c r="I418" t="s">
        <v>3438</v>
      </c>
      <c r="J418" t="s">
        <v>864</v>
      </c>
    </row>
    <row r="419" spans="1:10">
      <c r="A419" t="s">
        <v>4211</v>
      </c>
      <c r="B419">
        <v>0.34021787352308303</v>
      </c>
      <c r="C419">
        <v>5.8822075151634499</v>
      </c>
      <c r="D419">
        <v>1</v>
      </c>
      <c r="E419">
        <v>1</v>
      </c>
      <c r="F419">
        <v>6</v>
      </c>
      <c r="G419">
        <v>5</v>
      </c>
      <c r="H419" t="s">
        <v>28</v>
      </c>
      <c r="I419" t="s">
        <v>3438</v>
      </c>
      <c r="J419" t="s">
        <v>865</v>
      </c>
    </row>
    <row r="420" spans="1:10">
      <c r="A420" t="s">
        <v>4212</v>
      </c>
      <c r="B420">
        <v>0.34021787352308303</v>
      </c>
      <c r="C420">
        <v>5.8822075151634499</v>
      </c>
      <c r="D420">
        <v>1</v>
      </c>
      <c r="E420">
        <v>1</v>
      </c>
      <c r="F420">
        <v>6</v>
      </c>
      <c r="G420">
        <v>5</v>
      </c>
      <c r="H420" t="s">
        <v>28</v>
      </c>
      <c r="I420" t="s">
        <v>4213</v>
      </c>
      <c r="J420" t="s">
        <v>866</v>
      </c>
    </row>
    <row r="421" spans="1:10">
      <c r="A421" t="s">
        <v>4214</v>
      </c>
      <c r="B421">
        <v>0.34021787352308303</v>
      </c>
      <c r="C421">
        <v>5.8822075151634499</v>
      </c>
      <c r="D421">
        <v>1</v>
      </c>
      <c r="E421">
        <v>1</v>
      </c>
      <c r="F421">
        <v>6</v>
      </c>
      <c r="G421">
        <v>5</v>
      </c>
      <c r="H421" t="s">
        <v>28</v>
      </c>
      <c r="I421" t="s">
        <v>3438</v>
      </c>
      <c r="J421" t="s">
        <v>867</v>
      </c>
    </row>
    <row r="422" spans="1:10">
      <c r="A422" t="s">
        <v>4215</v>
      </c>
      <c r="B422">
        <v>0.34021787352308303</v>
      </c>
      <c r="C422">
        <v>5.8822075151634499</v>
      </c>
      <c r="D422">
        <v>1</v>
      </c>
      <c r="E422">
        <v>1</v>
      </c>
      <c r="F422">
        <v>6</v>
      </c>
      <c r="G422">
        <v>5</v>
      </c>
      <c r="H422" t="s">
        <v>28</v>
      </c>
      <c r="I422" t="s">
        <v>3438</v>
      </c>
      <c r="J422" t="s">
        <v>868</v>
      </c>
    </row>
    <row r="423" spans="1:10">
      <c r="A423" t="s">
        <v>4216</v>
      </c>
      <c r="B423">
        <v>0.34021787352308303</v>
      </c>
      <c r="C423">
        <v>5.8822075151634499</v>
      </c>
      <c r="D423">
        <v>1</v>
      </c>
      <c r="E423">
        <v>1</v>
      </c>
      <c r="F423">
        <v>6</v>
      </c>
      <c r="G423">
        <v>5</v>
      </c>
      <c r="H423" t="s">
        <v>28</v>
      </c>
      <c r="I423" t="s">
        <v>3933</v>
      </c>
      <c r="J423" t="s">
        <v>869</v>
      </c>
    </row>
    <row r="424" spans="1:10">
      <c r="A424" t="s">
        <v>4217</v>
      </c>
      <c r="B424">
        <v>0.34021787352308303</v>
      </c>
      <c r="C424">
        <v>5.8822075151634499</v>
      </c>
      <c r="D424">
        <v>1</v>
      </c>
      <c r="E424">
        <v>1</v>
      </c>
      <c r="F424">
        <v>6</v>
      </c>
      <c r="G424">
        <v>5</v>
      </c>
      <c r="H424" t="s">
        <v>28</v>
      </c>
      <c r="I424" t="s">
        <v>3438</v>
      </c>
      <c r="J424" t="s">
        <v>870</v>
      </c>
    </row>
    <row r="425" spans="1:10">
      <c r="A425" t="s">
        <v>4218</v>
      </c>
      <c r="B425">
        <v>0.34021787352308303</v>
      </c>
      <c r="C425">
        <v>5.8822075151634499</v>
      </c>
      <c r="D425">
        <v>1</v>
      </c>
      <c r="E425">
        <v>1</v>
      </c>
      <c r="F425">
        <v>6</v>
      </c>
      <c r="G425">
        <v>5</v>
      </c>
      <c r="H425" t="s">
        <v>4219</v>
      </c>
      <c r="I425" t="s">
        <v>4220</v>
      </c>
      <c r="J425" t="s">
        <v>871</v>
      </c>
    </row>
    <row r="426" spans="1:10">
      <c r="A426" t="s">
        <v>4221</v>
      </c>
      <c r="B426">
        <v>0.34021787352308303</v>
      </c>
      <c r="C426">
        <v>5.8822075151634499</v>
      </c>
      <c r="D426">
        <v>1</v>
      </c>
      <c r="E426">
        <v>1</v>
      </c>
      <c r="F426">
        <v>6</v>
      </c>
      <c r="G426">
        <v>5</v>
      </c>
      <c r="H426" t="s">
        <v>4222</v>
      </c>
      <c r="I426" t="s">
        <v>4223</v>
      </c>
      <c r="J426" t="s">
        <v>872</v>
      </c>
    </row>
    <row r="427" spans="1:10">
      <c r="A427" t="s">
        <v>4224</v>
      </c>
      <c r="B427">
        <v>0.34021787352308303</v>
      </c>
      <c r="C427">
        <v>5.8822075151634499</v>
      </c>
      <c r="D427">
        <v>1</v>
      </c>
      <c r="E427">
        <v>1</v>
      </c>
      <c r="F427">
        <v>6</v>
      </c>
      <c r="G427">
        <v>5</v>
      </c>
      <c r="H427" t="s">
        <v>28</v>
      </c>
      <c r="I427" t="s">
        <v>3491</v>
      </c>
      <c r="J427" t="s">
        <v>873</v>
      </c>
    </row>
    <row r="428" spans="1:10">
      <c r="A428" t="s">
        <v>4225</v>
      </c>
      <c r="B428">
        <v>-4.9970274197514701E-2</v>
      </c>
      <c r="C428">
        <v>9.0809801973395405</v>
      </c>
      <c r="D428">
        <v>0.999999999999999</v>
      </c>
      <c r="E428">
        <v>1</v>
      </c>
      <c r="F428">
        <v>48</v>
      </c>
      <c r="G428">
        <v>53</v>
      </c>
      <c r="H428" t="s">
        <v>4226</v>
      </c>
      <c r="I428" t="s">
        <v>4227</v>
      </c>
      <c r="J428" t="s">
        <v>874</v>
      </c>
    </row>
    <row r="429" spans="1:10">
      <c r="A429" t="s">
        <v>4228</v>
      </c>
      <c r="B429">
        <v>-1.9607263560285301E-2</v>
      </c>
      <c r="C429">
        <v>8.6895580877027303</v>
      </c>
      <c r="D429">
        <v>0.999999999999999</v>
      </c>
      <c r="E429">
        <v>1</v>
      </c>
      <c r="F429">
        <v>37</v>
      </c>
      <c r="G429">
        <v>40</v>
      </c>
      <c r="H429" t="s">
        <v>28</v>
      </c>
      <c r="I429" t="s">
        <v>3438</v>
      </c>
      <c r="J429" t="s">
        <v>875</v>
      </c>
    </row>
    <row r="430" spans="1:10">
      <c r="A430" t="s">
        <v>4229</v>
      </c>
      <c r="B430">
        <v>-1.4122774380671201E-2</v>
      </c>
      <c r="C430">
        <v>9.4995868334259796</v>
      </c>
      <c r="D430">
        <v>0.999999999999999</v>
      </c>
      <c r="E430">
        <v>1</v>
      </c>
      <c r="F430">
        <v>65</v>
      </c>
      <c r="G430">
        <v>70</v>
      </c>
      <c r="H430" t="s">
        <v>4230</v>
      </c>
      <c r="I430" t="s">
        <v>4231</v>
      </c>
      <c r="J430" t="s">
        <v>876</v>
      </c>
    </row>
    <row r="431" spans="1:10">
      <c r="A431" t="s">
        <v>4232</v>
      </c>
      <c r="B431">
        <v>6.9757091880353703E-3</v>
      </c>
      <c r="C431">
        <v>9.0809848094769592</v>
      </c>
      <c r="D431">
        <v>0.999999999999999</v>
      </c>
      <c r="E431">
        <v>1</v>
      </c>
      <c r="F431">
        <v>49</v>
      </c>
      <c r="G431">
        <v>52</v>
      </c>
      <c r="H431" t="s">
        <v>4233</v>
      </c>
      <c r="I431" t="s">
        <v>4234</v>
      </c>
      <c r="J431" t="s">
        <v>877</v>
      </c>
    </row>
    <row r="432" spans="1:10">
      <c r="A432" t="s">
        <v>4235</v>
      </c>
      <c r="B432">
        <v>5.4908989095117197E-2</v>
      </c>
      <c r="C432">
        <v>8.6895627053568791</v>
      </c>
      <c r="D432">
        <v>0.999999999999999</v>
      </c>
      <c r="E432">
        <v>1</v>
      </c>
      <c r="F432">
        <v>38</v>
      </c>
      <c r="G432">
        <v>39</v>
      </c>
      <c r="H432" t="s">
        <v>4236</v>
      </c>
      <c r="I432" t="s">
        <v>4237</v>
      </c>
      <c r="J432" t="s">
        <v>878</v>
      </c>
    </row>
    <row r="433" spans="1:10">
      <c r="A433" t="s">
        <v>4238</v>
      </c>
      <c r="B433">
        <v>5.4908989095117197E-2</v>
      </c>
      <c r="C433">
        <v>8.6895627053568791</v>
      </c>
      <c r="D433">
        <v>0.999999999999999</v>
      </c>
      <c r="E433">
        <v>1</v>
      </c>
      <c r="F433">
        <v>38</v>
      </c>
      <c r="G433">
        <v>39</v>
      </c>
      <c r="H433" t="s">
        <v>4239</v>
      </c>
      <c r="I433" t="s">
        <v>4240</v>
      </c>
      <c r="J433" t="s">
        <v>879</v>
      </c>
    </row>
    <row r="434" spans="1:10">
      <c r="A434" t="s">
        <v>4241</v>
      </c>
      <c r="B434">
        <v>5.9981788298830399E-2</v>
      </c>
      <c r="C434">
        <v>8.8985104832654294</v>
      </c>
      <c r="D434">
        <v>0.999999999999999</v>
      </c>
      <c r="E434">
        <v>1</v>
      </c>
      <c r="F434">
        <v>44</v>
      </c>
      <c r="G434">
        <v>45</v>
      </c>
      <c r="H434" t="s">
        <v>12</v>
      </c>
      <c r="I434" t="s">
        <v>4242</v>
      </c>
      <c r="J434" t="s">
        <v>880</v>
      </c>
    </row>
    <row r="435" spans="1:10">
      <c r="A435" t="s">
        <v>4243</v>
      </c>
      <c r="B435">
        <v>-6.4216757650780901E-2</v>
      </c>
      <c r="C435">
        <v>8.20412962538812</v>
      </c>
      <c r="D435">
        <v>0.999999999999998</v>
      </c>
      <c r="E435">
        <v>1</v>
      </c>
      <c r="F435">
        <v>26</v>
      </c>
      <c r="G435">
        <v>29</v>
      </c>
      <c r="H435" t="s">
        <v>4244</v>
      </c>
      <c r="I435" t="s">
        <v>4245</v>
      </c>
      <c r="J435" t="s">
        <v>881</v>
      </c>
    </row>
    <row r="436" spans="1:10">
      <c r="A436" t="s">
        <v>4246</v>
      </c>
      <c r="B436">
        <v>-5.3646265062430198E-2</v>
      </c>
      <c r="C436">
        <v>8.3054132587907805</v>
      </c>
      <c r="D436">
        <v>0.999999999999998</v>
      </c>
      <c r="E436">
        <v>1</v>
      </c>
      <c r="F436">
        <v>28</v>
      </c>
      <c r="G436">
        <v>31</v>
      </c>
      <c r="H436" t="s">
        <v>4247</v>
      </c>
      <c r="I436" t="s">
        <v>4248</v>
      </c>
      <c r="J436" t="s">
        <v>882</v>
      </c>
    </row>
    <row r="437" spans="1:10">
      <c r="A437" t="s">
        <v>4249</v>
      </c>
      <c r="B437">
        <v>-5.3646265062430198E-2</v>
      </c>
      <c r="C437">
        <v>8.3054132587907805</v>
      </c>
      <c r="D437">
        <v>0.999999999999998</v>
      </c>
      <c r="E437">
        <v>1</v>
      </c>
      <c r="F437">
        <v>28</v>
      </c>
      <c r="G437">
        <v>31</v>
      </c>
      <c r="H437" t="s">
        <v>4250</v>
      </c>
      <c r="I437" t="s">
        <v>4251</v>
      </c>
      <c r="J437" t="s">
        <v>883</v>
      </c>
    </row>
    <row r="438" spans="1:10">
      <c r="A438" t="s">
        <v>4252</v>
      </c>
      <c r="B438">
        <v>-5.3646265062430198E-2</v>
      </c>
      <c r="C438">
        <v>8.3054132587907805</v>
      </c>
      <c r="D438">
        <v>0.999999999999998</v>
      </c>
      <c r="E438">
        <v>1</v>
      </c>
      <c r="F438">
        <v>28</v>
      </c>
      <c r="G438">
        <v>31</v>
      </c>
      <c r="H438" t="s">
        <v>28</v>
      </c>
      <c r="I438" t="s">
        <v>3438</v>
      </c>
      <c r="J438" t="s">
        <v>884</v>
      </c>
    </row>
    <row r="439" spans="1:10">
      <c r="A439" t="s">
        <v>4253</v>
      </c>
      <c r="B439">
        <v>6.0155725492848098E-3</v>
      </c>
      <c r="C439">
        <v>10.2869600202666</v>
      </c>
      <c r="D439">
        <v>0.999999999999998</v>
      </c>
      <c r="E439">
        <v>1</v>
      </c>
      <c r="F439">
        <v>113</v>
      </c>
      <c r="G439">
        <v>120</v>
      </c>
      <c r="H439" t="s">
        <v>4254</v>
      </c>
      <c r="I439" t="s">
        <v>4255</v>
      </c>
      <c r="J439" t="s">
        <v>885</v>
      </c>
    </row>
    <row r="440" spans="1:10">
      <c r="A440" t="s">
        <v>4256</v>
      </c>
      <c r="B440">
        <v>8.6339405434655292E-3</v>
      </c>
      <c r="C440">
        <v>9.1092740020266394</v>
      </c>
      <c r="D440">
        <v>0.999999999999998</v>
      </c>
      <c r="E440">
        <v>1</v>
      </c>
      <c r="F440">
        <v>50</v>
      </c>
      <c r="G440">
        <v>53</v>
      </c>
      <c r="H440" t="s">
        <v>28</v>
      </c>
      <c r="I440" t="s">
        <v>3438</v>
      </c>
      <c r="J440" t="s">
        <v>886</v>
      </c>
    </row>
    <row r="441" spans="1:10">
      <c r="A441" t="s">
        <v>4257</v>
      </c>
      <c r="B441">
        <v>-7.0096545184935799E-2</v>
      </c>
      <c r="C441">
        <v>8.1506902175994398</v>
      </c>
      <c r="D441">
        <v>0.999999999999997</v>
      </c>
      <c r="E441">
        <v>1</v>
      </c>
      <c r="F441">
        <v>25</v>
      </c>
      <c r="G441">
        <v>28</v>
      </c>
      <c r="H441" t="s">
        <v>28</v>
      </c>
      <c r="I441" t="s">
        <v>3438</v>
      </c>
      <c r="J441" t="s">
        <v>887</v>
      </c>
    </row>
    <row r="442" spans="1:10">
      <c r="A442" t="s">
        <v>4258</v>
      </c>
      <c r="B442">
        <v>-2.9045782157225499E-2</v>
      </c>
      <c r="C442">
        <v>8.57251822091912</v>
      </c>
      <c r="D442">
        <v>0.999999999999997</v>
      </c>
      <c r="E442">
        <v>1</v>
      </c>
      <c r="F442">
        <v>34</v>
      </c>
      <c r="G442">
        <v>37</v>
      </c>
      <c r="H442" t="s">
        <v>4259</v>
      </c>
      <c r="I442" t="s">
        <v>4260</v>
      </c>
      <c r="J442" t="s">
        <v>888</v>
      </c>
    </row>
    <row r="443" spans="1:10">
      <c r="A443" t="s">
        <v>4261</v>
      </c>
      <c r="B443">
        <v>-1.1527095897839601E-2</v>
      </c>
      <c r="C443">
        <v>8.7978114236822709</v>
      </c>
      <c r="D443">
        <v>0.999999999999997</v>
      </c>
      <c r="E443">
        <v>1</v>
      </c>
      <c r="F443">
        <v>40</v>
      </c>
      <c r="G443">
        <v>43</v>
      </c>
      <c r="H443" t="s">
        <v>28</v>
      </c>
      <c r="I443" t="s">
        <v>3438</v>
      </c>
      <c r="J443" t="s">
        <v>889</v>
      </c>
    </row>
    <row r="444" spans="1:10">
      <c r="A444" t="s">
        <v>4262</v>
      </c>
      <c r="B444">
        <v>1.39963324753204E-2</v>
      </c>
      <c r="C444">
        <v>10.2041349248014</v>
      </c>
      <c r="D444">
        <v>0.999999999999997</v>
      </c>
      <c r="E444">
        <v>1</v>
      </c>
      <c r="F444">
        <v>107</v>
      </c>
      <c r="G444">
        <v>113</v>
      </c>
      <c r="H444" t="s">
        <v>28</v>
      </c>
      <c r="I444" t="s">
        <v>3657</v>
      </c>
      <c r="J444" t="s">
        <v>890</v>
      </c>
    </row>
    <row r="445" spans="1:10">
      <c r="A445" t="s">
        <v>4263</v>
      </c>
      <c r="B445">
        <v>3.7934567350754303E-2</v>
      </c>
      <c r="C445">
        <v>8.1506948407690896</v>
      </c>
      <c r="D445">
        <v>0.999999999999997</v>
      </c>
      <c r="E445">
        <v>1</v>
      </c>
      <c r="F445">
        <v>26</v>
      </c>
      <c r="G445">
        <v>27</v>
      </c>
      <c r="H445" t="s">
        <v>4264</v>
      </c>
      <c r="I445" t="s">
        <v>4265</v>
      </c>
      <c r="J445" t="s">
        <v>891</v>
      </c>
    </row>
    <row r="446" spans="1:10">
      <c r="A446" t="s">
        <v>4266</v>
      </c>
      <c r="B446">
        <v>3.7934567350754303E-2</v>
      </c>
      <c r="C446">
        <v>8.1506948407690896</v>
      </c>
      <c r="D446">
        <v>0.999999999999997</v>
      </c>
      <c r="E446">
        <v>1</v>
      </c>
      <c r="F446">
        <v>26</v>
      </c>
      <c r="G446">
        <v>27</v>
      </c>
      <c r="H446" t="s">
        <v>28</v>
      </c>
      <c r="I446" t="s">
        <v>3438</v>
      </c>
      <c r="J446" t="s">
        <v>892</v>
      </c>
    </row>
    <row r="447" spans="1:10">
      <c r="A447" t="s">
        <v>4267</v>
      </c>
      <c r="B447">
        <v>3.7934567350754303E-2</v>
      </c>
      <c r="C447">
        <v>8.1506948407690896</v>
      </c>
      <c r="D447">
        <v>0.999999999999997</v>
      </c>
      <c r="E447">
        <v>1</v>
      </c>
      <c r="F447">
        <v>26</v>
      </c>
      <c r="G447">
        <v>27</v>
      </c>
      <c r="H447" t="s">
        <v>28</v>
      </c>
      <c r="I447" t="s">
        <v>3438</v>
      </c>
      <c r="J447" t="s">
        <v>893</v>
      </c>
    </row>
    <row r="448" spans="1:10">
      <c r="A448" t="s">
        <v>4268</v>
      </c>
      <c r="B448">
        <v>-9.8264107774862594E-2</v>
      </c>
      <c r="C448">
        <v>7.3296609592316901</v>
      </c>
      <c r="D448">
        <v>0.999999999999996</v>
      </c>
      <c r="E448">
        <v>1</v>
      </c>
      <c r="F448">
        <v>14</v>
      </c>
      <c r="G448">
        <v>16</v>
      </c>
      <c r="H448" t="s">
        <v>28</v>
      </c>
      <c r="I448" t="s">
        <v>3438</v>
      </c>
      <c r="J448" t="s">
        <v>894</v>
      </c>
    </row>
    <row r="449" spans="1:10">
      <c r="A449" t="s">
        <v>4269</v>
      </c>
      <c r="B449">
        <v>-9.8264107774862594E-2</v>
      </c>
      <c r="C449">
        <v>7.3296609592316901</v>
      </c>
      <c r="D449">
        <v>0.999999999999996</v>
      </c>
      <c r="E449">
        <v>1</v>
      </c>
      <c r="F449">
        <v>14</v>
      </c>
      <c r="G449">
        <v>16</v>
      </c>
      <c r="H449" t="s">
        <v>28</v>
      </c>
      <c r="I449" t="s">
        <v>3438</v>
      </c>
      <c r="J449" t="s">
        <v>895</v>
      </c>
    </row>
    <row r="450" spans="1:10">
      <c r="A450" t="s">
        <v>4270</v>
      </c>
      <c r="B450">
        <v>-9.8264107774862594E-2</v>
      </c>
      <c r="C450">
        <v>7.3296609592316901</v>
      </c>
      <c r="D450">
        <v>0.999999999999996</v>
      </c>
      <c r="E450">
        <v>1</v>
      </c>
      <c r="F450">
        <v>14</v>
      </c>
      <c r="G450">
        <v>16</v>
      </c>
      <c r="H450" t="s">
        <v>28</v>
      </c>
      <c r="I450" t="s">
        <v>3438</v>
      </c>
      <c r="J450" t="s">
        <v>896</v>
      </c>
    </row>
    <row r="451" spans="1:10">
      <c r="A451" t="s">
        <v>4271</v>
      </c>
      <c r="B451">
        <v>-9.8264107774862594E-2</v>
      </c>
      <c r="C451">
        <v>7.3296609592316901</v>
      </c>
      <c r="D451">
        <v>0.999999999999996</v>
      </c>
      <c r="E451">
        <v>1</v>
      </c>
      <c r="F451">
        <v>14</v>
      </c>
      <c r="G451">
        <v>16</v>
      </c>
      <c r="H451" t="s">
        <v>4272</v>
      </c>
      <c r="I451" t="s">
        <v>3659</v>
      </c>
      <c r="J451" t="s">
        <v>897</v>
      </c>
    </row>
    <row r="452" spans="1:10">
      <c r="A452" t="s">
        <v>4273</v>
      </c>
      <c r="B452">
        <v>-6.6803717224669197E-3</v>
      </c>
      <c r="C452">
        <v>7.2807535986221898</v>
      </c>
      <c r="D452">
        <v>0.999999999999996</v>
      </c>
      <c r="E452">
        <v>1</v>
      </c>
      <c r="F452">
        <v>14</v>
      </c>
      <c r="G452">
        <v>15</v>
      </c>
      <c r="H452" t="s">
        <v>28</v>
      </c>
      <c r="I452" t="s">
        <v>3438</v>
      </c>
      <c r="J452" t="s">
        <v>898</v>
      </c>
    </row>
    <row r="453" spans="1:10">
      <c r="A453" t="s">
        <v>4274</v>
      </c>
      <c r="B453">
        <v>-6.6803717224669197E-3</v>
      </c>
      <c r="C453">
        <v>7.2807535986221898</v>
      </c>
      <c r="D453">
        <v>0.999999999999996</v>
      </c>
      <c r="E453">
        <v>1</v>
      </c>
      <c r="F453">
        <v>14</v>
      </c>
      <c r="G453">
        <v>15</v>
      </c>
      <c r="H453" t="s">
        <v>28</v>
      </c>
      <c r="I453" t="s">
        <v>3438</v>
      </c>
      <c r="J453" t="s">
        <v>899</v>
      </c>
    </row>
    <row r="454" spans="1:10">
      <c r="A454" t="s">
        <v>4275</v>
      </c>
      <c r="B454">
        <v>-6.6803717224669197E-3</v>
      </c>
      <c r="C454">
        <v>7.2807535986221898</v>
      </c>
      <c r="D454">
        <v>0.999999999999996</v>
      </c>
      <c r="E454">
        <v>1</v>
      </c>
      <c r="F454">
        <v>14</v>
      </c>
      <c r="G454">
        <v>15</v>
      </c>
      <c r="H454" t="s">
        <v>4276</v>
      </c>
      <c r="I454" t="s">
        <v>4277</v>
      </c>
      <c r="J454" t="s">
        <v>900</v>
      </c>
    </row>
    <row r="455" spans="1:10">
      <c r="A455" t="s">
        <v>4278</v>
      </c>
      <c r="B455">
        <v>-6.6803717224669197E-3</v>
      </c>
      <c r="C455">
        <v>7.2807535986221898</v>
      </c>
      <c r="D455">
        <v>0.999999999999996</v>
      </c>
      <c r="E455">
        <v>1</v>
      </c>
      <c r="F455">
        <v>14</v>
      </c>
      <c r="G455">
        <v>15</v>
      </c>
      <c r="H455" t="s">
        <v>87</v>
      </c>
      <c r="I455" t="s">
        <v>4279</v>
      </c>
      <c r="J455" t="s">
        <v>88</v>
      </c>
    </row>
    <row r="456" spans="1:10">
      <c r="A456" t="s">
        <v>4280</v>
      </c>
      <c r="B456">
        <v>-6.6803717224669197E-3</v>
      </c>
      <c r="C456">
        <v>7.2807535986221898</v>
      </c>
      <c r="D456">
        <v>0.999999999999996</v>
      </c>
      <c r="E456">
        <v>1</v>
      </c>
      <c r="F456">
        <v>14</v>
      </c>
      <c r="G456">
        <v>15</v>
      </c>
      <c r="H456" t="s">
        <v>4281</v>
      </c>
      <c r="I456" t="s">
        <v>4282</v>
      </c>
      <c r="J456" t="s">
        <v>901</v>
      </c>
    </row>
    <row r="457" spans="1:10">
      <c r="A457" t="s">
        <v>4283</v>
      </c>
      <c r="B457">
        <v>-6.6803717224669197E-3</v>
      </c>
      <c r="C457">
        <v>7.2807535986221898</v>
      </c>
      <c r="D457">
        <v>0.999999999999996</v>
      </c>
      <c r="E457">
        <v>1</v>
      </c>
      <c r="F457">
        <v>14</v>
      </c>
      <c r="G457">
        <v>15</v>
      </c>
      <c r="H457" t="s">
        <v>4284</v>
      </c>
      <c r="I457" t="s">
        <v>4285</v>
      </c>
      <c r="J457" t="s">
        <v>902</v>
      </c>
    </row>
    <row r="458" spans="1:10">
      <c r="A458" t="s">
        <v>4286</v>
      </c>
      <c r="B458">
        <v>-6.6803717224669197E-3</v>
      </c>
      <c r="C458">
        <v>7.2807535986221898</v>
      </c>
      <c r="D458">
        <v>0.999999999999996</v>
      </c>
      <c r="E458">
        <v>1</v>
      </c>
      <c r="F458">
        <v>14</v>
      </c>
      <c r="G458">
        <v>15</v>
      </c>
      <c r="H458" t="s">
        <v>28</v>
      </c>
      <c r="I458" t="s">
        <v>3438</v>
      </c>
      <c r="J458" t="s">
        <v>903</v>
      </c>
    </row>
    <row r="459" spans="1:10">
      <c r="A459" t="s">
        <v>4287</v>
      </c>
      <c r="B459">
        <v>0.18901433322177399</v>
      </c>
      <c r="C459">
        <v>7.2807582273339797</v>
      </c>
      <c r="D459">
        <v>0.999999999999996</v>
      </c>
      <c r="E459">
        <v>1</v>
      </c>
      <c r="F459">
        <v>15</v>
      </c>
      <c r="G459">
        <v>14</v>
      </c>
      <c r="H459" t="s">
        <v>28</v>
      </c>
      <c r="I459" t="s">
        <v>3438</v>
      </c>
      <c r="J459" t="s">
        <v>904</v>
      </c>
    </row>
    <row r="460" spans="1:10">
      <c r="A460" t="s">
        <v>4288</v>
      </c>
      <c r="B460">
        <v>0.18901433322177399</v>
      </c>
      <c r="C460">
        <v>7.2807582273339797</v>
      </c>
      <c r="D460">
        <v>0.999999999999996</v>
      </c>
      <c r="E460">
        <v>1</v>
      </c>
      <c r="F460">
        <v>15</v>
      </c>
      <c r="G460">
        <v>14</v>
      </c>
      <c r="H460" t="s">
        <v>28</v>
      </c>
      <c r="I460" t="s">
        <v>4138</v>
      </c>
      <c r="J460" t="s">
        <v>905</v>
      </c>
    </row>
    <row r="461" spans="1:10">
      <c r="A461" t="s">
        <v>4289</v>
      </c>
      <c r="B461">
        <v>0.18901433322177399</v>
      </c>
      <c r="C461">
        <v>7.2807582273339797</v>
      </c>
      <c r="D461">
        <v>0.999999999999996</v>
      </c>
      <c r="E461">
        <v>1</v>
      </c>
      <c r="F461">
        <v>15</v>
      </c>
      <c r="G461">
        <v>14</v>
      </c>
      <c r="H461" t="s">
        <v>4290</v>
      </c>
      <c r="I461" t="s">
        <v>4291</v>
      </c>
      <c r="J461" t="s">
        <v>906</v>
      </c>
    </row>
    <row r="462" spans="1:10">
      <c r="A462" t="s">
        <v>4292</v>
      </c>
      <c r="B462">
        <v>0.18901433322177399</v>
      </c>
      <c r="C462">
        <v>7.2807582273339797</v>
      </c>
      <c r="D462">
        <v>0.999999999999996</v>
      </c>
      <c r="E462">
        <v>1</v>
      </c>
      <c r="F462">
        <v>15</v>
      </c>
      <c r="G462">
        <v>14</v>
      </c>
      <c r="H462" t="s">
        <v>4293</v>
      </c>
      <c r="I462" t="s">
        <v>4294</v>
      </c>
      <c r="J462" t="s">
        <v>907</v>
      </c>
    </row>
    <row r="463" spans="1:10">
      <c r="A463" t="s">
        <v>4295</v>
      </c>
      <c r="B463">
        <v>0.18901433322177399</v>
      </c>
      <c r="C463">
        <v>7.2807582273339797</v>
      </c>
      <c r="D463">
        <v>0.999999999999996</v>
      </c>
      <c r="E463">
        <v>1</v>
      </c>
      <c r="F463">
        <v>15</v>
      </c>
      <c r="G463">
        <v>14</v>
      </c>
      <c r="H463" t="s">
        <v>4296</v>
      </c>
      <c r="I463" t="s">
        <v>4297</v>
      </c>
      <c r="J463" t="s">
        <v>908</v>
      </c>
    </row>
    <row r="464" spans="1:10">
      <c r="A464" t="s">
        <v>4298</v>
      </c>
      <c r="B464">
        <v>0.18901433322177399</v>
      </c>
      <c r="C464">
        <v>7.2807582273339797</v>
      </c>
      <c r="D464">
        <v>0.999999999999996</v>
      </c>
      <c r="E464">
        <v>1</v>
      </c>
      <c r="F464">
        <v>15</v>
      </c>
      <c r="G464">
        <v>14</v>
      </c>
      <c r="H464" t="s">
        <v>28</v>
      </c>
      <c r="I464" t="s">
        <v>4299</v>
      </c>
      <c r="J464" t="s">
        <v>909</v>
      </c>
    </row>
    <row r="465" spans="1:10">
      <c r="A465" t="s">
        <v>4300</v>
      </c>
      <c r="B465">
        <v>0.18901433322177399</v>
      </c>
      <c r="C465">
        <v>7.2807582273339797</v>
      </c>
      <c r="D465">
        <v>0.999999999999996</v>
      </c>
      <c r="E465">
        <v>1</v>
      </c>
      <c r="F465">
        <v>15</v>
      </c>
      <c r="G465">
        <v>14</v>
      </c>
      <c r="H465" t="s">
        <v>4301</v>
      </c>
      <c r="I465" t="s">
        <v>3438</v>
      </c>
      <c r="J465" t="s">
        <v>910</v>
      </c>
    </row>
    <row r="466" spans="1:10">
      <c r="A466" t="s">
        <v>4302</v>
      </c>
      <c r="B466">
        <v>0.18901433322177399</v>
      </c>
      <c r="C466">
        <v>7.2807582273339797</v>
      </c>
      <c r="D466">
        <v>0.999999999999996</v>
      </c>
      <c r="E466">
        <v>1</v>
      </c>
      <c r="F466">
        <v>15</v>
      </c>
      <c r="G466">
        <v>14</v>
      </c>
      <c r="H466" t="s">
        <v>4303</v>
      </c>
      <c r="I466" t="s">
        <v>4304</v>
      </c>
      <c r="J466" t="s">
        <v>911</v>
      </c>
    </row>
    <row r="467" spans="1:10">
      <c r="A467" t="s">
        <v>4305</v>
      </c>
      <c r="B467">
        <v>0.18901433322177399</v>
      </c>
      <c r="C467">
        <v>7.2807582273339797</v>
      </c>
      <c r="D467">
        <v>0.999999999999996</v>
      </c>
      <c r="E467">
        <v>1</v>
      </c>
      <c r="F467">
        <v>15</v>
      </c>
      <c r="G467">
        <v>14</v>
      </c>
      <c r="H467" t="s">
        <v>28</v>
      </c>
      <c r="I467" t="s">
        <v>3878</v>
      </c>
      <c r="J467" t="s">
        <v>912</v>
      </c>
    </row>
    <row r="468" spans="1:10">
      <c r="A468" t="s">
        <v>4306</v>
      </c>
      <c r="B468">
        <v>0.18901433322177399</v>
      </c>
      <c r="C468">
        <v>7.2807582273339797</v>
      </c>
      <c r="D468">
        <v>0.999999999999996</v>
      </c>
      <c r="E468">
        <v>1</v>
      </c>
      <c r="F468">
        <v>15</v>
      </c>
      <c r="G468">
        <v>14</v>
      </c>
      <c r="H468" t="s">
        <v>28</v>
      </c>
      <c r="I468" t="s">
        <v>3436</v>
      </c>
      <c r="J468" t="s">
        <v>913</v>
      </c>
    </row>
    <row r="469" spans="1:10">
      <c r="A469" t="s">
        <v>4307</v>
      </c>
      <c r="B469">
        <v>2.1099681518797798E-2</v>
      </c>
      <c r="C469">
        <v>9.3416380438593496</v>
      </c>
      <c r="D469">
        <v>0.999999999999995</v>
      </c>
      <c r="E469">
        <v>1</v>
      </c>
      <c r="F469">
        <v>59</v>
      </c>
      <c r="G469">
        <v>62</v>
      </c>
      <c r="H469" t="s">
        <v>380</v>
      </c>
      <c r="I469" t="s">
        <v>4308</v>
      </c>
      <c r="J469" t="s">
        <v>104</v>
      </c>
    </row>
    <row r="470" spans="1:10">
      <c r="A470" t="s">
        <v>4309</v>
      </c>
      <c r="B470">
        <v>5.8449093973754099E-2</v>
      </c>
      <c r="C470">
        <v>8.8321676926753803</v>
      </c>
      <c r="D470">
        <v>0.999999999999995</v>
      </c>
      <c r="E470">
        <v>1</v>
      </c>
      <c r="F470">
        <v>42</v>
      </c>
      <c r="G470">
        <v>43</v>
      </c>
      <c r="H470" t="s">
        <v>4310</v>
      </c>
      <c r="I470" t="s">
        <v>4311</v>
      </c>
      <c r="J470" t="s">
        <v>914</v>
      </c>
    </row>
    <row r="471" spans="1:10">
      <c r="A471" t="s">
        <v>4312</v>
      </c>
      <c r="B471">
        <v>5.8449093973754099E-2</v>
      </c>
      <c r="C471">
        <v>8.8321676926753803</v>
      </c>
      <c r="D471">
        <v>0.999999999999995</v>
      </c>
      <c r="E471">
        <v>1</v>
      </c>
      <c r="F471">
        <v>42</v>
      </c>
      <c r="G471">
        <v>43</v>
      </c>
      <c r="H471" t="s">
        <v>28</v>
      </c>
      <c r="I471" t="s">
        <v>3438</v>
      </c>
      <c r="J471" t="s">
        <v>915</v>
      </c>
    </row>
    <row r="472" spans="1:10">
      <c r="A472" t="s">
        <v>4313</v>
      </c>
      <c r="B472">
        <v>-4.02168762597487E-2</v>
      </c>
      <c r="C472">
        <v>8.4451384685833606</v>
      </c>
      <c r="D472">
        <v>0.999999999999994</v>
      </c>
      <c r="E472">
        <v>1</v>
      </c>
      <c r="F472">
        <v>31</v>
      </c>
      <c r="G472">
        <v>34</v>
      </c>
      <c r="H472" t="s">
        <v>4314</v>
      </c>
      <c r="I472" t="s">
        <v>4315</v>
      </c>
      <c r="J472" t="s">
        <v>916</v>
      </c>
    </row>
    <row r="473" spans="1:10">
      <c r="A473" t="s">
        <v>4316</v>
      </c>
      <c r="B473">
        <v>-2.9957222008498E-2</v>
      </c>
      <c r="C473">
        <v>8.9773593528850206</v>
      </c>
      <c r="D473">
        <v>0.999999999999994</v>
      </c>
      <c r="E473">
        <v>1</v>
      </c>
      <c r="F473">
        <v>45</v>
      </c>
      <c r="G473">
        <v>49</v>
      </c>
      <c r="H473" t="s">
        <v>28</v>
      </c>
      <c r="I473" t="s">
        <v>4138</v>
      </c>
      <c r="J473" t="s">
        <v>917</v>
      </c>
    </row>
    <row r="474" spans="1:10">
      <c r="A474" t="s">
        <v>4317</v>
      </c>
      <c r="B474">
        <v>-2.4039105116198298E-3</v>
      </c>
      <c r="C474">
        <v>8.9305672258909201</v>
      </c>
      <c r="D474">
        <v>0.999999999999994</v>
      </c>
      <c r="E474">
        <v>1</v>
      </c>
      <c r="F474">
        <v>44</v>
      </c>
      <c r="G474">
        <v>47</v>
      </c>
      <c r="H474" t="s">
        <v>4318</v>
      </c>
      <c r="I474" t="s">
        <v>4319</v>
      </c>
      <c r="J474" t="s">
        <v>918</v>
      </c>
    </row>
    <row r="475" spans="1:10">
      <c r="A475" t="s">
        <v>4320</v>
      </c>
      <c r="B475">
        <v>6.0697876799849802E-2</v>
      </c>
      <c r="C475">
        <v>8.9305718403343093</v>
      </c>
      <c r="D475">
        <v>0.999999999999994</v>
      </c>
      <c r="E475">
        <v>1</v>
      </c>
      <c r="F475">
        <v>45</v>
      </c>
      <c r="G475">
        <v>46</v>
      </c>
      <c r="H475" t="s">
        <v>28</v>
      </c>
      <c r="I475" t="s">
        <v>3438</v>
      </c>
      <c r="J475" t="s">
        <v>919</v>
      </c>
    </row>
    <row r="476" spans="1:10">
      <c r="A476" t="s">
        <v>4321</v>
      </c>
      <c r="B476">
        <v>-0.139829546507337</v>
      </c>
      <c r="C476">
        <v>7.63222193698165</v>
      </c>
      <c r="D476">
        <v>0.99999999999999201</v>
      </c>
      <c r="E476">
        <v>1</v>
      </c>
      <c r="F476">
        <v>17</v>
      </c>
      <c r="G476">
        <v>20</v>
      </c>
      <c r="H476" t="s">
        <v>28</v>
      </c>
      <c r="I476" t="s">
        <v>4053</v>
      </c>
      <c r="J476" t="s">
        <v>920</v>
      </c>
    </row>
    <row r="477" spans="1:10">
      <c r="A477" t="s">
        <v>4322</v>
      </c>
      <c r="B477">
        <v>-0.139829546507337</v>
      </c>
      <c r="C477">
        <v>7.63222193698165</v>
      </c>
      <c r="D477">
        <v>0.99999999999999201</v>
      </c>
      <c r="E477">
        <v>1</v>
      </c>
      <c r="F477">
        <v>17</v>
      </c>
      <c r="G477">
        <v>20</v>
      </c>
      <c r="H477" t="s">
        <v>4323</v>
      </c>
      <c r="I477" t="s">
        <v>4324</v>
      </c>
      <c r="J477" t="s">
        <v>921</v>
      </c>
    </row>
    <row r="478" spans="1:10">
      <c r="A478" t="s">
        <v>4325</v>
      </c>
      <c r="B478">
        <v>-5.8747169102252403E-2</v>
      </c>
      <c r="C478">
        <v>8.2556600748257694</v>
      </c>
      <c r="D478">
        <v>0.99999999999999201</v>
      </c>
      <c r="E478">
        <v>1</v>
      </c>
      <c r="F478">
        <v>27</v>
      </c>
      <c r="G478">
        <v>30</v>
      </c>
      <c r="H478" t="s">
        <v>4326</v>
      </c>
      <c r="I478" t="s">
        <v>4327</v>
      </c>
      <c r="J478" t="s">
        <v>922</v>
      </c>
    </row>
    <row r="479" spans="1:10">
      <c r="A479" t="s">
        <v>4328</v>
      </c>
      <c r="B479">
        <v>-1.67781640131782E-2</v>
      </c>
      <c r="C479">
        <v>8.7265524436569599</v>
      </c>
      <c r="D479">
        <v>0.99999999999999201</v>
      </c>
      <c r="E479">
        <v>1</v>
      </c>
      <c r="F479">
        <v>38</v>
      </c>
      <c r="G479">
        <v>41</v>
      </c>
      <c r="H479" t="s">
        <v>28</v>
      </c>
      <c r="I479" t="s">
        <v>4329</v>
      </c>
      <c r="J479" t="s">
        <v>923</v>
      </c>
    </row>
    <row r="480" spans="1:10">
      <c r="A480" t="s">
        <v>4330</v>
      </c>
      <c r="B480">
        <v>-1.40881112771622E-2</v>
      </c>
      <c r="C480">
        <v>8.7626218468069901</v>
      </c>
      <c r="D480">
        <v>0.99999999999999201</v>
      </c>
      <c r="E480">
        <v>1</v>
      </c>
      <c r="F480">
        <v>39</v>
      </c>
      <c r="G480">
        <v>42</v>
      </c>
      <c r="H480" t="s">
        <v>4331</v>
      </c>
      <c r="I480" t="s">
        <v>4332</v>
      </c>
      <c r="J480" t="s">
        <v>924</v>
      </c>
    </row>
    <row r="481" spans="1:10">
      <c r="A481" t="s">
        <v>4333</v>
      </c>
      <c r="B481">
        <v>1.4541128976741599E-2</v>
      </c>
      <c r="C481">
        <v>7.63222656383439</v>
      </c>
      <c r="D481">
        <v>0.99999999999999201</v>
      </c>
      <c r="E481">
        <v>1</v>
      </c>
      <c r="F481">
        <v>18</v>
      </c>
      <c r="G481">
        <v>19</v>
      </c>
      <c r="H481" t="s">
        <v>28</v>
      </c>
      <c r="I481" t="s">
        <v>3438</v>
      </c>
      <c r="J481" t="s">
        <v>925</v>
      </c>
    </row>
    <row r="482" spans="1:10">
      <c r="A482" t="s">
        <v>4334</v>
      </c>
      <c r="B482">
        <v>1.4541128976741599E-2</v>
      </c>
      <c r="C482">
        <v>7.63222656383439</v>
      </c>
      <c r="D482">
        <v>0.99999999999999201</v>
      </c>
      <c r="E482">
        <v>1</v>
      </c>
      <c r="F482">
        <v>18</v>
      </c>
      <c r="G482">
        <v>19</v>
      </c>
      <c r="H482" t="s">
        <v>4335</v>
      </c>
      <c r="I482" t="s">
        <v>4336</v>
      </c>
      <c r="J482" t="s">
        <v>926</v>
      </c>
    </row>
    <row r="483" spans="1:10">
      <c r="A483" t="s">
        <v>4337</v>
      </c>
      <c r="B483">
        <v>1.4541128976741599E-2</v>
      </c>
      <c r="C483">
        <v>7.63222656383439</v>
      </c>
      <c r="D483">
        <v>0.99999999999999201</v>
      </c>
      <c r="E483">
        <v>1</v>
      </c>
      <c r="F483">
        <v>18</v>
      </c>
      <c r="G483">
        <v>19</v>
      </c>
      <c r="H483" t="s">
        <v>28</v>
      </c>
      <c r="I483" t="s">
        <v>3438</v>
      </c>
      <c r="J483" t="s">
        <v>927</v>
      </c>
    </row>
    <row r="484" spans="1:10">
      <c r="A484" t="s">
        <v>4338</v>
      </c>
      <c r="B484">
        <v>1.4541128976741599E-2</v>
      </c>
      <c r="C484">
        <v>7.63222656383439</v>
      </c>
      <c r="D484">
        <v>0.99999999999999201</v>
      </c>
      <c r="E484">
        <v>1</v>
      </c>
      <c r="F484">
        <v>18</v>
      </c>
      <c r="G484">
        <v>19</v>
      </c>
      <c r="H484" t="s">
        <v>4339</v>
      </c>
      <c r="I484" t="s">
        <v>4340</v>
      </c>
      <c r="J484" t="s">
        <v>928</v>
      </c>
    </row>
    <row r="485" spans="1:10">
      <c r="A485" t="s">
        <v>4341</v>
      </c>
      <c r="B485">
        <v>1.4541128976741599E-2</v>
      </c>
      <c r="C485">
        <v>7.63222656383439</v>
      </c>
      <c r="D485">
        <v>0.99999999999999201</v>
      </c>
      <c r="E485">
        <v>1</v>
      </c>
      <c r="F485">
        <v>18</v>
      </c>
      <c r="G485">
        <v>19</v>
      </c>
      <c r="H485" t="s">
        <v>4342</v>
      </c>
      <c r="I485" t="s">
        <v>4343</v>
      </c>
      <c r="J485" t="s">
        <v>929</v>
      </c>
    </row>
    <row r="486" spans="1:10">
      <c r="A486" t="s">
        <v>4344</v>
      </c>
      <c r="B486">
        <v>1.4541128976741599E-2</v>
      </c>
      <c r="C486">
        <v>7.63222656383439</v>
      </c>
      <c r="D486">
        <v>0.99999999999999201</v>
      </c>
      <c r="E486">
        <v>1</v>
      </c>
      <c r="F486">
        <v>18</v>
      </c>
      <c r="G486">
        <v>19</v>
      </c>
      <c r="H486" t="s">
        <v>28</v>
      </c>
      <c r="I486" t="s">
        <v>3438</v>
      </c>
      <c r="J486" t="s">
        <v>930</v>
      </c>
    </row>
    <row r="487" spans="1:10">
      <c r="A487" t="s">
        <v>4345</v>
      </c>
      <c r="B487">
        <v>1.4541128976741599E-2</v>
      </c>
      <c r="C487">
        <v>7.63222656383439</v>
      </c>
      <c r="D487">
        <v>0.99999999999999201</v>
      </c>
      <c r="E487">
        <v>1</v>
      </c>
      <c r="F487">
        <v>18</v>
      </c>
      <c r="G487">
        <v>19</v>
      </c>
      <c r="H487" t="s">
        <v>28</v>
      </c>
      <c r="I487" t="s">
        <v>3438</v>
      </c>
      <c r="J487" t="s">
        <v>931</v>
      </c>
    </row>
    <row r="488" spans="1:10">
      <c r="A488" t="s">
        <v>4346</v>
      </c>
      <c r="B488">
        <v>1.4541128976741599E-2</v>
      </c>
      <c r="C488">
        <v>7.63222656383439</v>
      </c>
      <c r="D488">
        <v>0.99999999999999201</v>
      </c>
      <c r="E488">
        <v>1</v>
      </c>
      <c r="F488">
        <v>18</v>
      </c>
      <c r="G488">
        <v>19</v>
      </c>
      <c r="H488" t="s">
        <v>28</v>
      </c>
      <c r="I488" t="s">
        <v>3438</v>
      </c>
      <c r="J488" t="s">
        <v>932</v>
      </c>
    </row>
    <row r="489" spans="1:10">
      <c r="A489" t="s">
        <v>4347</v>
      </c>
      <c r="B489">
        <v>4.17479506682506E-2</v>
      </c>
      <c r="C489">
        <v>8.2556646970750691</v>
      </c>
      <c r="D489">
        <v>0.99999999999999201</v>
      </c>
      <c r="E489">
        <v>1</v>
      </c>
      <c r="F489">
        <v>28</v>
      </c>
      <c r="G489">
        <v>29</v>
      </c>
      <c r="H489" t="s">
        <v>28</v>
      </c>
      <c r="I489" t="s">
        <v>4348</v>
      </c>
      <c r="J489" t="s">
        <v>933</v>
      </c>
    </row>
    <row r="490" spans="1:10">
      <c r="A490" t="s">
        <v>4349</v>
      </c>
      <c r="B490">
        <v>-0.152993805728381</v>
      </c>
      <c r="C490">
        <v>7.5520514392034901</v>
      </c>
      <c r="D490">
        <v>0.99999999999999001</v>
      </c>
      <c r="E490">
        <v>1</v>
      </c>
      <c r="F490">
        <v>16</v>
      </c>
      <c r="G490">
        <v>19</v>
      </c>
      <c r="H490" t="s">
        <v>28</v>
      </c>
      <c r="I490" t="s">
        <v>3438</v>
      </c>
      <c r="J490" t="s">
        <v>934</v>
      </c>
    </row>
    <row r="491" spans="1:10">
      <c r="A491" t="s">
        <v>4350</v>
      </c>
      <c r="B491">
        <v>-0.152993805728381</v>
      </c>
      <c r="C491">
        <v>7.5520514392034901</v>
      </c>
      <c r="D491">
        <v>0.99999999999999001</v>
      </c>
      <c r="E491">
        <v>1</v>
      </c>
      <c r="F491">
        <v>16</v>
      </c>
      <c r="G491">
        <v>19</v>
      </c>
      <c r="H491" t="s">
        <v>28</v>
      </c>
      <c r="I491" t="s">
        <v>3438</v>
      </c>
      <c r="J491" t="s">
        <v>935</v>
      </c>
    </row>
    <row r="492" spans="1:10">
      <c r="A492" t="s">
        <v>4351</v>
      </c>
      <c r="B492">
        <v>-0.152993805728381</v>
      </c>
      <c r="C492">
        <v>7.5520514392034901</v>
      </c>
      <c r="D492">
        <v>0.99999999999999001</v>
      </c>
      <c r="E492">
        <v>1</v>
      </c>
      <c r="F492">
        <v>16</v>
      </c>
      <c r="G492">
        <v>19</v>
      </c>
      <c r="H492" t="s">
        <v>28</v>
      </c>
      <c r="I492" t="s">
        <v>3438</v>
      </c>
      <c r="J492" t="s">
        <v>936</v>
      </c>
    </row>
    <row r="493" spans="1:10">
      <c r="A493" t="s">
        <v>4352</v>
      </c>
      <c r="B493">
        <v>-0.152993805728381</v>
      </c>
      <c r="C493">
        <v>7.5520514392034901</v>
      </c>
      <c r="D493">
        <v>0.99999999999999001</v>
      </c>
      <c r="E493">
        <v>1</v>
      </c>
      <c r="F493">
        <v>16</v>
      </c>
      <c r="G493">
        <v>19</v>
      </c>
      <c r="H493" t="s">
        <v>28</v>
      </c>
      <c r="I493" t="s">
        <v>3438</v>
      </c>
      <c r="J493" t="s">
        <v>937</v>
      </c>
    </row>
    <row r="494" spans="1:10">
      <c r="A494" t="s">
        <v>4353</v>
      </c>
      <c r="B494">
        <v>-0.152993805728381</v>
      </c>
      <c r="C494">
        <v>7.5520514392034901</v>
      </c>
      <c r="D494">
        <v>0.99999999999999001</v>
      </c>
      <c r="E494">
        <v>1</v>
      </c>
      <c r="F494">
        <v>16</v>
      </c>
      <c r="G494">
        <v>19</v>
      </c>
      <c r="H494" t="s">
        <v>28</v>
      </c>
      <c r="I494" t="s">
        <v>4354</v>
      </c>
      <c r="J494" t="s">
        <v>938</v>
      </c>
    </row>
    <row r="495" spans="1:10">
      <c r="A495" t="s">
        <v>4355</v>
      </c>
      <c r="B495">
        <v>1.0133208900383999E-2</v>
      </c>
      <c r="C495">
        <v>7.5520560665171503</v>
      </c>
      <c r="D495">
        <v>0.99999999999999001</v>
      </c>
      <c r="E495">
        <v>1</v>
      </c>
      <c r="F495">
        <v>17</v>
      </c>
      <c r="G495">
        <v>18</v>
      </c>
      <c r="H495" t="s">
        <v>28</v>
      </c>
      <c r="I495" t="s">
        <v>3438</v>
      </c>
      <c r="J495" t="s">
        <v>939</v>
      </c>
    </row>
    <row r="496" spans="1:10">
      <c r="A496" t="s">
        <v>4356</v>
      </c>
      <c r="B496">
        <v>1.0133208900383999E-2</v>
      </c>
      <c r="C496">
        <v>7.5520560665171503</v>
      </c>
      <c r="D496">
        <v>0.99999999999999001</v>
      </c>
      <c r="E496">
        <v>1</v>
      </c>
      <c r="F496">
        <v>17</v>
      </c>
      <c r="G496">
        <v>18</v>
      </c>
      <c r="H496" t="s">
        <v>28</v>
      </c>
      <c r="I496" t="s">
        <v>4357</v>
      </c>
      <c r="J496" t="s">
        <v>940</v>
      </c>
    </row>
    <row r="497" spans="1:10">
      <c r="A497" t="s">
        <v>4358</v>
      </c>
      <c r="B497">
        <v>3.1009767382073498E-2</v>
      </c>
      <c r="C497">
        <v>7.97736279260522</v>
      </c>
      <c r="D497">
        <v>0.99999999999998801</v>
      </c>
      <c r="E497">
        <v>1</v>
      </c>
      <c r="F497">
        <v>23</v>
      </c>
      <c r="G497">
        <v>24</v>
      </c>
      <c r="H497" t="s">
        <v>4359</v>
      </c>
      <c r="I497" t="s">
        <v>4360</v>
      </c>
      <c r="J497" t="s">
        <v>941</v>
      </c>
    </row>
    <row r="498" spans="1:10">
      <c r="A498" t="s">
        <v>4361</v>
      </c>
      <c r="B498">
        <v>3.1009767382073498E-2</v>
      </c>
      <c r="C498">
        <v>7.97736279260522</v>
      </c>
      <c r="D498">
        <v>0.99999999999998801</v>
      </c>
      <c r="E498">
        <v>1</v>
      </c>
      <c r="F498">
        <v>23</v>
      </c>
      <c r="G498">
        <v>24</v>
      </c>
      <c r="H498" t="s">
        <v>4362</v>
      </c>
      <c r="I498" t="s">
        <v>4363</v>
      </c>
      <c r="J498" t="s">
        <v>942</v>
      </c>
    </row>
    <row r="499" spans="1:10">
      <c r="A499" t="s">
        <v>4364</v>
      </c>
      <c r="B499">
        <v>3.1009767382073498E-2</v>
      </c>
      <c r="C499">
        <v>7.97736279260522</v>
      </c>
      <c r="D499">
        <v>0.99999999999998801</v>
      </c>
      <c r="E499">
        <v>1</v>
      </c>
      <c r="F499">
        <v>23</v>
      </c>
      <c r="G499">
        <v>24</v>
      </c>
      <c r="H499" t="s">
        <v>4365</v>
      </c>
      <c r="I499" t="s">
        <v>4366</v>
      </c>
      <c r="J499" t="s">
        <v>943</v>
      </c>
    </row>
    <row r="500" spans="1:10">
      <c r="A500" t="s">
        <v>4367</v>
      </c>
      <c r="B500">
        <v>3.1009767382073498E-2</v>
      </c>
      <c r="C500">
        <v>7.97736279260522</v>
      </c>
      <c r="D500">
        <v>0.99999999999998801</v>
      </c>
      <c r="E500">
        <v>1</v>
      </c>
      <c r="F500">
        <v>23</v>
      </c>
      <c r="G500">
        <v>24</v>
      </c>
      <c r="H500" t="s">
        <v>28</v>
      </c>
      <c r="I500" t="s">
        <v>3438</v>
      </c>
      <c r="J500" t="s">
        <v>944</v>
      </c>
    </row>
    <row r="501" spans="1:10">
      <c r="A501" t="s">
        <v>4368</v>
      </c>
      <c r="B501">
        <v>-0.21704941018264901</v>
      </c>
      <c r="C501">
        <v>5.5926961160825499</v>
      </c>
      <c r="D501">
        <v>0.99999999999997302</v>
      </c>
      <c r="E501">
        <v>1</v>
      </c>
      <c r="F501">
        <v>4</v>
      </c>
      <c r="G501">
        <v>5</v>
      </c>
      <c r="H501" t="s">
        <v>28</v>
      </c>
      <c r="I501" t="s">
        <v>3465</v>
      </c>
      <c r="J501" t="s">
        <v>945</v>
      </c>
    </row>
    <row r="502" spans="1:10">
      <c r="A502" t="s">
        <v>4369</v>
      </c>
      <c r="B502">
        <v>-0.21704941018264901</v>
      </c>
      <c r="C502">
        <v>5.5926961160825499</v>
      </c>
      <c r="D502">
        <v>0.99999999999997302</v>
      </c>
      <c r="E502">
        <v>1</v>
      </c>
      <c r="F502">
        <v>4</v>
      </c>
      <c r="G502">
        <v>5</v>
      </c>
      <c r="H502" t="s">
        <v>28</v>
      </c>
      <c r="I502" t="s">
        <v>3438</v>
      </c>
      <c r="J502" t="s">
        <v>946</v>
      </c>
    </row>
    <row r="503" spans="1:10">
      <c r="A503" t="s">
        <v>4370</v>
      </c>
      <c r="B503">
        <v>-0.21704941018264901</v>
      </c>
      <c r="C503">
        <v>5.5926961160825499</v>
      </c>
      <c r="D503">
        <v>0.99999999999997302</v>
      </c>
      <c r="E503">
        <v>1</v>
      </c>
      <c r="F503">
        <v>4</v>
      </c>
      <c r="G503">
        <v>5</v>
      </c>
      <c r="H503" t="s">
        <v>28</v>
      </c>
      <c r="I503" t="s">
        <v>3438</v>
      </c>
      <c r="J503" t="s">
        <v>947</v>
      </c>
    </row>
    <row r="504" spans="1:10">
      <c r="A504" t="s">
        <v>4371</v>
      </c>
      <c r="B504">
        <v>-0.21704941018264901</v>
      </c>
      <c r="C504">
        <v>5.5926961160825499</v>
      </c>
      <c r="D504">
        <v>0.99999999999997302</v>
      </c>
      <c r="E504">
        <v>1</v>
      </c>
      <c r="F504">
        <v>4</v>
      </c>
      <c r="G504">
        <v>5</v>
      </c>
      <c r="H504" t="s">
        <v>28</v>
      </c>
      <c r="I504" t="s">
        <v>3438</v>
      </c>
      <c r="J504" t="s">
        <v>948</v>
      </c>
    </row>
    <row r="505" spans="1:10">
      <c r="A505" t="s">
        <v>4372</v>
      </c>
      <c r="B505">
        <v>-0.21704941018264901</v>
      </c>
      <c r="C505">
        <v>5.5926961160825499</v>
      </c>
      <c r="D505">
        <v>0.99999999999997302</v>
      </c>
      <c r="E505">
        <v>1</v>
      </c>
      <c r="F505">
        <v>4</v>
      </c>
      <c r="G505">
        <v>5</v>
      </c>
      <c r="H505" t="s">
        <v>28</v>
      </c>
      <c r="I505" t="s">
        <v>3438</v>
      </c>
      <c r="J505" t="s">
        <v>949</v>
      </c>
    </row>
    <row r="506" spans="1:10">
      <c r="A506" t="s">
        <v>4373</v>
      </c>
      <c r="B506">
        <v>-0.21704941018264901</v>
      </c>
      <c r="C506">
        <v>5.5926961160825499</v>
      </c>
      <c r="D506">
        <v>0.99999999999997302</v>
      </c>
      <c r="E506">
        <v>1</v>
      </c>
      <c r="F506">
        <v>4</v>
      </c>
      <c r="G506">
        <v>5</v>
      </c>
      <c r="H506" t="s">
        <v>28</v>
      </c>
      <c r="I506" t="s">
        <v>3438</v>
      </c>
      <c r="J506" t="s">
        <v>950</v>
      </c>
    </row>
    <row r="507" spans="1:10">
      <c r="A507" t="s">
        <v>4374</v>
      </c>
      <c r="B507">
        <v>-0.21704941018264901</v>
      </c>
      <c r="C507">
        <v>5.5926961160825499</v>
      </c>
      <c r="D507">
        <v>0.99999999999997302</v>
      </c>
      <c r="E507">
        <v>1</v>
      </c>
      <c r="F507">
        <v>4</v>
      </c>
      <c r="G507">
        <v>5</v>
      </c>
      <c r="H507" t="s">
        <v>4375</v>
      </c>
      <c r="I507" t="s">
        <v>3450</v>
      </c>
      <c r="J507" t="s">
        <v>951</v>
      </c>
    </row>
    <row r="508" spans="1:10">
      <c r="A508" t="s">
        <v>4376</v>
      </c>
      <c r="B508">
        <v>-0.21704941018264901</v>
      </c>
      <c r="C508">
        <v>5.5926961160825499</v>
      </c>
      <c r="D508">
        <v>0.99999999999997302</v>
      </c>
      <c r="E508">
        <v>1</v>
      </c>
      <c r="F508">
        <v>4</v>
      </c>
      <c r="G508">
        <v>5</v>
      </c>
      <c r="H508" t="s">
        <v>4377</v>
      </c>
      <c r="I508" t="s">
        <v>3450</v>
      </c>
      <c r="J508" t="s">
        <v>424</v>
      </c>
    </row>
    <row r="509" spans="1:10">
      <c r="A509" t="s">
        <v>4378</v>
      </c>
      <c r="B509">
        <v>-0.21704941018264901</v>
      </c>
      <c r="C509">
        <v>5.5926961160825499</v>
      </c>
      <c r="D509">
        <v>0.99999999999997302</v>
      </c>
      <c r="E509">
        <v>1</v>
      </c>
      <c r="F509">
        <v>4</v>
      </c>
      <c r="G509">
        <v>5</v>
      </c>
      <c r="H509" t="s">
        <v>28</v>
      </c>
      <c r="I509" t="s">
        <v>3438</v>
      </c>
      <c r="J509" t="s">
        <v>952</v>
      </c>
    </row>
    <row r="510" spans="1:10">
      <c r="A510" t="s">
        <v>4379</v>
      </c>
      <c r="B510">
        <v>-0.21704941018264901</v>
      </c>
      <c r="C510">
        <v>5.5926961160825499</v>
      </c>
      <c r="D510">
        <v>0.99999999999997302</v>
      </c>
      <c r="E510">
        <v>1</v>
      </c>
      <c r="F510">
        <v>4</v>
      </c>
      <c r="G510">
        <v>5</v>
      </c>
      <c r="H510" t="s">
        <v>28</v>
      </c>
      <c r="I510" t="s">
        <v>3438</v>
      </c>
      <c r="J510" t="s">
        <v>953</v>
      </c>
    </row>
    <row r="511" spans="1:10">
      <c r="A511" t="s">
        <v>4380</v>
      </c>
      <c r="B511">
        <v>-0.21704941018264901</v>
      </c>
      <c r="C511">
        <v>5.5926961160825499</v>
      </c>
      <c r="D511">
        <v>0.99999999999997302</v>
      </c>
      <c r="E511">
        <v>1</v>
      </c>
      <c r="F511">
        <v>4</v>
      </c>
      <c r="G511">
        <v>5</v>
      </c>
      <c r="H511" t="s">
        <v>28</v>
      </c>
      <c r="I511" t="s">
        <v>3438</v>
      </c>
      <c r="J511" t="s">
        <v>954</v>
      </c>
    </row>
    <row r="512" spans="1:10">
      <c r="A512" t="s">
        <v>4381</v>
      </c>
      <c r="B512">
        <v>-0.21704941018264901</v>
      </c>
      <c r="C512">
        <v>5.5926961160825499</v>
      </c>
      <c r="D512">
        <v>0.99999999999997302</v>
      </c>
      <c r="E512">
        <v>1</v>
      </c>
      <c r="F512">
        <v>4</v>
      </c>
      <c r="G512">
        <v>5</v>
      </c>
      <c r="H512" t="s">
        <v>28</v>
      </c>
      <c r="I512" t="s">
        <v>3438</v>
      </c>
      <c r="J512" t="s">
        <v>955</v>
      </c>
    </row>
    <row r="513" spans="1:10">
      <c r="A513" t="s">
        <v>4382</v>
      </c>
      <c r="B513">
        <v>-0.21704941018264901</v>
      </c>
      <c r="C513">
        <v>5.5926961160825499</v>
      </c>
      <c r="D513">
        <v>0.99999999999997302</v>
      </c>
      <c r="E513">
        <v>1</v>
      </c>
      <c r="F513">
        <v>4</v>
      </c>
      <c r="G513">
        <v>5</v>
      </c>
      <c r="H513" t="s">
        <v>28</v>
      </c>
      <c r="I513" t="s">
        <v>3438</v>
      </c>
      <c r="J513" t="s">
        <v>956</v>
      </c>
    </row>
    <row r="514" spans="1:10">
      <c r="A514" t="s">
        <v>4383</v>
      </c>
      <c r="B514">
        <v>-0.21704941018264901</v>
      </c>
      <c r="C514">
        <v>5.5926961160825499</v>
      </c>
      <c r="D514">
        <v>0.99999999999997302</v>
      </c>
      <c r="E514">
        <v>1</v>
      </c>
      <c r="F514">
        <v>4</v>
      </c>
      <c r="G514">
        <v>5</v>
      </c>
      <c r="H514" t="s">
        <v>28</v>
      </c>
      <c r="I514" t="s">
        <v>3438</v>
      </c>
      <c r="J514" t="s">
        <v>957</v>
      </c>
    </row>
    <row r="515" spans="1:10">
      <c r="A515" t="s">
        <v>4384</v>
      </c>
      <c r="B515">
        <v>-0.21704941018264901</v>
      </c>
      <c r="C515">
        <v>5.5926961160825499</v>
      </c>
      <c r="D515">
        <v>0.99999999999997302</v>
      </c>
      <c r="E515">
        <v>1</v>
      </c>
      <c r="F515">
        <v>4</v>
      </c>
      <c r="G515">
        <v>5</v>
      </c>
      <c r="H515" t="s">
        <v>4385</v>
      </c>
      <c r="I515" t="s">
        <v>4386</v>
      </c>
      <c r="J515" t="s">
        <v>958</v>
      </c>
    </row>
    <row r="516" spans="1:10">
      <c r="A516" t="s">
        <v>4387</v>
      </c>
      <c r="B516">
        <v>-0.21704941018264901</v>
      </c>
      <c r="C516">
        <v>5.5926961160825499</v>
      </c>
      <c r="D516">
        <v>0.99999999999997302</v>
      </c>
      <c r="E516">
        <v>1</v>
      </c>
      <c r="F516">
        <v>4</v>
      </c>
      <c r="G516">
        <v>5</v>
      </c>
      <c r="H516" t="s">
        <v>28</v>
      </c>
      <c r="I516" t="s">
        <v>3438</v>
      </c>
      <c r="J516" t="s">
        <v>959</v>
      </c>
    </row>
    <row r="517" spans="1:10">
      <c r="A517" t="s">
        <v>4388</v>
      </c>
      <c r="B517">
        <v>-0.21704941018264901</v>
      </c>
      <c r="C517">
        <v>5.5926961160825499</v>
      </c>
      <c r="D517">
        <v>0.99999999999997302</v>
      </c>
      <c r="E517">
        <v>1</v>
      </c>
      <c r="F517">
        <v>4</v>
      </c>
      <c r="G517">
        <v>5</v>
      </c>
      <c r="H517" t="s">
        <v>4389</v>
      </c>
      <c r="I517" t="s">
        <v>4390</v>
      </c>
      <c r="J517" t="s">
        <v>960</v>
      </c>
    </row>
    <row r="518" spans="1:10">
      <c r="A518" t="s">
        <v>4391</v>
      </c>
      <c r="B518">
        <v>-0.21704941018264901</v>
      </c>
      <c r="C518">
        <v>5.5926961160825499</v>
      </c>
      <c r="D518">
        <v>0.99999999999997302</v>
      </c>
      <c r="E518">
        <v>1</v>
      </c>
      <c r="F518">
        <v>4</v>
      </c>
      <c r="G518">
        <v>5</v>
      </c>
      <c r="H518" t="s">
        <v>28</v>
      </c>
      <c r="I518" t="s">
        <v>3465</v>
      </c>
      <c r="J518" t="s">
        <v>961</v>
      </c>
    </row>
    <row r="519" spans="1:10">
      <c r="A519" t="s">
        <v>4392</v>
      </c>
      <c r="B519">
        <v>-0.21704941018264901</v>
      </c>
      <c r="C519">
        <v>5.5926961160825499</v>
      </c>
      <c r="D519">
        <v>0.99999999999997302</v>
      </c>
      <c r="E519">
        <v>1</v>
      </c>
      <c r="F519">
        <v>4</v>
      </c>
      <c r="G519">
        <v>5</v>
      </c>
      <c r="H519" t="s">
        <v>28</v>
      </c>
      <c r="I519" t="s">
        <v>3474</v>
      </c>
      <c r="J519" t="s">
        <v>962</v>
      </c>
    </row>
    <row r="520" spans="1:10">
      <c r="A520" t="s">
        <v>4393</v>
      </c>
      <c r="B520">
        <v>-0.21704941018264901</v>
      </c>
      <c r="C520">
        <v>5.5926961160825499</v>
      </c>
      <c r="D520">
        <v>0.99999999999997302</v>
      </c>
      <c r="E520">
        <v>1</v>
      </c>
      <c r="F520">
        <v>4</v>
      </c>
      <c r="G520">
        <v>5</v>
      </c>
      <c r="H520" t="s">
        <v>4394</v>
      </c>
      <c r="I520" t="s">
        <v>4395</v>
      </c>
      <c r="J520" t="s">
        <v>963</v>
      </c>
    </row>
    <row r="521" spans="1:10">
      <c r="A521" t="s">
        <v>4396</v>
      </c>
      <c r="B521">
        <v>-0.21704941018264901</v>
      </c>
      <c r="C521">
        <v>5.5926961160825499</v>
      </c>
      <c r="D521">
        <v>0.99999999999997302</v>
      </c>
      <c r="E521">
        <v>1</v>
      </c>
      <c r="F521">
        <v>4</v>
      </c>
      <c r="G521">
        <v>5</v>
      </c>
      <c r="H521" t="s">
        <v>28</v>
      </c>
      <c r="I521" t="s">
        <v>3438</v>
      </c>
      <c r="J521" t="s">
        <v>341</v>
      </c>
    </row>
    <row r="522" spans="1:10">
      <c r="A522" t="s">
        <v>4397</v>
      </c>
      <c r="B522">
        <v>-0.21704941018264901</v>
      </c>
      <c r="C522">
        <v>5.5926961160825499</v>
      </c>
      <c r="D522">
        <v>0.99999999999997302</v>
      </c>
      <c r="E522">
        <v>1</v>
      </c>
      <c r="F522">
        <v>4</v>
      </c>
      <c r="G522">
        <v>5</v>
      </c>
      <c r="H522" t="s">
        <v>28</v>
      </c>
      <c r="I522" t="s">
        <v>3438</v>
      </c>
      <c r="J522" t="s">
        <v>964</v>
      </c>
    </row>
    <row r="523" spans="1:10">
      <c r="A523" t="s">
        <v>4398</v>
      </c>
      <c r="B523">
        <v>0.39266152914889102</v>
      </c>
      <c r="C523">
        <v>5.5927007494114402</v>
      </c>
      <c r="D523">
        <v>0.99999999999997302</v>
      </c>
      <c r="E523">
        <v>1</v>
      </c>
      <c r="F523">
        <v>5</v>
      </c>
      <c r="G523">
        <v>4</v>
      </c>
      <c r="H523" t="s">
        <v>28</v>
      </c>
      <c r="I523" t="s">
        <v>3438</v>
      </c>
      <c r="J523" t="s">
        <v>965</v>
      </c>
    </row>
    <row r="524" spans="1:10">
      <c r="A524" t="s">
        <v>4399</v>
      </c>
      <c r="B524">
        <v>0.39266152914889102</v>
      </c>
      <c r="C524">
        <v>5.5927007494114402</v>
      </c>
      <c r="D524">
        <v>0.99999999999997302</v>
      </c>
      <c r="E524">
        <v>1</v>
      </c>
      <c r="F524">
        <v>5</v>
      </c>
      <c r="G524">
        <v>4</v>
      </c>
      <c r="H524" t="s">
        <v>28</v>
      </c>
      <c r="I524" t="s">
        <v>3438</v>
      </c>
      <c r="J524" t="s">
        <v>966</v>
      </c>
    </row>
    <row r="525" spans="1:10">
      <c r="A525" t="s">
        <v>4400</v>
      </c>
      <c r="B525">
        <v>0.39266152914889102</v>
      </c>
      <c r="C525">
        <v>5.5927007494114402</v>
      </c>
      <c r="D525">
        <v>0.99999999999997302</v>
      </c>
      <c r="E525">
        <v>1</v>
      </c>
      <c r="F525">
        <v>5</v>
      </c>
      <c r="G525">
        <v>4</v>
      </c>
      <c r="H525" t="s">
        <v>28</v>
      </c>
      <c r="I525" t="s">
        <v>3438</v>
      </c>
      <c r="J525" t="s">
        <v>967</v>
      </c>
    </row>
    <row r="526" spans="1:10">
      <c r="A526" t="s">
        <v>4401</v>
      </c>
      <c r="B526">
        <v>0.39266152914889102</v>
      </c>
      <c r="C526">
        <v>5.5927007494114402</v>
      </c>
      <c r="D526">
        <v>0.99999999999997302</v>
      </c>
      <c r="E526">
        <v>1</v>
      </c>
      <c r="F526">
        <v>5</v>
      </c>
      <c r="G526">
        <v>4</v>
      </c>
      <c r="H526" t="s">
        <v>28</v>
      </c>
      <c r="I526" t="s">
        <v>4402</v>
      </c>
      <c r="J526" t="s">
        <v>968</v>
      </c>
    </row>
    <row r="527" spans="1:10">
      <c r="A527" t="s">
        <v>4403</v>
      </c>
      <c r="B527">
        <v>0.39266152914889102</v>
      </c>
      <c r="C527">
        <v>5.5927007494114402</v>
      </c>
      <c r="D527">
        <v>0.99999999999997302</v>
      </c>
      <c r="E527">
        <v>1</v>
      </c>
      <c r="F527">
        <v>5</v>
      </c>
      <c r="G527">
        <v>4</v>
      </c>
      <c r="H527" t="s">
        <v>28</v>
      </c>
      <c r="I527" t="s">
        <v>3781</v>
      </c>
      <c r="J527" t="s">
        <v>969</v>
      </c>
    </row>
    <row r="528" spans="1:10">
      <c r="A528" t="s">
        <v>4404</v>
      </c>
      <c r="B528">
        <v>0.39266152914889102</v>
      </c>
      <c r="C528">
        <v>5.5927007494114402</v>
      </c>
      <c r="D528">
        <v>0.99999999999997302</v>
      </c>
      <c r="E528">
        <v>1</v>
      </c>
      <c r="F528">
        <v>5</v>
      </c>
      <c r="G528">
        <v>4</v>
      </c>
      <c r="H528" t="s">
        <v>28</v>
      </c>
      <c r="I528" t="s">
        <v>3438</v>
      </c>
      <c r="J528" t="s">
        <v>970</v>
      </c>
    </row>
    <row r="529" spans="1:10">
      <c r="A529" t="s">
        <v>4405</v>
      </c>
      <c r="B529">
        <v>0.39266152914889102</v>
      </c>
      <c r="C529">
        <v>5.5927007494114402</v>
      </c>
      <c r="D529">
        <v>0.99999999999997302</v>
      </c>
      <c r="E529">
        <v>1</v>
      </c>
      <c r="F529">
        <v>5</v>
      </c>
      <c r="G529">
        <v>4</v>
      </c>
      <c r="H529" t="s">
        <v>28</v>
      </c>
      <c r="I529" t="s">
        <v>3438</v>
      </c>
      <c r="J529" t="s">
        <v>971</v>
      </c>
    </row>
    <row r="530" spans="1:10">
      <c r="A530" t="s">
        <v>4406</v>
      </c>
      <c r="B530">
        <v>0.39266152914889102</v>
      </c>
      <c r="C530">
        <v>5.5927007494114402</v>
      </c>
      <c r="D530">
        <v>0.99999999999997302</v>
      </c>
      <c r="E530">
        <v>1</v>
      </c>
      <c r="F530">
        <v>5</v>
      </c>
      <c r="G530">
        <v>4</v>
      </c>
      <c r="H530" t="s">
        <v>28</v>
      </c>
      <c r="I530" t="s">
        <v>3438</v>
      </c>
      <c r="J530" t="s">
        <v>972</v>
      </c>
    </row>
    <row r="531" spans="1:10">
      <c r="A531" t="s">
        <v>4407</v>
      </c>
      <c r="B531">
        <v>0.39266152914889102</v>
      </c>
      <c r="C531">
        <v>5.5927007494114402</v>
      </c>
      <c r="D531">
        <v>0.99999999999997302</v>
      </c>
      <c r="E531">
        <v>1</v>
      </c>
      <c r="F531">
        <v>5</v>
      </c>
      <c r="G531">
        <v>4</v>
      </c>
      <c r="H531" t="s">
        <v>28</v>
      </c>
      <c r="I531" t="s">
        <v>3438</v>
      </c>
      <c r="J531" t="s">
        <v>973</v>
      </c>
    </row>
    <row r="532" spans="1:10">
      <c r="A532" t="s">
        <v>4408</v>
      </c>
      <c r="B532">
        <v>0.39266152914889102</v>
      </c>
      <c r="C532">
        <v>5.5927007494114402</v>
      </c>
      <c r="D532">
        <v>0.99999999999997302</v>
      </c>
      <c r="E532">
        <v>1</v>
      </c>
      <c r="F532">
        <v>5</v>
      </c>
      <c r="G532">
        <v>4</v>
      </c>
      <c r="H532" t="s">
        <v>4409</v>
      </c>
      <c r="I532" t="s">
        <v>4410</v>
      </c>
      <c r="J532" t="s">
        <v>974</v>
      </c>
    </row>
    <row r="533" spans="1:10">
      <c r="A533" t="s">
        <v>4411</v>
      </c>
      <c r="B533">
        <v>0.39266152914889102</v>
      </c>
      <c r="C533">
        <v>5.5927007494114402</v>
      </c>
      <c r="D533">
        <v>0.99999999999997302</v>
      </c>
      <c r="E533">
        <v>1</v>
      </c>
      <c r="F533">
        <v>5</v>
      </c>
      <c r="G533">
        <v>4</v>
      </c>
      <c r="H533" t="s">
        <v>4412</v>
      </c>
      <c r="I533" t="s">
        <v>4413</v>
      </c>
      <c r="J533" t="s">
        <v>975</v>
      </c>
    </row>
    <row r="534" spans="1:10">
      <c r="A534" t="s">
        <v>4414</v>
      </c>
      <c r="B534">
        <v>0.39266152914889102</v>
      </c>
      <c r="C534">
        <v>5.5927007494114402</v>
      </c>
      <c r="D534">
        <v>0.99999999999997302</v>
      </c>
      <c r="E534">
        <v>1</v>
      </c>
      <c r="F534">
        <v>5</v>
      </c>
      <c r="G534">
        <v>4</v>
      </c>
      <c r="H534" t="s">
        <v>28</v>
      </c>
      <c r="I534" t="s">
        <v>3438</v>
      </c>
      <c r="J534" t="s">
        <v>976</v>
      </c>
    </row>
    <row r="535" spans="1:10">
      <c r="A535" t="s">
        <v>4415</v>
      </c>
      <c r="B535">
        <v>0.39266152914889102</v>
      </c>
      <c r="C535">
        <v>5.5927007494114402</v>
      </c>
      <c r="D535">
        <v>0.99999999999997302</v>
      </c>
      <c r="E535">
        <v>1</v>
      </c>
      <c r="F535">
        <v>5</v>
      </c>
      <c r="G535">
        <v>4</v>
      </c>
      <c r="H535" t="s">
        <v>4416</v>
      </c>
      <c r="I535" t="s">
        <v>4417</v>
      </c>
      <c r="J535" t="s">
        <v>977</v>
      </c>
    </row>
    <row r="536" spans="1:10">
      <c r="A536" t="s">
        <v>4418</v>
      </c>
      <c r="B536">
        <v>0.39266152914889102</v>
      </c>
      <c r="C536">
        <v>5.5927007494114402</v>
      </c>
      <c r="D536">
        <v>0.99999999999997302</v>
      </c>
      <c r="E536">
        <v>1</v>
      </c>
      <c r="F536">
        <v>5</v>
      </c>
      <c r="G536">
        <v>4</v>
      </c>
      <c r="H536" t="s">
        <v>28</v>
      </c>
      <c r="I536" t="s">
        <v>4419</v>
      </c>
      <c r="J536" t="s">
        <v>978</v>
      </c>
    </row>
    <row r="537" spans="1:10">
      <c r="A537" t="s">
        <v>4420</v>
      </c>
      <c r="B537">
        <v>0.39266152914889102</v>
      </c>
      <c r="C537">
        <v>5.5927007494114402</v>
      </c>
      <c r="D537">
        <v>0.99999999999997302</v>
      </c>
      <c r="E537">
        <v>1</v>
      </c>
      <c r="F537">
        <v>5</v>
      </c>
      <c r="G537">
        <v>4</v>
      </c>
      <c r="H537" t="s">
        <v>28</v>
      </c>
      <c r="I537" t="s">
        <v>3438</v>
      </c>
      <c r="J537" t="s">
        <v>979</v>
      </c>
    </row>
    <row r="538" spans="1:10">
      <c r="A538" t="s">
        <v>4421</v>
      </c>
      <c r="B538">
        <v>0.39266152914889102</v>
      </c>
      <c r="C538">
        <v>5.5927007494114402</v>
      </c>
      <c r="D538">
        <v>0.99999999999997302</v>
      </c>
      <c r="E538">
        <v>1</v>
      </c>
      <c r="F538">
        <v>5</v>
      </c>
      <c r="G538">
        <v>4</v>
      </c>
      <c r="H538" t="s">
        <v>4422</v>
      </c>
      <c r="I538" t="s">
        <v>4423</v>
      </c>
      <c r="J538" t="s">
        <v>980</v>
      </c>
    </row>
    <row r="539" spans="1:10">
      <c r="A539" t="s">
        <v>4424</v>
      </c>
      <c r="B539">
        <v>0.39266152914889102</v>
      </c>
      <c r="C539">
        <v>5.5927007494114402</v>
      </c>
      <c r="D539">
        <v>0.99999999999997302</v>
      </c>
      <c r="E539">
        <v>1</v>
      </c>
      <c r="F539">
        <v>5</v>
      </c>
      <c r="G539">
        <v>4</v>
      </c>
      <c r="H539" t="s">
        <v>4425</v>
      </c>
      <c r="I539" t="s">
        <v>4426</v>
      </c>
      <c r="J539" t="s">
        <v>981</v>
      </c>
    </row>
    <row r="540" spans="1:10">
      <c r="A540" t="s">
        <v>4427</v>
      </c>
      <c r="B540">
        <v>1.6095096951034699E-2</v>
      </c>
      <c r="C540">
        <v>10.827918536936901</v>
      </c>
      <c r="D540">
        <v>0.95699477004931199</v>
      </c>
      <c r="E540">
        <v>1</v>
      </c>
      <c r="F540">
        <v>165</v>
      </c>
      <c r="G540">
        <v>174</v>
      </c>
      <c r="H540" t="s">
        <v>4428</v>
      </c>
      <c r="I540" t="s">
        <v>4429</v>
      </c>
      <c r="J540" t="s">
        <v>982</v>
      </c>
    </row>
    <row r="541" spans="1:10">
      <c r="A541" t="s">
        <v>4430</v>
      </c>
      <c r="B541">
        <v>-2.5053753946473599E-2</v>
      </c>
      <c r="C541">
        <v>10.62243927313</v>
      </c>
      <c r="D541">
        <v>0.95384399729526803</v>
      </c>
      <c r="E541">
        <v>1</v>
      </c>
      <c r="F541">
        <v>141</v>
      </c>
      <c r="G541">
        <v>153</v>
      </c>
      <c r="H541" t="s">
        <v>4431</v>
      </c>
      <c r="I541" t="s">
        <v>4432</v>
      </c>
      <c r="J541" t="s">
        <v>983</v>
      </c>
    </row>
    <row r="542" spans="1:10">
      <c r="A542" t="s">
        <v>4433</v>
      </c>
      <c r="B542">
        <v>2.3430600414640099E-2</v>
      </c>
      <c r="C542">
        <v>10.388561698816</v>
      </c>
      <c r="D542">
        <v>0.94989994751211704</v>
      </c>
      <c r="E542">
        <v>1</v>
      </c>
      <c r="F542">
        <v>122</v>
      </c>
      <c r="G542">
        <v>128</v>
      </c>
      <c r="H542" t="s">
        <v>4434</v>
      </c>
      <c r="I542" t="s">
        <v>3450</v>
      </c>
      <c r="J542" t="s">
        <v>984</v>
      </c>
    </row>
    <row r="543" spans="1:10">
      <c r="A543" t="s">
        <v>4435</v>
      </c>
      <c r="B543">
        <v>-2.85062722681571E-2</v>
      </c>
      <c r="C543">
        <v>10.3175851351931</v>
      </c>
      <c r="D543">
        <v>0.94863982074480802</v>
      </c>
      <c r="E543">
        <v>1</v>
      </c>
      <c r="F543">
        <v>114</v>
      </c>
      <c r="G543">
        <v>124</v>
      </c>
      <c r="H543" t="s">
        <v>61</v>
      </c>
      <c r="I543" t="s">
        <v>3438</v>
      </c>
      <c r="J543" t="s">
        <v>60</v>
      </c>
    </row>
    <row r="544" spans="1:10">
      <c r="A544" t="s">
        <v>4436</v>
      </c>
      <c r="B544">
        <v>3.87108889444042E-2</v>
      </c>
      <c r="C544">
        <v>10.164246342718901</v>
      </c>
      <c r="D544">
        <v>0.94581056374552597</v>
      </c>
      <c r="E544">
        <v>1</v>
      </c>
      <c r="F544">
        <v>105</v>
      </c>
      <c r="G544">
        <v>109</v>
      </c>
      <c r="H544" t="s">
        <v>4437</v>
      </c>
      <c r="I544" t="s">
        <v>3659</v>
      </c>
      <c r="J544" t="s">
        <v>985</v>
      </c>
    </row>
    <row r="545" spans="1:10">
      <c r="A545" t="s">
        <v>4438</v>
      </c>
      <c r="B545">
        <v>-2.2680385886994201E-2</v>
      </c>
      <c r="C545">
        <v>10.0666253392797</v>
      </c>
      <c r="D545">
        <v>0.94393117471323496</v>
      </c>
      <c r="E545">
        <v>1</v>
      </c>
      <c r="F545">
        <v>96</v>
      </c>
      <c r="G545">
        <v>104</v>
      </c>
      <c r="H545" t="s">
        <v>28</v>
      </c>
      <c r="I545" t="s">
        <v>4439</v>
      </c>
      <c r="J545" t="s">
        <v>986</v>
      </c>
    </row>
    <row r="546" spans="1:10">
      <c r="A546" t="s">
        <v>4440</v>
      </c>
      <c r="B546">
        <v>3.2534419944518202E-2</v>
      </c>
      <c r="C546">
        <v>10.007740241469</v>
      </c>
      <c r="D546">
        <v>0.94276664043203195</v>
      </c>
      <c r="E546">
        <v>1</v>
      </c>
      <c r="F546">
        <v>94</v>
      </c>
      <c r="G546">
        <v>98</v>
      </c>
      <c r="H546" t="s">
        <v>4441</v>
      </c>
      <c r="I546" t="s">
        <v>4442</v>
      </c>
      <c r="J546" t="s">
        <v>987</v>
      </c>
    </row>
    <row r="547" spans="1:10">
      <c r="A547" t="s">
        <v>4443</v>
      </c>
      <c r="B547">
        <v>3.6768307509053702E-2</v>
      </c>
      <c r="C547">
        <v>9.6989017208905395</v>
      </c>
      <c r="D547">
        <v>0.93605464367424396</v>
      </c>
      <c r="E547">
        <v>1</v>
      </c>
      <c r="F547">
        <v>76</v>
      </c>
      <c r="G547">
        <v>79</v>
      </c>
      <c r="H547" t="s">
        <v>4444</v>
      </c>
      <c r="I547" t="s">
        <v>4445</v>
      </c>
      <c r="J547" t="s">
        <v>988</v>
      </c>
    </row>
    <row r="548" spans="1:10">
      <c r="A548" t="s">
        <v>4446</v>
      </c>
      <c r="B548">
        <v>3.6768307509053702E-2</v>
      </c>
      <c r="C548">
        <v>9.6989017208905395</v>
      </c>
      <c r="D548">
        <v>0.93605464367424396</v>
      </c>
      <c r="E548">
        <v>1</v>
      </c>
      <c r="F548">
        <v>76</v>
      </c>
      <c r="G548">
        <v>79</v>
      </c>
      <c r="H548" t="s">
        <v>28</v>
      </c>
      <c r="I548" t="s">
        <v>3438</v>
      </c>
      <c r="J548" t="s">
        <v>989</v>
      </c>
    </row>
    <row r="549" spans="1:10">
      <c r="A549" t="s">
        <v>4447</v>
      </c>
      <c r="B549">
        <v>5.1334181069489102E-2</v>
      </c>
      <c r="C549">
        <v>9.5520615282963703</v>
      </c>
      <c r="D549">
        <v>0.93292112792624105</v>
      </c>
      <c r="E549">
        <v>1</v>
      </c>
      <c r="F549">
        <v>69</v>
      </c>
      <c r="G549">
        <v>71</v>
      </c>
      <c r="H549" t="s">
        <v>4448</v>
      </c>
      <c r="I549" t="s">
        <v>4449</v>
      </c>
      <c r="J549" t="s">
        <v>990</v>
      </c>
    </row>
    <row r="550" spans="1:10">
      <c r="A550" t="s">
        <v>4450</v>
      </c>
      <c r="B550">
        <v>-3.4512248229849503E-2</v>
      </c>
      <c r="C550">
        <v>9.51023184960391</v>
      </c>
      <c r="D550">
        <v>0.93193863748639405</v>
      </c>
      <c r="E550">
        <v>1</v>
      </c>
      <c r="F550">
        <v>65</v>
      </c>
      <c r="G550">
        <v>71</v>
      </c>
      <c r="H550" t="s">
        <v>28</v>
      </c>
      <c r="I550" t="s">
        <v>3438</v>
      </c>
      <c r="J550" t="s">
        <v>991</v>
      </c>
    </row>
    <row r="551" spans="1:10">
      <c r="A551" t="s">
        <v>4451</v>
      </c>
      <c r="B551">
        <v>4.9486805445107897E-2</v>
      </c>
      <c r="C551">
        <v>9.4888672596797097</v>
      </c>
      <c r="D551">
        <v>0.93143107378609902</v>
      </c>
      <c r="E551">
        <v>1</v>
      </c>
      <c r="F551">
        <v>66</v>
      </c>
      <c r="G551">
        <v>68</v>
      </c>
      <c r="H551" t="s">
        <v>28</v>
      </c>
      <c r="I551" t="s">
        <v>4452</v>
      </c>
      <c r="J551" t="s">
        <v>326</v>
      </c>
    </row>
    <row r="552" spans="1:10">
      <c r="A552" t="s">
        <v>4453</v>
      </c>
      <c r="B552">
        <v>4.5249015542640603E-2</v>
      </c>
      <c r="C552">
        <v>9.3535145217361304</v>
      </c>
      <c r="D552">
        <v>0.92812967628520804</v>
      </c>
      <c r="E552">
        <v>1</v>
      </c>
      <c r="F552">
        <v>60</v>
      </c>
      <c r="G552">
        <v>62</v>
      </c>
      <c r="H552" t="s">
        <v>4454</v>
      </c>
      <c r="I552" t="s">
        <v>3438</v>
      </c>
      <c r="J552" t="s">
        <v>992</v>
      </c>
    </row>
    <row r="553" spans="1:10">
      <c r="A553" t="s">
        <v>4455</v>
      </c>
      <c r="B553">
        <v>-5.1435312700971098E-2</v>
      </c>
      <c r="C553">
        <v>9.3296584165891794</v>
      </c>
      <c r="D553">
        <v>0.92753210506268602</v>
      </c>
      <c r="E553">
        <v>1</v>
      </c>
      <c r="F553">
        <v>57</v>
      </c>
      <c r="G553">
        <v>63</v>
      </c>
      <c r="H553" t="s">
        <v>28</v>
      </c>
      <c r="I553" t="s">
        <v>4456</v>
      </c>
      <c r="J553" t="s">
        <v>993</v>
      </c>
    </row>
    <row r="554" spans="1:10">
      <c r="A554" t="s">
        <v>4457</v>
      </c>
      <c r="B554">
        <v>-6.1706729728975999E-2</v>
      </c>
      <c r="C554">
        <v>9.2301221486442397</v>
      </c>
      <c r="D554">
        <v>0.92498484808012005</v>
      </c>
      <c r="E554">
        <v>1</v>
      </c>
      <c r="F554">
        <v>53</v>
      </c>
      <c r="G554">
        <v>59</v>
      </c>
      <c r="H554" t="s">
        <v>28</v>
      </c>
      <c r="I554" t="s">
        <v>3438</v>
      </c>
      <c r="J554" t="s">
        <v>994</v>
      </c>
    </row>
    <row r="555" spans="1:10">
      <c r="A555" t="s">
        <v>4458</v>
      </c>
      <c r="B555">
        <v>-6.4507636589501705E-2</v>
      </c>
      <c r="C555">
        <v>9.2041267914389699</v>
      </c>
      <c r="D555">
        <v>0.92430527205361401</v>
      </c>
      <c r="E555">
        <v>1</v>
      </c>
      <c r="F555">
        <v>52</v>
      </c>
      <c r="G555">
        <v>58</v>
      </c>
      <c r="H555" t="s">
        <v>28</v>
      </c>
      <c r="I555" t="s">
        <v>3438</v>
      </c>
      <c r="J555" t="s">
        <v>995</v>
      </c>
    </row>
    <row r="556" spans="1:10">
      <c r="A556" t="s">
        <v>4459</v>
      </c>
      <c r="B556">
        <v>3.9119801629044403E-2</v>
      </c>
      <c r="C556">
        <v>9.1776636524468707</v>
      </c>
      <c r="D556">
        <v>0.92360702606378198</v>
      </c>
      <c r="E556">
        <v>1</v>
      </c>
      <c r="F556">
        <v>53</v>
      </c>
      <c r="G556">
        <v>55</v>
      </c>
      <c r="H556" t="s">
        <v>4460</v>
      </c>
      <c r="I556" t="s">
        <v>4461</v>
      </c>
      <c r="J556" t="s">
        <v>996</v>
      </c>
    </row>
    <row r="557" spans="1:10">
      <c r="A557" t="s">
        <v>4462</v>
      </c>
      <c r="B557">
        <v>-7.0426025492252201E-2</v>
      </c>
      <c r="C557">
        <v>9.1506872350442308</v>
      </c>
      <c r="D557">
        <v>0.92288923801560996</v>
      </c>
      <c r="E557">
        <v>1</v>
      </c>
      <c r="F557">
        <v>50</v>
      </c>
      <c r="G557">
        <v>56</v>
      </c>
      <c r="H557" t="s">
        <v>28</v>
      </c>
      <c r="I557" t="s">
        <v>3438</v>
      </c>
      <c r="J557" t="s">
        <v>997</v>
      </c>
    </row>
    <row r="558" spans="1:10">
      <c r="A558" t="s">
        <v>4463</v>
      </c>
      <c r="B558">
        <v>-7.0426025492252201E-2</v>
      </c>
      <c r="C558">
        <v>9.1506872350442308</v>
      </c>
      <c r="D558">
        <v>0.92288923801560996</v>
      </c>
      <c r="E558">
        <v>1</v>
      </c>
      <c r="F558">
        <v>50</v>
      </c>
      <c r="G558">
        <v>56</v>
      </c>
      <c r="H558" t="s">
        <v>4464</v>
      </c>
      <c r="I558" t="s">
        <v>4465</v>
      </c>
      <c r="J558" t="s">
        <v>998</v>
      </c>
    </row>
    <row r="559" spans="1:10">
      <c r="A559" t="s">
        <v>4466</v>
      </c>
      <c r="B559">
        <v>-7.6807875497398106E-2</v>
      </c>
      <c r="C559">
        <v>9.0951918249009793</v>
      </c>
      <c r="D559">
        <v>0.92139125163374103</v>
      </c>
      <c r="E559">
        <v>1</v>
      </c>
      <c r="F559">
        <v>48</v>
      </c>
      <c r="G559">
        <v>54</v>
      </c>
      <c r="H559" t="s">
        <v>4467</v>
      </c>
      <c r="I559" t="s">
        <v>4468</v>
      </c>
      <c r="J559" t="s">
        <v>999</v>
      </c>
    </row>
    <row r="560" spans="1:10">
      <c r="A560" t="s">
        <v>4469</v>
      </c>
      <c r="B560">
        <v>-7.6807875497398106E-2</v>
      </c>
      <c r="C560">
        <v>9.0951918249009793</v>
      </c>
      <c r="D560">
        <v>0.92139125163374103</v>
      </c>
      <c r="E560">
        <v>1</v>
      </c>
      <c r="F560">
        <v>48</v>
      </c>
      <c r="G560">
        <v>54</v>
      </c>
      <c r="H560" t="s">
        <v>313</v>
      </c>
      <c r="I560" t="s">
        <v>4470</v>
      </c>
      <c r="J560" t="s">
        <v>314</v>
      </c>
    </row>
    <row r="561" spans="1:10">
      <c r="A561" t="s">
        <v>4471</v>
      </c>
      <c r="B561">
        <v>3.59802642534717E-2</v>
      </c>
      <c r="C561">
        <v>9.0952010487190904</v>
      </c>
      <c r="D561">
        <v>0.92139125163374103</v>
      </c>
      <c r="E561">
        <v>1</v>
      </c>
      <c r="F561">
        <v>50</v>
      </c>
      <c r="G561">
        <v>52</v>
      </c>
      <c r="H561" t="s">
        <v>4472</v>
      </c>
      <c r="I561" t="s">
        <v>4473</v>
      </c>
      <c r="J561" t="s">
        <v>1000</v>
      </c>
    </row>
    <row r="562" spans="1:10">
      <c r="A562" t="s">
        <v>4474</v>
      </c>
      <c r="B562">
        <v>3.59802642534717E-2</v>
      </c>
      <c r="C562">
        <v>9.0952010487190904</v>
      </c>
      <c r="D562">
        <v>0.92139125163374103</v>
      </c>
      <c r="E562">
        <v>1</v>
      </c>
      <c r="F562">
        <v>50</v>
      </c>
      <c r="G562">
        <v>52</v>
      </c>
      <c r="H562" t="s">
        <v>28</v>
      </c>
      <c r="I562" t="s">
        <v>3438</v>
      </c>
      <c r="J562" t="s">
        <v>1001</v>
      </c>
    </row>
    <row r="563" spans="1:10">
      <c r="A563" t="s">
        <v>4475</v>
      </c>
      <c r="B563">
        <v>3.2450157223933497E-2</v>
      </c>
      <c r="C563">
        <v>9.0077377636685192</v>
      </c>
      <c r="D563">
        <v>0.91897227395562098</v>
      </c>
      <c r="E563">
        <v>1</v>
      </c>
      <c r="F563">
        <v>47</v>
      </c>
      <c r="G563">
        <v>49</v>
      </c>
      <c r="H563" t="s">
        <v>4476</v>
      </c>
      <c r="I563" t="s">
        <v>4477</v>
      </c>
      <c r="J563" t="s">
        <v>1002</v>
      </c>
    </row>
    <row r="564" spans="1:10">
      <c r="A564" t="s">
        <v>4478</v>
      </c>
      <c r="B564">
        <v>9.2227913908313294E-2</v>
      </c>
      <c r="C564">
        <v>8.91463252989465</v>
      </c>
      <c r="D564">
        <v>0.91631695720675199</v>
      </c>
      <c r="E564">
        <v>1</v>
      </c>
      <c r="F564">
        <v>45</v>
      </c>
      <c r="G564">
        <v>45</v>
      </c>
      <c r="H564" t="s">
        <v>4479</v>
      </c>
      <c r="I564" t="s">
        <v>4480</v>
      </c>
      <c r="J564" t="s">
        <v>1003</v>
      </c>
    </row>
    <row r="565" spans="1:10">
      <c r="A565" t="s">
        <v>4481</v>
      </c>
      <c r="B565">
        <v>9.2216338767742101E-2</v>
      </c>
      <c r="C565">
        <v>8.88221090458023</v>
      </c>
      <c r="D565">
        <v>0.91537248566943896</v>
      </c>
      <c r="E565">
        <v>1</v>
      </c>
      <c r="F565">
        <v>44</v>
      </c>
      <c r="G565">
        <v>44</v>
      </c>
      <c r="H565" t="s">
        <v>4482</v>
      </c>
      <c r="I565" t="s">
        <v>4483</v>
      </c>
      <c r="J565" t="s">
        <v>1004</v>
      </c>
    </row>
    <row r="566" spans="1:10">
      <c r="A566" t="s">
        <v>4484</v>
      </c>
      <c r="B566">
        <v>9.2216338767742101E-2</v>
      </c>
      <c r="C566">
        <v>8.88221090458023</v>
      </c>
      <c r="D566">
        <v>0.91537248566943896</v>
      </c>
      <c r="E566">
        <v>1</v>
      </c>
      <c r="F566">
        <v>44</v>
      </c>
      <c r="G566">
        <v>44</v>
      </c>
      <c r="H566" t="s">
        <v>28</v>
      </c>
      <c r="I566" t="s">
        <v>4485</v>
      </c>
      <c r="J566" t="s">
        <v>1005</v>
      </c>
    </row>
    <row r="567" spans="1:10">
      <c r="A567" t="s">
        <v>4486</v>
      </c>
      <c r="B567">
        <v>9.22042283605332E-2</v>
      </c>
      <c r="C567">
        <v>8.8490438929936293</v>
      </c>
      <c r="D567">
        <v>0.91439549393270703</v>
      </c>
      <c r="E567">
        <v>1</v>
      </c>
      <c r="F567">
        <v>43</v>
      </c>
      <c r="G567">
        <v>43</v>
      </c>
      <c r="H567" t="s">
        <v>28</v>
      </c>
      <c r="I567" t="s">
        <v>3438</v>
      </c>
      <c r="J567" t="s">
        <v>1006</v>
      </c>
    </row>
    <row r="568" spans="1:10">
      <c r="A568" t="s">
        <v>4487</v>
      </c>
      <c r="B568">
        <v>9.22042283605332E-2</v>
      </c>
      <c r="C568">
        <v>8.8490438929936293</v>
      </c>
      <c r="D568">
        <v>0.91439549393270703</v>
      </c>
      <c r="E568">
        <v>1</v>
      </c>
      <c r="F568">
        <v>43</v>
      </c>
      <c r="G568">
        <v>43</v>
      </c>
      <c r="H568" t="s">
        <v>4488</v>
      </c>
      <c r="I568" t="s">
        <v>4489</v>
      </c>
      <c r="J568" t="s">
        <v>1007</v>
      </c>
    </row>
    <row r="569" spans="1:10">
      <c r="A569" t="s">
        <v>4490</v>
      </c>
      <c r="B569">
        <v>9.2191544679594395E-2</v>
      </c>
      <c r="C569">
        <v>8.81509641338954</v>
      </c>
      <c r="D569">
        <v>0.91338406962809504</v>
      </c>
      <c r="E569">
        <v>1</v>
      </c>
      <c r="F569">
        <v>42</v>
      </c>
      <c r="G569">
        <v>42</v>
      </c>
      <c r="H569" t="s">
        <v>28</v>
      </c>
      <c r="I569" t="s">
        <v>3438</v>
      </c>
      <c r="J569" t="s">
        <v>1008</v>
      </c>
    </row>
    <row r="570" spans="1:10">
      <c r="A570" t="s">
        <v>4491</v>
      </c>
      <c r="B570">
        <v>9.2178246032281003E-2</v>
      </c>
      <c r="C570">
        <v>8.7803308475187407</v>
      </c>
      <c r="D570">
        <v>0.91233613912394995</v>
      </c>
      <c r="E570">
        <v>1</v>
      </c>
      <c r="F570">
        <v>41</v>
      </c>
      <c r="G570">
        <v>41</v>
      </c>
      <c r="H570" t="s">
        <v>4492</v>
      </c>
      <c r="I570" t="s">
        <v>3438</v>
      </c>
      <c r="J570" t="s">
        <v>1009</v>
      </c>
    </row>
    <row r="571" spans="1:10">
      <c r="A571" t="s">
        <v>4493</v>
      </c>
      <c r="B571">
        <v>9.2178246032281003E-2</v>
      </c>
      <c r="C571">
        <v>8.7803308475187407</v>
      </c>
      <c r="D571">
        <v>0.91233613912394995</v>
      </c>
      <c r="E571">
        <v>1</v>
      </c>
      <c r="F571">
        <v>41</v>
      </c>
      <c r="G571">
        <v>41</v>
      </c>
      <c r="H571" t="s">
        <v>4494</v>
      </c>
      <c r="I571" t="s">
        <v>4495</v>
      </c>
      <c r="J571" t="s">
        <v>1010</v>
      </c>
    </row>
    <row r="572" spans="1:10">
      <c r="A572" t="s">
        <v>4496</v>
      </c>
      <c r="B572">
        <v>9.2178246032281003E-2</v>
      </c>
      <c r="C572">
        <v>8.7803308475187407</v>
      </c>
      <c r="D572">
        <v>0.91233613912394995</v>
      </c>
      <c r="E572">
        <v>1</v>
      </c>
      <c r="F572">
        <v>41</v>
      </c>
      <c r="G572">
        <v>41</v>
      </c>
      <c r="H572" t="s">
        <v>4497</v>
      </c>
      <c r="I572" t="s">
        <v>4498</v>
      </c>
      <c r="J572" t="s">
        <v>1011</v>
      </c>
    </row>
    <row r="573" spans="1:10">
      <c r="A573" t="s">
        <v>4499</v>
      </c>
      <c r="B573">
        <v>9.2178246032281003E-2</v>
      </c>
      <c r="C573">
        <v>8.7803308475187407</v>
      </c>
      <c r="D573">
        <v>0.91233613912394995</v>
      </c>
      <c r="E573">
        <v>1</v>
      </c>
      <c r="F573">
        <v>41</v>
      </c>
      <c r="G573">
        <v>41</v>
      </c>
      <c r="H573" t="s">
        <v>28</v>
      </c>
      <c r="I573" t="s">
        <v>3631</v>
      </c>
      <c r="J573" t="s">
        <v>1012</v>
      </c>
    </row>
    <row r="574" spans="1:10">
      <c r="A574" t="s">
        <v>4500</v>
      </c>
      <c r="B574">
        <v>-5.1328738005380098E-2</v>
      </c>
      <c r="C574">
        <v>8.7446975561146605</v>
      </c>
      <c r="D574">
        <v>0.91124944960856902</v>
      </c>
      <c r="E574">
        <v>1</v>
      </c>
      <c r="F574">
        <v>38</v>
      </c>
      <c r="G574">
        <v>42</v>
      </c>
      <c r="H574" t="s">
        <v>28</v>
      </c>
      <c r="I574" t="s">
        <v>3438</v>
      </c>
      <c r="J574" t="s">
        <v>1013</v>
      </c>
    </row>
    <row r="575" spans="1:10">
      <c r="A575" t="s">
        <v>4501</v>
      </c>
      <c r="B575">
        <v>-5.1328738005380098E-2</v>
      </c>
      <c r="C575">
        <v>8.7446975561146605</v>
      </c>
      <c r="D575">
        <v>0.91124944960856902</v>
      </c>
      <c r="E575">
        <v>1</v>
      </c>
      <c r="F575">
        <v>38</v>
      </c>
      <c r="G575">
        <v>42</v>
      </c>
      <c r="H575" t="s">
        <v>4502</v>
      </c>
      <c r="I575" t="s">
        <v>4503</v>
      </c>
      <c r="J575" t="s">
        <v>1014</v>
      </c>
    </row>
    <row r="576" spans="1:10">
      <c r="A576" t="s">
        <v>4504</v>
      </c>
      <c r="B576">
        <v>9.2164286582591806E-2</v>
      </c>
      <c r="C576">
        <v>8.7447067900485091</v>
      </c>
      <c r="D576">
        <v>0.91124944960856902</v>
      </c>
      <c r="E576">
        <v>1</v>
      </c>
      <c r="F576">
        <v>40</v>
      </c>
      <c r="G576">
        <v>40</v>
      </c>
      <c r="H576" t="s">
        <v>4505</v>
      </c>
      <c r="I576" t="s">
        <v>4506</v>
      </c>
      <c r="J576" t="s">
        <v>1015</v>
      </c>
    </row>
    <row r="577" spans="1:10">
      <c r="A577" t="s">
        <v>4507</v>
      </c>
      <c r="B577">
        <v>-5.5005621342674602E-2</v>
      </c>
      <c r="C577">
        <v>8.7081715314027104</v>
      </c>
      <c r="D577">
        <v>0.91012154867866601</v>
      </c>
      <c r="E577">
        <v>1</v>
      </c>
      <c r="F577">
        <v>37</v>
      </c>
      <c r="G577">
        <v>41</v>
      </c>
      <c r="H577" t="s">
        <v>28</v>
      </c>
      <c r="I577" t="s">
        <v>3438</v>
      </c>
      <c r="J577" t="s">
        <v>1016</v>
      </c>
    </row>
    <row r="578" spans="1:10">
      <c r="A578" t="s">
        <v>4508</v>
      </c>
      <c r="B578">
        <v>9.2149615823335099E-2</v>
      </c>
      <c r="C578">
        <v>8.7081807662545003</v>
      </c>
      <c r="D578">
        <v>0.91012154867866601</v>
      </c>
      <c r="E578">
        <v>1</v>
      </c>
      <c r="F578">
        <v>39</v>
      </c>
      <c r="G578">
        <v>39</v>
      </c>
      <c r="H578" t="s">
        <v>28</v>
      </c>
      <c r="I578" t="s">
        <v>3438</v>
      </c>
      <c r="J578" t="s">
        <v>1017</v>
      </c>
    </row>
    <row r="579" spans="1:10">
      <c r="A579" t="s">
        <v>4509</v>
      </c>
      <c r="B579">
        <v>-5.8875277989305502E-2</v>
      </c>
      <c r="C579">
        <v>8.6706966772676104</v>
      </c>
      <c r="D579">
        <v>0.90894976101209501</v>
      </c>
      <c r="E579">
        <v>1</v>
      </c>
      <c r="F579">
        <v>36</v>
      </c>
      <c r="G579">
        <v>40</v>
      </c>
      <c r="H579" t="s">
        <v>28</v>
      </c>
      <c r="I579" t="s">
        <v>3438</v>
      </c>
      <c r="J579" t="s">
        <v>1018</v>
      </c>
    </row>
    <row r="580" spans="1:10">
      <c r="A580" t="s">
        <v>4510</v>
      </c>
      <c r="B580">
        <v>-5.8875277989305502E-2</v>
      </c>
      <c r="C580">
        <v>8.6706966772676104</v>
      </c>
      <c r="D580">
        <v>0.90894976101209501</v>
      </c>
      <c r="E580">
        <v>1</v>
      </c>
      <c r="F580">
        <v>36</v>
      </c>
      <c r="G580">
        <v>40</v>
      </c>
      <c r="H580" t="s">
        <v>4511</v>
      </c>
      <c r="I580" t="s">
        <v>4512</v>
      </c>
      <c r="J580" t="s">
        <v>1019</v>
      </c>
    </row>
    <row r="581" spans="1:10">
      <c r="A581" t="s">
        <v>4513</v>
      </c>
      <c r="B581">
        <v>9.2134177965523506E-2</v>
      </c>
      <c r="C581">
        <v>8.6707059130375495</v>
      </c>
      <c r="D581">
        <v>0.90894976101209501</v>
      </c>
      <c r="E581">
        <v>1</v>
      </c>
      <c r="F581">
        <v>38</v>
      </c>
      <c r="G581">
        <v>38</v>
      </c>
      <c r="H581" t="s">
        <v>4514</v>
      </c>
      <c r="I581" t="s">
        <v>4515</v>
      </c>
      <c r="J581" t="s">
        <v>1020</v>
      </c>
    </row>
    <row r="582" spans="1:10">
      <c r="A582" t="s">
        <v>4516</v>
      </c>
      <c r="B582">
        <v>9.2134177965523506E-2</v>
      </c>
      <c r="C582">
        <v>8.6707059130375495</v>
      </c>
      <c r="D582">
        <v>0.90894976101209501</v>
      </c>
      <c r="E582">
        <v>1</v>
      </c>
      <c r="F582">
        <v>38</v>
      </c>
      <c r="G582">
        <v>38</v>
      </c>
      <c r="H582" t="s">
        <v>4517</v>
      </c>
      <c r="I582" t="s">
        <v>4518</v>
      </c>
      <c r="J582" t="s">
        <v>1021</v>
      </c>
    </row>
    <row r="583" spans="1:10">
      <c r="A583" t="s">
        <v>4519</v>
      </c>
      <c r="B583">
        <v>-6.2953291351266094E-2</v>
      </c>
      <c r="C583">
        <v>8.6322223807069296</v>
      </c>
      <c r="D583">
        <v>0.907731161619448</v>
      </c>
      <c r="E583">
        <v>1</v>
      </c>
      <c r="F583">
        <v>35</v>
      </c>
      <c r="G583">
        <v>39</v>
      </c>
      <c r="H583" t="s">
        <v>28</v>
      </c>
      <c r="I583" t="s">
        <v>4520</v>
      </c>
      <c r="J583" t="s">
        <v>1022</v>
      </c>
    </row>
    <row r="584" spans="1:10">
      <c r="A584" t="s">
        <v>4521</v>
      </c>
      <c r="B584">
        <v>-7.1805608011429101E-2</v>
      </c>
      <c r="C584">
        <v>8.5520517344419993</v>
      </c>
      <c r="D584">
        <v>0.90514038991982404</v>
      </c>
      <c r="E584">
        <v>1</v>
      </c>
      <c r="F584">
        <v>33</v>
      </c>
      <c r="G584">
        <v>37</v>
      </c>
      <c r="H584" t="s">
        <v>4522</v>
      </c>
      <c r="I584" t="s">
        <v>4523</v>
      </c>
      <c r="J584" t="s">
        <v>1023</v>
      </c>
    </row>
    <row r="585" spans="1:10">
      <c r="A585" t="s">
        <v>4524</v>
      </c>
      <c r="B585">
        <v>-7.1805608011429101E-2</v>
      </c>
      <c r="C585">
        <v>8.5520517344419993</v>
      </c>
      <c r="D585">
        <v>0.90514038991982404</v>
      </c>
      <c r="E585">
        <v>1</v>
      </c>
      <c r="F585">
        <v>33</v>
      </c>
      <c r="G585">
        <v>37</v>
      </c>
      <c r="H585" t="s">
        <v>28</v>
      </c>
      <c r="I585" t="s">
        <v>3438</v>
      </c>
      <c r="J585" t="s">
        <v>1024</v>
      </c>
    </row>
    <row r="586" spans="1:10">
      <c r="A586" t="s">
        <v>4525</v>
      </c>
      <c r="B586">
        <v>-7.1805608011429101E-2</v>
      </c>
      <c r="C586">
        <v>8.5520517344419993</v>
      </c>
      <c r="D586">
        <v>0.90514038991982404</v>
      </c>
      <c r="E586">
        <v>1</v>
      </c>
      <c r="F586">
        <v>33</v>
      </c>
      <c r="G586">
        <v>37</v>
      </c>
      <c r="H586" t="s">
        <v>304</v>
      </c>
      <c r="I586" t="s">
        <v>4526</v>
      </c>
      <c r="J586" t="s">
        <v>305</v>
      </c>
    </row>
    <row r="587" spans="1:10">
      <c r="A587" t="s">
        <v>4527</v>
      </c>
      <c r="B587">
        <v>-7.6620747563388894E-2</v>
      </c>
      <c r="C587">
        <v>8.5102314099124392</v>
      </c>
      <c r="D587">
        <v>0.90376081754720206</v>
      </c>
      <c r="E587">
        <v>1</v>
      </c>
      <c r="F587">
        <v>32</v>
      </c>
      <c r="G587">
        <v>36</v>
      </c>
      <c r="H587" t="s">
        <v>28</v>
      </c>
      <c r="I587" t="s">
        <v>4528</v>
      </c>
      <c r="J587" t="s">
        <v>1025</v>
      </c>
    </row>
    <row r="588" spans="1:10">
      <c r="A588" t="s">
        <v>4529</v>
      </c>
      <c r="B588">
        <v>-8.1726549304950505E-2</v>
      </c>
      <c r="C588">
        <v>8.4671625391559608</v>
      </c>
      <c r="D588">
        <v>0.90231954412300097</v>
      </c>
      <c r="E588">
        <v>1</v>
      </c>
      <c r="F588">
        <v>31</v>
      </c>
      <c r="G588">
        <v>35</v>
      </c>
      <c r="H588" t="s">
        <v>28</v>
      </c>
      <c r="I588" t="s">
        <v>4530</v>
      </c>
      <c r="J588" t="s">
        <v>1026</v>
      </c>
    </row>
    <row r="589" spans="1:10">
      <c r="A589" t="s">
        <v>4531</v>
      </c>
      <c r="B589">
        <v>-8.1726549304950505E-2</v>
      </c>
      <c r="C589">
        <v>8.4671625391559608</v>
      </c>
      <c r="D589">
        <v>0.90231954412300097</v>
      </c>
      <c r="E589">
        <v>1</v>
      </c>
      <c r="F589">
        <v>31</v>
      </c>
      <c r="G589">
        <v>35</v>
      </c>
      <c r="H589" t="s">
        <v>4532</v>
      </c>
      <c r="I589" t="s">
        <v>4533</v>
      </c>
      <c r="J589" t="s">
        <v>1027</v>
      </c>
    </row>
    <row r="590" spans="1:10">
      <c r="A590" t="s">
        <v>4534</v>
      </c>
      <c r="B590">
        <v>9.2043059781456799E-2</v>
      </c>
      <c r="C590">
        <v>8.4671717795197008</v>
      </c>
      <c r="D590">
        <v>0.90231954412300097</v>
      </c>
      <c r="E590">
        <v>1</v>
      </c>
      <c r="F590">
        <v>33</v>
      </c>
      <c r="G590">
        <v>33</v>
      </c>
      <c r="H590" t="s">
        <v>28</v>
      </c>
      <c r="I590" t="s">
        <v>4053</v>
      </c>
      <c r="J590" t="s">
        <v>1028</v>
      </c>
    </row>
    <row r="591" spans="1:10">
      <c r="A591" t="s">
        <v>4535</v>
      </c>
      <c r="B591">
        <v>-8.7150185785651396E-2</v>
      </c>
      <c r="C591">
        <v>8.4227682709032496</v>
      </c>
      <c r="D591">
        <v>0.90081182453583597</v>
      </c>
      <c r="E591">
        <v>1</v>
      </c>
      <c r="F591">
        <v>30</v>
      </c>
      <c r="G591">
        <v>34</v>
      </c>
      <c r="H591" t="s">
        <v>4536</v>
      </c>
      <c r="I591" t="s">
        <v>4537</v>
      </c>
      <c r="J591" t="s">
        <v>1029</v>
      </c>
    </row>
    <row r="592" spans="1:10">
      <c r="A592" t="s">
        <v>4538</v>
      </c>
      <c r="B592">
        <v>-8.7150185785651396E-2</v>
      </c>
      <c r="C592">
        <v>8.4227682709032496</v>
      </c>
      <c r="D592">
        <v>0.90081182453583597</v>
      </c>
      <c r="E592">
        <v>1</v>
      </c>
      <c r="F592">
        <v>30</v>
      </c>
      <c r="G592">
        <v>34</v>
      </c>
      <c r="H592" t="s">
        <v>4539</v>
      </c>
      <c r="I592" t="s">
        <v>4540</v>
      </c>
      <c r="J592" t="s">
        <v>1030</v>
      </c>
    </row>
    <row r="593" spans="1:10">
      <c r="A593" t="s">
        <v>4541</v>
      </c>
      <c r="B593">
        <v>9.2021445700386895E-2</v>
      </c>
      <c r="C593">
        <v>8.4227775121863893</v>
      </c>
      <c r="D593">
        <v>0.90081182453583597</v>
      </c>
      <c r="E593">
        <v>1</v>
      </c>
      <c r="F593">
        <v>32</v>
      </c>
      <c r="G593">
        <v>32</v>
      </c>
      <c r="H593" t="s">
        <v>28</v>
      </c>
      <c r="I593" t="s">
        <v>3438</v>
      </c>
      <c r="J593" t="s">
        <v>1031</v>
      </c>
    </row>
    <row r="594" spans="1:10">
      <c r="A594" t="s">
        <v>4542</v>
      </c>
      <c r="B594">
        <v>-9.2922330257893898E-2</v>
      </c>
      <c r="C594">
        <v>8.37696443236619</v>
      </c>
      <c r="D594">
        <v>0.89923238649266901</v>
      </c>
      <c r="E594">
        <v>1</v>
      </c>
      <c r="F594">
        <v>29</v>
      </c>
      <c r="G594">
        <v>33</v>
      </c>
      <c r="H594" t="s">
        <v>28</v>
      </c>
      <c r="I594" t="s">
        <v>3438</v>
      </c>
      <c r="J594" t="s">
        <v>1032</v>
      </c>
    </row>
    <row r="595" spans="1:10">
      <c r="A595" t="s">
        <v>4543</v>
      </c>
      <c r="B595">
        <v>-9.2922330257893898E-2</v>
      </c>
      <c r="C595">
        <v>8.37696443236619</v>
      </c>
      <c r="D595">
        <v>0.89923238649266901</v>
      </c>
      <c r="E595">
        <v>1</v>
      </c>
      <c r="F595">
        <v>29</v>
      </c>
      <c r="G595">
        <v>33</v>
      </c>
      <c r="H595" t="s">
        <v>28</v>
      </c>
      <c r="I595" t="s">
        <v>3438</v>
      </c>
      <c r="J595" t="s">
        <v>1033</v>
      </c>
    </row>
    <row r="596" spans="1:10">
      <c r="A596" t="s">
        <v>4544</v>
      </c>
      <c r="B596">
        <v>9.1998448318041798E-2</v>
      </c>
      <c r="C596">
        <v>8.3769736745689496</v>
      </c>
      <c r="D596">
        <v>0.89923238649266901</v>
      </c>
      <c r="E596">
        <v>1</v>
      </c>
      <c r="F596">
        <v>31</v>
      </c>
      <c r="G596">
        <v>31</v>
      </c>
      <c r="H596" t="s">
        <v>4545</v>
      </c>
      <c r="I596" t="s">
        <v>4546</v>
      </c>
      <c r="J596" t="s">
        <v>1034</v>
      </c>
    </row>
    <row r="597" spans="1:10">
      <c r="A597" t="s">
        <v>4547</v>
      </c>
      <c r="B597">
        <v>-9.9077740042244303E-2</v>
      </c>
      <c r="C597">
        <v>8.3296585686341906</v>
      </c>
      <c r="D597">
        <v>0.89757535274227895</v>
      </c>
      <c r="E597">
        <v>1</v>
      </c>
      <c r="F597">
        <v>28</v>
      </c>
      <c r="G597">
        <v>32</v>
      </c>
      <c r="H597" t="s">
        <v>28</v>
      </c>
      <c r="I597" t="s">
        <v>4548</v>
      </c>
      <c r="J597" t="s">
        <v>1035</v>
      </c>
    </row>
    <row r="598" spans="1:10">
      <c r="A598" t="s">
        <v>4549</v>
      </c>
      <c r="B598">
        <v>-9.9077740042244303E-2</v>
      </c>
      <c r="C598">
        <v>8.3296585686341906</v>
      </c>
      <c r="D598">
        <v>0.89757535274227895</v>
      </c>
      <c r="E598">
        <v>1</v>
      </c>
      <c r="F598">
        <v>28</v>
      </c>
      <c r="G598">
        <v>32</v>
      </c>
      <c r="H598" t="s">
        <v>4550</v>
      </c>
      <c r="I598" t="s">
        <v>4551</v>
      </c>
      <c r="J598" t="s">
        <v>1036</v>
      </c>
    </row>
    <row r="599" spans="1:10">
      <c r="A599" t="s">
        <v>4552</v>
      </c>
      <c r="B599">
        <v>-9.9077740042244303E-2</v>
      </c>
      <c r="C599">
        <v>8.3296585686341906</v>
      </c>
      <c r="D599">
        <v>0.89757535274227895</v>
      </c>
      <c r="E599">
        <v>1</v>
      </c>
      <c r="F599">
        <v>28</v>
      </c>
      <c r="G599">
        <v>32</v>
      </c>
      <c r="H599" t="s">
        <v>28</v>
      </c>
      <c r="I599" t="s">
        <v>3438</v>
      </c>
      <c r="J599" t="s">
        <v>1037</v>
      </c>
    </row>
    <row r="600" spans="1:10">
      <c r="A600" t="s">
        <v>4553</v>
      </c>
      <c r="B600">
        <v>9.1973930447502197E-2</v>
      </c>
      <c r="C600">
        <v>8.3296678117568099</v>
      </c>
      <c r="D600">
        <v>0.89757535274227895</v>
      </c>
      <c r="E600">
        <v>1</v>
      </c>
      <c r="F600">
        <v>30</v>
      </c>
      <c r="G600">
        <v>30</v>
      </c>
      <c r="H600" t="s">
        <v>4554</v>
      </c>
      <c r="I600" t="s">
        <v>4555</v>
      </c>
      <c r="J600" t="s">
        <v>1038</v>
      </c>
    </row>
    <row r="601" spans="1:10">
      <c r="A601" t="s">
        <v>4556</v>
      </c>
      <c r="B601">
        <v>-0.10565596075761501</v>
      </c>
      <c r="C601">
        <v>8.2807488191698901</v>
      </c>
      <c r="D601">
        <v>0.89583414879852197</v>
      </c>
      <c r="E601">
        <v>1</v>
      </c>
      <c r="F601">
        <v>27</v>
      </c>
      <c r="G601">
        <v>31</v>
      </c>
      <c r="H601" t="s">
        <v>4557</v>
      </c>
      <c r="I601" t="s">
        <v>4558</v>
      </c>
      <c r="J601" t="s">
        <v>1039</v>
      </c>
    </row>
    <row r="602" spans="1:10">
      <c r="A602" t="s">
        <v>4559</v>
      </c>
      <c r="B602">
        <v>9.19196873706907E-2</v>
      </c>
      <c r="C602">
        <v>8.2301318420499001</v>
      </c>
      <c r="D602">
        <v>0.89400139285634095</v>
      </c>
      <c r="E602">
        <v>1</v>
      </c>
      <c r="F602">
        <v>28</v>
      </c>
      <c r="G602">
        <v>28</v>
      </c>
      <c r="H602" t="s">
        <v>28</v>
      </c>
      <c r="I602" t="s">
        <v>3438</v>
      </c>
      <c r="J602" t="s">
        <v>1040</v>
      </c>
    </row>
    <row r="603" spans="1:10">
      <c r="A603" t="s">
        <v>4560</v>
      </c>
      <c r="B603">
        <v>-0.120268281887376</v>
      </c>
      <c r="C603">
        <v>8.1776550281498697</v>
      </c>
      <c r="D603">
        <v>0.89206876369174903</v>
      </c>
      <c r="E603">
        <v>1</v>
      </c>
      <c r="F603">
        <v>25</v>
      </c>
      <c r="G603">
        <v>29</v>
      </c>
      <c r="H603" t="s">
        <v>28</v>
      </c>
      <c r="I603" t="s">
        <v>4561</v>
      </c>
      <c r="J603" t="s">
        <v>1041</v>
      </c>
    </row>
    <row r="604" spans="1:10">
      <c r="A604" t="s">
        <v>4562</v>
      </c>
      <c r="B604">
        <v>9.1889579974600594E-2</v>
      </c>
      <c r="C604">
        <v>8.1776642740335301</v>
      </c>
      <c r="D604">
        <v>0.89206876369174903</v>
      </c>
      <c r="E604">
        <v>1</v>
      </c>
      <c r="F604">
        <v>27</v>
      </c>
      <c r="G604">
        <v>27</v>
      </c>
      <c r="H604" t="s">
        <v>4563</v>
      </c>
      <c r="I604" t="s">
        <v>4564</v>
      </c>
      <c r="J604" t="s">
        <v>1042</v>
      </c>
    </row>
    <row r="605" spans="1:10">
      <c r="A605" t="s">
        <v>4565</v>
      </c>
      <c r="B605">
        <v>9.1889579974600594E-2</v>
      </c>
      <c r="C605">
        <v>8.1776642740335301</v>
      </c>
      <c r="D605">
        <v>0.89206876369174903</v>
      </c>
      <c r="E605">
        <v>1</v>
      </c>
      <c r="F605">
        <v>27</v>
      </c>
      <c r="G605">
        <v>27</v>
      </c>
      <c r="H605" t="s">
        <v>4566</v>
      </c>
      <c r="I605" t="s">
        <v>4567</v>
      </c>
      <c r="J605" t="s">
        <v>1043</v>
      </c>
    </row>
    <row r="606" spans="1:10">
      <c r="A606" t="s">
        <v>4568</v>
      </c>
      <c r="B606">
        <v>9.1889579974600594E-2</v>
      </c>
      <c r="C606">
        <v>8.1776642740335301</v>
      </c>
      <c r="D606">
        <v>0.89206876369174903</v>
      </c>
      <c r="E606">
        <v>1</v>
      </c>
      <c r="F606">
        <v>27</v>
      </c>
      <c r="G606">
        <v>27</v>
      </c>
      <c r="H606" t="s">
        <v>4569</v>
      </c>
      <c r="I606" t="s">
        <v>4570</v>
      </c>
      <c r="J606" t="s">
        <v>1044</v>
      </c>
    </row>
    <row r="607" spans="1:10">
      <c r="A607" t="s">
        <v>4571</v>
      </c>
      <c r="B607">
        <v>-0.12841411772917299</v>
      </c>
      <c r="C607">
        <v>8.1232070950597102</v>
      </c>
      <c r="D607">
        <v>0.89002684114583497</v>
      </c>
      <c r="E607">
        <v>1</v>
      </c>
      <c r="F607">
        <v>24</v>
      </c>
      <c r="G607">
        <v>28</v>
      </c>
      <c r="H607" t="s">
        <v>4572</v>
      </c>
      <c r="I607" t="s">
        <v>4573</v>
      </c>
      <c r="J607" t="s">
        <v>1045</v>
      </c>
    </row>
    <row r="608" spans="1:10">
      <c r="A608" t="s">
        <v>4574</v>
      </c>
      <c r="B608">
        <v>9.1857178681453003E-2</v>
      </c>
      <c r="C608">
        <v>8.1232163418594094</v>
      </c>
      <c r="D608">
        <v>0.89002684114583497</v>
      </c>
      <c r="E608">
        <v>1</v>
      </c>
      <c r="F608">
        <v>26</v>
      </c>
      <c r="G608">
        <v>26</v>
      </c>
      <c r="H608" t="s">
        <v>4575</v>
      </c>
      <c r="I608" t="s">
        <v>4576</v>
      </c>
      <c r="J608" t="s">
        <v>1046</v>
      </c>
    </row>
    <row r="609" spans="1:10">
      <c r="A609" t="s">
        <v>4577</v>
      </c>
      <c r="B609">
        <v>9.1857178681453003E-2</v>
      </c>
      <c r="C609">
        <v>8.1232163418594094</v>
      </c>
      <c r="D609">
        <v>0.89002684114583497</v>
      </c>
      <c r="E609">
        <v>1</v>
      </c>
      <c r="F609">
        <v>26</v>
      </c>
      <c r="G609">
        <v>26</v>
      </c>
      <c r="H609" t="s">
        <v>325</v>
      </c>
      <c r="I609" t="s">
        <v>3438</v>
      </c>
      <c r="J609" t="s">
        <v>324</v>
      </c>
    </row>
    <row r="610" spans="1:10">
      <c r="A610" t="s">
        <v>4578</v>
      </c>
      <c r="B610">
        <v>9.1857178681453003E-2</v>
      </c>
      <c r="C610">
        <v>8.1232163418594094</v>
      </c>
      <c r="D610">
        <v>0.89002684114583497</v>
      </c>
      <c r="E610">
        <v>1</v>
      </c>
      <c r="F610">
        <v>26</v>
      </c>
      <c r="G610">
        <v>26</v>
      </c>
      <c r="H610" t="s">
        <v>4579</v>
      </c>
      <c r="I610" t="s">
        <v>4580</v>
      </c>
      <c r="J610" t="s">
        <v>1047</v>
      </c>
    </row>
    <row r="611" spans="1:10">
      <c r="A611" t="s">
        <v>4581</v>
      </c>
      <c r="B611">
        <v>-0.13720912132754701</v>
      </c>
      <c r="C611">
        <v>8.0666234175916998</v>
      </c>
      <c r="D611">
        <v>0.88786491220416497</v>
      </c>
      <c r="E611">
        <v>1</v>
      </c>
      <c r="F611">
        <v>23</v>
      </c>
      <c r="G611">
        <v>27</v>
      </c>
      <c r="H611" t="s">
        <v>4582</v>
      </c>
      <c r="I611" t="s">
        <v>4583</v>
      </c>
      <c r="J611" t="s">
        <v>1048</v>
      </c>
    </row>
    <row r="612" spans="1:10">
      <c r="A612" t="s">
        <v>4584</v>
      </c>
      <c r="B612">
        <v>-0.13720912132754701</v>
      </c>
      <c r="C612">
        <v>8.0666234175916998</v>
      </c>
      <c r="D612">
        <v>0.88786491220416497</v>
      </c>
      <c r="E612">
        <v>1</v>
      </c>
      <c r="F612">
        <v>23</v>
      </c>
      <c r="G612">
        <v>27</v>
      </c>
      <c r="H612" t="s">
        <v>28</v>
      </c>
      <c r="I612" t="s">
        <v>3491</v>
      </c>
      <c r="J612" t="s">
        <v>172</v>
      </c>
    </row>
    <row r="613" spans="1:10">
      <c r="A613" t="s">
        <v>4585</v>
      </c>
      <c r="B613">
        <v>-0.13720912132754701</v>
      </c>
      <c r="C613">
        <v>8.0666234175916998</v>
      </c>
      <c r="D613">
        <v>0.88786491220416497</v>
      </c>
      <c r="E613">
        <v>1</v>
      </c>
      <c r="F613">
        <v>23</v>
      </c>
      <c r="G613">
        <v>27</v>
      </c>
      <c r="H613" t="s">
        <v>4586</v>
      </c>
      <c r="I613" t="s">
        <v>4587</v>
      </c>
      <c r="J613" t="s">
        <v>1049</v>
      </c>
    </row>
    <row r="614" spans="1:10">
      <c r="A614" t="s">
        <v>4588</v>
      </c>
      <c r="B614">
        <v>-0.146734299454025</v>
      </c>
      <c r="C614">
        <v>8.0077295794067798</v>
      </c>
      <c r="D614">
        <v>0.88557073354467597</v>
      </c>
      <c r="E614">
        <v>1</v>
      </c>
      <c r="F614">
        <v>22</v>
      </c>
      <c r="G614">
        <v>26</v>
      </c>
      <c r="H614" t="s">
        <v>28</v>
      </c>
      <c r="I614" t="s">
        <v>4589</v>
      </c>
      <c r="J614" t="s">
        <v>1050</v>
      </c>
    </row>
    <row r="615" spans="1:10">
      <c r="A615" t="s">
        <v>4590</v>
      </c>
      <c r="B615">
        <v>-0.146734299454025</v>
      </c>
      <c r="C615">
        <v>8.0077295794067798</v>
      </c>
      <c r="D615">
        <v>0.88557073354467597</v>
      </c>
      <c r="E615">
        <v>1</v>
      </c>
      <c r="F615">
        <v>22</v>
      </c>
      <c r="G615">
        <v>26</v>
      </c>
      <c r="H615" t="s">
        <v>28</v>
      </c>
      <c r="I615" t="s">
        <v>3438</v>
      </c>
      <c r="J615" t="s">
        <v>1051</v>
      </c>
    </row>
    <row r="616" spans="1:10">
      <c r="A616" t="s">
        <v>4591</v>
      </c>
      <c r="B616">
        <v>-0.146734299454025</v>
      </c>
      <c r="C616">
        <v>8.0077295794067798</v>
      </c>
      <c r="D616">
        <v>0.88557073354467597</v>
      </c>
      <c r="E616">
        <v>1</v>
      </c>
      <c r="F616">
        <v>22</v>
      </c>
      <c r="G616">
        <v>26</v>
      </c>
      <c r="H616" t="s">
        <v>28</v>
      </c>
      <c r="I616" t="s">
        <v>3438</v>
      </c>
      <c r="J616" t="s">
        <v>1052</v>
      </c>
    </row>
    <row r="617" spans="1:10">
      <c r="A617" t="s">
        <v>4592</v>
      </c>
      <c r="B617">
        <v>-0.146734299454025</v>
      </c>
      <c r="C617">
        <v>8.0077295794067798</v>
      </c>
      <c r="D617">
        <v>0.88557073354467597</v>
      </c>
      <c r="E617">
        <v>1</v>
      </c>
      <c r="F617">
        <v>22</v>
      </c>
      <c r="G617">
        <v>26</v>
      </c>
      <c r="H617" t="s">
        <v>4593</v>
      </c>
      <c r="I617" t="s">
        <v>4594</v>
      </c>
      <c r="J617" t="s">
        <v>1053</v>
      </c>
    </row>
    <row r="618" spans="1:10">
      <c r="A618" t="s">
        <v>4595</v>
      </c>
      <c r="B618">
        <v>-0.146734299454025</v>
      </c>
      <c r="C618">
        <v>8.0077295794067798</v>
      </c>
      <c r="D618">
        <v>0.88557073354467597</v>
      </c>
      <c r="E618">
        <v>1</v>
      </c>
      <c r="F618">
        <v>22</v>
      </c>
      <c r="G618">
        <v>26</v>
      </c>
      <c r="H618" t="s">
        <v>28</v>
      </c>
      <c r="I618" t="s">
        <v>4596</v>
      </c>
      <c r="J618" t="s">
        <v>1054</v>
      </c>
    </row>
    <row r="619" spans="1:10">
      <c r="A619" t="s">
        <v>4597</v>
      </c>
      <c r="B619">
        <v>9.1784359279541997E-2</v>
      </c>
      <c r="C619">
        <v>8.0077388280474597</v>
      </c>
      <c r="D619">
        <v>0.88557073354467597</v>
      </c>
      <c r="E619">
        <v>1</v>
      </c>
      <c r="F619">
        <v>24</v>
      </c>
      <c r="G619">
        <v>24</v>
      </c>
      <c r="H619" t="s">
        <v>4598</v>
      </c>
      <c r="I619" t="s">
        <v>4599</v>
      </c>
      <c r="J619" t="s">
        <v>1055</v>
      </c>
    </row>
    <row r="620" spans="1:10">
      <c r="A620" t="s">
        <v>4600</v>
      </c>
      <c r="B620">
        <v>9.1784359279541997E-2</v>
      </c>
      <c r="C620">
        <v>8.0077388280474597</v>
      </c>
      <c r="D620">
        <v>0.88557073354467597</v>
      </c>
      <c r="E620">
        <v>1</v>
      </c>
      <c r="F620">
        <v>24</v>
      </c>
      <c r="G620">
        <v>24</v>
      </c>
      <c r="H620" t="s">
        <v>28</v>
      </c>
      <c r="I620" t="s">
        <v>3657</v>
      </c>
      <c r="J620" t="s">
        <v>1056</v>
      </c>
    </row>
    <row r="621" spans="1:10">
      <c r="A621" t="s">
        <v>4601</v>
      </c>
      <c r="B621">
        <v>9.1784359279541997E-2</v>
      </c>
      <c r="C621">
        <v>8.0077388280474597</v>
      </c>
      <c r="D621">
        <v>0.88557073354467597</v>
      </c>
      <c r="E621">
        <v>1</v>
      </c>
      <c r="F621">
        <v>24</v>
      </c>
      <c r="G621">
        <v>24</v>
      </c>
      <c r="H621" t="s">
        <v>28</v>
      </c>
      <c r="I621" t="s">
        <v>3438</v>
      </c>
      <c r="J621" t="s">
        <v>1057</v>
      </c>
    </row>
    <row r="622" spans="1:10">
      <c r="A622" t="s">
        <v>4602</v>
      </c>
      <c r="B622">
        <v>9.1784359279541997E-2</v>
      </c>
      <c r="C622">
        <v>8.0077388280474597</v>
      </c>
      <c r="D622">
        <v>0.88557073354467597</v>
      </c>
      <c r="E622">
        <v>1</v>
      </c>
      <c r="F622">
        <v>24</v>
      </c>
      <c r="G622">
        <v>24</v>
      </c>
      <c r="H622" t="s">
        <v>28</v>
      </c>
      <c r="I622" t="s">
        <v>4603</v>
      </c>
      <c r="J622" t="s">
        <v>1058</v>
      </c>
    </row>
    <row r="623" spans="1:10">
      <c r="A623" t="s">
        <v>4604</v>
      </c>
      <c r="B623">
        <v>9.1784359279541997E-2</v>
      </c>
      <c r="C623">
        <v>8.0077388280474597</v>
      </c>
      <c r="D623">
        <v>0.88557073354467597</v>
      </c>
      <c r="E623">
        <v>1</v>
      </c>
      <c r="F623">
        <v>24</v>
      </c>
      <c r="G623">
        <v>24</v>
      </c>
      <c r="H623" t="s">
        <v>28</v>
      </c>
      <c r="I623" t="s">
        <v>3438</v>
      </c>
      <c r="J623" t="s">
        <v>1059</v>
      </c>
    </row>
    <row r="624" spans="1:10">
      <c r="A624" t="s">
        <v>4605</v>
      </c>
      <c r="B624">
        <v>-0.157084756604947</v>
      </c>
      <c r="C624">
        <v>7.9463288855815799</v>
      </c>
      <c r="D624">
        <v>0.88313023851286698</v>
      </c>
      <c r="E624">
        <v>1</v>
      </c>
      <c r="F624">
        <v>21</v>
      </c>
      <c r="G624">
        <v>25</v>
      </c>
      <c r="H624" t="s">
        <v>28</v>
      </c>
      <c r="I624" t="s">
        <v>3438</v>
      </c>
      <c r="J624" t="s">
        <v>1060</v>
      </c>
    </row>
    <row r="625" spans="1:10">
      <c r="A625" t="s">
        <v>4606</v>
      </c>
      <c r="B625">
        <v>-0.157084756604947</v>
      </c>
      <c r="C625">
        <v>7.9463288855815799</v>
      </c>
      <c r="D625">
        <v>0.88313023851286698</v>
      </c>
      <c r="E625">
        <v>1</v>
      </c>
      <c r="F625">
        <v>21</v>
      </c>
      <c r="G625">
        <v>25</v>
      </c>
      <c r="H625" t="s">
        <v>28</v>
      </c>
      <c r="I625" t="s">
        <v>3438</v>
      </c>
      <c r="J625" t="s">
        <v>1061</v>
      </c>
    </row>
    <row r="626" spans="1:10">
      <c r="A626" t="s">
        <v>4607</v>
      </c>
      <c r="B626">
        <v>-0.157084756604947</v>
      </c>
      <c r="C626">
        <v>7.9463288855815799</v>
      </c>
      <c r="D626">
        <v>0.88313023851286698</v>
      </c>
      <c r="E626">
        <v>1</v>
      </c>
      <c r="F626">
        <v>21</v>
      </c>
      <c r="G626">
        <v>25</v>
      </c>
      <c r="H626" t="s">
        <v>4608</v>
      </c>
      <c r="I626" t="s">
        <v>4609</v>
      </c>
      <c r="J626" t="s">
        <v>1062</v>
      </c>
    </row>
    <row r="627" spans="1:10">
      <c r="A627" t="s">
        <v>4610</v>
      </c>
      <c r="B627">
        <v>9.1743251552120597E-2</v>
      </c>
      <c r="C627">
        <v>7.9463381351430202</v>
      </c>
      <c r="D627">
        <v>0.88313023851286698</v>
      </c>
      <c r="E627">
        <v>1</v>
      </c>
      <c r="F627">
        <v>23</v>
      </c>
      <c r="G627">
        <v>23</v>
      </c>
      <c r="H627" t="s">
        <v>28</v>
      </c>
      <c r="I627" t="s">
        <v>3438</v>
      </c>
      <c r="J627" t="s">
        <v>1063</v>
      </c>
    </row>
    <row r="628" spans="1:10">
      <c r="A628" t="s">
        <v>4611</v>
      </c>
      <c r="B628">
        <v>9.1743251552120597E-2</v>
      </c>
      <c r="C628">
        <v>7.9463381351430202</v>
      </c>
      <c r="D628">
        <v>0.88313023851286698</v>
      </c>
      <c r="E628">
        <v>1</v>
      </c>
      <c r="F628">
        <v>23</v>
      </c>
      <c r="G628">
        <v>23</v>
      </c>
      <c r="H628" t="s">
        <v>28</v>
      </c>
      <c r="I628" t="s">
        <v>3438</v>
      </c>
      <c r="J628" t="s">
        <v>1064</v>
      </c>
    </row>
    <row r="629" spans="1:10">
      <c r="A629" t="s">
        <v>4612</v>
      </c>
      <c r="B629">
        <v>9.1743251552120597E-2</v>
      </c>
      <c r="C629">
        <v>7.9463381351430202</v>
      </c>
      <c r="D629">
        <v>0.88313023851286698</v>
      </c>
      <c r="E629">
        <v>1</v>
      </c>
      <c r="F629">
        <v>23</v>
      </c>
      <c r="G629">
        <v>23</v>
      </c>
      <c r="H629" t="s">
        <v>4613</v>
      </c>
      <c r="I629" t="s">
        <v>4614</v>
      </c>
      <c r="J629" t="s">
        <v>1065</v>
      </c>
    </row>
    <row r="630" spans="1:10">
      <c r="A630" t="s">
        <v>4615</v>
      </c>
      <c r="B630">
        <v>-0.16837290990256601</v>
      </c>
      <c r="C630">
        <v>7.88219839897108</v>
      </c>
      <c r="D630">
        <v>0.88052717247118695</v>
      </c>
      <c r="E630">
        <v>1</v>
      </c>
      <c r="F630">
        <v>20</v>
      </c>
      <c r="G630">
        <v>24</v>
      </c>
      <c r="H630" t="s">
        <v>28</v>
      </c>
      <c r="I630" t="s">
        <v>4616</v>
      </c>
      <c r="J630" t="s">
        <v>1066</v>
      </c>
    </row>
    <row r="631" spans="1:10">
      <c r="A631" t="s">
        <v>4617</v>
      </c>
      <c r="B631">
        <v>-0.16837290990256601</v>
      </c>
      <c r="C631">
        <v>7.88219839897108</v>
      </c>
      <c r="D631">
        <v>0.88052717247118695</v>
      </c>
      <c r="E631">
        <v>1</v>
      </c>
      <c r="F631">
        <v>20</v>
      </c>
      <c r="G631">
        <v>24</v>
      </c>
      <c r="H631" t="s">
        <v>4618</v>
      </c>
      <c r="I631" t="s">
        <v>4619</v>
      </c>
      <c r="J631" t="s">
        <v>1067</v>
      </c>
    </row>
    <row r="632" spans="1:10">
      <c r="A632" t="s">
        <v>4620</v>
      </c>
      <c r="B632">
        <v>-0.16837290990256601</v>
      </c>
      <c r="C632">
        <v>7.88219839897108</v>
      </c>
      <c r="D632">
        <v>0.88052717247118695</v>
      </c>
      <c r="E632">
        <v>1</v>
      </c>
      <c r="F632">
        <v>20</v>
      </c>
      <c r="G632">
        <v>24</v>
      </c>
      <c r="H632" t="s">
        <v>4621</v>
      </c>
      <c r="I632" t="s">
        <v>4622</v>
      </c>
      <c r="J632" t="s">
        <v>1068</v>
      </c>
    </row>
    <row r="633" spans="1:10">
      <c r="A633" t="s">
        <v>4623</v>
      </c>
      <c r="B633">
        <v>-0.16837290990256601</v>
      </c>
      <c r="C633">
        <v>7.88219839897108</v>
      </c>
      <c r="D633">
        <v>0.88052717247118695</v>
      </c>
      <c r="E633">
        <v>1</v>
      </c>
      <c r="F633">
        <v>20</v>
      </c>
      <c r="G633">
        <v>24</v>
      </c>
      <c r="H633" t="s">
        <v>28</v>
      </c>
      <c r="I633" t="s">
        <v>3465</v>
      </c>
      <c r="J633" t="s">
        <v>1069</v>
      </c>
    </row>
    <row r="634" spans="1:10">
      <c r="A634" t="s">
        <v>4624</v>
      </c>
      <c r="B634">
        <v>9.1698448747617706E-2</v>
      </c>
      <c r="C634">
        <v>7.8822076494534699</v>
      </c>
      <c r="D634">
        <v>0.88052717247118695</v>
      </c>
      <c r="E634">
        <v>1</v>
      </c>
      <c r="F634">
        <v>22</v>
      </c>
      <c r="G634">
        <v>22</v>
      </c>
      <c r="H634" t="s">
        <v>4625</v>
      </c>
      <c r="I634" t="s">
        <v>4626</v>
      </c>
      <c r="J634" t="s">
        <v>1070</v>
      </c>
    </row>
    <row r="635" spans="1:10">
      <c r="A635" t="s">
        <v>4627</v>
      </c>
      <c r="B635">
        <v>9.1698448747617706E-2</v>
      </c>
      <c r="C635">
        <v>7.8822076494534699</v>
      </c>
      <c r="D635">
        <v>0.88052717247118695</v>
      </c>
      <c r="E635">
        <v>1</v>
      </c>
      <c r="F635">
        <v>22</v>
      </c>
      <c r="G635">
        <v>22</v>
      </c>
      <c r="H635" t="s">
        <v>4628</v>
      </c>
      <c r="I635" t="s">
        <v>4629</v>
      </c>
      <c r="J635" t="s">
        <v>1071</v>
      </c>
    </row>
    <row r="636" spans="1:10">
      <c r="A636" t="s">
        <v>4630</v>
      </c>
      <c r="B636">
        <v>9.1698448747617706E-2</v>
      </c>
      <c r="C636">
        <v>7.8822076494534699</v>
      </c>
      <c r="D636">
        <v>0.88052717247118695</v>
      </c>
      <c r="E636">
        <v>1</v>
      </c>
      <c r="F636">
        <v>22</v>
      </c>
      <c r="G636">
        <v>22</v>
      </c>
      <c r="H636" t="s">
        <v>4631</v>
      </c>
      <c r="I636" t="s">
        <v>4632</v>
      </c>
      <c r="J636" t="s">
        <v>1072</v>
      </c>
    </row>
    <row r="637" spans="1:10">
      <c r="A637" t="s">
        <v>4633</v>
      </c>
      <c r="B637">
        <v>9.1698448747617706E-2</v>
      </c>
      <c r="C637">
        <v>7.8822076494534699</v>
      </c>
      <c r="D637">
        <v>0.88052717247118695</v>
      </c>
      <c r="E637">
        <v>1</v>
      </c>
      <c r="F637">
        <v>22</v>
      </c>
      <c r="G637">
        <v>22</v>
      </c>
      <c r="H637" t="s">
        <v>28</v>
      </c>
      <c r="I637" t="s">
        <v>3438</v>
      </c>
      <c r="J637" t="s">
        <v>1073</v>
      </c>
    </row>
    <row r="638" spans="1:10">
      <c r="A638" t="s">
        <v>4634</v>
      </c>
      <c r="B638">
        <v>9.1698448747617706E-2</v>
      </c>
      <c r="C638">
        <v>7.8822076494534699</v>
      </c>
      <c r="D638">
        <v>0.88052717247118695</v>
      </c>
      <c r="E638">
        <v>1</v>
      </c>
      <c r="F638">
        <v>22</v>
      </c>
      <c r="G638">
        <v>22</v>
      </c>
      <c r="H638" t="s">
        <v>28</v>
      </c>
      <c r="I638" t="s">
        <v>3438</v>
      </c>
      <c r="J638" t="s">
        <v>1074</v>
      </c>
    </row>
    <row r="639" spans="1:10">
      <c r="A639" t="s">
        <v>4635</v>
      </c>
      <c r="B639">
        <v>9.1698448747617706E-2</v>
      </c>
      <c r="C639">
        <v>7.8822076494534699</v>
      </c>
      <c r="D639">
        <v>0.88052717247118695</v>
      </c>
      <c r="E639">
        <v>1</v>
      </c>
      <c r="F639">
        <v>22</v>
      </c>
      <c r="G639">
        <v>22</v>
      </c>
      <c r="H639" t="s">
        <v>28</v>
      </c>
      <c r="I639" t="s">
        <v>3438</v>
      </c>
      <c r="J639" t="s">
        <v>1075</v>
      </c>
    </row>
    <row r="640" spans="1:10">
      <c r="A640" t="s">
        <v>4636</v>
      </c>
      <c r="B640">
        <v>9.1698448747617706E-2</v>
      </c>
      <c r="C640">
        <v>7.8822076494534699</v>
      </c>
      <c r="D640">
        <v>0.88052717247118695</v>
      </c>
      <c r="E640">
        <v>1</v>
      </c>
      <c r="F640">
        <v>22</v>
      </c>
      <c r="G640">
        <v>22</v>
      </c>
      <c r="H640" t="s">
        <v>28</v>
      </c>
      <c r="I640" t="s">
        <v>3438</v>
      </c>
      <c r="J640" t="s">
        <v>148</v>
      </c>
    </row>
    <row r="641" spans="1:10">
      <c r="A641" t="s">
        <v>4637</v>
      </c>
      <c r="B641">
        <v>9.1698448747617706E-2</v>
      </c>
      <c r="C641">
        <v>7.8822076494534699</v>
      </c>
      <c r="D641">
        <v>0.88052717247118695</v>
      </c>
      <c r="E641">
        <v>1</v>
      </c>
      <c r="F641">
        <v>22</v>
      </c>
      <c r="G641">
        <v>22</v>
      </c>
      <c r="H641" t="s">
        <v>28</v>
      </c>
      <c r="I641" t="s">
        <v>3438</v>
      </c>
      <c r="J641" t="s">
        <v>1076</v>
      </c>
    </row>
    <row r="642" spans="1:10">
      <c r="A642" t="s">
        <v>4638</v>
      </c>
      <c r="B642">
        <v>-0.180732628482345</v>
      </c>
      <c r="C642">
        <v>7.8150840538920301</v>
      </c>
      <c r="D642">
        <v>0.87774263486788995</v>
      </c>
      <c r="E642">
        <v>1</v>
      </c>
      <c r="F642">
        <v>19</v>
      </c>
      <c r="G642">
        <v>23</v>
      </c>
      <c r="H642" t="s">
        <v>28</v>
      </c>
      <c r="I642" t="s">
        <v>3438</v>
      </c>
      <c r="J642" t="s">
        <v>1077</v>
      </c>
    </row>
    <row r="643" spans="1:10">
      <c r="A643" t="s">
        <v>4639</v>
      </c>
      <c r="B643">
        <v>-0.180732628482345</v>
      </c>
      <c r="C643">
        <v>7.8150840538920301</v>
      </c>
      <c r="D643">
        <v>0.87774263486788995</v>
      </c>
      <c r="E643">
        <v>1</v>
      </c>
      <c r="F643">
        <v>19</v>
      </c>
      <c r="G643">
        <v>23</v>
      </c>
      <c r="H643" t="s">
        <v>4640</v>
      </c>
      <c r="I643" t="s">
        <v>4641</v>
      </c>
      <c r="J643" t="s">
        <v>1078</v>
      </c>
    </row>
    <row r="644" spans="1:10">
      <c r="A644" t="s">
        <v>4642</v>
      </c>
      <c r="B644">
        <v>-0.180732628482345</v>
      </c>
      <c r="C644">
        <v>7.8150840538920301</v>
      </c>
      <c r="D644">
        <v>0.87774263486788995</v>
      </c>
      <c r="E644">
        <v>1</v>
      </c>
      <c r="F644">
        <v>19</v>
      </c>
      <c r="G644">
        <v>23</v>
      </c>
      <c r="H644" t="s">
        <v>28</v>
      </c>
      <c r="I644" t="s">
        <v>3438</v>
      </c>
      <c r="J644" t="s">
        <v>1079</v>
      </c>
    </row>
    <row r="645" spans="1:10">
      <c r="A645" t="s">
        <v>4643</v>
      </c>
      <c r="B645">
        <v>9.1649429208001301E-2</v>
      </c>
      <c r="C645">
        <v>7.8150933052955498</v>
      </c>
      <c r="D645">
        <v>0.87774263486788995</v>
      </c>
      <c r="E645">
        <v>1</v>
      </c>
      <c r="F645">
        <v>21</v>
      </c>
      <c r="G645">
        <v>21</v>
      </c>
      <c r="H645" t="s">
        <v>28</v>
      </c>
      <c r="I645" t="s">
        <v>3438</v>
      </c>
      <c r="J645" t="s">
        <v>1080</v>
      </c>
    </row>
    <row r="646" spans="1:10">
      <c r="A646" t="s">
        <v>4644</v>
      </c>
      <c r="B646">
        <v>9.1649429208001301E-2</v>
      </c>
      <c r="C646">
        <v>7.8150933052955498</v>
      </c>
      <c r="D646">
        <v>0.87774263486788995</v>
      </c>
      <c r="E646">
        <v>1</v>
      </c>
      <c r="F646">
        <v>21</v>
      </c>
      <c r="G646">
        <v>21</v>
      </c>
      <c r="H646" t="s">
        <v>4645</v>
      </c>
      <c r="I646" t="s">
        <v>4646</v>
      </c>
      <c r="J646" t="s">
        <v>1081</v>
      </c>
    </row>
    <row r="647" spans="1:10">
      <c r="A647" t="s">
        <v>4647</v>
      </c>
      <c r="B647">
        <v>9.1649429208001301E-2</v>
      </c>
      <c r="C647">
        <v>7.8150933052955498</v>
      </c>
      <c r="D647">
        <v>0.87774263486788995</v>
      </c>
      <c r="E647">
        <v>1</v>
      </c>
      <c r="F647">
        <v>21</v>
      </c>
      <c r="G647">
        <v>21</v>
      </c>
      <c r="H647" t="s">
        <v>28</v>
      </c>
      <c r="I647" t="s">
        <v>3438</v>
      </c>
      <c r="J647" t="s">
        <v>1082</v>
      </c>
    </row>
    <row r="648" spans="1:10">
      <c r="A648" t="s">
        <v>4648</v>
      </c>
      <c r="B648">
        <v>9.1649429208001301E-2</v>
      </c>
      <c r="C648">
        <v>7.8150933052955498</v>
      </c>
      <c r="D648">
        <v>0.87774263486788995</v>
      </c>
      <c r="E648">
        <v>1</v>
      </c>
      <c r="F648">
        <v>21</v>
      </c>
      <c r="G648">
        <v>21</v>
      </c>
      <c r="H648" t="s">
        <v>4649</v>
      </c>
      <c r="I648" t="s">
        <v>4650</v>
      </c>
      <c r="J648" t="s">
        <v>1083</v>
      </c>
    </row>
    <row r="649" spans="1:10">
      <c r="A649" t="s">
        <v>4651</v>
      </c>
      <c r="B649">
        <v>9.1649429208001301E-2</v>
      </c>
      <c r="C649">
        <v>7.8150933052955498</v>
      </c>
      <c r="D649">
        <v>0.87774263486788995</v>
      </c>
      <c r="E649">
        <v>1</v>
      </c>
      <c r="F649">
        <v>21</v>
      </c>
      <c r="G649">
        <v>21</v>
      </c>
      <c r="H649" t="s">
        <v>4652</v>
      </c>
      <c r="I649" t="s">
        <v>4653</v>
      </c>
      <c r="J649" t="s">
        <v>1084</v>
      </c>
    </row>
    <row r="650" spans="1:10">
      <c r="A650" t="s">
        <v>4654</v>
      </c>
      <c r="B650">
        <v>9.1649429208001301E-2</v>
      </c>
      <c r="C650">
        <v>7.8150933052955498</v>
      </c>
      <c r="D650">
        <v>0.87774263486788995</v>
      </c>
      <c r="E650">
        <v>1</v>
      </c>
      <c r="F650">
        <v>21</v>
      </c>
      <c r="G650">
        <v>21</v>
      </c>
      <c r="H650" t="s">
        <v>28</v>
      </c>
      <c r="I650" t="s">
        <v>3438</v>
      </c>
      <c r="J650" t="s">
        <v>1085</v>
      </c>
    </row>
    <row r="651" spans="1:10">
      <c r="A651" t="s">
        <v>4655</v>
      </c>
      <c r="B651">
        <v>2.8570105788316001E-2</v>
      </c>
      <c r="C651">
        <v>10.9146339786802</v>
      </c>
      <c r="D651">
        <v>0.87550259084653903</v>
      </c>
      <c r="E651">
        <v>1</v>
      </c>
      <c r="F651">
        <v>176</v>
      </c>
      <c r="G651">
        <v>184</v>
      </c>
      <c r="H651" t="s">
        <v>4656</v>
      </c>
      <c r="I651" t="s">
        <v>4657</v>
      </c>
      <c r="J651" t="s">
        <v>1086</v>
      </c>
    </row>
    <row r="652" spans="1:10">
      <c r="A652" t="s">
        <v>4658</v>
      </c>
      <c r="B652">
        <v>-0.19432462416169</v>
      </c>
      <c r="C652">
        <v>7.7446945767503896</v>
      </c>
      <c r="D652">
        <v>0.87475449844979203</v>
      </c>
      <c r="E652">
        <v>1</v>
      </c>
      <c r="F652">
        <v>18</v>
      </c>
      <c r="G652">
        <v>22</v>
      </c>
      <c r="H652" t="s">
        <v>28</v>
      </c>
      <c r="I652" t="s">
        <v>4659</v>
      </c>
      <c r="J652" t="s">
        <v>1087</v>
      </c>
    </row>
    <row r="653" spans="1:10">
      <c r="A653" t="s">
        <v>4660</v>
      </c>
      <c r="B653">
        <v>-0.19432462416169</v>
      </c>
      <c r="C653">
        <v>7.7446945767503896</v>
      </c>
      <c r="D653">
        <v>0.87475449844979203</v>
      </c>
      <c r="E653">
        <v>1</v>
      </c>
      <c r="F653">
        <v>18</v>
      </c>
      <c r="G653">
        <v>22</v>
      </c>
      <c r="H653" t="s">
        <v>4661</v>
      </c>
      <c r="I653" t="s">
        <v>4662</v>
      </c>
      <c r="J653" t="s">
        <v>1088</v>
      </c>
    </row>
    <row r="654" spans="1:10">
      <c r="A654" t="s">
        <v>4663</v>
      </c>
      <c r="B654">
        <v>-0.19432462416169</v>
      </c>
      <c r="C654">
        <v>7.7446945767503896</v>
      </c>
      <c r="D654">
        <v>0.87475449844979203</v>
      </c>
      <c r="E654">
        <v>1</v>
      </c>
      <c r="F654">
        <v>18</v>
      </c>
      <c r="G654">
        <v>22</v>
      </c>
      <c r="H654" t="s">
        <v>28</v>
      </c>
      <c r="I654" t="s">
        <v>3465</v>
      </c>
      <c r="J654" t="s">
        <v>1089</v>
      </c>
    </row>
    <row r="655" spans="1:10">
      <c r="A655" t="s">
        <v>4664</v>
      </c>
      <c r="B655">
        <v>9.1595568231641306E-2</v>
      </c>
      <c r="C655">
        <v>7.7447038290752204</v>
      </c>
      <c r="D655">
        <v>0.87475449844979203</v>
      </c>
      <c r="E655">
        <v>1</v>
      </c>
      <c r="F655">
        <v>20</v>
      </c>
      <c r="G655">
        <v>20</v>
      </c>
      <c r="H655" t="s">
        <v>4665</v>
      </c>
      <c r="I655" t="s">
        <v>3571</v>
      </c>
      <c r="J655" t="s">
        <v>1090</v>
      </c>
    </row>
    <row r="656" spans="1:10">
      <c r="A656" t="s">
        <v>4666</v>
      </c>
      <c r="B656">
        <v>9.1595568231641306E-2</v>
      </c>
      <c r="C656">
        <v>7.7447038290752204</v>
      </c>
      <c r="D656">
        <v>0.87475449844979203</v>
      </c>
      <c r="E656">
        <v>1</v>
      </c>
      <c r="F656">
        <v>20</v>
      </c>
      <c r="G656">
        <v>20</v>
      </c>
      <c r="H656" t="s">
        <v>4667</v>
      </c>
      <c r="I656" t="s">
        <v>4668</v>
      </c>
      <c r="J656" t="s">
        <v>1091</v>
      </c>
    </row>
    <row r="657" spans="1:10">
      <c r="A657" t="s">
        <v>4669</v>
      </c>
      <c r="B657">
        <v>9.1595568231641306E-2</v>
      </c>
      <c r="C657">
        <v>7.7447038290752204</v>
      </c>
      <c r="D657">
        <v>0.87475449844979203</v>
      </c>
      <c r="E657">
        <v>1</v>
      </c>
      <c r="F657">
        <v>20</v>
      </c>
      <c r="G657">
        <v>20</v>
      </c>
      <c r="H657" t="s">
        <v>4670</v>
      </c>
      <c r="I657" t="s">
        <v>3687</v>
      </c>
      <c r="J657" t="s">
        <v>1092</v>
      </c>
    </row>
    <row r="658" spans="1:10">
      <c r="A658" t="s">
        <v>4671</v>
      </c>
      <c r="B658">
        <v>-0.20934355970337701</v>
      </c>
      <c r="C658">
        <v>7.6706938460266203</v>
      </c>
      <c r="D658">
        <v>0.87153666466714397</v>
      </c>
      <c r="E658">
        <v>1</v>
      </c>
      <c r="F658">
        <v>17</v>
      </c>
      <c r="G658">
        <v>21</v>
      </c>
      <c r="H658" t="s">
        <v>28</v>
      </c>
      <c r="I658" t="s">
        <v>3438</v>
      </c>
      <c r="J658" t="s">
        <v>1093</v>
      </c>
    </row>
    <row r="659" spans="1:10">
      <c r="A659" t="s">
        <v>4672</v>
      </c>
      <c r="B659">
        <v>-0.20934355970337701</v>
      </c>
      <c r="C659">
        <v>7.6706938460266203</v>
      </c>
      <c r="D659">
        <v>0.87153666466714397</v>
      </c>
      <c r="E659">
        <v>1</v>
      </c>
      <c r="F659">
        <v>17</v>
      </c>
      <c r="G659">
        <v>21</v>
      </c>
      <c r="H659" t="s">
        <v>28</v>
      </c>
      <c r="I659" t="s">
        <v>3438</v>
      </c>
      <c r="J659" t="s">
        <v>1094</v>
      </c>
    </row>
    <row r="660" spans="1:10">
      <c r="A660" t="s">
        <v>4673</v>
      </c>
      <c r="B660">
        <v>-0.20934355970337701</v>
      </c>
      <c r="C660">
        <v>7.6706938460266203</v>
      </c>
      <c r="D660">
        <v>0.87153666466714397</v>
      </c>
      <c r="E660">
        <v>1</v>
      </c>
      <c r="F660">
        <v>17</v>
      </c>
      <c r="G660">
        <v>21</v>
      </c>
      <c r="H660" t="s">
        <v>28</v>
      </c>
      <c r="I660" t="s">
        <v>3438</v>
      </c>
      <c r="J660" t="s">
        <v>1095</v>
      </c>
    </row>
    <row r="661" spans="1:10">
      <c r="A661" t="s">
        <v>4674</v>
      </c>
      <c r="B661">
        <v>-0.20934355970337701</v>
      </c>
      <c r="C661">
        <v>7.6706938460266203</v>
      </c>
      <c r="D661">
        <v>0.87153666466714397</v>
      </c>
      <c r="E661">
        <v>1</v>
      </c>
      <c r="F661">
        <v>17</v>
      </c>
      <c r="G661">
        <v>21</v>
      </c>
      <c r="H661" t="s">
        <v>28</v>
      </c>
      <c r="I661" t="s">
        <v>3438</v>
      </c>
      <c r="J661" t="s">
        <v>1096</v>
      </c>
    </row>
    <row r="662" spans="1:10">
      <c r="A662" t="s">
        <v>4675</v>
      </c>
      <c r="B662">
        <v>-0.20934355970337701</v>
      </c>
      <c r="C662">
        <v>7.6706938460266203</v>
      </c>
      <c r="D662">
        <v>0.87153666466714397</v>
      </c>
      <c r="E662">
        <v>1</v>
      </c>
      <c r="F662">
        <v>17</v>
      </c>
      <c r="G662">
        <v>21</v>
      </c>
      <c r="H662" t="s">
        <v>427</v>
      </c>
      <c r="I662" t="s">
        <v>4676</v>
      </c>
      <c r="J662" t="s">
        <v>426</v>
      </c>
    </row>
    <row r="663" spans="1:10">
      <c r="A663" t="s">
        <v>4677</v>
      </c>
      <c r="B663">
        <v>9.1536111308761006E-2</v>
      </c>
      <c r="C663">
        <v>7.6707030992729397</v>
      </c>
      <c r="D663">
        <v>0.87153666466714397</v>
      </c>
      <c r="E663">
        <v>1</v>
      </c>
      <c r="F663">
        <v>19</v>
      </c>
      <c r="G663">
        <v>19</v>
      </c>
      <c r="H663" t="s">
        <v>4678</v>
      </c>
      <c r="I663" t="s">
        <v>4679</v>
      </c>
      <c r="J663" t="s">
        <v>1097</v>
      </c>
    </row>
    <row r="664" spans="1:10">
      <c r="A664" t="s">
        <v>4680</v>
      </c>
      <c r="B664">
        <v>9.1536111308761006E-2</v>
      </c>
      <c r="C664">
        <v>7.6707030992729397</v>
      </c>
      <c r="D664">
        <v>0.87153666466714397</v>
      </c>
      <c r="E664">
        <v>1</v>
      </c>
      <c r="F664">
        <v>19</v>
      </c>
      <c r="G664">
        <v>19</v>
      </c>
      <c r="H664" t="s">
        <v>28</v>
      </c>
      <c r="I664" t="s">
        <v>3438</v>
      </c>
      <c r="J664" t="s">
        <v>1098</v>
      </c>
    </row>
    <row r="665" spans="1:10">
      <c r="A665" t="s">
        <v>4681</v>
      </c>
      <c r="B665">
        <v>9.1536111308761006E-2</v>
      </c>
      <c r="C665">
        <v>7.6707030992729397</v>
      </c>
      <c r="D665">
        <v>0.87153666466714397</v>
      </c>
      <c r="E665">
        <v>1</v>
      </c>
      <c r="F665">
        <v>19</v>
      </c>
      <c r="G665">
        <v>19</v>
      </c>
      <c r="H665" t="s">
        <v>4682</v>
      </c>
      <c r="I665" t="s">
        <v>4683</v>
      </c>
      <c r="J665" t="s">
        <v>1099</v>
      </c>
    </row>
    <row r="666" spans="1:10">
      <c r="A666" t="s">
        <v>4684</v>
      </c>
      <c r="B666">
        <v>-0.226027551555327</v>
      </c>
      <c r="C666">
        <v>7.5926911847155996</v>
      </c>
      <c r="D666">
        <v>0.86805809771807796</v>
      </c>
      <c r="E666">
        <v>1</v>
      </c>
      <c r="F666">
        <v>16</v>
      </c>
      <c r="G666">
        <v>20</v>
      </c>
      <c r="H666" t="s">
        <v>4685</v>
      </c>
      <c r="I666" t="s">
        <v>4686</v>
      </c>
      <c r="J666" t="s">
        <v>1100</v>
      </c>
    </row>
    <row r="667" spans="1:10">
      <c r="A667" t="s">
        <v>4687</v>
      </c>
      <c r="B667">
        <v>-0.226027551555327</v>
      </c>
      <c r="C667">
        <v>7.5926911847155996</v>
      </c>
      <c r="D667">
        <v>0.86805809771807796</v>
      </c>
      <c r="E667">
        <v>1</v>
      </c>
      <c r="F667">
        <v>16</v>
      </c>
      <c r="G667">
        <v>20</v>
      </c>
      <c r="H667" t="s">
        <v>4688</v>
      </c>
      <c r="I667" t="s">
        <v>4689</v>
      </c>
      <c r="J667" t="s">
        <v>1101</v>
      </c>
    </row>
    <row r="668" spans="1:10">
      <c r="A668" t="s">
        <v>4690</v>
      </c>
      <c r="B668">
        <v>9.1470138557516095E-2</v>
      </c>
      <c r="C668">
        <v>7.5927004388835897</v>
      </c>
      <c r="D668">
        <v>0.86805809771807796</v>
      </c>
      <c r="E668">
        <v>1</v>
      </c>
      <c r="F668">
        <v>18</v>
      </c>
      <c r="G668">
        <v>18</v>
      </c>
      <c r="H668" t="s">
        <v>4691</v>
      </c>
      <c r="I668" t="s">
        <v>4692</v>
      </c>
      <c r="J668" t="s">
        <v>1102</v>
      </c>
    </row>
    <row r="669" spans="1:10">
      <c r="A669" t="s">
        <v>4693</v>
      </c>
      <c r="B669">
        <v>9.1470138557516095E-2</v>
      </c>
      <c r="C669">
        <v>7.5927004388835897</v>
      </c>
      <c r="D669">
        <v>0.86805809771807796</v>
      </c>
      <c r="E669">
        <v>1</v>
      </c>
      <c r="F669">
        <v>18</v>
      </c>
      <c r="G669">
        <v>18</v>
      </c>
      <c r="H669" t="s">
        <v>28</v>
      </c>
      <c r="I669" t="s">
        <v>4694</v>
      </c>
      <c r="J669" t="s">
        <v>1103</v>
      </c>
    </row>
    <row r="670" spans="1:10">
      <c r="A670" t="s">
        <v>4695</v>
      </c>
      <c r="B670">
        <v>9.1470138557516095E-2</v>
      </c>
      <c r="C670">
        <v>7.5927004388835897</v>
      </c>
      <c r="D670">
        <v>0.86805809771807796</v>
      </c>
      <c r="E670">
        <v>1</v>
      </c>
      <c r="F670">
        <v>18</v>
      </c>
      <c r="G670">
        <v>18</v>
      </c>
      <c r="H670" t="s">
        <v>28</v>
      </c>
      <c r="I670" t="s">
        <v>3438</v>
      </c>
      <c r="J670" t="s">
        <v>1104</v>
      </c>
    </row>
    <row r="671" spans="1:10">
      <c r="A671" t="s">
        <v>4696</v>
      </c>
      <c r="B671">
        <v>9.1470138557516095E-2</v>
      </c>
      <c r="C671">
        <v>7.5927004388835897</v>
      </c>
      <c r="D671">
        <v>0.86805809771807796</v>
      </c>
      <c r="E671">
        <v>1</v>
      </c>
      <c r="F671">
        <v>18</v>
      </c>
      <c r="G671">
        <v>18</v>
      </c>
      <c r="H671" t="s">
        <v>28</v>
      </c>
      <c r="I671" t="s">
        <v>4697</v>
      </c>
      <c r="J671" t="s">
        <v>1105</v>
      </c>
    </row>
    <row r="672" spans="1:10">
      <c r="A672" t="s">
        <v>4698</v>
      </c>
      <c r="B672">
        <v>7.2020717626721298E-2</v>
      </c>
      <c r="C672">
        <v>9.5623322389215399</v>
      </c>
      <c r="D672">
        <v>0.86678702869859403</v>
      </c>
      <c r="E672">
        <v>1</v>
      </c>
      <c r="F672">
        <v>70</v>
      </c>
      <c r="G672">
        <v>71</v>
      </c>
      <c r="H672" t="s">
        <v>28</v>
      </c>
      <c r="I672" t="s">
        <v>4699</v>
      </c>
      <c r="J672" t="s">
        <v>1106</v>
      </c>
    </row>
    <row r="673" spans="1:10">
      <c r="A673" t="s">
        <v>4700</v>
      </c>
      <c r="B673">
        <v>-0.24467106835410801</v>
      </c>
      <c r="C673">
        <v>7.5102288751841</v>
      </c>
      <c r="D673">
        <v>0.86428155501383597</v>
      </c>
      <c r="E673">
        <v>1</v>
      </c>
      <c r="F673">
        <v>15</v>
      </c>
      <c r="G673">
        <v>19</v>
      </c>
      <c r="H673" t="s">
        <v>4701</v>
      </c>
      <c r="I673" t="s">
        <v>4702</v>
      </c>
      <c r="J673" t="s">
        <v>1107</v>
      </c>
    </row>
    <row r="674" spans="1:10">
      <c r="A674" t="s">
        <v>4703</v>
      </c>
      <c r="B674">
        <v>-0.24467106835410801</v>
      </c>
      <c r="C674">
        <v>7.5102288751841</v>
      </c>
      <c r="D674">
        <v>0.86428155501383597</v>
      </c>
      <c r="E674">
        <v>1</v>
      </c>
      <c r="F674">
        <v>15</v>
      </c>
      <c r="G674">
        <v>19</v>
      </c>
      <c r="H674" t="s">
        <v>28</v>
      </c>
      <c r="I674" t="s">
        <v>3631</v>
      </c>
      <c r="J674" t="s">
        <v>1108</v>
      </c>
    </row>
    <row r="675" spans="1:10">
      <c r="A675" t="s">
        <v>4704</v>
      </c>
      <c r="B675">
        <v>9.1396516790062804E-2</v>
      </c>
      <c r="C675">
        <v>7.5102381302739598</v>
      </c>
      <c r="D675">
        <v>0.86428155501383597</v>
      </c>
      <c r="E675">
        <v>1</v>
      </c>
      <c r="F675">
        <v>17</v>
      </c>
      <c r="G675">
        <v>17</v>
      </c>
      <c r="H675" t="s">
        <v>28</v>
      </c>
      <c r="I675" t="s">
        <v>3631</v>
      </c>
      <c r="J675" t="s">
        <v>1109</v>
      </c>
    </row>
    <row r="676" spans="1:10">
      <c r="A676" t="s">
        <v>4705</v>
      </c>
      <c r="B676">
        <v>9.1396516790062804E-2</v>
      </c>
      <c r="C676">
        <v>7.5102381302739598</v>
      </c>
      <c r="D676">
        <v>0.86428155501383597</v>
      </c>
      <c r="E676">
        <v>1</v>
      </c>
      <c r="F676">
        <v>17</v>
      </c>
      <c r="G676">
        <v>17</v>
      </c>
      <c r="H676" t="s">
        <v>28</v>
      </c>
      <c r="I676" t="s">
        <v>3438</v>
      </c>
      <c r="J676" t="s">
        <v>1110</v>
      </c>
    </row>
    <row r="677" spans="1:10">
      <c r="A677" t="s">
        <v>4706</v>
      </c>
      <c r="B677">
        <v>-5.6796460180738403E-2</v>
      </c>
      <c r="C677">
        <v>9.4995822290746297</v>
      </c>
      <c r="D677">
        <v>0.86387051413416105</v>
      </c>
      <c r="E677">
        <v>1</v>
      </c>
      <c r="F677">
        <v>64</v>
      </c>
      <c r="G677">
        <v>71</v>
      </c>
      <c r="H677" t="s">
        <v>28</v>
      </c>
      <c r="I677" t="s">
        <v>3438</v>
      </c>
      <c r="J677" t="s">
        <v>1111</v>
      </c>
    </row>
    <row r="678" spans="1:10">
      <c r="A678" t="s">
        <v>4707</v>
      </c>
      <c r="B678">
        <v>-5.6796460180738403E-2</v>
      </c>
      <c r="C678">
        <v>9.4995822290746297</v>
      </c>
      <c r="D678">
        <v>0.86387051413416105</v>
      </c>
      <c r="E678">
        <v>1</v>
      </c>
      <c r="F678">
        <v>64</v>
      </c>
      <c r="G678">
        <v>71</v>
      </c>
      <c r="H678" t="s">
        <v>28</v>
      </c>
      <c r="I678" t="s">
        <v>3438</v>
      </c>
      <c r="J678" t="s">
        <v>1112</v>
      </c>
    </row>
    <row r="679" spans="1:10">
      <c r="A679" t="s">
        <v>4708</v>
      </c>
      <c r="B679">
        <v>-6.3738086079882905E-2</v>
      </c>
      <c r="C679">
        <v>9.4339934416738895</v>
      </c>
      <c r="D679">
        <v>0.86075556126523101</v>
      </c>
      <c r="E679">
        <v>1</v>
      </c>
      <c r="F679">
        <v>61</v>
      </c>
      <c r="G679">
        <v>68</v>
      </c>
      <c r="H679" t="s">
        <v>4709</v>
      </c>
      <c r="I679" t="s">
        <v>4710</v>
      </c>
      <c r="J679" t="s">
        <v>1113</v>
      </c>
    </row>
    <row r="680" spans="1:10">
      <c r="A680" t="s">
        <v>4711</v>
      </c>
      <c r="B680">
        <v>7.0100698115444504E-2</v>
      </c>
      <c r="C680">
        <v>9.4340072588807402</v>
      </c>
      <c r="D680">
        <v>0.86075556126523101</v>
      </c>
      <c r="E680">
        <v>1</v>
      </c>
      <c r="F680">
        <v>64</v>
      </c>
      <c r="G680">
        <v>65</v>
      </c>
      <c r="H680" t="s">
        <v>256</v>
      </c>
      <c r="I680" t="s">
        <v>4712</v>
      </c>
      <c r="J680" t="s">
        <v>255</v>
      </c>
    </row>
    <row r="681" spans="1:10">
      <c r="A681" t="s">
        <v>4713</v>
      </c>
      <c r="B681">
        <v>9.1313833879909906E-2</v>
      </c>
      <c r="C681">
        <v>7.4227751405763804</v>
      </c>
      <c r="D681">
        <v>0.86016189447509495</v>
      </c>
      <c r="E681">
        <v>1</v>
      </c>
      <c r="F681">
        <v>16</v>
      </c>
      <c r="G681">
        <v>16</v>
      </c>
      <c r="H681" t="s">
        <v>28</v>
      </c>
      <c r="I681" t="s">
        <v>3438</v>
      </c>
      <c r="J681" t="s">
        <v>1114</v>
      </c>
    </row>
    <row r="682" spans="1:10">
      <c r="A682" t="s">
        <v>4714</v>
      </c>
      <c r="B682">
        <v>9.1313833879909906E-2</v>
      </c>
      <c r="C682">
        <v>7.4227751405763804</v>
      </c>
      <c r="D682">
        <v>0.86016189447509495</v>
      </c>
      <c r="E682">
        <v>1</v>
      </c>
      <c r="F682">
        <v>16</v>
      </c>
      <c r="G682">
        <v>16</v>
      </c>
      <c r="H682" t="s">
        <v>28</v>
      </c>
      <c r="I682" t="s">
        <v>3438</v>
      </c>
      <c r="J682" t="s">
        <v>1115</v>
      </c>
    </row>
    <row r="683" spans="1:10">
      <c r="A683" t="s">
        <v>4715</v>
      </c>
      <c r="B683">
        <v>9.1313833879909906E-2</v>
      </c>
      <c r="C683">
        <v>7.4227751405763804</v>
      </c>
      <c r="D683">
        <v>0.86016189447509495</v>
      </c>
      <c r="E683">
        <v>1</v>
      </c>
      <c r="F683">
        <v>16</v>
      </c>
      <c r="G683">
        <v>16</v>
      </c>
      <c r="H683" t="s">
        <v>4716</v>
      </c>
      <c r="I683" t="s">
        <v>4717</v>
      </c>
      <c r="J683" t="s">
        <v>1116</v>
      </c>
    </row>
    <row r="684" spans="1:10">
      <c r="A684" t="s">
        <v>4718</v>
      </c>
      <c r="B684">
        <v>9.1313833879909906E-2</v>
      </c>
      <c r="C684">
        <v>7.4227751405763804</v>
      </c>
      <c r="D684">
        <v>0.86016189447509495</v>
      </c>
      <c r="E684">
        <v>1</v>
      </c>
      <c r="F684">
        <v>16</v>
      </c>
      <c r="G684">
        <v>16</v>
      </c>
      <c r="H684" t="s">
        <v>28</v>
      </c>
      <c r="I684" t="s">
        <v>3438</v>
      </c>
      <c r="J684" t="s">
        <v>1117</v>
      </c>
    </row>
    <row r="685" spans="1:10">
      <c r="A685" t="s">
        <v>4719</v>
      </c>
      <c r="B685">
        <v>0.18289756993230599</v>
      </c>
      <c r="C685">
        <v>7.37697369085424</v>
      </c>
      <c r="D685">
        <v>0.86016189447509495</v>
      </c>
      <c r="E685">
        <v>1</v>
      </c>
      <c r="F685">
        <v>16</v>
      </c>
      <c r="G685">
        <v>15</v>
      </c>
      <c r="H685" t="s">
        <v>28</v>
      </c>
      <c r="I685" t="s">
        <v>3438</v>
      </c>
      <c r="J685" t="s">
        <v>1118</v>
      </c>
    </row>
    <row r="686" spans="1:10">
      <c r="A686" t="s">
        <v>4720</v>
      </c>
      <c r="B686">
        <v>0.18289756993230599</v>
      </c>
      <c r="C686">
        <v>7.37697369085424</v>
      </c>
      <c r="D686">
        <v>0.86016189447509495</v>
      </c>
      <c r="E686">
        <v>1</v>
      </c>
      <c r="F686">
        <v>16</v>
      </c>
      <c r="G686">
        <v>15</v>
      </c>
      <c r="H686" t="s">
        <v>28</v>
      </c>
      <c r="I686" t="s">
        <v>4721</v>
      </c>
      <c r="J686" t="s">
        <v>1119</v>
      </c>
    </row>
    <row r="687" spans="1:10">
      <c r="A687" t="s">
        <v>4722</v>
      </c>
      <c r="B687">
        <v>-7.4063435921380594E-2</v>
      </c>
      <c r="C687">
        <v>9.3416288287479006</v>
      </c>
      <c r="D687">
        <v>0.85625220840303895</v>
      </c>
      <c r="E687">
        <v>1</v>
      </c>
      <c r="F687">
        <v>57</v>
      </c>
      <c r="G687">
        <v>64</v>
      </c>
      <c r="H687" t="s">
        <v>28</v>
      </c>
      <c r="I687" t="s">
        <v>3465</v>
      </c>
      <c r="J687" t="s">
        <v>1120</v>
      </c>
    </row>
    <row r="688" spans="1:10">
      <c r="A688" t="s">
        <v>4723</v>
      </c>
      <c r="B688">
        <v>-0.18437942991270001</v>
      </c>
      <c r="C688">
        <v>7.3769644343678804</v>
      </c>
      <c r="D688">
        <v>0.85564378120462103</v>
      </c>
      <c r="E688">
        <v>1</v>
      </c>
      <c r="F688">
        <v>14</v>
      </c>
      <c r="G688">
        <v>17</v>
      </c>
      <c r="H688" t="s">
        <v>4724</v>
      </c>
      <c r="I688" t="s">
        <v>4725</v>
      </c>
      <c r="J688" t="s">
        <v>1121</v>
      </c>
    </row>
    <row r="689" spans="1:10">
      <c r="A689" t="s">
        <v>4726</v>
      </c>
      <c r="B689">
        <v>-0.18437942991270001</v>
      </c>
      <c r="C689">
        <v>7.3769644343678804</v>
      </c>
      <c r="D689">
        <v>0.85564378120462103</v>
      </c>
      <c r="E689">
        <v>1</v>
      </c>
      <c r="F689">
        <v>14</v>
      </c>
      <c r="G689">
        <v>17</v>
      </c>
      <c r="H689" t="s">
        <v>28</v>
      </c>
      <c r="I689" t="s">
        <v>4727</v>
      </c>
      <c r="J689" t="s">
        <v>1122</v>
      </c>
    </row>
    <row r="690" spans="1:10">
      <c r="A690" t="s">
        <v>4728</v>
      </c>
      <c r="B690">
        <v>-0.18437942991270001</v>
      </c>
      <c r="C690">
        <v>7.3769644343678804</v>
      </c>
      <c r="D690">
        <v>0.85564378120462103</v>
      </c>
      <c r="E690">
        <v>1</v>
      </c>
      <c r="F690">
        <v>14</v>
      </c>
      <c r="G690">
        <v>17</v>
      </c>
      <c r="H690" t="s">
        <v>28</v>
      </c>
      <c r="I690" t="s">
        <v>3438</v>
      </c>
      <c r="J690" t="s">
        <v>1123</v>
      </c>
    </row>
    <row r="691" spans="1:10">
      <c r="A691" t="s">
        <v>4729</v>
      </c>
      <c r="B691">
        <v>-7.6861508661583797E-2</v>
      </c>
      <c r="C691">
        <v>9.3175832060130794</v>
      </c>
      <c r="D691">
        <v>0.85505700584115996</v>
      </c>
      <c r="E691">
        <v>1</v>
      </c>
      <c r="F691">
        <v>56</v>
      </c>
      <c r="G691">
        <v>63</v>
      </c>
      <c r="H691" t="s">
        <v>4730</v>
      </c>
      <c r="I691" t="s">
        <v>4731</v>
      </c>
      <c r="J691" t="s">
        <v>1124</v>
      </c>
    </row>
    <row r="692" spans="1:10">
      <c r="A692" t="s">
        <v>4732</v>
      </c>
      <c r="B692">
        <v>-8.2749409837280893E-2</v>
      </c>
      <c r="C692">
        <v>9.2682551960244997</v>
      </c>
      <c r="D692">
        <v>0.85257510103692602</v>
      </c>
      <c r="E692">
        <v>1</v>
      </c>
      <c r="F692">
        <v>54</v>
      </c>
      <c r="G692">
        <v>61</v>
      </c>
      <c r="H692" t="s">
        <v>28</v>
      </c>
      <c r="I692" t="s">
        <v>3438</v>
      </c>
      <c r="J692" t="s">
        <v>1125</v>
      </c>
    </row>
    <row r="693" spans="1:10">
      <c r="A693" t="s">
        <v>4733</v>
      </c>
      <c r="B693">
        <v>-8.5849571241425504E-2</v>
      </c>
      <c r="C693">
        <v>9.2429439586384508</v>
      </c>
      <c r="D693">
        <v>0.85128575145708096</v>
      </c>
      <c r="E693">
        <v>1</v>
      </c>
      <c r="F693">
        <v>53</v>
      </c>
      <c r="G693">
        <v>60</v>
      </c>
      <c r="H693" t="s">
        <v>4734</v>
      </c>
      <c r="I693" t="s">
        <v>4735</v>
      </c>
      <c r="J693" t="s">
        <v>1126</v>
      </c>
    </row>
    <row r="694" spans="1:10">
      <c r="A694" t="s">
        <v>4736</v>
      </c>
      <c r="B694">
        <v>-0.111711343077672</v>
      </c>
      <c r="C694">
        <v>7.2301251367127799</v>
      </c>
      <c r="D694">
        <v>0.8506585242943</v>
      </c>
      <c r="E694">
        <v>1</v>
      </c>
      <c r="F694">
        <v>13</v>
      </c>
      <c r="G694">
        <v>15</v>
      </c>
      <c r="H694" t="s">
        <v>28</v>
      </c>
      <c r="I694" t="s">
        <v>3438</v>
      </c>
      <c r="J694" t="s">
        <v>1127</v>
      </c>
    </row>
    <row r="695" spans="1:10">
      <c r="A695" t="s">
        <v>4737</v>
      </c>
      <c r="B695">
        <v>-0.111711343077672</v>
      </c>
      <c r="C695">
        <v>7.2301251367127799</v>
      </c>
      <c r="D695">
        <v>0.8506585242943</v>
      </c>
      <c r="E695">
        <v>1</v>
      </c>
      <c r="F695">
        <v>13</v>
      </c>
      <c r="G695">
        <v>15</v>
      </c>
      <c r="H695" t="s">
        <v>28</v>
      </c>
      <c r="I695" t="s">
        <v>3465</v>
      </c>
      <c r="J695" t="s">
        <v>1128</v>
      </c>
    </row>
    <row r="696" spans="1:10">
      <c r="A696" t="s">
        <v>4738</v>
      </c>
      <c r="B696">
        <v>-0.111711343077672</v>
      </c>
      <c r="C696">
        <v>7.2301251367127799</v>
      </c>
      <c r="D696">
        <v>0.8506585242943</v>
      </c>
      <c r="E696">
        <v>1</v>
      </c>
      <c r="F696">
        <v>13</v>
      </c>
      <c r="G696">
        <v>15</v>
      </c>
      <c r="H696" t="s">
        <v>28</v>
      </c>
      <c r="I696" t="s">
        <v>3438</v>
      </c>
      <c r="J696" t="s">
        <v>1129</v>
      </c>
    </row>
    <row r="697" spans="1:10">
      <c r="A697" t="s">
        <v>4739</v>
      </c>
      <c r="B697">
        <v>-0.111711343077672</v>
      </c>
      <c r="C697">
        <v>7.2301251367127799</v>
      </c>
      <c r="D697">
        <v>0.8506585242943</v>
      </c>
      <c r="E697">
        <v>1</v>
      </c>
      <c r="F697">
        <v>13</v>
      </c>
      <c r="G697">
        <v>15</v>
      </c>
      <c r="H697" t="s">
        <v>28</v>
      </c>
      <c r="I697" t="s">
        <v>3438</v>
      </c>
      <c r="J697" t="s">
        <v>1130</v>
      </c>
    </row>
    <row r="698" spans="1:10">
      <c r="A698" t="s">
        <v>4740</v>
      </c>
      <c r="B698">
        <v>-0.111711343077672</v>
      </c>
      <c r="C698">
        <v>7.2301251367127799</v>
      </c>
      <c r="D698">
        <v>0.8506585242943</v>
      </c>
      <c r="E698">
        <v>1</v>
      </c>
      <c r="F698">
        <v>13</v>
      </c>
      <c r="G698">
        <v>15</v>
      </c>
      <c r="H698" t="s">
        <v>4741</v>
      </c>
      <c r="I698" t="s">
        <v>4742</v>
      </c>
      <c r="J698" t="s">
        <v>1131</v>
      </c>
    </row>
    <row r="699" spans="1:10">
      <c r="A699" t="s">
        <v>4743</v>
      </c>
      <c r="B699">
        <v>-0.111711343077672</v>
      </c>
      <c r="C699">
        <v>7.2301251367127799</v>
      </c>
      <c r="D699">
        <v>0.8506585242943</v>
      </c>
      <c r="E699">
        <v>1</v>
      </c>
      <c r="F699">
        <v>13</v>
      </c>
      <c r="G699">
        <v>15</v>
      </c>
      <c r="H699" t="s">
        <v>4744</v>
      </c>
      <c r="I699" t="s">
        <v>4745</v>
      </c>
      <c r="J699" t="s">
        <v>1132</v>
      </c>
    </row>
    <row r="700" spans="1:10">
      <c r="A700" t="s">
        <v>4746</v>
      </c>
      <c r="B700">
        <v>-0.111711343077672</v>
      </c>
      <c r="C700">
        <v>7.2301251367127799</v>
      </c>
      <c r="D700">
        <v>0.8506585242943</v>
      </c>
      <c r="E700">
        <v>1</v>
      </c>
      <c r="F700">
        <v>13</v>
      </c>
      <c r="G700">
        <v>15</v>
      </c>
      <c r="H700" t="s">
        <v>4747</v>
      </c>
      <c r="I700" t="s">
        <v>4748</v>
      </c>
      <c r="J700" t="s">
        <v>1133</v>
      </c>
    </row>
    <row r="701" spans="1:10">
      <c r="A701" t="s">
        <v>4749</v>
      </c>
      <c r="B701">
        <v>-0.111711343077672</v>
      </c>
      <c r="C701">
        <v>7.2301251367127799</v>
      </c>
      <c r="D701">
        <v>0.8506585242943</v>
      </c>
      <c r="E701">
        <v>1</v>
      </c>
      <c r="F701">
        <v>13</v>
      </c>
      <c r="G701">
        <v>15</v>
      </c>
      <c r="H701" t="s">
        <v>4750</v>
      </c>
      <c r="I701" t="s">
        <v>4751</v>
      </c>
      <c r="J701" t="s">
        <v>1134</v>
      </c>
    </row>
    <row r="702" spans="1:10">
      <c r="A702" t="s">
        <v>4752</v>
      </c>
      <c r="B702">
        <v>-0.111711343077672</v>
      </c>
      <c r="C702">
        <v>7.2301251367127799</v>
      </c>
      <c r="D702">
        <v>0.8506585242943</v>
      </c>
      <c r="E702">
        <v>1</v>
      </c>
      <c r="F702">
        <v>13</v>
      </c>
      <c r="G702">
        <v>15</v>
      </c>
      <c r="H702" t="s">
        <v>28</v>
      </c>
      <c r="I702" t="s">
        <v>3438</v>
      </c>
      <c r="J702" t="s">
        <v>1135</v>
      </c>
    </row>
    <row r="703" spans="1:10">
      <c r="A703" t="s">
        <v>4753</v>
      </c>
      <c r="B703">
        <v>-0.111711343077672</v>
      </c>
      <c r="C703">
        <v>7.2301251367127799</v>
      </c>
      <c r="D703">
        <v>0.8506585242943</v>
      </c>
      <c r="E703">
        <v>1</v>
      </c>
      <c r="F703">
        <v>13</v>
      </c>
      <c r="G703">
        <v>15</v>
      </c>
      <c r="H703" t="s">
        <v>4754</v>
      </c>
      <c r="I703" t="s">
        <v>3555</v>
      </c>
      <c r="J703" t="s">
        <v>1136</v>
      </c>
    </row>
    <row r="704" spans="1:10">
      <c r="A704" t="s">
        <v>4755</v>
      </c>
      <c r="B704">
        <v>-0.111711343077672</v>
      </c>
      <c r="C704">
        <v>7.2301251367127799</v>
      </c>
      <c r="D704">
        <v>0.8506585242943</v>
      </c>
      <c r="E704">
        <v>1</v>
      </c>
      <c r="F704">
        <v>13</v>
      </c>
      <c r="G704">
        <v>15</v>
      </c>
      <c r="H704" t="s">
        <v>28</v>
      </c>
      <c r="I704" t="s">
        <v>3438</v>
      </c>
      <c r="J704" t="s">
        <v>1137</v>
      </c>
    </row>
    <row r="705" spans="1:10">
      <c r="A705" t="s">
        <v>4756</v>
      </c>
      <c r="B705">
        <v>0.29392255287438901</v>
      </c>
      <c r="C705">
        <v>7.2301343945992</v>
      </c>
      <c r="D705">
        <v>0.8506585242943</v>
      </c>
      <c r="E705">
        <v>1</v>
      </c>
      <c r="F705">
        <v>15</v>
      </c>
      <c r="G705">
        <v>13</v>
      </c>
      <c r="H705" t="s">
        <v>4757</v>
      </c>
      <c r="I705" t="s">
        <v>4758</v>
      </c>
      <c r="J705" t="s">
        <v>1138</v>
      </c>
    </row>
    <row r="706" spans="1:10">
      <c r="A706" t="s">
        <v>4759</v>
      </c>
      <c r="B706">
        <v>0.29392255287438901</v>
      </c>
      <c r="C706">
        <v>7.2301343945992</v>
      </c>
      <c r="D706">
        <v>0.8506585242943</v>
      </c>
      <c r="E706">
        <v>1</v>
      </c>
      <c r="F706">
        <v>15</v>
      </c>
      <c r="G706">
        <v>13</v>
      </c>
      <c r="H706" t="s">
        <v>28</v>
      </c>
      <c r="I706" t="s">
        <v>4760</v>
      </c>
      <c r="J706" t="s">
        <v>1139</v>
      </c>
    </row>
    <row r="707" spans="1:10">
      <c r="A707" t="s">
        <v>4761</v>
      </c>
      <c r="B707">
        <v>0.29392255287438901</v>
      </c>
      <c r="C707">
        <v>7.2301343945992</v>
      </c>
      <c r="D707">
        <v>0.8506585242943</v>
      </c>
      <c r="E707">
        <v>1</v>
      </c>
      <c r="F707">
        <v>15</v>
      </c>
      <c r="G707">
        <v>13</v>
      </c>
      <c r="H707" t="s">
        <v>4762</v>
      </c>
      <c r="I707" t="s">
        <v>4763</v>
      </c>
      <c r="J707" t="s">
        <v>1140</v>
      </c>
    </row>
    <row r="708" spans="1:10">
      <c r="A708" t="s">
        <v>4764</v>
      </c>
      <c r="B708">
        <v>0.29392255287438901</v>
      </c>
      <c r="C708">
        <v>7.2301343945992</v>
      </c>
      <c r="D708">
        <v>0.8506585242943</v>
      </c>
      <c r="E708">
        <v>1</v>
      </c>
      <c r="F708">
        <v>15</v>
      </c>
      <c r="G708">
        <v>13</v>
      </c>
      <c r="H708" t="s">
        <v>4765</v>
      </c>
      <c r="I708" t="s">
        <v>4766</v>
      </c>
      <c r="J708" t="s">
        <v>1141</v>
      </c>
    </row>
    <row r="709" spans="1:10">
      <c r="A709" t="s">
        <v>4767</v>
      </c>
      <c r="B709">
        <v>0.29392255287438901</v>
      </c>
      <c r="C709">
        <v>7.2301343945992</v>
      </c>
      <c r="D709">
        <v>0.8506585242943</v>
      </c>
      <c r="E709">
        <v>1</v>
      </c>
      <c r="F709">
        <v>15</v>
      </c>
      <c r="G709">
        <v>13</v>
      </c>
      <c r="H709" t="s">
        <v>28</v>
      </c>
      <c r="I709" t="s">
        <v>3438</v>
      </c>
      <c r="J709" t="s">
        <v>1142</v>
      </c>
    </row>
    <row r="710" spans="1:10">
      <c r="A710" t="s">
        <v>4768</v>
      </c>
      <c r="B710">
        <v>0.29392255287438901</v>
      </c>
      <c r="C710">
        <v>7.2301343945992</v>
      </c>
      <c r="D710">
        <v>0.8506585242943</v>
      </c>
      <c r="E710">
        <v>1</v>
      </c>
      <c r="F710">
        <v>15</v>
      </c>
      <c r="G710">
        <v>13</v>
      </c>
      <c r="H710" t="s">
        <v>4769</v>
      </c>
      <c r="I710" t="s">
        <v>4770</v>
      </c>
      <c r="J710" t="s">
        <v>1143</v>
      </c>
    </row>
    <row r="711" spans="1:10">
      <c r="A711" t="s">
        <v>4771</v>
      </c>
      <c r="B711">
        <v>0.29392255287438901</v>
      </c>
      <c r="C711">
        <v>7.2301343945992</v>
      </c>
      <c r="D711">
        <v>0.8506585242943</v>
      </c>
      <c r="E711">
        <v>1</v>
      </c>
      <c r="F711">
        <v>15</v>
      </c>
      <c r="G711">
        <v>13</v>
      </c>
      <c r="H711" t="s">
        <v>28</v>
      </c>
      <c r="I711" t="s">
        <v>3438</v>
      </c>
      <c r="J711" t="s">
        <v>1144</v>
      </c>
    </row>
    <row r="712" spans="1:10">
      <c r="A712" t="s">
        <v>4772</v>
      </c>
      <c r="B712">
        <v>4.6477010494225701E-2</v>
      </c>
      <c r="C712">
        <v>10.3885662770792</v>
      </c>
      <c r="D712">
        <v>0.85048526273042802</v>
      </c>
      <c r="E712">
        <v>1</v>
      </c>
      <c r="F712">
        <v>123</v>
      </c>
      <c r="G712">
        <v>127</v>
      </c>
      <c r="H712" t="s">
        <v>4773</v>
      </c>
      <c r="I712" t="s">
        <v>4774</v>
      </c>
      <c r="J712" t="s">
        <v>1145</v>
      </c>
    </row>
    <row r="713" spans="1:10">
      <c r="A713" t="s">
        <v>4775</v>
      </c>
      <c r="B713">
        <v>6.5467262838316401E-2</v>
      </c>
      <c r="C713">
        <v>9.1642453681722902</v>
      </c>
      <c r="D713">
        <v>0.84720645310500198</v>
      </c>
      <c r="E713">
        <v>1</v>
      </c>
      <c r="F713">
        <v>53</v>
      </c>
      <c r="G713">
        <v>54</v>
      </c>
      <c r="H713" t="s">
        <v>4776</v>
      </c>
      <c r="I713" t="s">
        <v>4777</v>
      </c>
      <c r="J713" t="s">
        <v>1146</v>
      </c>
    </row>
    <row r="714" spans="1:10">
      <c r="A714" t="s">
        <v>4778</v>
      </c>
      <c r="B714">
        <v>-9.9430580557688497E-2</v>
      </c>
      <c r="C714">
        <v>9.1370099181659494</v>
      </c>
      <c r="D714">
        <v>0.84577080484518596</v>
      </c>
      <c r="E714">
        <v>1</v>
      </c>
      <c r="F714">
        <v>49</v>
      </c>
      <c r="G714">
        <v>56</v>
      </c>
      <c r="H714" t="s">
        <v>4779</v>
      </c>
      <c r="I714" t="s">
        <v>4780</v>
      </c>
      <c r="J714" t="s">
        <v>1147</v>
      </c>
    </row>
    <row r="715" spans="1:10">
      <c r="A715" t="s">
        <v>4781</v>
      </c>
      <c r="B715">
        <v>-9.9430580557688497E-2</v>
      </c>
      <c r="C715">
        <v>9.1370099181659494</v>
      </c>
      <c r="D715">
        <v>0.84577080484518596</v>
      </c>
      <c r="E715">
        <v>1</v>
      </c>
      <c r="F715">
        <v>49</v>
      </c>
      <c r="G715">
        <v>56</v>
      </c>
      <c r="H715" t="s">
        <v>28</v>
      </c>
      <c r="I715" t="s">
        <v>3438</v>
      </c>
      <c r="J715" t="s">
        <v>1148</v>
      </c>
    </row>
    <row r="716" spans="1:10">
      <c r="A716" t="s">
        <v>4782</v>
      </c>
      <c r="B716">
        <v>6.4950210289702298E-2</v>
      </c>
      <c r="C716">
        <v>9.1370237518355193</v>
      </c>
      <c r="D716">
        <v>0.84577080484518596</v>
      </c>
      <c r="E716">
        <v>1</v>
      </c>
      <c r="F716">
        <v>52</v>
      </c>
      <c r="G716">
        <v>53</v>
      </c>
      <c r="H716" t="s">
        <v>4783</v>
      </c>
      <c r="I716" t="s">
        <v>4784</v>
      </c>
      <c r="J716" t="s">
        <v>1149</v>
      </c>
    </row>
    <row r="717" spans="1:10">
      <c r="A717" t="s">
        <v>4785</v>
      </c>
      <c r="B717">
        <v>-0.12719936906221699</v>
      </c>
      <c r="C717">
        <v>7.12320978380051</v>
      </c>
      <c r="D717">
        <v>0.84511962494898596</v>
      </c>
      <c r="E717">
        <v>1</v>
      </c>
      <c r="F717">
        <v>12</v>
      </c>
      <c r="G717">
        <v>14</v>
      </c>
      <c r="H717" t="s">
        <v>28</v>
      </c>
      <c r="I717" t="s">
        <v>3438</v>
      </c>
      <c r="J717" t="s">
        <v>1150</v>
      </c>
    </row>
    <row r="718" spans="1:10">
      <c r="A718" t="s">
        <v>4786</v>
      </c>
      <c r="B718">
        <v>-0.12719936906221699</v>
      </c>
      <c r="C718">
        <v>7.12320978380051</v>
      </c>
      <c r="D718">
        <v>0.84511962494898596</v>
      </c>
      <c r="E718">
        <v>1</v>
      </c>
      <c r="F718">
        <v>12</v>
      </c>
      <c r="G718">
        <v>14</v>
      </c>
      <c r="H718" t="s">
        <v>28</v>
      </c>
      <c r="I718" t="s">
        <v>3438</v>
      </c>
      <c r="J718" t="s">
        <v>1151</v>
      </c>
    </row>
    <row r="719" spans="1:10">
      <c r="A719" t="s">
        <v>4787</v>
      </c>
      <c r="B719">
        <v>-0.12719936906221699</v>
      </c>
      <c r="C719">
        <v>7.12320978380051</v>
      </c>
      <c r="D719">
        <v>0.84511962494898596</v>
      </c>
      <c r="E719">
        <v>1</v>
      </c>
      <c r="F719">
        <v>12</v>
      </c>
      <c r="G719">
        <v>14</v>
      </c>
      <c r="H719" t="s">
        <v>28</v>
      </c>
      <c r="I719" t="s">
        <v>3438</v>
      </c>
      <c r="J719" t="s">
        <v>1152</v>
      </c>
    </row>
    <row r="720" spans="1:10">
      <c r="A720" t="s">
        <v>4788</v>
      </c>
      <c r="B720">
        <v>-0.12719936906221699</v>
      </c>
      <c r="C720">
        <v>7.12320978380051</v>
      </c>
      <c r="D720">
        <v>0.84511962494898596</v>
      </c>
      <c r="E720">
        <v>1</v>
      </c>
      <c r="F720">
        <v>12</v>
      </c>
      <c r="G720">
        <v>14</v>
      </c>
      <c r="H720" t="s">
        <v>4789</v>
      </c>
      <c r="I720" t="s">
        <v>4790</v>
      </c>
      <c r="J720" t="s">
        <v>1153</v>
      </c>
    </row>
    <row r="721" spans="1:10">
      <c r="A721" t="s">
        <v>4791</v>
      </c>
      <c r="B721">
        <v>-0.12719936906221699</v>
      </c>
      <c r="C721">
        <v>7.12320978380051</v>
      </c>
      <c r="D721">
        <v>0.84511962494898596</v>
      </c>
      <c r="E721">
        <v>1</v>
      </c>
      <c r="F721">
        <v>12</v>
      </c>
      <c r="G721">
        <v>14</v>
      </c>
      <c r="H721" t="s">
        <v>28</v>
      </c>
      <c r="I721" t="s">
        <v>3436</v>
      </c>
      <c r="J721" t="s">
        <v>1154</v>
      </c>
    </row>
    <row r="722" spans="1:10">
      <c r="A722" t="s">
        <v>4792</v>
      </c>
      <c r="B722">
        <v>-0.12719936906221699</v>
      </c>
      <c r="C722">
        <v>7.12320978380051</v>
      </c>
      <c r="D722">
        <v>0.84511962494898596</v>
      </c>
      <c r="E722">
        <v>1</v>
      </c>
      <c r="F722">
        <v>12</v>
      </c>
      <c r="G722">
        <v>14</v>
      </c>
      <c r="H722" t="s">
        <v>4793</v>
      </c>
      <c r="I722" t="s">
        <v>4794</v>
      </c>
      <c r="J722" t="s">
        <v>1155</v>
      </c>
    </row>
    <row r="723" spans="1:10">
      <c r="A723" t="s">
        <v>4795</v>
      </c>
      <c r="B723">
        <v>0.30916113294019798</v>
      </c>
      <c r="C723">
        <v>7.1232190426080502</v>
      </c>
      <c r="D723">
        <v>0.84511962494898596</v>
      </c>
      <c r="E723">
        <v>1</v>
      </c>
      <c r="F723">
        <v>14</v>
      </c>
      <c r="G723">
        <v>12</v>
      </c>
      <c r="H723" t="s">
        <v>4796</v>
      </c>
      <c r="I723" t="s">
        <v>4797</v>
      </c>
      <c r="J723" t="s">
        <v>1156</v>
      </c>
    </row>
    <row r="724" spans="1:10">
      <c r="A724" t="s">
        <v>4798</v>
      </c>
      <c r="B724">
        <v>0.30916113294019798</v>
      </c>
      <c r="C724">
        <v>7.1232190426080502</v>
      </c>
      <c r="D724">
        <v>0.84511962494898596</v>
      </c>
      <c r="E724">
        <v>1</v>
      </c>
      <c r="F724">
        <v>14</v>
      </c>
      <c r="G724">
        <v>12</v>
      </c>
      <c r="H724" t="s">
        <v>28</v>
      </c>
      <c r="I724" t="s">
        <v>3438</v>
      </c>
      <c r="J724" t="s">
        <v>1157</v>
      </c>
    </row>
    <row r="725" spans="1:10">
      <c r="A725" t="s">
        <v>4799</v>
      </c>
      <c r="B725">
        <v>0.30916113294019798</v>
      </c>
      <c r="C725">
        <v>7.1232190426080502</v>
      </c>
      <c r="D725">
        <v>0.84511962494898596</v>
      </c>
      <c r="E725">
        <v>1</v>
      </c>
      <c r="F725">
        <v>14</v>
      </c>
      <c r="G725">
        <v>12</v>
      </c>
      <c r="H725" t="s">
        <v>28</v>
      </c>
      <c r="I725" t="s">
        <v>3438</v>
      </c>
      <c r="J725" t="s">
        <v>1158</v>
      </c>
    </row>
    <row r="726" spans="1:10">
      <c r="A726" t="s">
        <v>4800</v>
      </c>
      <c r="B726">
        <v>-0.11105623873383901</v>
      </c>
      <c r="C726">
        <v>9.0521205734757597</v>
      </c>
      <c r="D726">
        <v>0.84121009479136999</v>
      </c>
      <c r="E726">
        <v>1</v>
      </c>
      <c r="F726">
        <v>46</v>
      </c>
      <c r="G726">
        <v>53</v>
      </c>
      <c r="H726" t="s">
        <v>4801</v>
      </c>
      <c r="I726" t="s">
        <v>4802</v>
      </c>
      <c r="J726" t="s">
        <v>1159</v>
      </c>
    </row>
    <row r="727" spans="1:10">
      <c r="A727" t="s">
        <v>4803</v>
      </c>
      <c r="B727">
        <v>-5.2190965981249698E-2</v>
      </c>
      <c r="C727">
        <v>10.1975507342285</v>
      </c>
      <c r="D727">
        <v>0.83990811089112405</v>
      </c>
      <c r="E727">
        <v>1</v>
      </c>
      <c r="F727">
        <v>104</v>
      </c>
      <c r="G727">
        <v>115</v>
      </c>
      <c r="H727" t="s">
        <v>4804</v>
      </c>
      <c r="I727" t="s">
        <v>4805</v>
      </c>
      <c r="J727" t="s">
        <v>1160</v>
      </c>
    </row>
    <row r="728" spans="1:10">
      <c r="A728" t="s">
        <v>4806</v>
      </c>
      <c r="B728">
        <v>-0.115251026726234</v>
      </c>
      <c r="C728">
        <v>9.0226766464893906</v>
      </c>
      <c r="D728">
        <v>0.83959817497336697</v>
      </c>
      <c r="E728">
        <v>1</v>
      </c>
      <c r="F728">
        <v>45</v>
      </c>
      <c r="G728">
        <v>52</v>
      </c>
      <c r="H728" t="s">
        <v>28</v>
      </c>
      <c r="I728" t="s">
        <v>3465</v>
      </c>
      <c r="J728" t="s">
        <v>1161</v>
      </c>
    </row>
    <row r="729" spans="1:10">
      <c r="A729" t="s">
        <v>4807</v>
      </c>
      <c r="B729">
        <v>-0.14523204388671801</v>
      </c>
      <c r="C729">
        <v>7.0077324173535303</v>
      </c>
      <c r="D729">
        <v>0.83891636582043605</v>
      </c>
      <c r="E729">
        <v>1</v>
      </c>
      <c r="F729">
        <v>11</v>
      </c>
      <c r="G729">
        <v>13</v>
      </c>
      <c r="H729" t="s">
        <v>4808</v>
      </c>
      <c r="I729" t="s">
        <v>4809</v>
      </c>
      <c r="J729" t="s">
        <v>1162</v>
      </c>
    </row>
    <row r="730" spans="1:10">
      <c r="A730" t="s">
        <v>4810</v>
      </c>
      <c r="B730">
        <v>-0.14523204388671801</v>
      </c>
      <c r="C730">
        <v>7.0077324173535303</v>
      </c>
      <c r="D730">
        <v>0.83891636582043605</v>
      </c>
      <c r="E730">
        <v>1</v>
      </c>
      <c r="F730">
        <v>11</v>
      </c>
      <c r="G730">
        <v>13</v>
      </c>
      <c r="H730" t="s">
        <v>28</v>
      </c>
      <c r="I730" t="s">
        <v>3438</v>
      </c>
      <c r="J730" t="s">
        <v>1163</v>
      </c>
    </row>
    <row r="731" spans="1:10">
      <c r="A731" t="s">
        <v>4811</v>
      </c>
      <c r="B731">
        <v>-0.14523204388671801</v>
      </c>
      <c r="C731">
        <v>7.0077324173535303</v>
      </c>
      <c r="D731">
        <v>0.83891636582043605</v>
      </c>
      <c r="E731">
        <v>1</v>
      </c>
      <c r="F731">
        <v>11</v>
      </c>
      <c r="G731">
        <v>13</v>
      </c>
      <c r="H731" t="s">
        <v>4812</v>
      </c>
      <c r="I731" t="s">
        <v>4813</v>
      </c>
      <c r="J731" t="s">
        <v>1164</v>
      </c>
    </row>
    <row r="732" spans="1:10">
      <c r="A732" t="s">
        <v>4814</v>
      </c>
      <c r="B732">
        <v>-0.14523204388671801</v>
      </c>
      <c r="C732">
        <v>7.0077324173535303</v>
      </c>
      <c r="D732">
        <v>0.83891636582043605</v>
      </c>
      <c r="E732">
        <v>1</v>
      </c>
      <c r="F732">
        <v>11</v>
      </c>
      <c r="G732">
        <v>13</v>
      </c>
      <c r="H732" t="s">
        <v>28</v>
      </c>
      <c r="I732" t="s">
        <v>3438</v>
      </c>
      <c r="J732" t="s">
        <v>1165</v>
      </c>
    </row>
    <row r="733" spans="1:10">
      <c r="A733" t="s">
        <v>4815</v>
      </c>
      <c r="B733">
        <v>-0.14523204388671801</v>
      </c>
      <c r="C733">
        <v>7.0077324173535303</v>
      </c>
      <c r="D733">
        <v>0.83891636582043605</v>
      </c>
      <c r="E733">
        <v>1</v>
      </c>
      <c r="F733">
        <v>11</v>
      </c>
      <c r="G733">
        <v>13</v>
      </c>
      <c r="H733" t="s">
        <v>28</v>
      </c>
      <c r="I733" t="s">
        <v>3438</v>
      </c>
      <c r="J733" t="s">
        <v>1166</v>
      </c>
    </row>
    <row r="734" spans="1:10">
      <c r="A734" t="s">
        <v>4816</v>
      </c>
      <c r="B734">
        <v>-0.14523204388671801</v>
      </c>
      <c r="C734">
        <v>7.0077324173535303</v>
      </c>
      <c r="D734">
        <v>0.83891636582043605</v>
      </c>
      <c r="E734">
        <v>1</v>
      </c>
      <c r="F734">
        <v>11</v>
      </c>
      <c r="G734">
        <v>13</v>
      </c>
      <c r="H734" t="s">
        <v>4817</v>
      </c>
      <c r="I734" t="s">
        <v>4818</v>
      </c>
      <c r="J734" t="s">
        <v>1167</v>
      </c>
    </row>
    <row r="735" spans="1:10">
      <c r="A735" t="s">
        <v>4819</v>
      </c>
      <c r="B735">
        <v>-0.14523204388671801</v>
      </c>
      <c r="C735">
        <v>7.0077324173535303</v>
      </c>
      <c r="D735">
        <v>0.83891636582043605</v>
      </c>
      <c r="E735">
        <v>1</v>
      </c>
      <c r="F735">
        <v>11</v>
      </c>
      <c r="G735">
        <v>13</v>
      </c>
      <c r="H735" t="s">
        <v>28</v>
      </c>
      <c r="I735" t="s">
        <v>3976</v>
      </c>
      <c r="J735" t="s">
        <v>1168</v>
      </c>
    </row>
    <row r="736" spans="1:10">
      <c r="A736" t="s">
        <v>4820</v>
      </c>
      <c r="B736">
        <v>-0.14523204388671801</v>
      </c>
      <c r="C736">
        <v>7.0077324173535303</v>
      </c>
      <c r="D736">
        <v>0.83891636582043605</v>
      </c>
      <c r="E736">
        <v>1</v>
      </c>
      <c r="F736">
        <v>11</v>
      </c>
      <c r="G736">
        <v>13</v>
      </c>
      <c r="H736" t="s">
        <v>28</v>
      </c>
      <c r="I736" t="s">
        <v>4821</v>
      </c>
      <c r="J736" t="s">
        <v>1169</v>
      </c>
    </row>
    <row r="737" spans="1:10">
      <c r="A737" t="s">
        <v>4822</v>
      </c>
      <c r="B737">
        <v>0.32690287785774602</v>
      </c>
      <c r="C737">
        <v>7.0077416770839296</v>
      </c>
      <c r="D737">
        <v>0.83891636582043605</v>
      </c>
      <c r="E737">
        <v>1</v>
      </c>
      <c r="F737">
        <v>13</v>
      </c>
      <c r="G737">
        <v>11</v>
      </c>
      <c r="H737" t="s">
        <v>28</v>
      </c>
      <c r="I737" t="s">
        <v>3878</v>
      </c>
      <c r="J737" t="s">
        <v>1170</v>
      </c>
    </row>
    <row r="738" spans="1:10">
      <c r="A738" t="s">
        <v>4823</v>
      </c>
      <c r="B738">
        <v>0.32690287785774602</v>
      </c>
      <c r="C738">
        <v>7.0077416770839296</v>
      </c>
      <c r="D738">
        <v>0.83891636582043605</v>
      </c>
      <c r="E738">
        <v>1</v>
      </c>
      <c r="F738">
        <v>13</v>
      </c>
      <c r="G738">
        <v>11</v>
      </c>
      <c r="H738" t="s">
        <v>28</v>
      </c>
      <c r="I738" t="s">
        <v>4697</v>
      </c>
      <c r="J738" t="s">
        <v>1171</v>
      </c>
    </row>
    <row r="739" spans="1:10">
      <c r="A739" t="s">
        <v>4824</v>
      </c>
      <c r="B739">
        <v>0.32690287785774602</v>
      </c>
      <c r="C739">
        <v>7.0077416770839296</v>
      </c>
      <c r="D739">
        <v>0.83891636582043605</v>
      </c>
      <c r="E739">
        <v>1</v>
      </c>
      <c r="F739">
        <v>13</v>
      </c>
      <c r="G739">
        <v>11</v>
      </c>
      <c r="H739" t="s">
        <v>4825</v>
      </c>
      <c r="I739" t="s">
        <v>4826</v>
      </c>
      <c r="J739" t="s">
        <v>1172</v>
      </c>
    </row>
    <row r="740" spans="1:10">
      <c r="A740" t="s">
        <v>4827</v>
      </c>
      <c r="B740">
        <v>6.2040063532215799E-2</v>
      </c>
      <c r="C740">
        <v>8.9926331040515706</v>
      </c>
      <c r="D740">
        <v>0.83793648304351198</v>
      </c>
      <c r="E740">
        <v>1</v>
      </c>
      <c r="F740">
        <v>47</v>
      </c>
      <c r="G740">
        <v>48</v>
      </c>
      <c r="H740" t="s">
        <v>28</v>
      </c>
      <c r="I740" t="s">
        <v>3438</v>
      </c>
      <c r="J740" t="s">
        <v>1173</v>
      </c>
    </row>
    <row r="741" spans="1:10">
      <c r="A741" t="s">
        <v>4828</v>
      </c>
      <c r="B741">
        <v>0.124462464377225</v>
      </c>
      <c r="C741">
        <v>8.8985150981891401</v>
      </c>
      <c r="D741">
        <v>0.83262558276846199</v>
      </c>
      <c r="E741">
        <v>1</v>
      </c>
      <c r="F741">
        <v>45</v>
      </c>
      <c r="G741">
        <v>44</v>
      </c>
      <c r="H741" t="s">
        <v>28</v>
      </c>
      <c r="I741" t="s">
        <v>3438</v>
      </c>
      <c r="J741" t="s">
        <v>1174</v>
      </c>
    </row>
    <row r="742" spans="1:10">
      <c r="A742" t="s">
        <v>4829</v>
      </c>
      <c r="B742">
        <v>-0.16649444849995401</v>
      </c>
      <c r="C742">
        <v>6.8822013862128903</v>
      </c>
      <c r="D742">
        <v>0.83190433442285905</v>
      </c>
      <c r="E742">
        <v>1</v>
      </c>
      <c r="F742">
        <v>10</v>
      </c>
      <c r="G742">
        <v>12</v>
      </c>
      <c r="H742" t="s">
        <v>4830</v>
      </c>
      <c r="I742" t="s">
        <v>4831</v>
      </c>
      <c r="J742" t="s">
        <v>1175</v>
      </c>
    </row>
    <row r="743" spans="1:10">
      <c r="A743" t="s">
        <v>4832</v>
      </c>
      <c r="B743">
        <v>-0.16649444849995401</v>
      </c>
      <c r="C743">
        <v>6.8822013862128903</v>
      </c>
      <c r="D743">
        <v>0.83190433442285905</v>
      </c>
      <c r="E743">
        <v>1</v>
      </c>
      <c r="F743">
        <v>10</v>
      </c>
      <c r="G743">
        <v>12</v>
      </c>
      <c r="H743" t="s">
        <v>4833</v>
      </c>
      <c r="I743" t="s">
        <v>4834</v>
      </c>
      <c r="J743" t="s">
        <v>1176</v>
      </c>
    </row>
    <row r="744" spans="1:10">
      <c r="A744" t="s">
        <v>4835</v>
      </c>
      <c r="B744">
        <v>-0.16649444849995401</v>
      </c>
      <c r="C744">
        <v>6.8822013862128903</v>
      </c>
      <c r="D744">
        <v>0.83190433442285905</v>
      </c>
      <c r="E744">
        <v>1</v>
      </c>
      <c r="F744">
        <v>10</v>
      </c>
      <c r="G744">
        <v>12</v>
      </c>
      <c r="H744" t="s">
        <v>4836</v>
      </c>
      <c r="I744" t="s">
        <v>4837</v>
      </c>
      <c r="J744" t="s">
        <v>1177</v>
      </c>
    </row>
    <row r="745" spans="1:10">
      <c r="A745" t="s">
        <v>4838</v>
      </c>
      <c r="B745">
        <v>-0.16649444849995401</v>
      </c>
      <c r="C745">
        <v>6.8822013862128903</v>
      </c>
      <c r="D745">
        <v>0.83190433442285905</v>
      </c>
      <c r="E745">
        <v>1</v>
      </c>
      <c r="F745">
        <v>10</v>
      </c>
      <c r="G745">
        <v>12</v>
      </c>
      <c r="H745" t="s">
        <v>28</v>
      </c>
      <c r="I745" t="s">
        <v>3438</v>
      </c>
      <c r="J745" t="s">
        <v>1178</v>
      </c>
    </row>
    <row r="746" spans="1:10">
      <c r="A746" t="s">
        <v>4839</v>
      </c>
      <c r="B746">
        <v>-0.16649444849995401</v>
      </c>
      <c r="C746">
        <v>6.8822013862128903</v>
      </c>
      <c r="D746">
        <v>0.83190433442285905</v>
      </c>
      <c r="E746">
        <v>1</v>
      </c>
      <c r="F746">
        <v>10</v>
      </c>
      <c r="G746">
        <v>12</v>
      </c>
      <c r="H746" t="s">
        <v>4840</v>
      </c>
      <c r="I746" t="s">
        <v>4841</v>
      </c>
      <c r="J746" t="s">
        <v>1179</v>
      </c>
    </row>
    <row r="747" spans="1:10">
      <c r="A747" t="s">
        <v>4842</v>
      </c>
      <c r="B747">
        <v>0.34782149618388802</v>
      </c>
      <c r="C747">
        <v>6.8822106468663504</v>
      </c>
      <c r="D747">
        <v>0.83190433442285905</v>
      </c>
      <c r="E747">
        <v>1</v>
      </c>
      <c r="F747">
        <v>12</v>
      </c>
      <c r="G747">
        <v>10</v>
      </c>
      <c r="H747" t="s">
        <v>28</v>
      </c>
      <c r="I747" t="s">
        <v>3631</v>
      </c>
      <c r="J747" t="s">
        <v>1180</v>
      </c>
    </row>
    <row r="748" spans="1:10">
      <c r="A748" t="s">
        <v>4843</v>
      </c>
      <c r="B748">
        <v>0.34782149618388802</v>
      </c>
      <c r="C748">
        <v>6.8822106468663504</v>
      </c>
      <c r="D748">
        <v>0.83190433442285905</v>
      </c>
      <c r="E748">
        <v>1</v>
      </c>
      <c r="F748">
        <v>12</v>
      </c>
      <c r="G748">
        <v>10</v>
      </c>
      <c r="H748" t="s">
        <v>4844</v>
      </c>
      <c r="I748" t="s">
        <v>4845</v>
      </c>
      <c r="J748" t="s">
        <v>1181</v>
      </c>
    </row>
    <row r="749" spans="1:10">
      <c r="A749" t="s">
        <v>4846</v>
      </c>
      <c r="B749">
        <v>0.34782149618388802</v>
      </c>
      <c r="C749">
        <v>6.8822106468663504</v>
      </c>
      <c r="D749">
        <v>0.83190433442285905</v>
      </c>
      <c r="E749">
        <v>1</v>
      </c>
      <c r="F749">
        <v>12</v>
      </c>
      <c r="G749">
        <v>10</v>
      </c>
      <c r="H749" t="s">
        <v>28</v>
      </c>
      <c r="I749" t="s">
        <v>3878</v>
      </c>
      <c r="J749" t="s">
        <v>1182</v>
      </c>
    </row>
    <row r="750" spans="1:10">
      <c r="A750" t="s">
        <v>4847</v>
      </c>
      <c r="B750">
        <v>0.34782149618388802</v>
      </c>
      <c r="C750">
        <v>6.8822106468663504</v>
      </c>
      <c r="D750">
        <v>0.83190433442285905</v>
      </c>
      <c r="E750">
        <v>1</v>
      </c>
      <c r="F750">
        <v>12</v>
      </c>
      <c r="G750">
        <v>10</v>
      </c>
      <c r="H750" t="s">
        <v>4848</v>
      </c>
      <c r="I750" t="s">
        <v>4849</v>
      </c>
      <c r="J750" t="s">
        <v>1183</v>
      </c>
    </row>
    <row r="751" spans="1:10">
      <c r="A751" t="s">
        <v>4850</v>
      </c>
      <c r="B751">
        <v>-7.2850634597692504E-2</v>
      </c>
      <c r="C751">
        <v>8.8657111695751905</v>
      </c>
      <c r="D751">
        <v>0.83073654482148895</v>
      </c>
      <c r="E751">
        <v>1</v>
      </c>
      <c r="F751">
        <v>41</v>
      </c>
      <c r="G751">
        <v>46</v>
      </c>
      <c r="H751" t="s">
        <v>376</v>
      </c>
      <c r="I751" t="s">
        <v>4851</v>
      </c>
      <c r="J751" t="s">
        <v>377</v>
      </c>
    </row>
    <row r="752" spans="1:10">
      <c r="A752" t="s">
        <v>4852</v>
      </c>
      <c r="B752">
        <v>0.125946679066373</v>
      </c>
      <c r="C752">
        <v>8.8321723085163608</v>
      </c>
      <c r="D752">
        <v>0.82878246321832105</v>
      </c>
      <c r="E752">
        <v>1</v>
      </c>
      <c r="F752">
        <v>43</v>
      </c>
      <c r="G752">
        <v>42</v>
      </c>
      <c r="H752" t="s">
        <v>4853</v>
      </c>
      <c r="I752" t="s">
        <v>4854</v>
      </c>
      <c r="J752" t="s">
        <v>1184</v>
      </c>
    </row>
    <row r="753" spans="1:10">
      <c r="A753" t="s">
        <v>4855</v>
      </c>
      <c r="B753">
        <v>0.12674211867179599</v>
      </c>
      <c r="C753">
        <v>8.7978206562503498</v>
      </c>
      <c r="D753">
        <v>0.82675951303067197</v>
      </c>
      <c r="E753">
        <v>1</v>
      </c>
      <c r="F753">
        <v>42</v>
      </c>
      <c r="G753">
        <v>41</v>
      </c>
      <c r="H753" t="s">
        <v>4856</v>
      </c>
      <c r="I753" t="s">
        <v>4857</v>
      </c>
      <c r="J753" t="s">
        <v>1185</v>
      </c>
    </row>
    <row r="754" spans="1:10">
      <c r="A754" t="s">
        <v>4858</v>
      </c>
      <c r="B754">
        <v>-0.19194269795883601</v>
      </c>
      <c r="C754">
        <v>6.7446977133764499</v>
      </c>
      <c r="D754">
        <v>0.82389098270433803</v>
      </c>
      <c r="E754">
        <v>1</v>
      </c>
      <c r="F754">
        <v>9</v>
      </c>
      <c r="G754">
        <v>11</v>
      </c>
      <c r="H754" t="s">
        <v>28</v>
      </c>
      <c r="I754" t="s">
        <v>3438</v>
      </c>
      <c r="J754" t="s">
        <v>1186</v>
      </c>
    </row>
    <row r="755" spans="1:10">
      <c r="A755" t="s">
        <v>4859</v>
      </c>
      <c r="B755">
        <v>-0.19194269795883601</v>
      </c>
      <c r="C755">
        <v>6.7446977133764499</v>
      </c>
      <c r="D755">
        <v>0.82389098270433803</v>
      </c>
      <c r="E755">
        <v>1</v>
      </c>
      <c r="F755">
        <v>9</v>
      </c>
      <c r="G755">
        <v>11</v>
      </c>
      <c r="H755" t="s">
        <v>28</v>
      </c>
      <c r="I755" t="s">
        <v>3438</v>
      </c>
      <c r="J755" t="s">
        <v>1187</v>
      </c>
    </row>
    <row r="756" spans="1:10">
      <c r="A756" t="s">
        <v>4860</v>
      </c>
      <c r="B756">
        <v>-0.19194269795883601</v>
      </c>
      <c r="C756">
        <v>6.7446977133764499</v>
      </c>
      <c r="D756">
        <v>0.82389098270433803</v>
      </c>
      <c r="E756">
        <v>1</v>
      </c>
      <c r="F756">
        <v>9</v>
      </c>
      <c r="G756">
        <v>11</v>
      </c>
      <c r="H756" t="s">
        <v>4861</v>
      </c>
      <c r="I756" t="s">
        <v>4862</v>
      </c>
      <c r="J756" t="s">
        <v>1188</v>
      </c>
    </row>
    <row r="757" spans="1:10">
      <c r="A757" t="s">
        <v>4863</v>
      </c>
      <c r="B757">
        <v>-0.19194269795883601</v>
      </c>
      <c r="C757">
        <v>6.7446977133764499</v>
      </c>
      <c r="D757">
        <v>0.82389098270433803</v>
      </c>
      <c r="E757">
        <v>1</v>
      </c>
      <c r="F757">
        <v>9</v>
      </c>
      <c r="G757">
        <v>11</v>
      </c>
      <c r="H757" t="s">
        <v>28</v>
      </c>
      <c r="I757" t="s">
        <v>4864</v>
      </c>
      <c r="J757" t="s">
        <v>1189</v>
      </c>
    </row>
    <row r="758" spans="1:10">
      <c r="A758" t="s">
        <v>4865</v>
      </c>
      <c r="B758">
        <v>-0.19194269795883601</v>
      </c>
      <c r="C758">
        <v>6.7446977133764499</v>
      </c>
      <c r="D758">
        <v>0.82389098270433803</v>
      </c>
      <c r="E758">
        <v>1</v>
      </c>
      <c r="F758">
        <v>9</v>
      </c>
      <c r="G758">
        <v>11</v>
      </c>
      <c r="H758" t="s">
        <v>28</v>
      </c>
      <c r="I758" t="s">
        <v>3438</v>
      </c>
      <c r="J758" t="s">
        <v>1190</v>
      </c>
    </row>
    <row r="759" spans="1:10">
      <c r="A759" t="s">
        <v>4866</v>
      </c>
      <c r="B759">
        <v>-0.19194269795883601</v>
      </c>
      <c r="C759">
        <v>6.7446977133764499</v>
      </c>
      <c r="D759">
        <v>0.82389098270433803</v>
      </c>
      <c r="E759">
        <v>1</v>
      </c>
      <c r="F759">
        <v>9</v>
      </c>
      <c r="G759">
        <v>11</v>
      </c>
      <c r="H759" t="s">
        <v>4867</v>
      </c>
      <c r="I759" t="s">
        <v>4868</v>
      </c>
      <c r="J759" t="s">
        <v>1191</v>
      </c>
    </row>
    <row r="760" spans="1:10">
      <c r="A760" t="s">
        <v>4869</v>
      </c>
      <c r="B760">
        <v>-0.19194269795883601</v>
      </c>
      <c r="C760">
        <v>6.7446977133764499</v>
      </c>
      <c r="D760">
        <v>0.82389098270433803</v>
      </c>
      <c r="E760">
        <v>1</v>
      </c>
      <c r="F760">
        <v>9</v>
      </c>
      <c r="G760">
        <v>11</v>
      </c>
      <c r="H760" t="s">
        <v>263</v>
      </c>
      <c r="I760" t="s">
        <v>4870</v>
      </c>
      <c r="J760" t="s">
        <v>262</v>
      </c>
    </row>
    <row r="761" spans="1:10">
      <c r="A761" t="s">
        <v>4871</v>
      </c>
      <c r="B761">
        <v>-0.19194269795883601</v>
      </c>
      <c r="C761">
        <v>6.7446977133764499</v>
      </c>
      <c r="D761">
        <v>0.82389098270433803</v>
      </c>
      <c r="E761">
        <v>1</v>
      </c>
      <c r="F761">
        <v>9</v>
      </c>
      <c r="G761">
        <v>11</v>
      </c>
      <c r="H761" t="s">
        <v>4872</v>
      </c>
      <c r="I761" t="s">
        <v>4873</v>
      </c>
      <c r="J761" t="s">
        <v>1192</v>
      </c>
    </row>
    <row r="762" spans="1:10">
      <c r="A762" t="s">
        <v>4874</v>
      </c>
      <c r="B762">
        <v>-0.19194269795883601</v>
      </c>
      <c r="C762">
        <v>6.7446977133764499</v>
      </c>
      <c r="D762">
        <v>0.82389098270433803</v>
      </c>
      <c r="E762">
        <v>1</v>
      </c>
      <c r="F762">
        <v>9</v>
      </c>
      <c r="G762">
        <v>11</v>
      </c>
      <c r="H762" t="s">
        <v>28</v>
      </c>
      <c r="I762" t="s">
        <v>3438</v>
      </c>
      <c r="J762" t="s">
        <v>1193</v>
      </c>
    </row>
    <row r="763" spans="1:10">
      <c r="A763" t="s">
        <v>4875</v>
      </c>
      <c r="B763">
        <v>-0.19194269795883601</v>
      </c>
      <c r="C763">
        <v>6.7446977133764499</v>
      </c>
      <c r="D763">
        <v>0.82389098270433803</v>
      </c>
      <c r="E763">
        <v>1</v>
      </c>
      <c r="F763">
        <v>9</v>
      </c>
      <c r="G763">
        <v>11</v>
      </c>
      <c r="H763" t="s">
        <v>4876</v>
      </c>
      <c r="I763" t="s">
        <v>4877</v>
      </c>
      <c r="J763" t="s">
        <v>1194</v>
      </c>
    </row>
    <row r="764" spans="1:10">
      <c r="A764" t="s">
        <v>4878</v>
      </c>
      <c r="B764">
        <v>-0.19194269795883601</v>
      </c>
      <c r="C764">
        <v>6.7446977133764499</v>
      </c>
      <c r="D764">
        <v>0.82389098270433803</v>
      </c>
      <c r="E764">
        <v>1</v>
      </c>
      <c r="F764">
        <v>9</v>
      </c>
      <c r="G764">
        <v>11</v>
      </c>
      <c r="H764" t="s">
        <v>28</v>
      </c>
      <c r="I764" t="s">
        <v>3527</v>
      </c>
      <c r="J764" t="s">
        <v>1195</v>
      </c>
    </row>
    <row r="765" spans="1:10">
      <c r="A765" t="s">
        <v>4879</v>
      </c>
      <c r="B765">
        <v>-0.19194269795883601</v>
      </c>
      <c r="C765">
        <v>6.7446977133764499</v>
      </c>
      <c r="D765">
        <v>0.82389098270433803</v>
      </c>
      <c r="E765">
        <v>1</v>
      </c>
      <c r="F765">
        <v>9</v>
      </c>
      <c r="G765">
        <v>11</v>
      </c>
      <c r="H765" t="s">
        <v>28</v>
      </c>
      <c r="I765" t="s">
        <v>3773</v>
      </c>
      <c r="J765" t="s">
        <v>1196</v>
      </c>
    </row>
    <row r="766" spans="1:10">
      <c r="A766" t="s">
        <v>4880</v>
      </c>
      <c r="B766">
        <v>-0.19194269795883601</v>
      </c>
      <c r="C766">
        <v>6.7446977133764499</v>
      </c>
      <c r="D766">
        <v>0.82389098270433803</v>
      </c>
      <c r="E766">
        <v>1</v>
      </c>
      <c r="F766">
        <v>9</v>
      </c>
      <c r="G766">
        <v>11</v>
      </c>
      <c r="H766" t="s">
        <v>28</v>
      </c>
      <c r="I766" t="s">
        <v>3438</v>
      </c>
      <c r="J766" t="s">
        <v>1197</v>
      </c>
    </row>
    <row r="767" spans="1:10">
      <c r="A767" t="s">
        <v>4881</v>
      </c>
      <c r="B767">
        <v>-0.19194269795883601</v>
      </c>
      <c r="C767">
        <v>6.7446977133764499</v>
      </c>
      <c r="D767">
        <v>0.82389098270433803</v>
      </c>
      <c r="E767">
        <v>1</v>
      </c>
      <c r="F767">
        <v>9</v>
      </c>
      <c r="G767">
        <v>11</v>
      </c>
      <c r="H767" t="s">
        <v>4882</v>
      </c>
      <c r="I767" t="s">
        <v>4883</v>
      </c>
      <c r="J767" t="s">
        <v>1198</v>
      </c>
    </row>
    <row r="768" spans="1:10">
      <c r="A768" t="s">
        <v>4884</v>
      </c>
      <c r="B768">
        <v>0.37285711587623099</v>
      </c>
      <c r="C768">
        <v>6.7447069749531403</v>
      </c>
      <c r="D768">
        <v>0.82389098270433803</v>
      </c>
      <c r="E768">
        <v>1</v>
      </c>
      <c r="F768">
        <v>11</v>
      </c>
      <c r="G768">
        <v>9</v>
      </c>
      <c r="H768" t="s">
        <v>28</v>
      </c>
      <c r="I768" t="s">
        <v>3438</v>
      </c>
      <c r="J768" t="s">
        <v>1199</v>
      </c>
    </row>
    <row r="769" spans="1:10">
      <c r="A769" t="s">
        <v>4885</v>
      </c>
      <c r="B769">
        <v>0.37285711587623099</v>
      </c>
      <c r="C769">
        <v>6.7447069749531403</v>
      </c>
      <c r="D769">
        <v>0.82389098270433803</v>
      </c>
      <c r="E769">
        <v>1</v>
      </c>
      <c r="F769">
        <v>11</v>
      </c>
      <c r="G769">
        <v>9</v>
      </c>
      <c r="H769" t="s">
        <v>4886</v>
      </c>
      <c r="I769" t="s">
        <v>3687</v>
      </c>
      <c r="J769" t="s">
        <v>1200</v>
      </c>
    </row>
    <row r="770" spans="1:10">
      <c r="A770" t="s">
        <v>4887</v>
      </c>
      <c r="B770">
        <v>0.37285711587623099</v>
      </c>
      <c r="C770">
        <v>6.7447069749531403</v>
      </c>
      <c r="D770">
        <v>0.82389098270433803</v>
      </c>
      <c r="E770">
        <v>1</v>
      </c>
      <c r="F770">
        <v>11</v>
      </c>
      <c r="G770">
        <v>9</v>
      </c>
      <c r="H770" t="s">
        <v>4888</v>
      </c>
      <c r="I770" t="s">
        <v>4889</v>
      </c>
      <c r="J770" t="s">
        <v>1201</v>
      </c>
    </row>
    <row r="771" spans="1:10">
      <c r="A771" t="s">
        <v>4890</v>
      </c>
      <c r="B771">
        <v>0.37285711587623099</v>
      </c>
      <c r="C771">
        <v>6.7447069749531403</v>
      </c>
      <c r="D771">
        <v>0.82389098270433803</v>
      </c>
      <c r="E771">
        <v>1</v>
      </c>
      <c r="F771">
        <v>11</v>
      </c>
      <c r="G771">
        <v>9</v>
      </c>
      <c r="H771" t="s">
        <v>28</v>
      </c>
      <c r="I771" t="s">
        <v>3438</v>
      </c>
      <c r="J771" t="s">
        <v>1202</v>
      </c>
    </row>
    <row r="772" spans="1:10">
      <c r="A772" t="s">
        <v>4891</v>
      </c>
      <c r="B772">
        <v>-9.42736357716948E-2</v>
      </c>
      <c r="C772">
        <v>8.6895534700609502</v>
      </c>
      <c r="D772">
        <v>0.82023414353670498</v>
      </c>
      <c r="E772">
        <v>1</v>
      </c>
      <c r="F772">
        <v>36</v>
      </c>
      <c r="G772">
        <v>41</v>
      </c>
      <c r="H772" t="s">
        <v>4892</v>
      </c>
      <c r="I772" t="s">
        <v>4893</v>
      </c>
      <c r="J772" t="s">
        <v>1203</v>
      </c>
    </row>
    <row r="773" spans="1:10">
      <c r="A773" t="s">
        <v>4894</v>
      </c>
      <c r="B773">
        <v>0.12937480469374099</v>
      </c>
      <c r="C773">
        <v>8.68956732302434</v>
      </c>
      <c r="D773">
        <v>0.82023414353670498</v>
      </c>
      <c r="E773">
        <v>1</v>
      </c>
      <c r="F773">
        <v>39</v>
      </c>
      <c r="G773">
        <v>38</v>
      </c>
      <c r="H773" t="s">
        <v>4895</v>
      </c>
      <c r="I773" t="s">
        <v>4896</v>
      </c>
      <c r="J773" t="s">
        <v>1204</v>
      </c>
    </row>
    <row r="774" spans="1:10">
      <c r="A774" t="s">
        <v>4897</v>
      </c>
      <c r="B774">
        <v>-7.69582373914975E-2</v>
      </c>
      <c r="C774">
        <v>9.8321532686841895</v>
      </c>
      <c r="D774">
        <v>0.81886221538442305</v>
      </c>
      <c r="E774">
        <v>1</v>
      </c>
      <c r="F774">
        <v>80</v>
      </c>
      <c r="G774">
        <v>90</v>
      </c>
      <c r="H774" t="s">
        <v>4898</v>
      </c>
      <c r="I774" t="s">
        <v>4899</v>
      </c>
      <c r="J774" t="s">
        <v>1205</v>
      </c>
    </row>
    <row r="775" spans="1:10">
      <c r="A775" t="s">
        <v>4900</v>
      </c>
      <c r="B775">
        <v>-9.92420866771722E-2</v>
      </c>
      <c r="C775">
        <v>8.6515854709008799</v>
      </c>
      <c r="D775">
        <v>0.817890450564698</v>
      </c>
      <c r="E775">
        <v>1</v>
      </c>
      <c r="F775">
        <v>35</v>
      </c>
      <c r="G775">
        <v>40</v>
      </c>
      <c r="H775" t="s">
        <v>4901</v>
      </c>
      <c r="I775" t="s">
        <v>4902</v>
      </c>
      <c r="J775" t="s">
        <v>1206</v>
      </c>
    </row>
    <row r="776" spans="1:10">
      <c r="A776" t="s">
        <v>4903</v>
      </c>
      <c r="B776">
        <v>0.130345368558897</v>
      </c>
      <c r="C776">
        <v>8.6515993252419605</v>
      </c>
      <c r="D776">
        <v>0.817890450564698</v>
      </c>
      <c r="E776">
        <v>1</v>
      </c>
      <c r="F776">
        <v>38</v>
      </c>
      <c r="G776">
        <v>37</v>
      </c>
      <c r="H776" t="s">
        <v>4904</v>
      </c>
      <c r="I776" t="s">
        <v>4905</v>
      </c>
      <c r="J776" t="s">
        <v>1207</v>
      </c>
    </row>
    <row r="777" spans="1:10">
      <c r="A777" t="s">
        <v>4906</v>
      </c>
      <c r="B777">
        <v>-0.22295327016386399</v>
      </c>
      <c r="C777">
        <v>6.5926944708151503</v>
      </c>
      <c r="D777">
        <v>0.81461282649604305</v>
      </c>
      <c r="E777">
        <v>1</v>
      </c>
      <c r="F777">
        <v>8</v>
      </c>
      <c r="G777">
        <v>10</v>
      </c>
      <c r="H777" t="s">
        <v>4907</v>
      </c>
      <c r="I777" t="s">
        <v>4908</v>
      </c>
      <c r="J777" t="s">
        <v>1208</v>
      </c>
    </row>
    <row r="778" spans="1:10">
      <c r="A778" t="s">
        <v>4909</v>
      </c>
      <c r="B778">
        <v>-0.22295327016386399</v>
      </c>
      <c r="C778">
        <v>6.5926944708151503</v>
      </c>
      <c r="D778">
        <v>0.81461282649604305</v>
      </c>
      <c r="E778">
        <v>1</v>
      </c>
      <c r="F778">
        <v>8</v>
      </c>
      <c r="G778">
        <v>10</v>
      </c>
      <c r="H778" t="s">
        <v>28</v>
      </c>
      <c r="I778" t="s">
        <v>3438</v>
      </c>
      <c r="J778" t="s">
        <v>1209</v>
      </c>
    </row>
    <row r="779" spans="1:10">
      <c r="A779" t="s">
        <v>4910</v>
      </c>
      <c r="B779">
        <v>-0.22295327016386399</v>
      </c>
      <c r="C779">
        <v>6.5926944708151503</v>
      </c>
      <c r="D779">
        <v>0.81461282649604305</v>
      </c>
      <c r="E779">
        <v>1</v>
      </c>
      <c r="F779">
        <v>8</v>
      </c>
      <c r="G779">
        <v>10</v>
      </c>
      <c r="H779" t="s">
        <v>28</v>
      </c>
      <c r="I779" t="s">
        <v>3438</v>
      </c>
      <c r="J779" t="s">
        <v>1210</v>
      </c>
    </row>
    <row r="780" spans="1:10">
      <c r="A780" t="s">
        <v>4911</v>
      </c>
      <c r="B780">
        <v>-0.22295327016386399</v>
      </c>
      <c r="C780">
        <v>6.5926944708151503</v>
      </c>
      <c r="D780">
        <v>0.81461282649604305</v>
      </c>
      <c r="E780">
        <v>1</v>
      </c>
      <c r="F780">
        <v>8</v>
      </c>
      <c r="G780">
        <v>10</v>
      </c>
      <c r="H780" t="s">
        <v>28</v>
      </c>
      <c r="I780" t="s">
        <v>3438</v>
      </c>
      <c r="J780" t="s">
        <v>1211</v>
      </c>
    </row>
    <row r="781" spans="1:10">
      <c r="A781" t="s">
        <v>4912</v>
      </c>
      <c r="B781">
        <v>-0.22295327016386399</v>
      </c>
      <c r="C781">
        <v>6.5926944708151503</v>
      </c>
      <c r="D781">
        <v>0.81461282649604305</v>
      </c>
      <c r="E781">
        <v>1</v>
      </c>
      <c r="F781">
        <v>8</v>
      </c>
      <c r="G781">
        <v>10</v>
      </c>
      <c r="H781" t="s">
        <v>28</v>
      </c>
      <c r="I781" t="s">
        <v>3438</v>
      </c>
      <c r="J781" t="s">
        <v>1212</v>
      </c>
    </row>
    <row r="782" spans="1:10">
      <c r="A782" t="s">
        <v>4913</v>
      </c>
      <c r="B782">
        <v>-0.22295327016386399</v>
      </c>
      <c r="C782">
        <v>6.5926944708151503</v>
      </c>
      <c r="D782">
        <v>0.81461282649604305</v>
      </c>
      <c r="E782">
        <v>1</v>
      </c>
      <c r="F782">
        <v>8</v>
      </c>
      <c r="G782">
        <v>10</v>
      </c>
      <c r="H782" t="s">
        <v>4914</v>
      </c>
      <c r="I782" t="s">
        <v>4915</v>
      </c>
      <c r="J782" t="s">
        <v>1213</v>
      </c>
    </row>
    <row r="783" spans="1:10">
      <c r="A783" t="s">
        <v>4916</v>
      </c>
      <c r="B783">
        <v>-0.22295327016386399</v>
      </c>
      <c r="C783">
        <v>6.5926944708151503</v>
      </c>
      <c r="D783">
        <v>0.81461282649604305</v>
      </c>
      <c r="E783">
        <v>1</v>
      </c>
      <c r="F783">
        <v>8</v>
      </c>
      <c r="G783">
        <v>10</v>
      </c>
      <c r="H783" t="s">
        <v>28</v>
      </c>
      <c r="I783" t="s">
        <v>3438</v>
      </c>
      <c r="J783" t="s">
        <v>1214</v>
      </c>
    </row>
    <row r="784" spans="1:10">
      <c r="A784" t="s">
        <v>4917</v>
      </c>
      <c r="B784">
        <v>0.40336298200159998</v>
      </c>
      <c r="C784">
        <v>6.5927037333152603</v>
      </c>
      <c r="D784">
        <v>0.81461282649604305</v>
      </c>
      <c r="E784">
        <v>1</v>
      </c>
      <c r="F784">
        <v>10</v>
      </c>
      <c r="G784">
        <v>8</v>
      </c>
      <c r="H784" t="s">
        <v>4918</v>
      </c>
      <c r="I784" t="s">
        <v>4919</v>
      </c>
      <c r="J784" t="s">
        <v>1215</v>
      </c>
    </row>
    <row r="785" spans="1:10">
      <c r="A785" t="s">
        <v>4920</v>
      </c>
      <c r="B785">
        <v>0.40336298200159998</v>
      </c>
      <c r="C785">
        <v>6.5927037333152603</v>
      </c>
      <c r="D785">
        <v>0.81461282649604305</v>
      </c>
      <c r="E785">
        <v>1</v>
      </c>
      <c r="F785">
        <v>10</v>
      </c>
      <c r="G785">
        <v>8</v>
      </c>
      <c r="H785" t="s">
        <v>3626</v>
      </c>
      <c r="I785" t="s">
        <v>3627</v>
      </c>
      <c r="J785" t="s">
        <v>1216</v>
      </c>
    </row>
    <row r="786" spans="1:10">
      <c r="A786" t="s">
        <v>4921</v>
      </c>
      <c r="B786">
        <v>0.40336298200159998</v>
      </c>
      <c r="C786">
        <v>6.5927037333152603</v>
      </c>
      <c r="D786">
        <v>0.81461282649604305</v>
      </c>
      <c r="E786">
        <v>1</v>
      </c>
      <c r="F786">
        <v>10</v>
      </c>
      <c r="G786">
        <v>8</v>
      </c>
      <c r="H786" t="s">
        <v>28</v>
      </c>
      <c r="I786" t="s">
        <v>4085</v>
      </c>
      <c r="J786" t="s">
        <v>1217</v>
      </c>
    </row>
    <row r="787" spans="1:10">
      <c r="A787" t="s">
        <v>4922</v>
      </c>
      <c r="B787">
        <v>0.40336298200159998</v>
      </c>
      <c r="C787">
        <v>6.5927037333152603</v>
      </c>
      <c r="D787">
        <v>0.81461282649604305</v>
      </c>
      <c r="E787">
        <v>1</v>
      </c>
      <c r="F787">
        <v>10</v>
      </c>
      <c r="G787">
        <v>8</v>
      </c>
      <c r="H787" t="s">
        <v>28</v>
      </c>
      <c r="I787" t="s">
        <v>4923</v>
      </c>
      <c r="J787" t="s">
        <v>1218</v>
      </c>
    </row>
    <row r="788" spans="1:10">
      <c r="A788" t="s">
        <v>4924</v>
      </c>
      <c r="B788">
        <v>0.40336298200159998</v>
      </c>
      <c r="C788">
        <v>6.5927037333152603</v>
      </c>
      <c r="D788">
        <v>0.81461282649604305</v>
      </c>
      <c r="E788">
        <v>1</v>
      </c>
      <c r="F788">
        <v>10</v>
      </c>
      <c r="G788">
        <v>8</v>
      </c>
      <c r="H788" t="s">
        <v>4925</v>
      </c>
      <c r="I788" t="s">
        <v>4926</v>
      </c>
      <c r="J788" t="s">
        <v>1219</v>
      </c>
    </row>
    <row r="789" spans="1:10">
      <c r="A789" t="s">
        <v>4927</v>
      </c>
      <c r="B789">
        <v>0.40336298200159998</v>
      </c>
      <c r="C789">
        <v>6.5927037333152603</v>
      </c>
      <c r="D789">
        <v>0.81461282649604305</v>
      </c>
      <c r="E789">
        <v>1</v>
      </c>
      <c r="F789">
        <v>10</v>
      </c>
      <c r="G789">
        <v>8</v>
      </c>
      <c r="H789" t="s">
        <v>28</v>
      </c>
      <c r="I789" t="s">
        <v>3438</v>
      </c>
      <c r="J789" t="s">
        <v>1220</v>
      </c>
    </row>
    <row r="790" spans="1:10">
      <c r="A790" t="s">
        <v>4928</v>
      </c>
      <c r="B790">
        <v>0.40336298200159998</v>
      </c>
      <c r="C790">
        <v>6.5927037333152603</v>
      </c>
      <c r="D790">
        <v>0.81461282649604305</v>
      </c>
      <c r="E790">
        <v>1</v>
      </c>
      <c r="F790">
        <v>10</v>
      </c>
      <c r="G790">
        <v>8</v>
      </c>
      <c r="H790" t="s">
        <v>28</v>
      </c>
      <c r="I790" t="s">
        <v>3438</v>
      </c>
      <c r="J790" t="s">
        <v>1221</v>
      </c>
    </row>
    <row r="791" spans="1:10">
      <c r="A791" t="s">
        <v>4929</v>
      </c>
      <c r="B791">
        <v>0.40336298200159998</v>
      </c>
      <c r="C791">
        <v>6.5927037333152603</v>
      </c>
      <c r="D791">
        <v>0.81461282649604305</v>
      </c>
      <c r="E791">
        <v>1</v>
      </c>
      <c r="F791">
        <v>10</v>
      </c>
      <c r="G791">
        <v>8</v>
      </c>
      <c r="H791" t="s">
        <v>28</v>
      </c>
      <c r="I791" t="s">
        <v>3438</v>
      </c>
      <c r="J791" t="s">
        <v>1222</v>
      </c>
    </row>
    <row r="792" spans="1:10">
      <c r="A792" t="s">
        <v>4930</v>
      </c>
      <c r="B792">
        <v>-4.95255513245682E-2</v>
      </c>
      <c r="C792">
        <v>10.572508740112401</v>
      </c>
      <c r="D792">
        <v>0.81339943761491695</v>
      </c>
      <c r="E792">
        <v>1</v>
      </c>
      <c r="F792">
        <v>135</v>
      </c>
      <c r="G792">
        <v>149</v>
      </c>
      <c r="H792" t="s">
        <v>28</v>
      </c>
      <c r="I792" t="s">
        <v>3438</v>
      </c>
      <c r="J792" t="s">
        <v>1223</v>
      </c>
    </row>
    <row r="793" spans="1:10">
      <c r="A793" t="s">
        <v>4931</v>
      </c>
      <c r="B793">
        <v>0.13359228199607101</v>
      </c>
      <c r="C793">
        <v>8.5313046485979402</v>
      </c>
      <c r="D793">
        <v>0.81027132602162899</v>
      </c>
      <c r="E793">
        <v>1</v>
      </c>
      <c r="F793">
        <v>35</v>
      </c>
      <c r="G793">
        <v>34</v>
      </c>
      <c r="H793" t="s">
        <v>4932</v>
      </c>
      <c r="I793" t="s">
        <v>4933</v>
      </c>
      <c r="J793" t="s">
        <v>1224</v>
      </c>
    </row>
    <row r="794" spans="1:10">
      <c r="A794" t="s">
        <v>4934</v>
      </c>
      <c r="B794">
        <v>9.2436152582326306E-2</v>
      </c>
      <c r="C794">
        <v>9.6707115087802702</v>
      </c>
      <c r="D794">
        <v>0.80855976428550302</v>
      </c>
      <c r="E794">
        <v>1</v>
      </c>
      <c r="F794">
        <v>76</v>
      </c>
      <c r="G794">
        <v>76</v>
      </c>
      <c r="H794" t="s">
        <v>4935</v>
      </c>
      <c r="I794" t="s">
        <v>4936</v>
      </c>
      <c r="J794" t="s">
        <v>1225</v>
      </c>
    </row>
    <row r="795" spans="1:10">
      <c r="A795" t="s">
        <v>4937</v>
      </c>
      <c r="B795">
        <v>9.2436152582326306E-2</v>
      </c>
      <c r="C795">
        <v>9.6707115087802702</v>
      </c>
      <c r="D795">
        <v>0.80855976428550302</v>
      </c>
      <c r="E795">
        <v>1</v>
      </c>
      <c r="F795">
        <v>76</v>
      </c>
      <c r="G795">
        <v>76</v>
      </c>
      <c r="H795" t="s">
        <v>4938</v>
      </c>
      <c r="I795" t="s">
        <v>4426</v>
      </c>
      <c r="J795" t="s">
        <v>1226</v>
      </c>
    </row>
    <row r="796" spans="1:10">
      <c r="A796" t="s">
        <v>4939</v>
      </c>
      <c r="B796">
        <v>-0.122075219925548</v>
      </c>
      <c r="C796">
        <v>8.4888553747216005</v>
      </c>
      <c r="D796">
        <v>0.80751204283063305</v>
      </c>
      <c r="E796">
        <v>1</v>
      </c>
      <c r="F796">
        <v>31</v>
      </c>
      <c r="G796">
        <v>36</v>
      </c>
      <c r="H796" t="s">
        <v>4940</v>
      </c>
      <c r="I796" t="s">
        <v>4941</v>
      </c>
      <c r="J796" t="s">
        <v>1227</v>
      </c>
    </row>
    <row r="797" spans="1:10">
      <c r="A797" t="s">
        <v>4942</v>
      </c>
      <c r="B797">
        <v>-7.9178317378124405E-2</v>
      </c>
      <c r="C797">
        <v>9.6611679580906902</v>
      </c>
      <c r="D797">
        <v>0.80730453031789995</v>
      </c>
      <c r="E797">
        <v>1</v>
      </c>
      <c r="F797">
        <v>71</v>
      </c>
      <c r="G797">
        <v>80</v>
      </c>
      <c r="H797" t="s">
        <v>28</v>
      </c>
      <c r="I797" t="s">
        <v>3438</v>
      </c>
      <c r="J797" t="s">
        <v>1228</v>
      </c>
    </row>
    <row r="798" spans="1:10">
      <c r="A798" t="s">
        <v>4943</v>
      </c>
      <c r="B798">
        <v>-7.9178317378124405E-2</v>
      </c>
      <c r="C798">
        <v>9.6611679580906902</v>
      </c>
      <c r="D798">
        <v>0.80730453031789995</v>
      </c>
      <c r="E798">
        <v>1</v>
      </c>
      <c r="F798">
        <v>71</v>
      </c>
      <c r="G798">
        <v>80</v>
      </c>
      <c r="H798" t="s">
        <v>4944</v>
      </c>
      <c r="I798" t="s">
        <v>4945</v>
      </c>
      <c r="J798" t="s">
        <v>1229</v>
      </c>
    </row>
    <row r="799" spans="1:10">
      <c r="A799" t="s">
        <v>4946</v>
      </c>
      <c r="B799">
        <v>-6.1089682360389697E-2</v>
      </c>
      <c r="C799">
        <v>9.6515841353320599</v>
      </c>
      <c r="D799">
        <v>0.80730453031789995</v>
      </c>
      <c r="E799">
        <v>1</v>
      </c>
      <c r="F799">
        <v>71</v>
      </c>
      <c r="G799">
        <v>79</v>
      </c>
      <c r="H799" t="s">
        <v>4947</v>
      </c>
      <c r="I799" t="s">
        <v>4948</v>
      </c>
      <c r="J799" t="s">
        <v>1230</v>
      </c>
    </row>
    <row r="800" spans="1:10">
      <c r="A800" t="s">
        <v>4949</v>
      </c>
      <c r="B800">
        <v>-0.26158382961321303</v>
      </c>
      <c r="C800">
        <v>6.4227693202268297</v>
      </c>
      <c r="D800">
        <v>0.80369789187322405</v>
      </c>
      <c r="E800">
        <v>1</v>
      </c>
      <c r="F800">
        <v>7</v>
      </c>
      <c r="G800">
        <v>9</v>
      </c>
      <c r="H800" t="s">
        <v>28</v>
      </c>
      <c r="I800" t="s">
        <v>4950</v>
      </c>
      <c r="J800" t="s">
        <v>1231</v>
      </c>
    </row>
    <row r="801" spans="1:10">
      <c r="A801" t="s">
        <v>4951</v>
      </c>
      <c r="B801">
        <v>-0.26158382961321303</v>
      </c>
      <c r="C801">
        <v>6.4227693202268297</v>
      </c>
      <c r="D801">
        <v>0.80369789187322405</v>
      </c>
      <c r="E801">
        <v>1</v>
      </c>
      <c r="F801">
        <v>7</v>
      </c>
      <c r="G801">
        <v>9</v>
      </c>
      <c r="H801" t="s">
        <v>28</v>
      </c>
      <c r="I801" t="s">
        <v>3438</v>
      </c>
      <c r="J801" t="s">
        <v>1232</v>
      </c>
    </row>
    <row r="802" spans="1:10">
      <c r="A802" t="s">
        <v>4952</v>
      </c>
      <c r="B802">
        <v>-0.26158382961321303</v>
      </c>
      <c r="C802">
        <v>6.4227693202268297</v>
      </c>
      <c r="D802">
        <v>0.80369789187322405</v>
      </c>
      <c r="E802">
        <v>1</v>
      </c>
      <c r="F802">
        <v>7</v>
      </c>
      <c r="G802">
        <v>9</v>
      </c>
      <c r="H802" t="s">
        <v>28</v>
      </c>
      <c r="I802" t="s">
        <v>3438</v>
      </c>
      <c r="J802" t="s">
        <v>1233</v>
      </c>
    </row>
    <row r="803" spans="1:10">
      <c r="A803" t="s">
        <v>4953</v>
      </c>
      <c r="B803">
        <v>-0.26158382961321303</v>
      </c>
      <c r="C803">
        <v>6.4227693202268297</v>
      </c>
      <c r="D803">
        <v>0.80369789187322405</v>
      </c>
      <c r="E803">
        <v>1</v>
      </c>
      <c r="F803">
        <v>7</v>
      </c>
      <c r="G803">
        <v>9</v>
      </c>
      <c r="H803" t="s">
        <v>28</v>
      </c>
      <c r="I803" t="s">
        <v>4954</v>
      </c>
      <c r="J803" t="s">
        <v>137</v>
      </c>
    </row>
    <row r="804" spans="1:10">
      <c r="A804" t="s">
        <v>4955</v>
      </c>
      <c r="B804">
        <v>-0.26158382961321303</v>
      </c>
      <c r="C804">
        <v>6.4227693202268297</v>
      </c>
      <c r="D804">
        <v>0.80369789187322405</v>
      </c>
      <c r="E804">
        <v>1</v>
      </c>
      <c r="F804">
        <v>7</v>
      </c>
      <c r="G804">
        <v>9</v>
      </c>
      <c r="H804" t="s">
        <v>28</v>
      </c>
      <c r="I804" t="s">
        <v>3438</v>
      </c>
      <c r="J804" t="s">
        <v>1234</v>
      </c>
    </row>
    <row r="805" spans="1:10">
      <c r="A805" t="s">
        <v>4956</v>
      </c>
      <c r="B805">
        <v>-0.26158382961321303</v>
      </c>
      <c r="C805">
        <v>6.4227693202268297</v>
      </c>
      <c r="D805">
        <v>0.80369789187322405</v>
      </c>
      <c r="E805">
        <v>1</v>
      </c>
      <c r="F805">
        <v>7</v>
      </c>
      <c r="G805">
        <v>9</v>
      </c>
      <c r="H805" t="s">
        <v>28</v>
      </c>
      <c r="I805" t="s">
        <v>3438</v>
      </c>
      <c r="J805" t="s">
        <v>1235</v>
      </c>
    </row>
    <row r="806" spans="1:10">
      <c r="A806" t="s">
        <v>4957</v>
      </c>
      <c r="B806">
        <v>-0.26158382961321303</v>
      </c>
      <c r="C806">
        <v>6.4227693202268297</v>
      </c>
      <c r="D806">
        <v>0.80369789187322405</v>
      </c>
      <c r="E806">
        <v>1</v>
      </c>
      <c r="F806">
        <v>7</v>
      </c>
      <c r="G806">
        <v>9</v>
      </c>
      <c r="H806" t="s">
        <v>28</v>
      </c>
      <c r="I806" t="s">
        <v>4958</v>
      </c>
      <c r="J806" t="s">
        <v>1236</v>
      </c>
    </row>
    <row r="807" spans="1:10">
      <c r="A807" t="s">
        <v>4959</v>
      </c>
      <c r="B807">
        <v>-0.26158382961321303</v>
      </c>
      <c r="C807">
        <v>6.4227693202268297</v>
      </c>
      <c r="D807">
        <v>0.80369789187322405</v>
      </c>
      <c r="E807">
        <v>1</v>
      </c>
      <c r="F807">
        <v>7</v>
      </c>
      <c r="G807">
        <v>9</v>
      </c>
      <c r="H807" t="s">
        <v>4960</v>
      </c>
      <c r="I807" t="s">
        <v>4961</v>
      </c>
      <c r="J807" t="s">
        <v>1237</v>
      </c>
    </row>
    <row r="808" spans="1:10">
      <c r="A808" t="s">
        <v>4962</v>
      </c>
      <c r="B808">
        <v>-0.26158382961321303</v>
      </c>
      <c r="C808">
        <v>6.4227693202268297</v>
      </c>
      <c r="D808">
        <v>0.80369789187322405</v>
      </c>
      <c r="E808">
        <v>1</v>
      </c>
      <c r="F808">
        <v>7</v>
      </c>
      <c r="G808">
        <v>9</v>
      </c>
      <c r="H808" t="s">
        <v>28</v>
      </c>
      <c r="I808" t="s">
        <v>3438</v>
      </c>
      <c r="J808" t="s">
        <v>1238</v>
      </c>
    </row>
    <row r="809" spans="1:10">
      <c r="A809" t="s">
        <v>4963</v>
      </c>
      <c r="B809">
        <v>-0.26158382961321303</v>
      </c>
      <c r="C809">
        <v>6.4227693202268297</v>
      </c>
      <c r="D809">
        <v>0.80369789187322405</v>
      </c>
      <c r="E809">
        <v>1</v>
      </c>
      <c r="F809">
        <v>7</v>
      </c>
      <c r="G809">
        <v>9</v>
      </c>
      <c r="H809" t="s">
        <v>4964</v>
      </c>
      <c r="I809" t="s">
        <v>4965</v>
      </c>
      <c r="J809" t="s">
        <v>443</v>
      </c>
    </row>
    <row r="810" spans="1:10">
      <c r="A810" t="s">
        <v>4966</v>
      </c>
      <c r="B810">
        <v>-0.26158382961321303</v>
      </c>
      <c r="C810">
        <v>6.4227693202268297</v>
      </c>
      <c r="D810">
        <v>0.80369789187322405</v>
      </c>
      <c r="E810">
        <v>1</v>
      </c>
      <c r="F810">
        <v>7</v>
      </c>
      <c r="G810">
        <v>9</v>
      </c>
      <c r="H810" t="s">
        <v>28</v>
      </c>
      <c r="I810" t="s">
        <v>3438</v>
      </c>
      <c r="J810" t="s">
        <v>1239</v>
      </c>
    </row>
    <row r="811" spans="1:10">
      <c r="A811" t="s">
        <v>4967</v>
      </c>
      <c r="B811">
        <v>0.44136159441454098</v>
      </c>
      <c r="C811">
        <v>6.4227785836505404</v>
      </c>
      <c r="D811">
        <v>0.80369789187322405</v>
      </c>
      <c r="E811">
        <v>1</v>
      </c>
      <c r="F811">
        <v>9</v>
      </c>
      <c r="G811">
        <v>7</v>
      </c>
      <c r="H811" t="s">
        <v>4968</v>
      </c>
      <c r="I811" t="s">
        <v>4748</v>
      </c>
      <c r="J811" t="s">
        <v>1240</v>
      </c>
    </row>
    <row r="812" spans="1:10">
      <c r="A812" t="s">
        <v>4969</v>
      </c>
      <c r="B812">
        <v>0.44136159441454098</v>
      </c>
      <c r="C812">
        <v>6.4227785836505404</v>
      </c>
      <c r="D812">
        <v>0.80369789187322405</v>
      </c>
      <c r="E812">
        <v>1</v>
      </c>
      <c r="F812">
        <v>9</v>
      </c>
      <c r="G812">
        <v>7</v>
      </c>
      <c r="H812" t="s">
        <v>4970</v>
      </c>
      <c r="I812" t="s">
        <v>4971</v>
      </c>
      <c r="J812" t="s">
        <v>1241</v>
      </c>
    </row>
    <row r="813" spans="1:10">
      <c r="A813" t="s">
        <v>4972</v>
      </c>
      <c r="B813">
        <v>0.44136159441454098</v>
      </c>
      <c r="C813">
        <v>6.4227785836505404</v>
      </c>
      <c r="D813">
        <v>0.80369789187322405</v>
      </c>
      <c r="E813">
        <v>1</v>
      </c>
      <c r="F813">
        <v>9</v>
      </c>
      <c r="G813">
        <v>7</v>
      </c>
      <c r="H813" t="s">
        <v>28</v>
      </c>
      <c r="I813" t="s">
        <v>3438</v>
      </c>
      <c r="J813" t="s">
        <v>1242</v>
      </c>
    </row>
    <row r="814" spans="1:10">
      <c r="A814" t="s">
        <v>4973</v>
      </c>
      <c r="B814">
        <v>0.44136159441454098</v>
      </c>
      <c r="C814">
        <v>6.4227785836505404</v>
      </c>
      <c r="D814">
        <v>0.80369789187322405</v>
      </c>
      <c r="E814">
        <v>1</v>
      </c>
      <c r="F814">
        <v>9</v>
      </c>
      <c r="G814">
        <v>7</v>
      </c>
      <c r="H814" t="s">
        <v>28</v>
      </c>
      <c r="I814" t="s">
        <v>3438</v>
      </c>
      <c r="J814" t="s">
        <v>1243</v>
      </c>
    </row>
    <row r="815" spans="1:10">
      <c r="A815" t="s">
        <v>4974</v>
      </c>
      <c r="B815">
        <v>0.44136159441454098</v>
      </c>
      <c r="C815">
        <v>6.4227785836505404</v>
      </c>
      <c r="D815">
        <v>0.80369789187322405</v>
      </c>
      <c r="E815">
        <v>1</v>
      </c>
      <c r="F815">
        <v>9</v>
      </c>
      <c r="G815">
        <v>7</v>
      </c>
      <c r="H815" t="s">
        <v>4975</v>
      </c>
      <c r="I815" t="s">
        <v>4976</v>
      </c>
      <c r="J815" t="s">
        <v>1244</v>
      </c>
    </row>
    <row r="816" spans="1:10">
      <c r="A816" t="s">
        <v>4977</v>
      </c>
      <c r="B816">
        <v>0.44136159441454098</v>
      </c>
      <c r="C816">
        <v>6.4227785836505404</v>
      </c>
      <c r="D816">
        <v>0.80369789187322405</v>
      </c>
      <c r="E816">
        <v>1</v>
      </c>
      <c r="F816">
        <v>9</v>
      </c>
      <c r="G816">
        <v>7</v>
      </c>
      <c r="H816" t="s">
        <v>28</v>
      </c>
      <c r="I816" t="s">
        <v>3438</v>
      </c>
      <c r="J816" t="s">
        <v>1245</v>
      </c>
    </row>
    <row r="817" spans="1:10">
      <c r="A817" t="s">
        <v>4978</v>
      </c>
      <c r="B817">
        <v>0.44136159441454098</v>
      </c>
      <c r="C817">
        <v>6.4227785836505404</v>
      </c>
      <c r="D817">
        <v>0.80369789187322405</v>
      </c>
      <c r="E817">
        <v>1</v>
      </c>
      <c r="F817">
        <v>9</v>
      </c>
      <c r="G817">
        <v>7</v>
      </c>
      <c r="H817" t="s">
        <v>28</v>
      </c>
      <c r="I817" t="s">
        <v>3438</v>
      </c>
      <c r="J817" t="s">
        <v>1246</v>
      </c>
    </row>
    <row r="818" spans="1:10">
      <c r="A818" t="s">
        <v>4979</v>
      </c>
      <c r="B818">
        <v>0.44136159441454098</v>
      </c>
      <c r="C818">
        <v>6.4227785836505404</v>
      </c>
      <c r="D818">
        <v>0.80369789187322405</v>
      </c>
      <c r="E818">
        <v>1</v>
      </c>
      <c r="F818">
        <v>9</v>
      </c>
      <c r="G818">
        <v>7</v>
      </c>
      <c r="H818" t="s">
        <v>28</v>
      </c>
      <c r="I818" t="s">
        <v>4980</v>
      </c>
      <c r="J818" t="s">
        <v>1247</v>
      </c>
    </row>
    <row r="819" spans="1:10">
      <c r="A819" t="s">
        <v>4981</v>
      </c>
      <c r="B819">
        <v>0.44136159441454098</v>
      </c>
      <c r="C819">
        <v>6.4227785836505404</v>
      </c>
      <c r="D819">
        <v>0.80369789187322405</v>
      </c>
      <c r="E819">
        <v>1</v>
      </c>
      <c r="F819">
        <v>9</v>
      </c>
      <c r="G819">
        <v>7</v>
      </c>
      <c r="H819" t="s">
        <v>4982</v>
      </c>
      <c r="I819" t="s">
        <v>4983</v>
      </c>
      <c r="J819" t="s">
        <v>1248</v>
      </c>
    </row>
    <row r="820" spans="1:10">
      <c r="A820" t="s">
        <v>4984</v>
      </c>
      <c r="B820">
        <v>0.44136159441454098</v>
      </c>
      <c r="C820">
        <v>6.4227785836505404</v>
      </c>
      <c r="D820">
        <v>0.80369789187322405</v>
      </c>
      <c r="E820">
        <v>1</v>
      </c>
      <c r="F820">
        <v>9</v>
      </c>
      <c r="G820">
        <v>7</v>
      </c>
      <c r="H820" t="s">
        <v>176</v>
      </c>
      <c r="I820" t="s">
        <v>4985</v>
      </c>
      <c r="J820" t="s">
        <v>175</v>
      </c>
    </row>
    <row r="821" spans="1:10">
      <c r="A821" t="s">
        <v>4986</v>
      </c>
      <c r="B821">
        <v>0.44136159441454098</v>
      </c>
      <c r="C821">
        <v>6.4227785836505404</v>
      </c>
      <c r="D821">
        <v>0.80369789187322405</v>
      </c>
      <c r="E821">
        <v>1</v>
      </c>
      <c r="F821">
        <v>9</v>
      </c>
      <c r="G821">
        <v>7</v>
      </c>
      <c r="H821" t="s">
        <v>4987</v>
      </c>
      <c r="I821" t="s">
        <v>3450</v>
      </c>
      <c r="J821" t="s">
        <v>1249</v>
      </c>
    </row>
    <row r="822" spans="1:10">
      <c r="A822" t="s">
        <v>4988</v>
      </c>
      <c r="B822">
        <v>0.44136159441454098</v>
      </c>
      <c r="C822">
        <v>6.4227785836505404</v>
      </c>
      <c r="D822">
        <v>0.80369789187322405</v>
      </c>
      <c r="E822">
        <v>1</v>
      </c>
      <c r="F822">
        <v>9</v>
      </c>
      <c r="G822">
        <v>7</v>
      </c>
      <c r="H822" t="s">
        <v>28</v>
      </c>
      <c r="I822" t="s">
        <v>3436</v>
      </c>
      <c r="J822" t="s">
        <v>1250</v>
      </c>
    </row>
    <row r="823" spans="1:10">
      <c r="A823" t="s">
        <v>4989</v>
      </c>
      <c r="B823">
        <v>-0.13566180416722201</v>
      </c>
      <c r="C823">
        <v>8.4000458095217105</v>
      </c>
      <c r="D823">
        <v>0.80161376090744296</v>
      </c>
      <c r="E823">
        <v>1</v>
      </c>
      <c r="F823">
        <v>29</v>
      </c>
      <c r="G823">
        <v>34</v>
      </c>
      <c r="H823" t="s">
        <v>4990</v>
      </c>
      <c r="I823" t="s">
        <v>4991</v>
      </c>
      <c r="J823" t="s">
        <v>1251</v>
      </c>
    </row>
    <row r="824" spans="1:10">
      <c r="A824" t="s">
        <v>4992</v>
      </c>
      <c r="B824">
        <v>-7.4446553248694605E-2</v>
      </c>
      <c r="C824">
        <v>9.5312890097599503</v>
      </c>
      <c r="D824">
        <v>0.79922276672025605</v>
      </c>
      <c r="E824">
        <v>1</v>
      </c>
      <c r="F824">
        <v>65</v>
      </c>
      <c r="G824">
        <v>73</v>
      </c>
      <c r="H824" t="s">
        <v>4993</v>
      </c>
      <c r="I824" t="s">
        <v>4994</v>
      </c>
      <c r="J824" t="s">
        <v>1252</v>
      </c>
    </row>
    <row r="825" spans="1:10">
      <c r="A825" t="s">
        <v>4995</v>
      </c>
      <c r="B825">
        <v>-0.14312211573089201</v>
      </c>
      <c r="C825">
        <v>8.3535030744163805</v>
      </c>
      <c r="D825">
        <v>0.79845472636384696</v>
      </c>
      <c r="E825">
        <v>1</v>
      </c>
      <c r="F825">
        <v>28</v>
      </c>
      <c r="G825">
        <v>33</v>
      </c>
      <c r="H825" t="s">
        <v>4996</v>
      </c>
      <c r="I825" t="s">
        <v>4997</v>
      </c>
      <c r="J825" t="s">
        <v>1253</v>
      </c>
    </row>
    <row r="826" spans="1:10">
      <c r="A826" t="s">
        <v>4998</v>
      </c>
      <c r="B826">
        <v>-0.14312211573089201</v>
      </c>
      <c r="C826">
        <v>8.3535030744163805</v>
      </c>
      <c r="D826">
        <v>0.79845472636384696</v>
      </c>
      <c r="E826">
        <v>1</v>
      </c>
      <c r="F826">
        <v>28</v>
      </c>
      <c r="G826">
        <v>33</v>
      </c>
      <c r="H826" t="s">
        <v>4999</v>
      </c>
      <c r="I826" t="s">
        <v>5000</v>
      </c>
      <c r="J826" t="s">
        <v>1254</v>
      </c>
    </row>
    <row r="827" spans="1:10">
      <c r="A827" t="s">
        <v>5001</v>
      </c>
      <c r="B827">
        <v>-0.14312211573089201</v>
      </c>
      <c r="C827">
        <v>8.3535030744163805</v>
      </c>
      <c r="D827">
        <v>0.79845472636384696</v>
      </c>
      <c r="E827">
        <v>1</v>
      </c>
      <c r="F827">
        <v>28</v>
      </c>
      <c r="G827">
        <v>33</v>
      </c>
      <c r="H827" t="s">
        <v>5002</v>
      </c>
      <c r="I827" t="s">
        <v>5003</v>
      </c>
      <c r="J827" t="s">
        <v>1255</v>
      </c>
    </row>
    <row r="828" spans="1:10">
      <c r="A828" t="s">
        <v>5004</v>
      </c>
      <c r="B828">
        <v>0.13890723997340501</v>
      </c>
      <c r="C828">
        <v>8.3535169384027306</v>
      </c>
      <c r="D828">
        <v>0.79845472636384696</v>
      </c>
      <c r="E828">
        <v>1</v>
      </c>
      <c r="F828">
        <v>31</v>
      </c>
      <c r="G828">
        <v>30</v>
      </c>
      <c r="H828" t="s">
        <v>5005</v>
      </c>
      <c r="I828" t="s">
        <v>5006</v>
      </c>
      <c r="J828" t="s">
        <v>1256</v>
      </c>
    </row>
    <row r="829" spans="1:10">
      <c r="A829" t="s">
        <v>5007</v>
      </c>
      <c r="B829">
        <v>0.13890723997340501</v>
      </c>
      <c r="C829">
        <v>8.3535169384027306</v>
      </c>
      <c r="D829">
        <v>0.79845472636384696</v>
      </c>
      <c r="E829">
        <v>1</v>
      </c>
      <c r="F829">
        <v>31</v>
      </c>
      <c r="G829">
        <v>30</v>
      </c>
      <c r="H829" t="s">
        <v>5008</v>
      </c>
      <c r="I829" t="s">
        <v>5009</v>
      </c>
      <c r="J829" t="s">
        <v>1257</v>
      </c>
    </row>
    <row r="830" spans="1:10">
      <c r="A830" t="s">
        <v>5010</v>
      </c>
      <c r="B830">
        <v>-0.151087435737429</v>
      </c>
      <c r="C830">
        <v>8.3054086370173295</v>
      </c>
      <c r="D830">
        <v>0.79514049263709496</v>
      </c>
      <c r="E830">
        <v>1</v>
      </c>
      <c r="F830">
        <v>27</v>
      </c>
      <c r="G830">
        <v>32</v>
      </c>
      <c r="H830" t="s">
        <v>5011</v>
      </c>
      <c r="I830" t="s">
        <v>5012</v>
      </c>
      <c r="J830" t="s">
        <v>1258</v>
      </c>
    </row>
    <row r="831" spans="1:10">
      <c r="A831" t="s">
        <v>5013</v>
      </c>
      <c r="B831">
        <v>0.14045935452281999</v>
      </c>
      <c r="C831">
        <v>8.3054225023831592</v>
      </c>
      <c r="D831">
        <v>0.79514049263709496</v>
      </c>
      <c r="E831">
        <v>1</v>
      </c>
      <c r="F831">
        <v>30</v>
      </c>
      <c r="G831">
        <v>29</v>
      </c>
      <c r="H831" t="s">
        <v>5014</v>
      </c>
      <c r="I831" t="s">
        <v>5015</v>
      </c>
      <c r="J831" t="s">
        <v>1259</v>
      </c>
    </row>
    <row r="832" spans="1:10">
      <c r="A832" t="s">
        <v>5016</v>
      </c>
      <c r="B832">
        <v>-8.7489829523243495E-2</v>
      </c>
      <c r="C832">
        <v>9.4227638089582708</v>
      </c>
      <c r="D832">
        <v>0.79165931902130005</v>
      </c>
      <c r="E832">
        <v>1</v>
      </c>
      <c r="F832">
        <v>60</v>
      </c>
      <c r="G832">
        <v>68</v>
      </c>
      <c r="H832" t="s">
        <v>5017</v>
      </c>
      <c r="I832" t="s">
        <v>5018</v>
      </c>
      <c r="J832" t="s">
        <v>1260</v>
      </c>
    </row>
    <row r="833" spans="1:10">
      <c r="A833" t="s">
        <v>5019</v>
      </c>
      <c r="B833">
        <v>-0.15961097338146199</v>
      </c>
      <c r="C833">
        <v>8.2556554525925208</v>
      </c>
      <c r="D833">
        <v>0.79165791009692399</v>
      </c>
      <c r="E833">
        <v>1</v>
      </c>
      <c r="F833">
        <v>26</v>
      </c>
      <c r="G833">
        <v>31</v>
      </c>
      <c r="H833" t="s">
        <v>5020</v>
      </c>
      <c r="I833" t="s">
        <v>5021</v>
      </c>
      <c r="J833" t="s">
        <v>1261</v>
      </c>
    </row>
    <row r="834" spans="1:10">
      <c r="A834" t="s">
        <v>5022</v>
      </c>
      <c r="B834">
        <v>0.142119472843689</v>
      </c>
      <c r="C834">
        <v>8.2556693193381108</v>
      </c>
      <c r="D834">
        <v>0.79165791009692399</v>
      </c>
      <c r="E834">
        <v>1</v>
      </c>
      <c r="F834">
        <v>29</v>
      </c>
      <c r="G834">
        <v>28</v>
      </c>
      <c r="H834" t="s">
        <v>5023</v>
      </c>
      <c r="I834" t="s">
        <v>5024</v>
      </c>
      <c r="J834" t="s">
        <v>1262</v>
      </c>
    </row>
    <row r="835" spans="1:10">
      <c r="A835" t="s">
        <v>5025</v>
      </c>
      <c r="B835">
        <v>0.142119472843689</v>
      </c>
      <c r="C835">
        <v>8.2556693193381108</v>
      </c>
      <c r="D835">
        <v>0.79165791009692399</v>
      </c>
      <c r="E835">
        <v>1</v>
      </c>
      <c r="F835">
        <v>29</v>
      </c>
      <c r="G835">
        <v>28</v>
      </c>
      <c r="H835" t="s">
        <v>28</v>
      </c>
      <c r="I835" t="s">
        <v>5026</v>
      </c>
      <c r="J835" t="s">
        <v>1263</v>
      </c>
    </row>
    <row r="836" spans="1:10">
      <c r="A836" t="s">
        <v>5027</v>
      </c>
      <c r="B836">
        <v>-0.31105715825518998</v>
      </c>
      <c r="C836">
        <v>6.2301240931086603</v>
      </c>
      <c r="D836">
        <v>0.79060062254250996</v>
      </c>
      <c r="E836">
        <v>1</v>
      </c>
      <c r="F836">
        <v>6</v>
      </c>
      <c r="G836">
        <v>8</v>
      </c>
      <c r="H836" t="s">
        <v>28</v>
      </c>
      <c r="I836" t="s">
        <v>3438</v>
      </c>
      <c r="J836" t="s">
        <v>1264</v>
      </c>
    </row>
    <row r="837" spans="1:10">
      <c r="A837" t="s">
        <v>5028</v>
      </c>
      <c r="B837">
        <v>-0.31105715825518998</v>
      </c>
      <c r="C837">
        <v>6.2301240931086603</v>
      </c>
      <c r="D837">
        <v>0.79060062254250996</v>
      </c>
      <c r="E837">
        <v>1</v>
      </c>
      <c r="F837">
        <v>6</v>
      </c>
      <c r="G837">
        <v>8</v>
      </c>
      <c r="H837" t="s">
        <v>28</v>
      </c>
      <c r="I837" t="s">
        <v>3438</v>
      </c>
      <c r="J837" t="s">
        <v>1265</v>
      </c>
    </row>
    <row r="838" spans="1:10">
      <c r="A838" t="s">
        <v>5029</v>
      </c>
      <c r="B838">
        <v>-0.31105715825518998</v>
      </c>
      <c r="C838">
        <v>6.2301240931086603</v>
      </c>
      <c r="D838">
        <v>0.79060062254250996</v>
      </c>
      <c r="E838">
        <v>1</v>
      </c>
      <c r="F838">
        <v>6</v>
      </c>
      <c r="G838">
        <v>8</v>
      </c>
      <c r="H838" t="s">
        <v>28</v>
      </c>
      <c r="I838" t="s">
        <v>3438</v>
      </c>
      <c r="J838" t="s">
        <v>1266</v>
      </c>
    </row>
    <row r="839" spans="1:10">
      <c r="A839" t="s">
        <v>5030</v>
      </c>
      <c r="B839">
        <v>-0.31105715825518998</v>
      </c>
      <c r="C839">
        <v>6.2301240931086603</v>
      </c>
      <c r="D839">
        <v>0.79060062254250996</v>
      </c>
      <c r="E839">
        <v>1</v>
      </c>
      <c r="F839">
        <v>6</v>
      </c>
      <c r="G839">
        <v>8</v>
      </c>
      <c r="H839" t="s">
        <v>28</v>
      </c>
      <c r="I839" t="s">
        <v>3438</v>
      </c>
      <c r="J839" t="s">
        <v>1267</v>
      </c>
    </row>
    <row r="840" spans="1:10">
      <c r="A840" t="s">
        <v>5031</v>
      </c>
      <c r="B840">
        <v>-0.31105715825518998</v>
      </c>
      <c r="C840">
        <v>6.2301240931086603</v>
      </c>
      <c r="D840">
        <v>0.79060062254250996</v>
      </c>
      <c r="E840">
        <v>1</v>
      </c>
      <c r="F840">
        <v>6</v>
      </c>
      <c r="G840">
        <v>8</v>
      </c>
      <c r="H840" t="s">
        <v>5032</v>
      </c>
      <c r="I840" t="s">
        <v>5033</v>
      </c>
      <c r="J840" t="s">
        <v>1268</v>
      </c>
    </row>
    <row r="841" spans="1:10">
      <c r="A841" t="s">
        <v>5034</v>
      </c>
      <c r="B841">
        <v>0.49001971625423402</v>
      </c>
      <c r="C841">
        <v>6.2301333574561601</v>
      </c>
      <c r="D841">
        <v>0.79060062254250996</v>
      </c>
      <c r="E841">
        <v>1</v>
      </c>
      <c r="F841">
        <v>8</v>
      </c>
      <c r="G841">
        <v>6</v>
      </c>
      <c r="H841" t="s">
        <v>28</v>
      </c>
      <c r="I841" t="s">
        <v>3438</v>
      </c>
      <c r="J841" t="s">
        <v>1269</v>
      </c>
    </row>
    <row r="842" spans="1:10">
      <c r="A842" t="s">
        <v>5035</v>
      </c>
      <c r="B842">
        <v>0.49001971625423402</v>
      </c>
      <c r="C842">
        <v>6.2301333574561601</v>
      </c>
      <c r="D842">
        <v>0.79060062254250996</v>
      </c>
      <c r="E842">
        <v>1</v>
      </c>
      <c r="F842">
        <v>8</v>
      </c>
      <c r="G842">
        <v>6</v>
      </c>
      <c r="H842" t="s">
        <v>28</v>
      </c>
      <c r="I842" t="s">
        <v>3438</v>
      </c>
      <c r="J842" t="s">
        <v>1270</v>
      </c>
    </row>
    <row r="843" spans="1:10">
      <c r="A843" t="s">
        <v>5036</v>
      </c>
      <c r="B843">
        <v>0.49001971625423402</v>
      </c>
      <c r="C843">
        <v>6.2301333574561601</v>
      </c>
      <c r="D843">
        <v>0.79060062254250996</v>
      </c>
      <c r="E843">
        <v>1</v>
      </c>
      <c r="F843">
        <v>8</v>
      </c>
      <c r="G843">
        <v>6</v>
      </c>
      <c r="H843" t="s">
        <v>28</v>
      </c>
      <c r="I843" t="s">
        <v>3438</v>
      </c>
      <c r="J843" t="s">
        <v>1271</v>
      </c>
    </row>
    <row r="844" spans="1:10">
      <c r="A844" t="s">
        <v>5037</v>
      </c>
      <c r="B844">
        <v>0.49001971625423402</v>
      </c>
      <c r="C844">
        <v>6.2301333574561601</v>
      </c>
      <c r="D844">
        <v>0.79060062254250996</v>
      </c>
      <c r="E844">
        <v>1</v>
      </c>
      <c r="F844">
        <v>8</v>
      </c>
      <c r="G844">
        <v>6</v>
      </c>
      <c r="H844" t="s">
        <v>28</v>
      </c>
      <c r="I844" t="s">
        <v>3438</v>
      </c>
      <c r="J844" t="s">
        <v>1272</v>
      </c>
    </row>
    <row r="845" spans="1:10">
      <c r="A845" t="s">
        <v>5038</v>
      </c>
      <c r="B845">
        <v>0.49001971625423402</v>
      </c>
      <c r="C845">
        <v>6.2301333574561601</v>
      </c>
      <c r="D845">
        <v>0.79060062254250996</v>
      </c>
      <c r="E845">
        <v>1</v>
      </c>
      <c r="F845">
        <v>8</v>
      </c>
      <c r="G845">
        <v>6</v>
      </c>
      <c r="H845" t="s">
        <v>28</v>
      </c>
      <c r="I845" t="s">
        <v>3438</v>
      </c>
      <c r="J845" t="s">
        <v>1273</v>
      </c>
    </row>
    <row r="846" spans="1:10">
      <c r="A846" t="s">
        <v>5039</v>
      </c>
      <c r="B846">
        <v>0.49001971625423402</v>
      </c>
      <c r="C846">
        <v>6.2301333574561601</v>
      </c>
      <c r="D846">
        <v>0.79060062254250996</v>
      </c>
      <c r="E846">
        <v>1</v>
      </c>
      <c r="F846">
        <v>8</v>
      </c>
      <c r="G846">
        <v>6</v>
      </c>
      <c r="H846" t="s">
        <v>28</v>
      </c>
      <c r="I846" t="s">
        <v>3436</v>
      </c>
      <c r="J846" t="s">
        <v>1274</v>
      </c>
    </row>
    <row r="847" spans="1:10">
      <c r="A847" t="s">
        <v>5040</v>
      </c>
      <c r="B847">
        <v>0.49001971625423402</v>
      </c>
      <c r="C847">
        <v>6.2301333574561601</v>
      </c>
      <c r="D847">
        <v>0.79060062254250996</v>
      </c>
      <c r="E847">
        <v>1</v>
      </c>
      <c r="F847">
        <v>8</v>
      </c>
      <c r="G847">
        <v>6</v>
      </c>
      <c r="H847" t="s">
        <v>28</v>
      </c>
      <c r="I847" t="s">
        <v>5041</v>
      </c>
      <c r="J847" t="s">
        <v>1275</v>
      </c>
    </row>
    <row r="848" spans="1:10">
      <c r="A848" t="s">
        <v>5042</v>
      </c>
      <c r="B848">
        <v>0.49001971625423402</v>
      </c>
      <c r="C848">
        <v>6.2301333574561601</v>
      </c>
      <c r="D848">
        <v>0.79060062254250996</v>
      </c>
      <c r="E848">
        <v>1</v>
      </c>
      <c r="F848">
        <v>8</v>
      </c>
      <c r="G848">
        <v>6</v>
      </c>
      <c r="H848" t="s">
        <v>28</v>
      </c>
      <c r="I848" t="s">
        <v>3438</v>
      </c>
      <c r="J848" t="s">
        <v>1276</v>
      </c>
    </row>
    <row r="849" spans="1:10">
      <c r="A849" t="s">
        <v>5043</v>
      </c>
      <c r="B849">
        <v>0.49001971625423402</v>
      </c>
      <c r="C849">
        <v>6.2301333574561601</v>
      </c>
      <c r="D849">
        <v>0.79060062254250996</v>
      </c>
      <c r="E849">
        <v>1</v>
      </c>
      <c r="F849">
        <v>8</v>
      </c>
      <c r="G849">
        <v>6</v>
      </c>
      <c r="H849" t="s">
        <v>5044</v>
      </c>
      <c r="I849" t="s">
        <v>5045</v>
      </c>
      <c r="J849" t="s">
        <v>1277</v>
      </c>
    </row>
    <row r="850" spans="1:10">
      <c r="A850" t="s">
        <v>5046</v>
      </c>
      <c r="B850">
        <v>0.49001971625423402</v>
      </c>
      <c r="C850">
        <v>6.2301333574561601</v>
      </c>
      <c r="D850">
        <v>0.79060062254250996</v>
      </c>
      <c r="E850">
        <v>1</v>
      </c>
      <c r="F850">
        <v>8</v>
      </c>
      <c r="G850">
        <v>6</v>
      </c>
      <c r="H850" t="s">
        <v>5047</v>
      </c>
      <c r="I850" t="s">
        <v>5048</v>
      </c>
      <c r="J850" t="s">
        <v>1278</v>
      </c>
    </row>
    <row r="851" spans="1:10">
      <c r="A851" t="s">
        <v>5049</v>
      </c>
      <c r="B851">
        <v>0.49001971625423402</v>
      </c>
      <c r="C851">
        <v>6.2301333574561601</v>
      </c>
      <c r="D851">
        <v>0.79060062254250996</v>
      </c>
      <c r="E851">
        <v>1</v>
      </c>
      <c r="F851">
        <v>8</v>
      </c>
      <c r="G851">
        <v>6</v>
      </c>
      <c r="H851" t="s">
        <v>5050</v>
      </c>
      <c r="I851" t="s">
        <v>4748</v>
      </c>
      <c r="J851" t="s">
        <v>1279</v>
      </c>
    </row>
    <row r="852" spans="1:10">
      <c r="A852" t="s">
        <v>5051</v>
      </c>
      <c r="B852">
        <v>9.2367791810668204E-2</v>
      </c>
      <c r="C852">
        <v>9.3769782490439795</v>
      </c>
      <c r="D852">
        <v>0.78838759432766903</v>
      </c>
      <c r="E852">
        <v>1</v>
      </c>
      <c r="F852">
        <v>62</v>
      </c>
      <c r="G852">
        <v>62</v>
      </c>
      <c r="H852" t="s">
        <v>19</v>
      </c>
      <c r="I852" t="s">
        <v>5052</v>
      </c>
      <c r="J852" t="s">
        <v>20</v>
      </c>
    </row>
    <row r="853" spans="1:10">
      <c r="A853" t="s">
        <v>5053</v>
      </c>
      <c r="B853">
        <v>-0.16875370596269401</v>
      </c>
      <c r="C853">
        <v>8.2041250026950099</v>
      </c>
      <c r="D853">
        <v>0.78799221439450895</v>
      </c>
      <c r="E853">
        <v>1</v>
      </c>
      <c r="F853">
        <v>25</v>
      </c>
      <c r="G853">
        <v>30</v>
      </c>
      <c r="H853" t="s">
        <v>28</v>
      </c>
      <c r="I853" t="s">
        <v>3438</v>
      </c>
      <c r="J853" t="s">
        <v>1280</v>
      </c>
    </row>
    <row r="854" spans="1:10">
      <c r="A854" t="s">
        <v>5054</v>
      </c>
      <c r="B854">
        <v>2.5407212921352201E-2</v>
      </c>
      <c r="C854">
        <v>12.7514723405823</v>
      </c>
      <c r="D854">
        <v>0.786857173867478</v>
      </c>
      <c r="E854">
        <v>1</v>
      </c>
      <c r="F854">
        <v>628</v>
      </c>
      <c r="G854">
        <v>658</v>
      </c>
      <c r="H854" t="s">
        <v>42</v>
      </c>
      <c r="I854" t="s">
        <v>5055</v>
      </c>
      <c r="J854" t="s">
        <v>41</v>
      </c>
    </row>
    <row r="855" spans="1:10">
      <c r="A855" t="s">
        <v>5056</v>
      </c>
      <c r="B855">
        <v>-9.6342119408378502E-2</v>
      </c>
      <c r="C855">
        <v>9.3535006997523507</v>
      </c>
      <c r="D855">
        <v>0.78669336851708205</v>
      </c>
      <c r="E855">
        <v>1</v>
      </c>
      <c r="F855">
        <v>57</v>
      </c>
      <c r="G855">
        <v>65</v>
      </c>
      <c r="H855" t="s">
        <v>28</v>
      </c>
      <c r="I855" t="s">
        <v>3438</v>
      </c>
      <c r="J855" t="s">
        <v>1281</v>
      </c>
    </row>
    <row r="856" spans="1:10">
      <c r="A856" t="s">
        <v>5057</v>
      </c>
      <c r="B856">
        <v>-9.6342119408378502E-2</v>
      </c>
      <c r="C856">
        <v>9.3535006997523507</v>
      </c>
      <c r="D856">
        <v>0.78669336851708205</v>
      </c>
      <c r="E856">
        <v>1</v>
      </c>
      <c r="F856">
        <v>57</v>
      </c>
      <c r="G856">
        <v>65</v>
      </c>
      <c r="H856" t="s">
        <v>28</v>
      </c>
      <c r="I856" t="s">
        <v>3438</v>
      </c>
      <c r="J856" t="s">
        <v>1282</v>
      </c>
    </row>
    <row r="857" spans="1:10">
      <c r="A857" t="s">
        <v>5058</v>
      </c>
      <c r="B857">
        <v>-0.17858585443161301</v>
      </c>
      <c r="C857">
        <v>8.1506855944464007</v>
      </c>
      <c r="D857">
        <v>0.78412676224921796</v>
      </c>
      <c r="E857">
        <v>1</v>
      </c>
      <c r="F857">
        <v>24</v>
      </c>
      <c r="G857">
        <v>29</v>
      </c>
      <c r="H857" t="s">
        <v>28</v>
      </c>
      <c r="I857" t="s">
        <v>3438</v>
      </c>
      <c r="J857" t="s">
        <v>1283</v>
      </c>
    </row>
    <row r="858" spans="1:10">
      <c r="A858" t="s">
        <v>5059</v>
      </c>
      <c r="B858">
        <v>-0.17858585443161301</v>
      </c>
      <c r="C858">
        <v>8.1506855944464007</v>
      </c>
      <c r="D858">
        <v>0.78412676224921796</v>
      </c>
      <c r="E858">
        <v>1</v>
      </c>
      <c r="F858">
        <v>24</v>
      </c>
      <c r="G858">
        <v>29</v>
      </c>
      <c r="H858" t="s">
        <v>5060</v>
      </c>
      <c r="I858" t="s">
        <v>5061</v>
      </c>
      <c r="J858" t="s">
        <v>1284</v>
      </c>
    </row>
    <row r="859" spans="1:10">
      <c r="A859" t="s">
        <v>5062</v>
      </c>
      <c r="B859">
        <v>-0.102743869860832</v>
      </c>
      <c r="C859">
        <v>9.3054061135574795</v>
      </c>
      <c r="D859">
        <v>0.78318022332009696</v>
      </c>
      <c r="E859">
        <v>1</v>
      </c>
      <c r="F859">
        <v>55</v>
      </c>
      <c r="G859">
        <v>63</v>
      </c>
      <c r="H859" t="s">
        <v>5063</v>
      </c>
      <c r="I859" t="s">
        <v>5064</v>
      </c>
      <c r="J859" t="s">
        <v>1285</v>
      </c>
    </row>
    <row r="860" spans="1:10">
      <c r="A860" t="s">
        <v>5065</v>
      </c>
      <c r="B860">
        <v>-0.106110363934419</v>
      </c>
      <c r="C860">
        <v>9.2807439102818705</v>
      </c>
      <c r="D860">
        <v>0.78135783832722905</v>
      </c>
      <c r="E860">
        <v>1</v>
      </c>
      <c r="F860">
        <v>54</v>
      </c>
      <c r="G860">
        <v>62</v>
      </c>
      <c r="H860" t="s">
        <v>28</v>
      </c>
      <c r="I860" t="s">
        <v>3631</v>
      </c>
      <c r="J860" t="s">
        <v>1286</v>
      </c>
    </row>
    <row r="861" spans="1:10">
      <c r="A861" t="s">
        <v>5066</v>
      </c>
      <c r="B861">
        <v>-0.189188709626642</v>
      </c>
      <c r="C861">
        <v>8.0951903325378005</v>
      </c>
      <c r="D861">
        <v>0.78004271240050005</v>
      </c>
      <c r="E861">
        <v>1</v>
      </c>
      <c r="F861">
        <v>23</v>
      </c>
      <c r="G861">
        <v>28</v>
      </c>
      <c r="H861" t="s">
        <v>413</v>
      </c>
      <c r="I861" t="s">
        <v>4748</v>
      </c>
      <c r="J861" t="s">
        <v>412</v>
      </c>
    </row>
    <row r="862" spans="1:10">
      <c r="A862" t="s">
        <v>5067</v>
      </c>
      <c r="B862">
        <v>-0.189188709626642</v>
      </c>
      <c r="C862">
        <v>8.0951903325378005</v>
      </c>
      <c r="D862">
        <v>0.78004271240050005</v>
      </c>
      <c r="E862">
        <v>1</v>
      </c>
      <c r="F862">
        <v>23</v>
      </c>
      <c r="G862">
        <v>28</v>
      </c>
      <c r="H862" t="s">
        <v>28</v>
      </c>
      <c r="I862" t="s">
        <v>3438</v>
      </c>
      <c r="J862" t="s">
        <v>1287</v>
      </c>
    </row>
    <row r="863" spans="1:10">
      <c r="A863" t="s">
        <v>5068</v>
      </c>
      <c r="B863">
        <v>0.14787373518559299</v>
      </c>
      <c r="C863">
        <v>8.0952042034242897</v>
      </c>
      <c r="D863">
        <v>0.78004271240050005</v>
      </c>
      <c r="E863">
        <v>1</v>
      </c>
      <c r="F863">
        <v>26</v>
      </c>
      <c r="G863">
        <v>25</v>
      </c>
      <c r="H863" t="s">
        <v>5069</v>
      </c>
      <c r="I863" t="s">
        <v>5070</v>
      </c>
      <c r="J863" t="s">
        <v>1288</v>
      </c>
    </row>
    <row r="864" spans="1:10">
      <c r="A864" t="s">
        <v>5071</v>
      </c>
      <c r="B864">
        <v>0.14787373518559299</v>
      </c>
      <c r="C864">
        <v>8.0952042034242897</v>
      </c>
      <c r="D864">
        <v>0.78004271240050005</v>
      </c>
      <c r="E864">
        <v>1</v>
      </c>
      <c r="F864">
        <v>26</v>
      </c>
      <c r="G864">
        <v>25</v>
      </c>
      <c r="H864" t="s">
        <v>5072</v>
      </c>
      <c r="I864" t="s">
        <v>5073</v>
      </c>
      <c r="J864" t="s">
        <v>1289</v>
      </c>
    </row>
    <row r="865" spans="1:10">
      <c r="A865" t="s">
        <v>5074</v>
      </c>
      <c r="B865">
        <v>-0.11320422508992301</v>
      </c>
      <c r="C865">
        <v>9.2301175390403198</v>
      </c>
      <c r="D865">
        <v>0.77757199564028601</v>
      </c>
      <c r="E865">
        <v>1</v>
      </c>
      <c r="F865">
        <v>52</v>
      </c>
      <c r="G865">
        <v>60</v>
      </c>
      <c r="H865" t="s">
        <v>28</v>
      </c>
      <c r="I865" t="s">
        <v>3770</v>
      </c>
      <c r="J865" t="s">
        <v>1290</v>
      </c>
    </row>
    <row r="866" spans="1:10">
      <c r="A866" t="s">
        <v>5075</v>
      </c>
      <c r="B866">
        <v>-0.200656910784724</v>
      </c>
      <c r="C866">
        <v>8.03747468533488</v>
      </c>
      <c r="D866">
        <v>0.775718637747562</v>
      </c>
      <c r="E866">
        <v>1</v>
      </c>
      <c r="F866">
        <v>22</v>
      </c>
      <c r="G866">
        <v>27</v>
      </c>
      <c r="H866" t="s">
        <v>5076</v>
      </c>
      <c r="I866" t="s">
        <v>4748</v>
      </c>
      <c r="J866" t="s">
        <v>1291</v>
      </c>
    </row>
    <row r="867" spans="1:10">
      <c r="A867" t="s">
        <v>5077</v>
      </c>
      <c r="B867">
        <v>-0.200656910784724</v>
      </c>
      <c r="C867">
        <v>8.03747468533488</v>
      </c>
      <c r="D867">
        <v>0.775718637747562</v>
      </c>
      <c r="E867">
        <v>1</v>
      </c>
      <c r="F867">
        <v>22</v>
      </c>
      <c r="G867">
        <v>27</v>
      </c>
      <c r="H867" t="s">
        <v>5078</v>
      </c>
      <c r="I867" t="s">
        <v>5079</v>
      </c>
      <c r="J867" t="s">
        <v>1292</v>
      </c>
    </row>
    <row r="868" spans="1:10">
      <c r="A868" t="s">
        <v>5080</v>
      </c>
      <c r="B868">
        <v>0.15010193182377901</v>
      </c>
      <c r="C868">
        <v>8.0374885576022201</v>
      </c>
      <c r="D868">
        <v>0.775718637747562</v>
      </c>
      <c r="E868">
        <v>1</v>
      </c>
      <c r="F868">
        <v>25</v>
      </c>
      <c r="G868">
        <v>24</v>
      </c>
      <c r="H868" t="s">
        <v>28</v>
      </c>
      <c r="I868" t="s">
        <v>3438</v>
      </c>
      <c r="J868" t="s">
        <v>1293</v>
      </c>
    </row>
    <row r="869" spans="1:10">
      <c r="A869" t="s">
        <v>5081</v>
      </c>
      <c r="B869">
        <v>0.15010193182377901</v>
      </c>
      <c r="C869">
        <v>8.0374885576022201</v>
      </c>
      <c r="D869">
        <v>0.775718637747562</v>
      </c>
      <c r="E869">
        <v>1</v>
      </c>
      <c r="F869">
        <v>25</v>
      </c>
      <c r="G869">
        <v>24</v>
      </c>
      <c r="H869" t="s">
        <v>28</v>
      </c>
      <c r="I869" t="s">
        <v>3438</v>
      </c>
      <c r="J869" t="s">
        <v>279</v>
      </c>
    </row>
    <row r="870" spans="1:10">
      <c r="A870" t="s">
        <v>5082</v>
      </c>
      <c r="B870">
        <v>-0.37673001900358299</v>
      </c>
      <c r="C870">
        <v>6.0077315225666696</v>
      </c>
      <c r="D870">
        <v>0.77448170953272799</v>
      </c>
      <c r="E870">
        <v>1</v>
      </c>
      <c r="F870">
        <v>5</v>
      </c>
      <c r="G870">
        <v>7</v>
      </c>
      <c r="H870" t="s">
        <v>5083</v>
      </c>
      <c r="I870" t="s">
        <v>5084</v>
      </c>
      <c r="J870" t="s">
        <v>1294</v>
      </c>
    </row>
    <row r="871" spans="1:10">
      <c r="A871" t="s">
        <v>5085</v>
      </c>
      <c r="B871">
        <v>-0.37673001900358299</v>
      </c>
      <c r="C871">
        <v>6.0077315225666696</v>
      </c>
      <c r="D871">
        <v>0.77448170953272799</v>
      </c>
      <c r="E871">
        <v>1</v>
      </c>
      <c r="F871">
        <v>5</v>
      </c>
      <c r="G871">
        <v>7</v>
      </c>
      <c r="H871" t="s">
        <v>5086</v>
      </c>
      <c r="I871" t="s">
        <v>5087</v>
      </c>
      <c r="J871" t="s">
        <v>1295</v>
      </c>
    </row>
    <row r="872" spans="1:10">
      <c r="A872" t="s">
        <v>5088</v>
      </c>
      <c r="B872">
        <v>-0.37673001900358299</v>
      </c>
      <c r="C872">
        <v>6.0077315225666696</v>
      </c>
      <c r="D872">
        <v>0.77448170953272799</v>
      </c>
      <c r="E872">
        <v>1</v>
      </c>
      <c r="F872">
        <v>5</v>
      </c>
      <c r="G872">
        <v>7</v>
      </c>
      <c r="H872" t="s">
        <v>28</v>
      </c>
      <c r="I872" t="s">
        <v>3438</v>
      </c>
      <c r="J872" t="s">
        <v>1296</v>
      </c>
    </row>
    <row r="873" spans="1:10">
      <c r="A873" t="s">
        <v>5089</v>
      </c>
      <c r="B873">
        <v>-0.37673001900358299</v>
      </c>
      <c r="C873">
        <v>6.0077315225666696</v>
      </c>
      <c r="D873">
        <v>0.77448170953272799</v>
      </c>
      <c r="E873">
        <v>1</v>
      </c>
      <c r="F873">
        <v>5</v>
      </c>
      <c r="G873">
        <v>7</v>
      </c>
      <c r="H873" t="s">
        <v>5090</v>
      </c>
      <c r="I873" t="s">
        <v>3687</v>
      </c>
      <c r="J873" t="s">
        <v>1297</v>
      </c>
    </row>
    <row r="874" spans="1:10">
      <c r="A874" t="s">
        <v>5091</v>
      </c>
      <c r="B874">
        <v>-0.37673001900358299</v>
      </c>
      <c r="C874">
        <v>6.0077315225666696</v>
      </c>
      <c r="D874">
        <v>0.77448170953272799</v>
      </c>
      <c r="E874">
        <v>1</v>
      </c>
      <c r="F874">
        <v>5</v>
      </c>
      <c r="G874">
        <v>7</v>
      </c>
      <c r="H874" t="s">
        <v>5092</v>
      </c>
      <c r="I874" t="s">
        <v>5093</v>
      </c>
      <c r="J874" t="s">
        <v>1298</v>
      </c>
    </row>
    <row r="875" spans="1:10">
      <c r="A875" t="s">
        <v>5094</v>
      </c>
      <c r="B875">
        <v>-0.37673001900358299</v>
      </c>
      <c r="C875">
        <v>6.0077315225666696</v>
      </c>
      <c r="D875">
        <v>0.77448170953272799</v>
      </c>
      <c r="E875">
        <v>1</v>
      </c>
      <c r="F875">
        <v>5</v>
      </c>
      <c r="G875">
        <v>7</v>
      </c>
      <c r="H875" t="s">
        <v>28</v>
      </c>
      <c r="I875" t="s">
        <v>5095</v>
      </c>
      <c r="J875" t="s">
        <v>1299</v>
      </c>
    </row>
    <row r="876" spans="1:10">
      <c r="A876" t="s">
        <v>5096</v>
      </c>
      <c r="B876">
        <v>-0.37673001900358299</v>
      </c>
      <c r="C876">
        <v>6.0077315225666696</v>
      </c>
      <c r="D876">
        <v>0.77448170953272799</v>
      </c>
      <c r="E876">
        <v>1</v>
      </c>
      <c r="F876">
        <v>5</v>
      </c>
      <c r="G876">
        <v>7</v>
      </c>
      <c r="H876" t="s">
        <v>28</v>
      </c>
      <c r="I876" t="s">
        <v>3438</v>
      </c>
      <c r="J876" t="s">
        <v>1300</v>
      </c>
    </row>
    <row r="877" spans="1:10">
      <c r="A877" t="s">
        <v>5097</v>
      </c>
      <c r="B877">
        <v>-0.37673001900358299</v>
      </c>
      <c r="C877">
        <v>6.0077315225666696</v>
      </c>
      <c r="D877">
        <v>0.77448170953272799</v>
      </c>
      <c r="E877">
        <v>1</v>
      </c>
      <c r="F877">
        <v>5</v>
      </c>
      <c r="G877">
        <v>7</v>
      </c>
      <c r="H877" t="s">
        <v>5098</v>
      </c>
      <c r="I877" t="s">
        <v>5099</v>
      </c>
      <c r="J877" t="s">
        <v>1301</v>
      </c>
    </row>
    <row r="878" spans="1:10">
      <c r="A878" t="s">
        <v>5100</v>
      </c>
      <c r="B878">
        <v>-0.37673001900358299</v>
      </c>
      <c r="C878">
        <v>6.0077315225666696</v>
      </c>
      <c r="D878">
        <v>0.77448170953272799</v>
      </c>
      <c r="E878">
        <v>1</v>
      </c>
      <c r="F878">
        <v>5</v>
      </c>
      <c r="G878">
        <v>7</v>
      </c>
      <c r="H878" t="s">
        <v>28</v>
      </c>
      <c r="I878" t="s">
        <v>3438</v>
      </c>
      <c r="J878" t="s">
        <v>1302</v>
      </c>
    </row>
    <row r="879" spans="1:10">
      <c r="A879" t="s">
        <v>5101</v>
      </c>
      <c r="B879">
        <v>-0.37673001900358299</v>
      </c>
      <c r="C879">
        <v>6.0077315225666696</v>
      </c>
      <c r="D879">
        <v>0.77448170953272799</v>
      </c>
      <c r="E879">
        <v>1</v>
      </c>
      <c r="F879">
        <v>5</v>
      </c>
      <c r="G879">
        <v>7</v>
      </c>
      <c r="H879" t="s">
        <v>5102</v>
      </c>
      <c r="I879" t="s">
        <v>5103</v>
      </c>
      <c r="J879" t="s">
        <v>1303</v>
      </c>
    </row>
    <row r="880" spans="1:10">
      <c r="A880" t="s">
        <v>5104</v>
      </c>
      <c r="B880">
        <v>-0.37673001900358299</v>
      </c>
      <c r="C880">
        <v>6.0077315225666696</v>
      </c>
      <c r="D880">
        <v>0.77448170953272799</v>
      </c>
      <c r="E880">
        <v>1</v>
      </c>
      <c r="F880">
        <v>5</v>
      </c>
      <c r="G880">
        <v>7</v>
      </c>
      <c r="H880" t="s">
        <v>28</v>
      </c>
      <c r="I880" t="s">
        <v>3438</v>
      </c>
      <c r="J880" t="s">
        <v>1304</v>
      </c>
    </row>
    <row r="881" spans="1:10">
      <c r="A881" t="s">
        <v>5105</v>
      </c>
      <c r="B881">
        <v>-0.37673001900358299</v>
      </c>
      <c r="C881">
        <v>6.0077315225666696</v>
      </c>
      <c r="D881">
        <v>0.77448170953272799</v>
      </c>
      <c r="E881">
        <v>1</v>
      </c>
      <c r="F881">
        <v>5</v>
      </c>
      <c r="G881">
        <v>7</v>
      </c>
      <c r="H881" t="s">
        <v>28</v>
      </c>
      <c r="I881" t="s">
        <v>3438</v>
      </c>
      <c r="J881" t="s">
        <v>54</v>
      </c>
    </row>
    <row r="882" spans="1:10">
      <c r="A882" t="s">
        <v>5106</v>
      </c>
      <c r="B882">
        <v>-0.37673001900358299</v>
      </c>
      <c r="C882">
        <v>6.0077315225666696</v>
      </c>
      <c r="D882">
        <v>0.77448170953272799</v>
      </c>
      <c r="E882">
        <v>1</v>
      </c>
      <c r="F882">
        <v>5</v>
      </c>
      <c r="G882">
        <v>7</v>
      </c>
      <c r="H882" t="s">
        <v>28</v>
      </c>
      <c r="I882" t="s">
        <v>3438</v>
      </c>
      <c r="J882" t="s">
        <v>1305</v>
      </c>
    </row>
    <row r="883" spans="1:10">
      <c r="A883" t="s">
        <v>5107</v>
      </c>
      <c r="B883">
        <v>-0.37673001900358299</v>
      </c>
      <c r="C883">
        <v>6.0077315225666696</v>
      </c>
      <c r="D883">
        <v>0.77448170953272799</v>
      </c>
      <c r="E883">
        <v>1</v>
      </c>
      <c r="F883">
        <v>5</v>
      </c>
      <c r="G883">
        <v>7</v>
      </c>
      <c r="H883" t="s">
        <v>5108</v>
      </c>
      <c r="I883" t="s">
        <v>3438</v>
      </c>
      <c r="J883" t="s">
        <v>1306</v>
      </c>
    </row>
    <row r="884" spans="1:10">
      <c r="A884" t="s">
        <v>5109</v>
      </c>
      <c r="B884">
        <v>-0.37673001900358299</v>
      </c>
      <c r="C884">
        <v>6.0077315225666696</v>
      </c>
      <c r="D884">
        <v>0.77448170953272799</v>
      </c>
      <c r="E884">
        <v>1</v>
      </c>
      <c r="F884">
        <v>5</v>
      </c>
      <c r="G884">
        <v>7</v>
      </c>
      <c r="H884" t="s">
        <v>5110</v>
      </c>
      <c r="I884" t="s">
        <v>5111</v>
      </c>
      <c r="J884" t="s">
        <v>1307</v>
      </c>
    </row>
    <row r="885" spans="1:10">
      <c r="A885" t="s">
        <v>5112</v>
      </c>
      <c r="B885">
        <v>0.55459873199851994</v>
      </c>
      <c r="C885">
        <v>6.0077407878381504</v>
      </c>
      <c r="D885">
        <v>0.77448170953272799</v>
      </c>
      <c r="E885">
        <v>1</v>
      </c>
      <c r="F885">
        <v>7</v>
      </c>
      <c r="G885">
        <v>5</v>
      </c>
      <c r="H885" t="s">
        <v>5113</v>
      </c>
      <c r="I885" t="s">
        <v>5114</v>
      </c>
      <c r="J885" t="s">
        <v>1308</v>
      </c>
    </row>
    <row r="886" spans="1:10">
      <c r="A886" t="s">
        <v>5115</v>
      </c>
      <c r="B886">
        <v>0.55459873199851994</v>
      </c>
      <c r="C886">
        <v>6.0077407878381504</v>
      </c>
      <c r="D886">
        <v>0.77448170953272799</v>
      </c>
      <c r="E886">
        <v>1</v>
      </c>
      <c r="F886">
        <v>7</v>
      </c>
      <c r="G886">
        <v>5</v>
      </c>
      <c r="H886" t="s">
        <v>28</v>
      </c>
      <c r="I886" t="s">
        <v>3438</v>
      </c>
      <c r="J886" t="s">
        <v>1309</v>
      </c>
    </row>
    <row r="887" spans="1:10">
      <c r="A887" t="s">
        <v>5116</v>
      </c>
      <c r="B887">
        <v>0.55459873199851994</v>
      </c>
      <c r="C887">
        <v>6.0077407878381504</v>
      </c>
      <c r="D887">
        <v>0.77448170953272799</v>
      </c>
      <c r="E887">
        <v>1</v>
      </c>
      <c r="F887">
        <v>7</v>
      </c>
      <c r="G887">
        <v>5</v>
      </c>
      <c r="H887" t="s">
        <v>5117</v>
      </c>
      <c r="I887" t="s">
        <v>5118</v>
      </c>
      <c r="J887" t="s">
        <v>1310</v>
      </c>
    </row>
    <row r="888" spans="1:10">
      <c r="A888" t="s">
        <v>5119</v>
      </c>
      <c r="B888">
        <v>0.55459873199851994</v>
      </c>
      <c r="C888">
        <v>6.0077407878381504</v>
      </c>
      <c r="D888">
        <v>0.77448170953272799</v>
      </c>
      <c r="E888">
        <v>1</v>
      </c>
      <c r="F888">
        <v>7</v>
      </c>
      <c r="G888">
        <v>5</v>
      </c>
      <c r="H888" t="s">
        <v>28</v>
      </c>
      <c r="I888" t="s">
        <v>3631</v>
      </c>
      <c r="J888" t="s">
        <v>1311</v>
      </c>
    </row>
    <row r="889" spans="1:10">
      <c r="A889" t="s">
        <v>5120</v>
      </c>
      <c r="B889">
        <v>0.55459873199851994</v>
      </c>
      <c r="C889">
        <v>6.0077407878381504</v>
      </c>
      <c r="D889">
        <v>0.77448170953272799</v>
      </c>
      <c r="E889">
        <v>1</v>
      </c>
      <c r="F889">
        <v>7</v>
      </c>
      <c r="G889">
        <v>5</v>
      </c>
      <c r="H889" t="s">
        <v>5121</v>
      </c>
      <c r="I889" t="s">
        <v>5122</v>
      </c>
      <c r="J889" t="s">
        <v>1312</v>
      </c>
    </row>
    <row r="890" spans="1:10">
      <c r="A890" t="s">
        <v>5123</v>
      </c>
      <c r="B890">
        <v>0.55459873199851994</v>
      </c>
      <c r="C890">
        <v>6.0077407878381504</v>
      </c>
      <c r="D890">
        <v>0.77448170953272799</v>
      </c>
      <c r="E890">
        <v>1</v>
      </c>
      <c r="F890">
        <v>7</v>
      </c>
      <c r="G890">
        <v>5</v>
      </c>
      <c r="H890" t="s">
        <v>28</v>
      </c>
      <c r="I890" t="s">
        <v>3438</v>
      </c>
      <c r="J890" t="s">
        <v>1313</v>
      </c>
    </row>
    <row r="891" spans="1:10">
      <c r="A891" t="s">
        <v>5124</v>
      </c>
      <c r="B891">
        <v>0.55459873199851994</v>
      </c>
      <c r="C891">
        <v>6.0077407878381504</v>
      </c>
      <c r="D891">
        <v>0.77448170953272799</v>
      </c>
      <c r="E891">
        <v>1</v>
      </c>
      <c r="F891">
        <v>7</v>
      </c>
      <c r="G891">
        <v>5</v>
      </c>
      <c r="H891" t="s">
        <v>28</v>
      </c>
      <c r="I891" t="s">
        <v>3438</v>
      </c>
      <c r="J891" t="s">
        <v>1314</v>
      </c>
    </row>
    <row r="892" spans="1:10">
      <c r="A892" t="s">
        <v>5125</v>
      </c>
      <c r="B892">
        <v>0.55459873199851994</v>
      </c>
      <c r="C892">
        <v>6.0077407878381504</v>
      </c>
      <c r="D892">
        <v>0.77448170953272799</v>
      </c>
      <c r="E892">
        <v>1</v>
      </c>
      <c r="F892">
        <v>7</v>
      </c>
      <c r="G892">
        <v>5</v>
      </c>
      <c r="H892" t="s">
        <v>28</v>
      </c>
      <c r="I892" t="s">
        <v>3438</v>
      </c>
      <c r="J892" t="s">
        <v>1315</v>
      </c>
    </row>
    <row r="893" spans="1:10">
      <c r="A893" t="s">
        <v>5126</v>
      </c>
      <c r="B893">
        <v>0.55459873199851994</v>
      </c>
      <c r="C893">
        <v>6.0077407878381504</v>
      </c>
      <c r="D893">
        <v>0.77448170953272799</v>
      </c>
      <c r="E893">
        <v>1</v>
      </c>
      <c r="F893">
        <v>7</v>
      </c>
      <c r="G893">
        <v>5</v>
      </c>
      <c r="H893" t="s">
        <v>96</v>
      </c>
      <c r="I893" t="s">
        <v>5127</v>
      </c>
      <c r="J893" t="s">
        <v>95</v>
      </c>
    </row>
    <row r="894" spans="1:10">
      <c r="A894" t="s">
        <v>5128</v>
      </c>
      <c r="B894">
        <v>0.55459873199851994</v>
      </c>
      <c r="C894">
        <v>6.0077407878381504</v>
      </c>
      <c r="D894">
        <v>0.77448170953272799</v>
      </c>
      <c r="E894">
        <v>1</v>
      </c>
      <c r="F894">
        <v>7</v>
      </c>
      <c r="G894">
        <v>5</v>
      </c>
      <c r="H894" t="s">
        <v>379</v>
      </c>
      <c r="I894" t="s">
        <v>5129</v>
      </c>
      <c r="J894" t="s">
        <v>378</v>
      </c>
    </row>
    <row r="895" spans="1:10">
      <c r="A895" t="s">
        <v>5130</v>
      </c>
      <c r="B895">
        <v>9.2312887174803293E-2</v>
      </c>
      <c r="C895">
        <v>9.1776682630073605</v>
      </c>
      <c r="D895">
        <v>0.77358408279925805</v>
      </c>
      <c r="E895">
        <v>1</v>
      </c>
      <c r="F895">
        <v>54</v>
      </c>
      <c r="G895">
        <v>54</v>
      </c>
      <c r="H895" t="s">
        <v>186</v>
      </c>
      <c r="I895" t="s">
        <v>5131</v>
      </c>
      <c r="J895" t="s">
        <v>185</v>
      </c>
    </row>
    <row r="896" spans="1:10">
      <c r="A896" t="s">
        <v>5132</v>
      </c>
      <c r="B896">
        <v>-7.3425817447182504E-2</v>
      </c>
      <c r="C896">
        <v>10.0001904246778</v>
      </c>
      <c r="D896">
        <v>0.773393264592943</v>
      </c>
      <c r="E896">
        <v>1</v>
      </c>
      <c r="F896">
        <v>90</v>
      </c>
      <c r="G896">
        <v>101</v>
      </c>
      <c r="H896" t="s">
        <v>28</v>
      </c>
      <c r="I896" t="s">
        <v>4697</v>
      </c>
      <c r="J896" t="s">
        <v>1316</v>
      </c>
    </row>
    <row r="897" spans="1:10">
      <c r="A897" t="s">
        <v>5133</v>
      </c>
      <c r="B897">
        <v>-0.124849579375672</v>
      </c>
      <c r="C897">
        <v>9.1506826240661105</v>
      </c>
      <c r="D897">
        <v>0.77150860994033499</v>
      </c>
      <c r="E897">
        <v>1</v>
      </c>
      <c r="F897">
        <v>49</v>
      </c>
      <c r="G897">
        <v>57</v>
      </c>
      <c r="H897" t="s">
        <v>28</v>
      </c>
      <c r="I897" t="s">
        <v>3438</v>
      </c>
      <c r="J897" t="s">
        <v>1317</v>
      </c>
    </row>
    <row r="898" spans="1:10">
      <c r="A898" t="s">
        <v>5134</v>
      </c>
      <c r="B898">
        <v>-0.213101313109087</v>
      </c>
      <c r="C898">
        <v>7.9773535435209197</v>
      </c>
      <c r="D898">
        <v>0.771130050421028</v>
      </c>
      <c r="E898">
        <v>1</v>
      </c>
      <c r="F898">
        <v>21</v>
      </c>
      <c r="G898">
        <v>26</v>
      </c>
      <c r="H898" t="s">
        <v>28</v>
      </c>
      <c r="I898" t="s">
        <v>3438</v>
      </c>
      <c r="J898" t="s">
        <v>1318</v>
      </c>
    </row>
    <row r="899" spans="1:10">
      <c r="A899" t="s">
        <v>5135</v>
      </c>
      <c r="B899">
        <v>-0.213101313109087</v>
      </c>
      <c r="C899">
        <v>7.9773535435209197</v>
      </c>
      <c r="D899">
        <v>0.771130050421028</v>
      </c>
      <c r="E899">
        <v>1</v>
      </c>
      <c r="F899">
        <v>21</v>
      </c>
      <c r="G899">
        <v>26</v>
      </c>
      <c r="H899" t="s">
        <v>28</v>
      </c>
      <c r="I899" t="s">
        <v>3438</v>
      </c>
      <c r="J899" t="s">
        <v>1319</v>
      </c>
    </row>
    <row r="900" spans="1:10">
      <c r="A900" t="s">
        <v>5136</v>
      </c>
      <c r="B900">
        <v>-0.213101313109087</v>
      </c>
      <c r="C900">
        <v>7.9773535435209197</v>
      </c>
      <c r="D900">
        <v>0.771130050421028</v>
      </c>
      <c r="E900">
        <v>1</v>
      </c>
      <c r="F900">
        <v>21</v>
      </c>
      <c r="G900">
        <v>26</v>
      </c>
      <c r="H900" t="s">
        <v>28</v>
      </c>
      <c r="I900" t="s">
        <v>3438</v>
      </c>
      <c r="J900" t="s">
        <v>1320</v>
      </c>
    </row>
    <row r="901" spans="1:10">
      <c r="A901" t="s">
        <v>5137</v>
      </c>
      <c r="B901">
        <v>-0.213101313109087</v>
      </c>
      <c r="C901">
        <v>7.9773535435209197</v>
      </c>
      <c r="D901">
        <v>0.771130050421028</v>
      </c>
      <c r="E901">
        <v>1</v>
      </c>
      <c r="F901">
        <v>21</v>
      </c>
      <c r="G901">
        <v>26</v>
      </c>
      <c r="H901" t="s">
        <v>5138</v>
      </c>
      <c r="I901" t="s">
        <v>5139</v>
      </c>
      <c r="J901" t="s">
        <v>1321</v>
      </c>
    </row>
    <row r="902" spans="1:10">
      <c r="A902" t="s">
        <v>5140</v>
      </c>
      <c r="B902">
        <v>0.15251784344958899</v>
      </c>
      <c r="C902">
        <v>7.9773674171693898</v>
      </c>
      <c r="D902">
        <v>0.771130050421028</v>
      </c>
      <c r="E902">
        <v>1</v>
      </c>
      <c r="F902">
        <v>24</v>
      </c>
      <c r="G902">
        <v>23</v>
      </c>
      <c r="H902" t="s">
        <v>5141</v>
      </c>
      <c r="I902" t="s">
        <v>5142</v>
      </c>
      <c r="J902" t="s">
        <v>1322</v>
      </c>
    </row>
    <row r="903" spans="1:10">
      <c r="A903" t="s">
        <v>5143</v>
      </c>
      <c r="B903">
        <v>0.15251784344958899</v>
      </c>
      <c r="C903">
        <v>7.9773674171693898</v>
      </c>
      <c r="D903">
        <v>0.771130050421028</v>
      </c>
      <c r="E903">
        <v>1</v>
      </c>
      <c r="F903">
        <v>24</v>
      </c>
      <c r="G903">
        <v>23</v>
      </c>
      <c r="H903" t="s">
        <v>28</v>
      </c>
      <c r="I903" t="s">
        <v>3599</v>
      </c>
      <c r="J903" t="s">
        <v>1323</v>
      </c>
    </row>
    <row r="904" spans="1:10">
      <c r="A904" t="s">
        <v>5144</v>
      </c>
      <c r="B904">
        <v>0.15251784344958899</v>
      </c>
      <c r="C904">
        <v>7.9773674171693898</v>
      </c>
      <c r="D904">
        <v>0.771130050421028</v>
      </c>
      <c r="E904">
        <v>1</v>
      </c>
      <c r="F904">
        <v>24</v>
      </c>
      <c r="G904">
        <v>23</v>
      </c>
      <c r="H904" t="s">
        <v>28</v>
      </c>
      <c r="I904" t="s">
        <v>5145</v>
      </c>
      <c r="J904" t="s">
        <v>1324</v>
      </c>
    </row>
    <row r="905" spans="1:10">
      <c r="A905" t="s">
        <v>5146</v>
      </c>
      <c r="B905">
        <v>0.15251784344958899</v>
      </c>
      <c r="C905">
        <v>7.9773674171693898</v>
      </c>
      <c r="D905">
        <v>0.771130050421028</v>
      </c>
      <c r="E905">
        <v>1</v>
      </c>
      <c r="F905">
        <v>24</v>
      </c>
      <c r="G905">
        <v>23</v>
      </c>
      <c r="H905" t="s">
        <v>5147</v>
      </c>
      <c r="I905" t="s">
        <v>5148</v>
      </c>
      <c r="J905" t="s">
        <v>1325</v>
      </c>
    </row>
    <row r="906" spans="1:10">
      <c r="A906" t="s">
        <v>5149</v>
      </c>
      <c r="B906">
        <v>-7.8812932586487805E-2</v>
      </c>
      <c r="C906">
        <v>9.9541426111266293</v>
      </c>
      <c r="D906">
        <v>0.76981932893632099</v>
      </c>
      <c r="E906">
        <v>1</v>
      </c>
      <c r="F906">
        <v>87</v>
      </c>
      <c r="G906">
        <v>98</v>
      </c>
      <c r="H906" t="s">
        <v>28</v>
      </c>
      <c r="I906" t="s">
        <v>3438</v>
      </c>
      <c r="J906" t="s">
        <v>1326</v>
      </c>
    </row>
    <row r="907" spans="1:10">
      <c r="A907" t="s">
        <v>5150</v>
      </c>
      <c r="B907">
        <v>9.2287878782635099E-2</v>
      </c>
      <c r="C907">
        <v>9.0952056606527893</v>
      </c>
      <c r="D907">
        <v>0.76718182560506598</v>
      </c>
      <c r="E907">
        <v>1</v>
      </c>
      <c r="F907">
        <v>51</v>
      </c>
      <c r="G907">
        <v>51</v>
      </c>
      <c r="H907" t="s">
        <v>28</v>
      </c>
      <c r="I907" t="s">
        <v>3438</v>
      </c>
      <c r="J907" t="s">
        <v>1327</v>
      </c>
    </row>
    <row r="908" spans="1:10">
      <c r="A908" t="s">
        <v>5151</v>
      </c>
      <c r="B908">
        <v>-0.22665263077734699</v>
      </c>
      <c r="C908">
        <v>7.9146176387668099</v>
      </c>
      <c r="D908">
        <v>0.76624881570450198</v>
      </c>
      <c r="E908">
        <v>1</v>
      </c>
      <c r="F908">
        <v>20</v>
      </c>
      <c r="G908">
        <v>25</v>
      </c>
      <c r="H908" t="s">
        <v>5152</v>
      </c>
      <c r="I908" t="s">
        <v>5153</v>
      </c>
      <c r="J908" t="s">
        <v>1328</v>
      </c>
    </row>
    <row r="909" spans="1:10">
      <c r="A909" t="s">
        <v>5154</v>
      </c>
      <c r="B909">
        <v>-0.22665263077734699</v>
      </c>
      <c r="C909">
        <v>7.9146176387668099</v>
      </c>
      <c r="D909">
        <v>0.76624881570450198</v>
      </c>
      <c r="E909">
        <v>1</v>
      </c>
      <c r="F909">
        <v>20</v>
      </c>
      <c r="G909">
        <v>25</v>
      </c>
      <c r="H909" t="s">
        <v>5155</v>
      </c>
      <c r="I909" t="s">
        <v>5156</v>
      </c>
      <c r="J909" t="s">
        <v>1329</v>
      </c>
    </row>
    <row r="910" spans="1:10">
      <c r="A910" t="s">
        <v>5157</v>
      </c>
      <c r="B910">
        <v>-0.22665263077734699</v>
      </c>
      <c r="C910">
        <v>7.9146176387668099</v>
      </c>
      <c r="D910">
        <v>0.76624881570450198</v>
      </c>
      <c r="E910">
        <v>1</v>
      </c>
      <c r="F910">
        <v>20</v>
      </c>
      <c r="G910">
        <v>25</v>
      </c>
      <c r="H910" t="s">
        <v>28</v>
      </c>
      <c r="I910" t="s">
        <v>3438</v>
      </c>
      <c r="J910" t="s">
        <v>1330</v>
      </c>
    </row>
    <row r="911" spans="1:10">
      <c r="A911" t="s">
        <v>5158</v>
      </c>
      <c r="B911">
        <v>-0.22665263077734699</v>
      </c>
      <c r="C911">
        <v>7.9146176387668099</v>
      </c>
      <c r="D911">
        <v>0.76624881570450198</v>
      </c>
      <c r="E911">
        <v>1</v>
      </c>
      <c r="F911">
        <v>20</v>
      </c>
      <c r="G911">
        <v>25</v>
      </c>
      <c r="H911" t="s">
        <v>5159</v>
      </c>
      <c r="I911" t="s">
        <v>5160</v>
      </c>
      <c r="J911" t="s">
        <v>1331</v>
      </c>
    </row>
    <row r="912" spans="1:10">
      <c r="A912" t="s">
        <v>5161</v>
      </c>
      <c r="B912">
        <v>-0.22665263077734699</v>
      </c>
      <c r="C912">
        <v>7.9146176387668099</v>
      </c>
      <c r="D912">
        <v>0.76624881570450198</v>
      </c>
      <c r="E912">
        <v>1</v>
      </c>
      <c r="F912">
        <v>20</v>
      </c>
      <c r="G912">
        <v>25</v>
      </c>
      <c r="H912" t="s">
        <v>28</v>
      </c>
      <c r="I912" t="s">
        <v>3438</v>
      </c>
      <c r="J912" t="s">
        <v>1332</v>
      </c>
    </row>
    <row r="913" spans="1:10">
      <c r="A913" t="s">
        <v>5162</v>
      </c>
      <c r="B913">
        <v>0.15514623820479501</v>
      </c>
      <c r="C913">
        <v>7.9146315137966701</v>
      </c>
      <c r="D913">
        <v>0.76624881570450198</v>
      </c>
      <c r="E913">
        <v>1</v>
      </c>
      <c r="F913">
        <v>23</v>
      </c>
      <c r="G913">
        <v>22</v>
      </c>
      <c r="H913" t="s">
        <v>28</v>
      </c>
      <c r="I913" t="s">
        <v>3438</v>
      </c>
      <c r="J913" t="s">
        <v>1333</v>
      </c>
    </row>
    <row r="914" spans="1:10">
      <c r="A914" t="s">
        <v>5163</v>
      </c>
      <c r="B914">
        <v>9.2278879079302101E-2</v>
      </c>
      <c r="C914">
        <v>9.0666363610099108</v>
      </c>
      <c r="D914">
        <v>0.76492487445556701</v>
      </c>
      <c r="E914">
        <v>1</v>
      </c>
      <c r="F914">
        <v>50</v>
      </c>
      <c r="G914">
        <v>50</v>
      </c>
      <c r="H914" t="s">
        <v>5164</v>
      </c>
      <c r="I914" t="s">
        <v>5165</v>
      </c>
      <c r="J914" t="s">
        <v>1334</v>
      </c>
    </row>
    <row r="915" spans="1:10">
      <c r="A915" t="s">
        <v>5166</v>
      </c>
      <c r="B915">
        <v>9.2278879079302101E-2</v>
      </c>
      <c r="C915">
        <v>9.0666363610099108</v>
      </c>
      <c r="D915">
        <v>0.76492487445556701</v>
      </c>
      <c r="E915">
        <v>1</v>
      </c>
      <c r="F915">
        <v>50</v>
      </c>
      <c r="G915">
        <v>50</v>
      </c>
      <c r="H915" t="s">
        <v>28</v>
      </c>
      <c r="I915" t="s">
        <v>3438</v>
      </c>
      <c r="J915" t="s">
        <v>1335</v>
      </c>
    </row>
    <row r="916" spans="1:10">
      <c r="A916" t="s">
        <v>5167</v>
      </c>
      <c r="B916">
        <v>9.2269513905771802E-2</v>
      </c>
      <c r="C916">
        <v>9.0374898678749904</v>
      </c>
      <c r="D916">
        <v>0.76260146789744199</v>
      </c>
      <c r="E916">
        <v>1</v>
      </c>
      <c r="F916">
        <v>49</v>
      </c>
      <c r="G916">
        <v>49</v>
      </c>
      <c r="H916" t="s">
        <v>5168</v>
      </c>
      <c r="I916" t="s">
        <v>5169</v>
      </c>
      <c r="J916" t="s">
        <v>1336</v>
      </c>
    </row>
    <row r="917" spans="1:10">
      <c r="A917" t="s">
        <v>5170</v>
      </c>
      <c r="B917">
        <v>-0.24146611265239201</v>
      </c>
      <c r="C917">
        <v>7.8490291477033196</v>
      </c>
      <c r="D917">
        <v>0.76104242269634803</v>
      </c>
      <c r="E917">
        <v>1</v>
      </c>
      <c r="F917">
        <v>19</v>
      </c>
      <c r="G917">
        <v>24</v>
      </c>
      <c r="H917" t="s">
        <v>28</v>
      </c>
      <c r="I917" t="s">
        <v>5171</v>
      </c>
      <c r="J917" t="s">
        <v>1337</v>
      </c>
    </row>
    <row r="918" spans="1:10">
      <c r="A918" t="s">
        <v>5172</v>
      </c>
      <c r="B918">
        <v>-0.24146611265239201</v>
      </c>
      <c r="C918">
        <v>7.8490291477033196</v>
      </c>
      <c r="D918">
        <v>0.76104242269634803</v>
      </c>
      <c r="E918">
        <v>1</v>
      </c>
      <c r="F918">
        <v>19</v>
      </c>
      <c r="G918">
        <v>24</v>
      </c>
      <c r="H918" t="s">
        <v>28</v>
      </c>
      <c r="I918" t="s">
        <v>5173</v>
      </c>
      <c r="J918" t="s">
        <v>1338</v>
      </c>
    </row>
    <row r="919" spans="1:10">
      <c r="A919" t="s">
        <v>5174</v>
      </c>
      <c r="B919">
        <v>-0.24146611265239201</v>
      </c>
      <c r="C919">
        <v>7.8490291477033196</v>
      </c>
      <c r="D919">
        <v>0.76104242269634803</v>
      </c>
      <c r="E919">
        <v>1</v>
      </c>
      <c r="F919">
        <v>19</v>
      </c>
      <c r="G919">
        <v>24</v>
      </c>
      <c r="H919" t="s">
        <v>28</v>
      </c>
      <c r="I919" t="s">
        <v>3438</v>
      </c>
      <c r="J919" t="s">
        <v>1339</v>
      </c>
    </row>
    <row r="920" spans="1:10">
      <c r="A920" t="s">
        <v>5175</v>
      </c>
      <c r="B920">
        <v>-0.24146611265239201</v>
      </c>
      <c r="C920">
        <v>7.8490291477033196</v>
      </c>
      <c r="D920">
        <v>0.76104242269634803</v>
      </c>
      <c r="E920">
        <v>1</v>
      </c>
      <c r="F920">
        <v>19</v>
      </c>
      <c r="G920">
        <v>24</v>
      </c>
      <c r="H920" t="s">
        <v>28</v>
      </c>
      <c r="I920" t="s">
        <v>3474</v>
      </c>
      <c r="J920" t="s">
        <v>1340</v>
      </c>
    </row>
    <row r="921" spans="1:10">
      <c r="A921" t="s">
        <v>5176</v>
      </c>
      <c r="B921">
        <v>-0.24146611265239201</v>
      </c>
      <c r="C921">
        <v>7.8490291477033196</v>
      </c>
      <c r="D921">
        <v>0.76104242269634803</v>
      </c>
      <c r="E921">
        <v>1</v>
      </c>
      <c r="F921">
        <v>19</v>
      </c>
      <c r="G921">
        <v>24</v>
      </c>
      <c r="H921" t="s">
        <v>28</v>
      </c>
      <c r="I921" t="s">
        <v>3465</v>
      </c>
      <c r="J921" t="s">
        <v>1341</v>
      </c>
    </row>
    <row r="922" spans="1:10">
      <c r="A922" t="s">
        <v>5177</v>
      </c>
      <c r="B922">
        <v>0.15801644286306299</v>
      </c>
      <c r="C922">
        <v>7.8490430241148497</v>
      </c>
      <c r="D922">
        <v>0.76104242269634803</v>
      </c>
      <c r="E922">
        <v>1</v>
      </c>
      <c r="F922">
        <v>22</v>
      </c>
      <c r="G922">
        <v>21</v>
      </c>
      <c r="H922" t="s">
        <v>28</v>
      </c>
      <c r="I922" t="s">
        <v>3438</v>
      </c>
      <c r="J922" t="s">
        <v>1342</v>
      </c>
    </row>
    <row r="923" spans="1:10">
      <c r="A923" t="s">
        <v>5178</v>
      </c>
      <c r="B923">
        <v>0.15801644286306299</v>
      </c>
      <c r="C923">
        <v>7.8490430241148497</v>
      </c>
      <c r="D923">
        <v>0.76104242269634803</v>
      </c>
      <c r="E923">
        <v>1</v>
      </c>
      <c r="F923">
        <v>22</v>
      </c>
      <c r="G923">
        <v>21</v>
      </c>
      <c r="H923" t="s">
        <v>5179</v>
      </c>
      <c r="I923" t="s">
        <v>5180</v>
      </c>
      <c r="J923" t="s">
        <v>1343</v>
      </c>
    </row>
    <row r="924" spans="1:10">
      <c r="A924" t="s">
        <v>5181</v>
      </c>
      <c r="B924">
        <v>0.15801644286306299</v>
      </c>
      <c r="C924">
        <v>7.8490430241148497</v>
      </c>
      <c r="D924">
        <v>0.76104242269634803</v>
      </c>
      <c r="E924">
        <v>1</v>
      </c>
      <c r="F924">
        <v>22</v>
      </c>
      <c r="G924">
        <v>21</v>
      </c>
      <c r="H924" t="s">
        <v>28</v>
      </c>
      <c r="I924" t="s">
        <v>3438</v>
      </c>
      <c r="J924" t="s">
        <v>1344</v>
      </c>
    </row>
    <row r="925" spans="1:10">
      <c r="A925" t="s">
        <v>5182</v>
      </c>
      <c r="B925">
        <v>0.15801644286306299</v>
      </c>
      <c r="C925">
        <v>7.8490430241148497</v>
      </c>
      <c r="D925">
        <v>0.76104242269634803</v>
      </c>
      <c r="E925">
        <v>1</v>
      </c>
      <c r="F925">
        <v>22</v>
      </c>
      <c r="G925">
        <v>21</v>
      </c>
      <c r="H925" t="s">
        <v>5183</v>
      </c>
      <c r="I925" t="s">
        <v>5184</v>
      </c>
      <c r="J925" t="s">
        <v>1345</v>
      </c>
    </row>
    <row r="926" spans="1:10">
      <c r="A926" t="s">
        <v>5185</v>
      </c>
      <c r="B926">
        <v>0.15801644286306299</v>
      </c>
      <c r="C926">
        <v>7.8490430241148497</v>
      </c>
      <c r="D926">
        <v>0.76104242269634803</v>
      </c>
      <c r="E926">
        <v>1</v>
      </c>
      <c r="F926">
        <v>22</v>
      </c>
      <c r="G926">
        <v>21</v>
      </c>
      <c r="H926" t="s">
        <v>5186</v>
      </c>
      <c r="I926" t="s">
        <v>5187</v>
      </c>
      <c r="J926" t="s">
        <v>1346</v>
      </c>
    </row>
    <row r="927" spans="1:10">
      <c r="A927" t="s">
        <v>5188</v>
      </c>
      <c r="B927">
        <v>9.2259760538510094E-2</v>
      </c>
      <c r="C927">
        <v>9.0077423769762195</v>
      </c>
      <c r="D927">
        <v>0.76020827543394298</v>
      </c>
      <c r="E927">
        <v>1</v>
      </c>
      <c r="F927">
        <v>48</v>
      </c>
      <c r="G927">
        <v>48</v>
      </c>
      <c r="H927" t="s">
        <v>5189</v>
      </c>
      <c r="I927" t="s">
        <v>5190</v>
      </c>
      <c r="J927" t="s">
        <v>1347</v>
      </c>
    </row>
    <row r="928" spans="1:10">
      <c r="A928" t="s">
        <v>5191</v>
      </c>
      <c r="B928">
        <v>-0.11962244669703</v>
      </c>
      <c r="C928">
        <v>8.9926192635096491</v>
      </c>
      <c r="D928">
        <v>0.75774172811219398</v>
      </c>
      <c r="E928">
        <v>1</v>
      </c>
      <c r="F928">
        <v>44</v>
      </c>
      <c r="G928">
        <v>51</v>
      </c>
      <c r="H928" t="s">
        <v>5192</v>
      </c>
      <c r="I928" t="s">
        <v>5193</v>
      </c>
      <c r="J928" t="s">
        <v>1348</v>
      </c>
    </row>
    <row r="929" spans="1:10">
      <c r="A929" t="s">
        <v>5194</v>
      </c>
      <c r="B929">
        <v>0.12310525603228099</v>
      </c>
      <c r="C929">
        <v>8.9619407730576395</v>
      </c>
      <c r="D929">
        <v>0.75774172811219398</v>
      </c>
      <c r="E929">
        <v>1</v>
      </c>
      <c r="F929">
        <v>47</v>
      </c>
      <c r="G929">
        <v>46</v>
      </c>
      <c r="H929" t="s">
        <v>5195</v>
      </c>
      <c r="I929" t="s">
        <v>5196</v>
      </c>
      <c r="J929" t="s">
        <v>1349</v>
      </c>
    </row>
    <row r="930" spans="1:10">
      <c r="A930" t="s">
        <v>5197</v>
      </c>
      <c r="B930">
        <v>-5.6696116123348503E-2</v>
      </c>
      <c r="C930">
        <v>10.9423926085449</v>
      </c>
      <c r="D930">
        <v>0.75633549762708896</v>
      </c>
      <c r="E930">
        <v>1</v>
      </c>
      <c r="F930">
        <v>174</v>
      </c>
      <c r="G930">
        <v>193</v>
      </c>
      <c r="H930" t="s">
        <v>421</v>
      </c>
      <c r="I930" t="s">
        <v>5198</v>
      </c>
      <c r="J930" t="s">
        <v>420</v>
      </c>
    </row>
    <row r="931" spans="1:10">
      <c r="A931" t="s">
        <v>5199</v>
      </c>
      <c r="B931">
        <v>-0.25772761081436502</v>
      </c>
      <c r="C931">
        <v>7.7803162481536097</v>
      </c>
      <c r="D931">
        <v>0.75547306840195205</v>
      </c>
      <c r="E931">
        <v>1</v>
      </c>
      <c r="F931">
        <v>18</v>
      </c>
      <c r="G931">
        <v>23</v>
      </c>
      <c r="H931" t="s">
        <v>5200</v>
      </c>
      <c r="I931" t="s">
        <v>5201</v>
      </c>
      <c r="J931" t="s">
        <v>1350</v>
      </c>
    </row>
    <row r="932" spans="1:10">
      <c r="A932" t="s">
        <v>5202</v>
      </c>
      <c r="B932">
        <v>-0.25772761081436502</v>
      </c>
      <c r="C932">
        <v>7.7803162481536097</v>
      </c>
      <c r="D932">
        <v>0.75547306840195205</v>
      </c>
      <c r="E932">
        <v>1</v>
      </c>
      <c r="F932">
        <v>18</v>
      </c>
      <c r="G932">
        <v>23</v>
      </c>
      <c r="H932" t="s">
        <v>28</v>
      </c>
      <c r="I932" t="s">
        <v>5203</v>
      </c>
      <c r="J932" t="s">
        <v>1351</v>
      </c>
    </row>
    <row r="933" spans="1:10">
      <c r="A933" t="s">
        <v>5204</v>
      </c>
      <c r="B933">
        <v>-0.25772761081436502</v>
      </c>
      <c r="C933">
        <v>7.7803162481536097</v>
      </c>
      <c r="D933">
        <v>0.75547306840195205</v>
      </c>
      <c r="E933">
        <v>1</v>
      </c>
      <c r="F933">
        <v>18</v>
      </c>
      <c r="G933">
        <v>23</v>
      </c>
      <c r="H933" t="s">
        <v>28</v>
      </c>
      <c r="I933" t="s">
        <v>3438</v>
      </c>
      <c r="J933" t="s">
        <v>1352</v>
      </c>
    </row>
    <row r="934" spans="1:10">
      <c r="A934" t="s">
        <v>5205</v>
      </c>
      <c r="B934">
        <v>-0.25772761081436502</v>
      </c>
      <c r="C934">
        <v>7.7803162481536097</v>
      </c>
      <c r="D934">
        <v>0.75547306840195205</v>
      </c>
      <c r="E934">
        <v>1</v>
      </c>
      <c r="F934">
        <v>18</v>
      </c>
      <c r="G934">
        <v>23</v>
      </c>
      <c r="H934" t="s">
        <v>5206</v>
      </c>
      <c r="I934" t="s">
        <v>5207</v>
      </c>
      <c r="J934" t="s">
        <v>1353</v>
      </c>
    </row>
    <row r="935" spans="1:10">
      <c r="A935" t="s">
        <v>5208</v>
      </c>
      <c r="B935">
        <v>-0.25772761081436502</v>
      </c>
      <c r="C935">
        <v>7.7803162481536097</v>
      </c>
      <c r="D935">
        <v>0.75547306840195205</v>
      </c>
      <c r="E935">
        <v>1</v>
      </c>
      <c r="F935">
        <v>18</v>
      </c>
      <c r="G935">
        <v>23</v>
      </c>
      <c r="H935" t="s">
        <v>5209</v>
      </c>
      <c r="I935" t="s">
        <v>4748</v>
      </c>
      <c r="J935" t="s">
        <v>1354</v>
      </c>
    </row>
    <row r="936" spans="1:10">
      <c r="A936" t="s">
        <v>5210</v>
      </c>
      <c r="B936">
        <v>0.16116344240404201</v>
      </c>
      <c r="C936">
        <v>7.7803301259470903</v>
      </c>
      <c r="D936">
        <v>0.75547306840195205</v>
      </c>
      <c r="E936">
        <v>1</v>
      </c>
      <c r="F936">
        <v>21</v>
      </c>
      <c r="G936">
        <v>20</v>
      </c>
      <c r="H936" t="s">
        <v>5211</v>
      </c>
      <c r="I936" t="s">
        <v>5212</v>
      </c>
      <c r="J936" t="s">
        <v>1355</v>
      </c>
    </row>
    <row r="937" spans="1:10">
      <c r="A937" t="s">
        <v>5213</v>
      </c>
      <c r="B937">
        <v>0.16116344240404201</v>
      </c>
      <c r="C937">
        <v>7.7803301259470903</v>
      </c>
      <c r="D937">
        <v>0.75547306840195205</v>
      </c>
      <c r="E937">
        <v>1</v>
      </c>
      <c r="F937">
        <v>21</v>
      </c>
      <c r="G937">
        <v>20</v>
      </c>
      <c r="H937" t="s">
        <v>28</v>
      </c>
      <c r="I937" t="s">
        <v>3438</v>
      </c>
      <c r="J937" t="s">
        <v>1356</v>
      </c>
    </row>
    <row r="938" spans="1:10">
      <c r="A938" t="s">
        <v>5214</v>
      </c>
      <c r="B938">
        <v>0.16116344240404201</v>
      </c>
      <c r="C938">
        <v>7.7803301259470903</v>
      </c>
      <c r="D938">
        <v>0.75547306840195205</v>
      </c>
      <c r="E938">
        <v>1</v>
      </c>
      <c r="F938">
        <v>21</v>
      </c>
      <c r="G938">
        <v>20</v>
      </c>
      <c r="H938" t="s">
        <v>5215</v>
      </c>
      <c r="I938" t="s">
        <v>5216</v>
      </c>
      <c r="J938" t="s">
        <v>1357</v>
      </c>
    </row>
    <row r="939" spans="1:10">
      <c r="A939" t="s">
        <v>5217</v>
      </c>
      <c r="B939">
        <v>0.16116344240404201</v>
      </c>
      <c r="C939">
        <v>7.7803301259470903</v>
      </c>
      <c r="D939">
        <v>0.75547306840195205</v>
      </c>
      <c r="E939">
        <v>1</v>
      </c>
      <c r="F939">
        <v>21</v>
      </c>
      <c r="G939">
        <v>20</v>
      </c>
      <c r="H939" t="s">
        <v>28</v>
      </c>
      <c r="I939" t="s">
        <v>3465</v>
      </c>
      <c r="J939" t="s">
        <v>1358</v>
      </c>
    </row>
    <row r="940" spans="1:10">
      <c r="A940" t="s">
        <v>5218</v>
      </c>
      <c r="B940">
        <v>-0.124181916271652</v>
      </c>
      <c r="C940">
        <v>8.9619223171334799</v>
      </c>
      <c r="D940">
        <v>0.75519799611754501</v>
      </c>
      <c r="E940">
        <v>1</v>
      </c>
      <c r="F940">
        <v>43</v>
      </c>
      <c r="G940">
        <v>50</v>
      </c>
      <c r="H940" t="s">
        <v>28</v>
      </c>
      <c r="I940" t="s">
        <v>3438</v>
      </c>
      <c r="J940" t="s">
        <v>1359</v>
      </c>
    </row>
    <row r="941" spans="1:10">
      <c r="A941" t="s">
        <v>5219</v>
      </c>
      <c r="B941">
        <v>0.15463529314074501</v>
      </c>
      <c r="C941">
        <v>8.9463461514459297</v>
      </c>
      <c r="D941">
        <v>0.75519799611754501</v>
      </c>
      <c r="E941">
        <v>1</v>
      </c>
      <c r="F941">
        <v>47</v>
      </c>
      <c r="G941">
        <v>45</v>
      </c>
      <c r="H941" t="s">
        <v>28</v>
      </c>
      <c r="I941" t="s">
        <v>3438</v>
      </c>
      <c r="J941" t="s">
        <v>1360</v>
      </c>
    </row>
    <row r="942" spans="1:10">
      <c r="A942" t="s">
        <v>5220</v>
      </c>
      <c r="B942">
        <v>0.15463529314074501</v>
      </c>
      <c r="C942">
        <v>8.9463461514459297</v>
      </c>
      <c r="D942">
        <v>0.75519799611754501</v>
      </c>
      <c r="E942">
        <v>1</v>
      </c>
      <c r="F942">
        <v>47</v>
      </c>
      <c r="G942">
        <v>45</v>
      </c>
      <c r="H942" t="s">
        <v>5221</v>
      </c>
      <c r="I942" t="s">
        <v>4483</v>
      </c>
      <c r="J942" t="s">
        <v>1361</v>
      </c>
    </row>
    <row r="943" spans="1:10">
      <c r="A943" t="s">
        <v>5222</v>
      </c>
      <c r="B943">
        <v>-6.7590300220794403E-2</v>
      </c>
      <c r="C943">
        <v>10.400039173174701</v>
      </c>
      <c r="D943">
        <v>0.75435032628990295</v>
      </c>
      <c r="E943">
        <v>1</v>
      </c>
      <c r="F943">
        <v>119</v>
      </c>
      <c r="G943">
        <v>133</v>
      </c>
      <c r="H943" t="s">
        <v>5223</v>
      </c>
      <c r="I943" t="s">
        <v>5224</v>
      </c>
      <c r="J943" t="s">
        <v>1362</v>
      </c>
    </row>
    <row r="944" spans="1:10">
      <c r="A944" t="s">
        <v>5225</v>
      </c>
      <c r="B944">
        <v>-0.46823549954574201</v>
      </c>
      <c r="C944">
        <v>5.7446969674975596</v>
      </c>
      <c r="D944">
        <v>0.753967751912753</v>
      </c>
      <c r="E944">
        <v>1</v>
      </c>
      <c r="F944">
        <v>4</v>
      </c>
      <c r="G944">
        <v>6</v>
      </c>
      <c r="H944" t="s">
        <v>28</v>
      </c>
      <c r="I944" t="s">
        <v>5226</v>
      </c>
      <c r="J944" t="s">
        <v>1363</v>
      </c>
    </row>
    <row r="945" spans="1:10">
      <c r="A945" t="s">
        <v>5227</v>
      </c>
      <c r="B945">
        <v>-0.46823549954574201</v>
      </c>
      <c r="C945">
        <v>5.7446969674975596</v>
      </c>
      <c r="D945">
        <v>0.753967751912753</v>
      </c>
      <c r="E945">
        <v>1</v>
      </c>
      <c r="F945">
        <v>4</v>
      </c>
      <c r="G945">
        <v>6</v>
      </c>
      <c r="H945" t="s">
        <v>28</v>
      </c>
      <c r="I945" t="s">
        <v>3657</v>
      </c>
      <c r="J945" t="s">
        <v>1364</v>
      </c>
    </row>
    <row r="946" spans="1:10">
      <c r="A946" t="s">
        <v>5228</v>
      </c>
      <c r="B946">
        <v>-0.46823549954574201</v>
      </c>
      <c r="C946">
        <v>5.7446969674975596</v>
      </c>
      <c r="D946">
        <v>0.753967751912753</v>
      </c>
      <c r="E946">
        <v>1</v>
      </c>
      <c r="F946">
        <v>4</v>
      </c>
      <c r="G946">
        <v>6</v>
      </c>
      <c r="H946" t="s">
        <v>28</v>
      </c>
      <c r="I946" t="s">
        <v>3438</v>
      </c>
      <c r="J946" t="s">
        <v>1365</v>
      </c>
    </row>
    <row r="947" spans="1:10">
      <c r="A947" t="s">
        <v>5229</v>
      </c>
      <c r="B947">
        <v>-0.46823549954574201</v>
      </c>
      <c r="C947">
        <v>5.7446969674975596</v>
      </c>
      <c r="D947">
        <v>0.753967751912753</v>
      </c>
      <c r="E947">
        <v>1</v>
      </c>
      <c r="F947">
        <v>4</v>
      </c>
      <c r="G947">
        <v>6</v>
      </c>
      <c r="H947" t="s">
        <v>28</v>
      </c>
      <c r="I947" t="s">
        <v>3465</v>
      </c>
      <c r="J947" t="s">
        <v>1366</v>
      </c>
    </row>
    <row r="948" spans="1:10">
      <c r="A948" t="s">
        <v>5230</v>
      </c>
      <c r="B948">
        <v>-0.46823549954574201</v>
      </c>
      <c r="C948">
        <v>5.7446969674975596</v>
      </c>
      <c r="D948">
        <v>0.753967751912753</v>
      </c>
      <c r="E948">
        <v>1</v>
      </c>
      <c r="F948">
        <v>4</v>
      </c>
      <c r="G948">
        <v>6</v>
      </c>
      <c r="H948" t="s">
        <v>28</v>
      </c>
      <c r="I948" t="s">
        <v>3474</v>
      </c>
      <c r="J948" t="s">
        <v>1367</v>
      </c>
    </row>
    <row r="949" spans="1:10">
      <c r="A949" t="s">
        <v>5231</v>
      </c>
      <c r="B949">
        <v>-0.46823549954574201</v>
      </c>
      <c r="C949">
        <v>5.7446969674975596</v>
      </c>
      <c r="D949">
        <v>0.753967751912753</v>
      </c>
      <c r="E949">
        <v>1</v>
      </c>
      <c r="F949">
        <v>4</v>
      </c>
      <c r="G949">
        <v>6</v>
      </c>
      <c r="H949" t="s">
        <v>5232</v>
      </c>
      <c r="I949" t="s">
        <v>5233</v>
      </c>
      <c r="J949" t="s">
        <v>1368</v>
      </c>
    </row>
    <row r="950" spans="1:10">
      <c r="A950" t="s">
        <v>5234</v>
      </c>
      <c r="B950">
        <v>-0.46823549954574201</v>
      </c>
      <c r="C950">
        <v>5.7446969674975596</v>
      </c>
      <c r="D950">
        <v>0.753967751912753</v>
      </c>
      <c r="E950">
        <v>1</v>
      </c>
      <c r="F950">
        <v>4</v>
      </c>
      <c r="G950">
        <v>6</v>
      </c>
      <c r="H950" t="s">
        <v>28</v>
      </c>
      <c r="I950" t="s">
        <v>3438</v>
      </c>
      <c r="J950" t="s">
        <v>1369</v>
      </c>
    </row>
    <row r="951" spans="1:10">
      <c r="A951" t="s">
        <v>5235</v>
      </c>
      <c r="B951">
        <v>-0.46823549954574201</v>
      </c>
      <c r="C951">
        <v>5.7446969674975596</v>
      </c>
      <c r="D951">
        <v>0.753967751912753</v>
      </c>
      <c r="E951">
        <v>1</v>
      </c>
      <c r="F951">
        <v>4</v>
      </c>
      <c r="G951">
        <v>6</v>
      </c>
      <c r="H951" t="s">
        <v>261</v>
      </c>
      <c r="I951" t="s">
        <v>5236</v>
      </c>
      <c r="J951" t="s">
        <v>260</v>
      </c>
    </row>
    <row r="952" spans="1:10">
      <c r="A952" t="s">
        <v>5237</v>
      </c>
      <c r="B952">
        <v>-0.46823549954574201</v>
      </c>
      <c r="C952">
        <v>5.7446969674975596</v>
      </c>
      <c r="D952">
        <v>0.753967751912753</v>
      </c>
      <c r="E952">
        <v>1</v>
      </c>
      <c r="F952">
        <v>4</v>
      </c>
      <c r="G952">
        <v>6</v>
      </c>
      <c r="H952" t="s">
        <v>5238</v>
      </c>
      <c r="I952" t="s">
        <v>5239</v>
      </c>
      <c r="J952" t="s">
        <v>1370</v>
      </c>
    </row>
    <row r="953" spans="1:10">
      <c r="A953" t="s">
        <v>5240</v>
      </c>
      <c r="B953">
        <v>-0.46823549954574201</v>
      </c>
      <c r="C953">
        <v>5.7446969674975596</v>
      </c>
      <c r="D953">
        <v>0.753967751912753</v>
      </c>
      <c r="E953">
        <v>1</v>
      </c>
      <c r="F953">
        <v>4</v>
      </c>
      <c r="G953">
        <v>6</v>
      </c>
      <c r="H953" t="s">
        <v>28</v>
      </c>
      <c r="I953" t="s">
        <v>3438</v>
      </c>
      <c r="J953" t="s">
        <v>1371</v>
      </c>
    </row>
    <row r="954" spans="1:10">
      <c r="A954" t="s">
        <v>5241</v>
      </c>
      <c r="B954">
        <v>-0.46823549954574201</v>
      </c>
      <c r="C954">
        <v>5.7446969674975596</v>
      </c>
      <c r="D954">
        <v>0.753967751912753</v>
      </c>
      <c r="E954">
        <v>1</v>
      </c>
      <c r="F954">
        <v>4</v>
      </c>
      <c r="G954">
        <v>6</v>
      </c>
      <c r="H954" t="s">
        <v>5242</v>
      </c>
      <c r="I954" t="s">
        <v>5243</v>
      </c>
      <c r="J954" t="s">
        <v>1372</v>
      </c>
    </row>
    <row r="955" spans="1:10">
      <c r="A955" t="s">
        <v>5244</v>
      </c>
      <c r="B955">
        <v>-0.46823549954574201</v>
      </c>
      <c r="C955">
        <v>5.7446969674975596</v>
      </c>
      <c r="D955">
        <v>0.753967751912753</v>
      </c>
      <c r="E955">
        <v>1</v>
      </c>
      <c r="F955">
        <v>4</v>
      </c>
      <c r="G955">
        <v>6</v>
      </c>
      <c r="H955" t="s">
        <v>28</v>
      </c>
      <c r="I955" t="s">
        <v>3438</v>
      </c>
      <c r="J955" t="s">
        <v>1373</v>
      </c>
    </row>
    <row r="956" spans="1:10">
      <c r="A956" t="s">
        <v>5245</v>
      </c>
      <c r="B956">
        <v>-0.46823549954574201</v>
      </c>
      <c r="C956">
        <v>5.7446969674975596</v>
      </c>
      <c r="D956">
        <v>0.753967751912753</v>
      </c>
      <c r="E956">
        <v>1</v>
      </c>
      <c r="F956">
        <v>4</v>
      </c>
      <c r="G956">
        <v>6</v>
      </c>
      <c r="H956" t="s">
        <v>5246</v>
      </c>
      <c r="I956" t="s">
        <v>5247</v>
      </c>
      <c r="J956" t="s">
        <v>1374</v>
      </c>
    </row>
    <row r="957" spans="1:10">
      <c r="A957" t="s">
        <v>5248</v>
      </c>
      <c r="B957">
        <v>-0.46823549954574201</v>
      </c>
      <c r="C957">
        <v>5.7446969674975596</v>
      </c>
      <c r="D957">
        <v>0.753967751912753</v>
      </c>
      <c r="E957">
        <v>1</v>
      </c>
      <c r="F957">
        <v>4</v>
      </c>
      <c r="G957">
        <v>6</v>
      </c>
      <c r="H957" t="s">
        <v>28</v>
      </c>
      <c r="I957" t="s">
        <v>3438</v>
      </c>
      <c r="J957" t="s">
        <v>1375</v>
      </c>
    </row>
    <row r="958" spans="1:10">
      <c r="A958" t="s">
        <v>5249</v>
      </c>
      <c r="B958">
        <v>0.64455396804186005</v>
      </c>
      <c r="C958">
        <v>5.74470623369319</v>
      </c>
      <c r="D958">
        <v>0.753967751912753</v>
      </c>
      <c r="E958">
        <v>1</v>
      </c>
      <c r="F958">
        <v>6</v>
      </c>
      <c r="G958">
        <v>4</v>
      </c>
      <c r="H958" t="s">
        <v>28</v>
      </c>
      <c r="I958" t="s">
        <v>3438</v>
      </c>
      <c r="J958" t="s">
        <v>1376</v>
      </c>
    </row>
    <row r="959" spans="1:10">
      <c r="A959" t="s">
        <v>5250</v>
      </c>
      <c r="B959">
        <v>0.64455396804186005</v>
      </c>
      <c r="C959">
        <v>5.74470623369319</v>
      </c>
      <c r="D959">
        <v>0.753967751912753</v>
      </c>
      <c r="E959">
        <v>1</v>
      </c>
      <c r="F959">
        <v>6</v>
      </c>
      <c r="G959">
        <v>4</v>
      </c>
      <c r="H959" t="s">
        <v>5251</v>
      </c>
      <c r="I959" t="s">
        <v>3687</v>
      </c>
      <c r="J959" t="s">
        <v>1377</v>
      </c>
    </row>
    <row r="960" spans="1:10">
      <c r="A960" t="s">
        <v>5252</v>
      </c>
      <c r="B960">
        <v>0.64455396804186005</v>
      </c>
      <c r="C960">
        <v>5.74470623369319</v>
      </c>
      <c r="D960">
        <v>0.753967751912753</v>
      </c>
      <c r="E960">
        <v>1</v>
      </c>
      <c r="F960">
        <v>6</v>
      </c>
      <c r="G960">
        <v>4</v>
      </c>
      <c r="H960" t="s">
        <v>5253</v>
      </c>
      <c r="I960" t="s">
        <v>5254</v>
      </c>
      <c r="J960" t="s">
        <v>1378</v>
      </c>
    </row>
    <row r="961" spans="1:10">
      <c r="A961" t="s">
        <v>5255</v>
      </c>
      <c r="B961">
        <v>0.64455396804186005</v>
      </c>
      <c r="C961">
        <v>5.74470623369319</v>
      </c>
      <c r="D961">
        <v>0.753967751912753</v>
      </c>
      <c r="E961">
        <v>1</v>
      </c>
      <c r="F961">
        <v>6</v>
      </c>
      <c r="G961">
        <v>4</v>
      </c>
      <c r="H961" t="s">
        <v>28</v>
      </c>
      <c r="I961" t="s">
        <v>3438</v>
      </c>
      <c r="J961" t="s">
        <v>1379</v>
      </c>
    </row>
    <row r="962" spans="1:10">
      <c r="A962" t="s">
        <v>5256</v>
      </c>
      <c r="B962">
        <v>0.64455396804186005</v>
      </c>
      <c r="C962">
        <v>5.74470623369319</v>
      </c>
      <c r="D962">
        <v>0.753967751912753</v>
      </c>
      <c r="E962">
        <v>1</v>
      </c>
      <c r="F962">
        <v>6</v>
      </c>
      <c r="G962">
        <v>4</v>
      </c>
      <c r="H962" t="s">
        <v>28</v>
      </c>
      <c r="I962" t="s">
        <v>3657</v>
      </c>
      <c r="J962" t="s">
        <v>1380</v>
      </c>
    </row>
    <row r="963" spans="1:10">
      <c r="A963" t="s">
        <v>5257</v>
      </c>
      <c r="B963">
        <v>0.64455396804186005</v>
      </c>
      <c r="C963">
        <v>5.74470623369319</v>
      </c>
      <c r="D963">
        <v>0.753967751912753</v>
      </c>
      <c r="E963">
        <v>1</v>
      </c>
      <c r="F963">
        <v>6</v>
      </c>
      <c r="G963">
        <v>4</v>
      </c>
      <c r="H963" t="s">
        <v>28</v>
      </c>
      <c r="I963" t="s">
        <v>3438</v>
      </c>
      <c r="J963" t="s">
        <v>1381</v>
      </c>
    </row>
    <row r="964" spans="1:10">
      <c r="A964" t="s">
        <v>5258</v>
      </c>
      <c r="B964">
        <v>0.64455396804186005</v>
      </c>
      <c r="C964">
        <v>5.74470623369319</v>
      </c>
      <c r="D964">
        <v>0.753967751912753</v>
      </c>
      <c r="E964">
        <v>1</v>
      </c>
      <c r="F964">
        <v>6</v>
      </c>
      <c r="G964">
        <v>4</v>
      </c>
      <c r="H964" t="s">
        <v>28</v>
      </c>
      <c r="I964" t="s">
        <v>4138</v>
      </c>
      <c r="J964" t="s">
        <v>1382</v>
      </c>
    </row>
    <row r="965" spans="1:10">
      <c r="A965" t="s">
        <v>5259</v>
      </c>
      <c r="B965">
        <v>0.64455396804186005</v>
      </c>
      <c r="C965">
        <v>5.74470623369319</v>
      </c>
      <c r="D965">
        <v>0.753967751912753</v>
      </c>
      <c r="E965">
        <v>1</v>
      </c>
      <c r="F965">
        <v>6</v>
      </c>
      <c r="G965">
        <v>4</v>
      </c>
      <c r="H965" t="s">
        <v>5260</v>
      </c>
      <c r="I965" t="s">
        <v>5261</v>
      </c>
      <c r="J965" t="s">
        <v>1383</v>
      </c>
    </row>
    <row r="966" spans="1:10">
      <c r="A966" t="s">
        <v>5262</v>
      </c>
      <c r="B966">
        <v>0.64455396804186005</v>
      </c>
      <c r="C966">
        <v>5.74470623369319</v>
      </c>
      <c r="D966">
        <v>0.753967751912753</v>
      </c>
      <c r="E966">
        <v>1</v>
      </c>
      <c r="F966">
        <v>6</v>
      </c>
      <c r="G966">
        <v>4</v>
      </c>
      <c r="H966" t="s">
        <v>5263</v>
      </c>
      <c r="I966" t="s">
        <v>5264</v>
      </c>
      <c r="J966" t="s">
        <v>1384</v>
      </c>
    </row>
    <row r="967" spans="1:10">
      <c r="A967" t="s">
        <v>5265</v>
      </c>
      <c r="B967">
        <v>0.64455396804186005</v>
      </c>
      <c r="C967">
        <v>5.74470623369319</v>
      </c>
      <c r="D967">
        <v>0.753967751912753</v>
      </c>
      <c r="E967">
        <v>1</v>
      </c>
      <c r="F967">
        <v>6</v>
      </c>
      <c r="G967">
        <v>4</v>
      </c>
      <c r="H967" t="s">
        <v>28</v>
      </c>
      <c r="I967" t="s">
        <v>3906</v>
      </c>
      <c r="J967" t="s">
        <v>1385</v>
      </c>
    </row>
    <row r="968" spans="1:10">
      <c r="A968" t="s">
        <v>5266</v>
      </c>
      <c r="B968">
        <v>0.64455396804186005</v>
      </c>
      <c r="C968">
        <v>5.74470623369319</v>
      </c>
      <c r="D968">
        <v>0.753967751912753</v>
      </c>
      <c r="E968">
        <v>1</v>
      </c>
      <c r="F968">
        <v>6</v>
      </c>
      <c r="G968">
        <v>4</v>
      </c>
      <c r="H968" t="s">
        <v>28</v>
      </c>
      <c r="I968" t="s">
        <v>3438</v>
      </c>
      <c r="J968" t="s">
        <v>1386</v>
      </c>
    </row>
    <row r="969" spans="1:10">
      <c r="A969" t="s">
        <v>5267</v>
      </c>
      <c r="B969">
        <v>0.64455396804186005</v>
      </c>
      <c r="C969">
        <v>5.74470623369319</v>
      </c>
      <c r="D969">
        <v>0.753967751912753</v>
      </c>
      <c r="E969">
        <v>1</v>
      </c>
      <c r="F969">
        <v>6</v>
      </c>
      <c r="G969">
        <v>4</v>
      </c>
      <c r="H969" t="s">
        <v>5268</v>
      </c>
      <c r="I969" t="s">
        <v>5269</v>
      </c>
      <c r="J969" t="s">
        <v>1387</v>
      </c>
    </row>
    <row r="970" spans="1:10">
      <c r="A970" t="s">
        <v>5270</v>
      </c>
      <c r="B970">
        <v>-0.128941860766525</v>
      </c>
      <c r="C970">
        <v>8.9305579970501299</v>
      </c>
      <c r="D970">
        <v>0.75257296374053495</v>
      </c>
      <c r="E970">
        <v>1</v>
      </c>
      <c r="F970">
        <v>42</v>
      </c>
      <c r="G970">
        <v>49</v>
      </c>
      <c r="H970" t="s">
        <v>5271</v>
      </c>
      <c r="I970" t="s">
        <v>5272</v>
      </c>
      <c r="J970" t="s">
        <v>1388</v>
      </c>
    </row>
    <row r="971" spans="1:10">
      <c r="A971" t="s">
        <v>5273</v>
      </c>
      <c r="B971">
        <v>7.4359023985563696E-2</v>
      </c>
      <c r="C971">
        <v>9.7356651644367709</v>
      </c>
      <c r="D971">
        <v>0.75214354359861002</v>
      </c>
      <c r="E971">
        <v>1</v>
      </c>
      <c r="F971">
        <v>79</v>
      </c>
      <c r="G971">
        <v>80</v>
      </c>
      <c r="H971" t="s">
        <v>5274</v>
      </c>
      <c r="I971" t="s">
        <v>5275</v>
      </c>
      <c r="J971" t="s">
        <v>1389</v>
      </c>
    </row>
    <row r="972" spans="1:10">
      <c r="A972" t="s">
        <v>5276</v>
      </c>
      <c r="B972">
        <v>-0.10370629629967899</v>
      </c>
      <c r="C972">
        <v>8.8821970592037705</v>
      </c>
      <c r="D972">
        <v>0.74986220134454196</v>
      </c>
      <c r="E972">
        <v>1</v>
      </c>
      <c r="F972">
        <v>41</v>
      </c>
      <c r="G972">
        <v>47</v>
      </c>
      <c r="H972" t="s">
        <v>5277</v>
      </c>
      <c r="I972" t="s">
        <v>3438</v>
      </c>
      <c r="J972" t="s">
        <v>1390</v>
      </c>
    </row>
    <row r="973" spans="1:10">
      <c r="A973" t="s">
        <v>5278</v>
      </c>
      <c r="B973">
        <v>-0.27566155381882201</v>
      </c>
      <c r="C973">
        <v>7.7081663129022804</v>
      </c>
      <c r="D973">
        <v>0.74949649610092794</v>
      </c>
      <c r="E973">
        <v>1</v>
      </c>
      <c r="F973">
        <v>17</v>
      </c>
      <c r="G973">
        <v>22</v>
      </c>
      <c r="H973" t="s">
        <v>28</v>
      </c>
      <c r="I973" t="s">
        <v>3438</v>
      </c>
      <c r="J973" t="s">
        <v>1391</v>
      </c>
    </row>
    <row r="974" spans="1:10">
      <c r="A974" t="s">
        <v>5279</v>
      </c>
      <c r="B974">
        <v>-0.27566155381882201</v>
      </c>
      <c r="C974">
        <v>7.7081663129022804</v>
      </c>
      <c r="D974">
        <v>0.74949649610092794</v>
      </c>
      <c r="E974">
        <v>1</v>
      </c>
      <c r="F974">
        <v>17</v>
      </c>
      <c r="G974">
        <v>22</v>
      </c>
      <c r="H974" t="s">
        <v>28</v>
      </c>
      <c r="I974" t="s">
        <v>3438</v>
      </c>
      <c r="J974" t="s">
        <v>1392</v>
      </c>
    </row>
    <row r="975" spans="1:10">
      <c r="A975" t="s">
        <v>5280</v>
      </c>
      <c r="B975">
        <v>0.164629314058587</v>
      </c>
      <c r="C975">
        <v>7.7081801920779904</v>
      </c>
      <c r="D975">
        <v>0.74949649610092794</v>
      </c>
      <c r="E975">
        <v>1</v>
      </c>
      <c r="F975">
        <v>20</v>
      </c>
      <c r="G975">
        <v>19</v>
      </c>
      <c r="H975" t="s">
        <v>28</v>
      </c>
      <c r="I975" t="s">
        <v>3438</v>
      </c>
      <c r="J975" t="s">
        <v>1393</v>
      </c>
    </row>
    <row r="976" spans="1:10">
      <c r="A976" t="s">
        <v>5281</v>
      </c>
      <c r="B976">
        <v>0.164629314058587</v>
      </c>
      <c r="C976">
        <v>7.7081801920779904</v>
      </c>
      <c r="D976">
        <v>0.74949649610092794</v>
      </c>
      <c r="E976">
        <v>1</v>
      </c>
      <c r="F976">
        <v>20</v>
      </c>
      <c r="G976">
        <v>19</v>
      </c>
      <c r="H976" t="s">
        <v>5282</v>
      </c>
      <c r="I976" t="s">
        <v>5283</v>
      </c>
      <c r="J976" t="s">
        <v>1394</v>
      </c>
    </row>
    <row r="977" spans="1:10">
      <c r="A977" t="s">
        <v>5284</v>
      </c>
      <c r="B977">
        <v>0.164629314058587</v>
      </c>
      <c r="C977">
        <v>7.7081801920779904</v>
      </c>
      <c r="D977">
        <v>0.74949649610092794</v>
      </c>
      <c r="E977">
        <v>1</v>
      </c>
      <c r="F977">
        <v>20</v>
      </c>
      <c r="G977">
        <v>19</v>
      </c>
      <c r="H977" t="s">
        <v>5285</v>
      </c>
      <c r="I977" t="s">
        <v>5286</v>
      </c>
      <c r="J977" t="s">
        <v>1395</v>
      </c>
    </row>
    <row r="978" spans="1:10">
      <c r="A978" t="s">
        <v>5287</v>
      </c>
      <c r="B978">
        <v>-0.108262951829771</v>
      </c>
      <c r="C978">
        <v>8.8490300462409799</v>
      </c>
      <c r="D978">
        <v>0.74706093390005002</v>
      </c>
      <c r="E978">
        <v>1</v>
      </c>
      <c r="F978">
        <v>40</v>
      </c>
      <c r="G978">
        <v>46</v>
      </c>
      <c r="H978" t="s">
        <v>28</v>
      </c>
      <c r="I978" t="s">
        <v>3438</v>
      </c>
      <c r="J978" t="s">
        <v>1396</v>
      </c>
    </row>
    <row r="979" spans="1:10">
      <c r="A979" t="s">
        <v>5288</v>
      </c>
      <c r="B979">
        <v>0.15893005782813899</v>
      </c>
      <c r="C979">
        <v>8.8490485086006494</v>
      </c>
      <c r="D979">
        <v>0.74706093390005002</v>
      </c>
      <c r="E979">
        <v>1</v>
      </c>
      <c r="F979">
        <v>44</v>
      </c>
      <c r="G979">
        <v>42</v>
      </c>
      <c r="H979" t="s">
        <v>28</v>
      </c>
      <c r="I979" t="s">
        <v>3438</v>
      </c>
      <c r="J979" t="s">
        <v>1397</v>
      </c>
    </row>
    <row r="980" spans="1:10">
      <c r="A980" t="s">
        <v>5289</v>
      </c>
      <c r="B980">
        <v>-0.11303638080646999</v>
      </c>
      <c r="C980">
        <v>8.8150825652603704</v>
      </c>
      <c r="D980">
        <v>0.74416400557732199</v>
      </c>
      <c r="E980">
        <v>1</v>
      </c>
      <c r="F980">
        <v>39</v>
      </c>
      <c r="G980">
        <v>45</v>
      </c>
      <c r="H980" t="s">
        <v>28</v>
      </c>
      <c r="I980" t="s">
        <v>3438</v>
      </c>
      <c r="J980" t="s">
        <v>1398</v>
      </c>
    </row>
    <row r="981" spans="1:10">
      <c r="A981" t="s">
        <v>5290</v>
      </c>
      <c r="B981">
        <v>-0.11303638080646999</v>
      </c>
      <c r="C981">
        <v>8.8150825652603704</v>
      </c>
      <c r="D981">
        <v>0.74416400557732199</v>
      </c>
      <c r="E981">
        <v>1</v>
      </c>
      <c r="F981">
        <v>39</v>
      </c>
      <c r="G981">
        <v>45</v>
      </c>
      <c r="H981" t="s">
        <v>28</v>
      </c>
      <c r="I981" t="s">
        <v>3474</v>
      </c>
      <c r="J981" t="s">
        <v>1399</v>
      </c>
    </row>
    <row r="982" spans="1:10">
      <c r="A982" t="s">
        <v>5291</v>
      </c>
      <c r="B982">
        <v>0.16049725305857501</v>
      </c>
      <c r="C982">
        <v>8.8151010294553291</v>
      </c>
      <c r="D982">
        <v>0.74416400557732199</v>
      </c>
      <c r="E982">
        <v>1</v>
      </c>
      <c r="F982">
        <v>43</v>
      </c>
      <c r="G982">
        <v>41</v>
      </c>
      <c r="H982" t="s">
        <v>5292</v>
      </c>
      <c r="I982" t="s">
        <v>3438</v>
      </c>
      <c r="J982" t="s">
        <v>1400</v>
      </c>
    </row>
    <row r="983" spans="1:10">
      <c r="A983" t="s">
        <v>5293</v>
      </c>
      <c r="B983">
        <v>-0.295541564751368</v>
      </c>
      <c r="C983">
        <v>7.6322173101436999</v>
      </c>
      <c r="D983">
        <v>0.743060506082584</v>
      </c>
      <c r="E983">
        <v>1</v>
      </c>
      <c r="F983">
        <v>16</v>
      </c>
      <c r="G983">
        <v>21</v>
      </c>
      <c r="H983" t="s">
        <v>5294</v>
      </c>
      <c r="I983" t="s">
        <v>5295</v>
      </c>
      <c r="J983" t="s">
        <v>1401</v>
      </c>
    </row>
    <row r="984" spans="1:10">
      <c r="A984" t="s">
        <v>5296</v>
      </c>
      <c r="B984">
        <v>-0.295541564751368</v>
      </c>
      <c r="C984">
        <v>7.6322173101436999</v>
      </c>
      <c r="D984">
        <v>0.743060506082584</v>
      </c>
      <c r="E984">
        <v>1</v>
      </c>
      <c r="F984">
        <v>16</v>
      </c>
      <c r="G984">
        <v>21</v>
      </c>
      <c r="H984" t="s">
        <v>28</v>
      </c>
      <c r="I984" t="s">
        <v>3438</v>
      </c>
      <c r="J984" t="s">
        <v>1402</v>
      </c>
    </row>
    <row r="985" spans="1:10">
      <c r="A985" t="s">
        <v>5297</v>
      </c>
      <c r="B985">
        <v>0.168465120889536</v>
      </c>
      <c r="C985">
        <v>7.6322311907018996</v>
      </c>
      <c r="D985">
        <v>0.743060506082584</v>
      </c>
      <c r="E985">
        <v>1</v>
      </c>
      <c r="F985">
        <v>19</v>
      </c>
      <c r="G985">
        <v>18</v>
      </c>
      <c r="H985" t="s">
        <v>5298</v>
      </c>
      <c r="I985" t="s">
        <v>5299</v>
      </c>
      <c r="J985" t="s">
        <v>1403</v>
      </c>
    </row>
    <row r="986" spans="1:10">
      <c r="A986" t="s">
        <v>5300</v>
      </c>
      <c r="B986">
        <v>0.168465120889536</v>
      </c>
      <c r="C986">
        <v>7.6322311907018996</v>
      </c>
      <c r="D986">
        <v>0.743060506082584</v>
      </c>
      <c r="E986">
        <v>1</v>
      </c>
      <c r="F986">
        <v>19</v>
      </c>
      <c r="G986">
        <v>18</v>
      </c>
      <c r="H986" t="s">
        <v>28</v>
      </c>
      <c r="I986" t="s">
        <v>5301</v>
      </c>
      <c r="J986" t="s">
        <v>1404</v>
      </c>
    </row>
    <row r="987" spans="1:10">
      <c r="A987" t="s">
        <v>5302</v>
      </c>
      <c r="B987">
        <v>0.168465120889536</v>
      </c>
      <c r="C987">
        <v>7.6322311907018996</v>
      </c>
      <c r="D987">
        <v>0.743060506082584</v>
      </c>
      <c r="E987">
        <v>1</v>
      </c>
      <c r="F987">
        <v>19</v>
      </c>
      <c r="G987">
        <v>18</v>
      </c>
      <c r="H987" t="s">
        <v>5303</v>
      </c>
      <c r="I987" t="s">
        <v>5304</v>
      </c>
      <c r="J987" t="s">
        <v>1405</v>
      </c>
    </row>
    <row r="988" spans="1:10">
      <c r="A988" t="s">
        <v>5305</v>
      </c>
      <c r="B988">
        <v>0.168465120889536</v>
      </c>
      <c r="C988">
        <v>7.6322311907018996</v>
      </c>
      <c r="D988">
        <v>0.743060506082584</v>
      </c>
      <c r="E988">
        <v>1</v>
      </c>
      <c r="F988">
        <v>19</v>
      </c>
      <c r="G988">
        <v>18</v>
      </c>
      <c r="H988" t="s">
        <v>28</v>
      </c>
      <c r="I988" t="s">
        <v>3438</v>
      </c>
      <c r="J988" t="s">
        <v>1406</v>
      </c>
    </row>
    <row r="989" spans="1:10">
      <c r="A989" t="s">
        <v>5306</v>
      </c>
      <c r="B989">
        <v>0.168465120889536</v>
      </c>
      <c r="C989">
        <v>7.6322311907018996</v>
      </c>
      <c r="D989">
        <v>0.743060506082584</v>
      </c>
      <c r="E989">
        <v>1</v>
      </c>
      <c r="F989">
        <v>19</v>
      </c>
      <c r="G989">
        <v>18</v>
      </c>
      <c r="H989" t="s">
        <v>28</v>
      </c>
      <c r="I989" t="s">
        <v>3438</v>
      </c>
      <c r="J989" t="s">
        <v>1407</v>
      </c>
    </row>
    <row r="990" spans="1:10">
      <c r="A990" t="s">
        <v>5307</v>
      </c>
      <c r="B990">
        <v>-9.1359937262584096E-2</v>
      </c>
      <c r="C990">
        <v>9.5623138269593699</v>
      </c>
      <c r="D990">
        <v>0.73724869269155302</v>
      </c>
      <c r="E990">
        <v>1</v>
      </c>
      <c r="F990">
        <v>66</v>
      </c>
      <c r="G990">
        <v>75</v>
      </c>
      <c r="H990" t="s">
        <v>5308</v>
      </c>
      <c r="I990" t="s">
        <v>5309</v>
      </c>
      <c r="J990" t="s">
        <v>1408</v>
      </c>
    </row>
    <row r="991" spans="1:10">
      <c r="A991" t="s">
        <v>5310</v>
      </c>
      <c r="B991">
        <v>-0.31770481418105401</v>
      </c>
      <c r="C991">
        <v>7.5520468119046296</v>
      </c>
      <c r="D991">
        <v>0.73610302363799396</v>
      </c>
      <c r="E991">
        <v>1</v>
      </c>
      <c r="F991">
        <v>15</v>
      </c>
      <c r="G991">
        <v>20</v>
      </c>
      <c r="H991" t="s">
        <v>28</v>
      </c>
      <c r="I991" t="s">
        <v>3465</v>
      </c>
      <c r="J991" t="s">
        <v>1409</v>
      </c>
    </row>
    <row r="992" spans="1:10">
      <c r="A992" t="s">
        <v>5311</v>
      </c>
      <c r="B992">
        <v>-0.31770481418105401</v>
      </c>
      <c r="C992">
        <v>7.5520468119046296</v>
      </c>
      <c r="D992">
        <v>0.73610302363799396</v>
      </c>
      <c r="E992">
        <v>1</v>
      </c>
      <c r="F992">
        <v>15</v>
      </c>
      <c r="G992">
        <v>20</v>
      </c>
      <c r="H992" t="s">
        <v>28</v>
      </c>
      <c r="I992" t="s">
        <v>5312</v>
      </c>
      <c r="J992" t="s">
        <v>1410</v>
      </c>
    </row>
    <row r="993" spans="1:10">
      <c r="A993" t="s">
        <v>5313</v>
      </c>
      <c r="B993">
        <v>0.17273344644719499</v>
      </c>
      <c r="C993">
        <v>7.5520606938455996</v>
      </c>
      <c r="D993">
        <v>0.73610302363799396</v>
      </c>
      <c r="E993">
        <v>1</v>
      </c>
      <c r="F993">
        <v>18</v>
      </c>
      <c r="G993">
        <v>17</v>
      </c>
      <c r="H993" t="s">
        <v>28</v>
      </c>
      <c r="I993" t="s">
        <v>3438</v>
      </c>
      <c r="J993" t="s">
        <v>1411</v>
      </c>
    </row>
    <row r="994" spans="1:10">
      <c r="A994" t="s">
        <v>5314</v>
      </c>
      <c r="B994">
        <v>0.17273344644719499</v>
      </c>
      <c r="C994">
        <v>7.5520606938455996</v>
      </c>
      <c r="D994">
        <v>0.73610302363799396</v>
      </c>
      <c r="E994">
        <v>1</v>
      </c>
      <c r="F994">
        <v>18</v>
      </c>
      <c r="G994">
        <v>17</v>
      </c>
      <c r="H994" t="s">
        <v>28</v>
      </c>
      <c r="I994" t="s">
        <v>3438</v>
      </c>
      <c r="J994" t="s">
        <v>1412</v>
      </c>
    </row>
    <row r="995" spans="1:10">
      <c r="A995" t="s">
        <v>5315</v>
      </c>
      <c r="B995">
        <v>0.17273344644719499</v>
      </c>
      <c r="C995">
        <v>7.5520606938455996</v>
      </c>
      <c r="D995">
        <v>0.73610302363799396</v>
      </c>
      <c r="E995">
        <v>1</v>
      </c>
      <c r="F995">
        <v>18</v>
      </c>
      <c r="G995">
        <v>17</v>
      </c>
      <c r="H995" t="s">
        <v>28</v>
      </c>
      <c r="I995" t="s">
        <v>3438</v>
      </c>
      <c r="J995" t="s">
        <v>1413</v>
      </c>
    </row>
    <row r="996" spans="1:10">
      <c r="A996" t="s">
        <v>5316</v>
      </c>
      <c r="B996">
        <v>0.17273344644719499</v>
      </c>
      <c r="C996">
        <v>7.5520606938455996</v>
      </c>
      <c r="D996">
        <v>0.73610302363799396</v>
      </c>
      <c r="E996">
        <v>1</v>
      </c>
      <c r="F996">
        <v>18</v>
      </c>
      <c r="G996">
        <v>17</v>
      </c>
      <c r="H996" t="s">
        <v>28</v>
      </c>
      <c r="I996" t="s">
        <v>5317</v>
      </c>
      <c r="J996" t="s">
        <v>1414</v>
      </c>
    </row>
    <row r="997" spans="1:10">
      <c r="A997" t="s">
        <v>5318</v>
      </c>
      <c r="B997">
        <v>0.17273344644719499</v>
      </c>
      <c r="C997">
        <v>7.5520606938455996</v>
      </c>
      <c r="D997">
        <v>0.73610302363799396</v>
      </c>
      <c r="E997">
        <v>1</v>
      </c>
      <c r="F997">
        <v>18</v>
      </c>
      <c r="G997">
        <v>17</v>
      </c>
      <c r="H997" t="s">
        <v>5319</v>
      </c>
      <c r="I997" t="s">
        <v>4395</v>
      </c>
      <c r="J997" t="s">
        <v>1415</v>
      </c>
    </row>
    <row r="998" spans="1:10">
      <c r="A998" t="s">
        <v>5320</v>
      </c>
      <c r="B998">
        <v>0.17273344644719499</v>
      </c>
      <c r="C998">
        <v>7.5520606938455996</v>
      </c>
      <c r="D998">
        <v>0.73610302363799396</v>
      </c>
      <c r="E998">
        <v>1</v>
      </c>
      <c r="F998">
        <v>18</v>
      </c>
      <c r="G998">
        <v>17</v>
      </c>
      <c r="H998" t="s">
        <v>5321</v>
      </c>
      <c r="I998" t="s">
        <v>5322</v>
      </c>
      <c r="J998" t="s">
        <v>1416</v>
      </c>
    </row>
    <row r="999" spans="1:10">
      <c r="A999" t="s">
        <v>5323</v>
      </c>
      <c r="B999">
        <v>0.17273344644719499</v>
      </c>
      <c r="C999">
        <v>7.5520606938455996</v>
      </c>
      <c r="D999">
        <v>0.73610302363799396</v>
      </c>
      <c r="E999">
        <v>1</v>
      </c>
      <c r="F999">
        <v>18</v>
      </c>
      <c r="G999">
        <v>17</v>
      </c>
      <c r="H999" t="s">
        <v>5324</v>
      </c>
      <c r="I999" t="s">
        <v>3687</v>
      </c>
      <c r="J999" t="s">
        <v>1417</v>
      </c>
    </row>
    <row r="1000" spans="1:10">
      <c r="A1000" t="s">
        <v>5325</v>
      </c>
      <c r="B1000">
        <v>-0.128824209763897</v>
      </c>
      <c r="C1000">
        <v>8.7081669140013798</v>
      </c>
      <c r="D1000">
        <v>0.73484110865185304</v>
      </c>
      <c r="E1000">
        <v>1</v>
      </c>
      <c r="F1000">
        <v>36</v>
      </c>
      <c r="G1000">
        <v>42</v>
      </c>
      <c r="H1000" t="s">
        <v>5326</v>
      </c>
      <c r="I1000" t="s">
        <v>5327</v>
      </c>
      <c r="J1000" t="s">
        <v>1418</v>
      </c>
    </row>
    <row r="1001" spans="1:10">
      <c r="A1001" t="s">
        <v>5328</v>
      </c>
      <c r="B1001">
        <v>0.16567827077890401</v>
      </c>
      <c r="C1001">
        <v>8.7081853836971597</v>
      </c>
      <c r="D1001">
        <v>0.73484110865185304</v>
      </c>
      <c r="E1001">
        <v>1</v>
      </c>
      <c r="F1001">
        <v>40</v>
      </c>
      <c r="G1001">
        <v>38</v>
      </c>
      <c r="H1001" t="s">
        <v>28</v>
      </c>
      <c r="I1001" t="s">
        <v>3631</v>
      </c>
      <c r="J1001" t="s">
        <v>1419</v>
      </c>
    </row>
    <row r="1002" spans="1:10">
      <c r="A1002" t="s">
        <v>5329</v>
      </c>
      <c r="B1002">
        <v>-7.2147143262153393E-2</v>
      </c>
      <c r="C1002">
        <v>10.1370062313656</v>
      </c>
      <c r="D1002">
        <v>0.73151430879786705</v>
      </c>
      <c r="E1002">
        <v>1</v>
      </c>
      <c r="F1002">
        <v>99</v>
      </c>
      <c r="G1002">
        <v>111</v>
      </c>
      <c r="H1002" t="s">
        <v>5330</v>
      </c>
      <c r="I1002" t="s">
        <v>5331</v>
      </c>
      <c r="J1002" t="s">
        <v>1420</v>
      </c>
    </row>
    <row r="1003" spans="1:10">
      <c r="A1003" t="s">
        <v>5332</v>
      </c>
      <c r="B1003">
        <v>0.17751183892790101</v>
      </c>
      <c r="C1003">
        <v>7.4671716480572297</v>
      </c>
      <c r="D1003">
        <v>0.72854955986342695</v>
      </c>
      <c r="E1003">
        <v>1</v>
      </c>
      <c r="F1003">
        <v>17</v>
      </c>
      <c r="G1003">
        <v>16</v>
      </c>
      <c r="H1003" t="s">
        <v>5333</v>
      </c>
      <c r="I1003" t="s">
        <v>5334</v>
      </c>
      <c r="J1003" t="s">
        <v>1421</v>
      </c>
    </row>
    <row r="1004" spans="1:10">
      <c r="A1004" t="s">
        <v>5335</v>
      </c>
      <c r="B1004">
        <v>0.17751183892790101</v>
      </c>
      <c r="C1004">
        <v>7.4671716480572297</v>
      </c>
      <c r="D1004">
        <v>0.72854955986342695</v>
      </c>
      <c r="E1004">
        <v>1</v>
      </c>
      <c r="F1004">
        <v>17</v>
      </c>
      <c r="G1004">
        <v>16</v>
      </c>
      <c r="H1004" t="s">
        <v>5336</v>
      </c>
      <c r="I1004" t="s">
        <v>5337</v>
      </c>
      <c r="J1004" t="s">
        <v>1422</v>
      </c>
    </row>
    <row r="1005" spans="1:10">
      <c r="A1005" t="s">
        <v>5338</v>
      </c>
      <c r="B1005">
        <v>0.17751183892790101</v>
      </c>
      <c r="C1005">
        <v>7.4671716480572297</v>
      </c>
      <c r="D1005">
        <v>0.72854955986342695</v>
      </c>
      <c r="E1005">
        <v>1</v>
      </c>
      <c r="F1005">
        <v>17</v>
      </c>
      <c r="G1005">
        <v>16</v>
      </c>
      <c r="H1005" t="s">
        <v>5339</v>
      </c>
      <c r="I1005" t="s">
        <v>4480</v>
      </c>
      <c r="J1005" t="s">
        <v>1423</v>
      </c>
    </row>
    <row r="1006" spans="1:10">
      <c r="A1006" t="s">
        <v>5340</v>
      </c>
      <c r="B1006">
        <v>0.17751183892790101</v>
      </c>
      <c r="C1006">
        <v>7.4671716480572297</v>
      </c>
      <c r="D1006">
        <v>0.72854955986342695</v>
      </c>
      <c r="E1006">
        <v>1</v>
      </c>
      <c r="F1006">
        <v>17</v>
      </c>
      <c r="G1006">
        <v>16</v>
      </c>
      <c r="H1006" t="s">
        <v>28</v>
      </c>
      <c r="I1006" t="s">
        <v>5341</v>
      </c>
      <c r="J1006" t="s">
        <v>1424</v>
      </c>
    </row>
    <row r="1007" spans="1:10">
      <c r="A1007" t="s">
        <v>5342</v>
      </c>
      <c r="B1007">
        <v>0.17751183892790101</v>
      </c>
      <c r="C1007">
        <v>7.4671716480572297</v>
      </c>
      <c r="D1007">
        <v>0.72854955986342695</v>
      </c>
      <c r="E1007">
        <v>1</v>
      </c>
      <c r="F1007">
        <v>17</v>
      </c>
      <c r="G1007">
        <v>16</v>
      </c>
      <c r="H1007" t="s">
        <v>28</v>
      </c>
      <c r="I1007" t="s">
        <v>5343</v>
      </c>
      <c r="J1007" t="s">
        <v>1425</v>
      </c>
    </row>
    <row r="1008" spans="1:10">
      <c r="A1008" t="s">
        <v>5344</v>
      </c>
      <c r="B1008">
        <v>0.16959621877665501</v>
      </c>
      <c r="C1008">
        <v>8.6322362357562401</v>
      </c>
      <c r="D1008">
        <v>0.72803183582101805</v>
      </c>
      <c r="E1008">
        <v>1</v>
      </c>
      <c r="F1008">
        <v>38</v>
      </c>
      <c r="G1008">
        <v>36</v>
      </c>
      <c r="H1008" t="s">
        <v>5345</v>
      </c>
      <c r="I1008" t="s">
        <v>5346</v>
      </c>
      <c r="J1008" t="s">
        <v>1426</v>
      </c>
    </row>
    <row r="1009" spans="1:10">
      <c r="A1009" t="s">
        <v>5347</v>
      </c>
      <c r="B1009">
        <v>0.16959621877665501</v>
      </c>
      <c r="C1009">
        <v>8.6322362357562401</v>
      </c>
      <c r="D1009">
        <v>0.72803183582101805</v>
      </c>
      <c r="E1009">
        <v>1</v>
      </c>
      <c r="F1009">
        <v>38</v>
      </c>
      <c r="G1009">
        <v>36</v>
      </c>
      <c r="H1009" t="s">
        <v>28</v>
      </c>
      <c r="I1009" t="s">
        <v>3438</v>
      </c>
      <c r="J1009" t="s">
        <v>1427</v>
      </c>
    </row>
    <row r="1010" spans="1:10">
      <c r="A1010" t="s">
        <v>5348</v>
      </c>
      <c r="B1010">
        <v>-0.60491335512573796</v>
      </c>
      <c r="C1010">
        <v>5.4227687233450901</v>
      </c>
      <c r="D1010">
        <v>0.72661717246559498</v>
      </c>
      <c r="E1010">
        <v>1</v>
      </c>
      <c r="F1010">
        <v>3</v>
      </c>
      <c r="G1010">
        <v>5</v>
      </c>
      <c r="H1010" t="s">
        <v>28</v>
      </c>
      <c r="I1010" t="s">
        <v>3438</v>
      </c>
      <c r="J1010" t="s">
        <v>1428</v>
      </c>
    </row>
    <row r="1011" spans="1:10">
      <c r="A1011" t="s">
        <v>5349</v>
      </c>
      <c r="B1011">
        <v>-0.60491335512573796</v>
      </c>
      <c r="C1011">
        <v>5.4227687233450901</v>
      </c>
      <c r="D1011">
        <v>0.72661717246559498</v>
      </c>
      <c r="E1011">
        <v>1</v>
      </c>
      <c r="F1011">
        <v>3</v>
      </c>
      <c r="G1011">
        <v>5</v>
      </c>
      <c r="H1011" t="s">
        <v>28</v>
      </c>
      <c r="I1011" t="s">
        <v>5350</v>
      </c>
      <c r="J1011" t="s">
        <v>1429</v>
      </c>
    </row>
    <row r="1012" spans="1:10">
      <c r="A1012" t="s">
        <v>5351</v>
      </c>
      <c r="B1012">
        <v>-0.60491335512573796</v>
      </c>
      <c r="C1012">
        <v>5.4227687233450901</v>
      </c>
      <c r="D1012">
        <v>0.72661717246559498</v>
      </c>
      <c r="E1012">
        <v>1</v>
      </c>
      <c r="F1012">
        <v>3</v>
      </c>
      <c r="G1012">
        <v>5</v>
      </c>
      <c r="H1012" t="s">
        <v>28</v>
      </c>
      <c r="I1012" t="s">
        <v>3438</v>
      </c>
      <c r="J1012" t="s">
        <v>1430</v>
      </c>
    </row>
    <row r="1013" spans="1:10">
      <c r="A1013" t="s">
        <v>5352</v>
      </c>
      <c r="B1013">
        <v>-0.60491335512573796</v>
      </c>
      <c r="C1013">
        <v>5.4227687233450901</v>
      </c>
      <c r="D1013">
        <v>0.72661717246559498</v>
      </c>
      <c r="E1013">
        <v>1</v>
      </c>
      <c r="F1013">
        <v>3</v>
      </c>
      <c r="G1013">
        <v>5</v>
      </c>
      <c r="H1013" t="s">
        <v>28</v>
      </c>
      <c r="I1013" t="s">
        <v>3657</v>
      </c>
      <c r="J1013" t="s">
        <v>1431</v>
      </c>
    </row>
    <row r="1014" spans="1:10">
      <c r="A1014" t="s">
        <v>5353</v>
      </c>
      <c r="B1014">
        <v>-0.60491335512573796</v>
      </c>
      <c r="C1014">
        <v>5.4227687233450901</v>
      </c>
      <c r="D1014">
        <v>0.72661717246559498</v>
      </c>
      <c r="E1014">
        <v>1</v>
      </c>
      <c r="F1014">
        <v>3</v>
      </c>
      <c r="G1014">
        <v>5</v>
      </c>
      <c r="H1014" t="s">
        <v>28</v>
      </c>
      <c r="I1014" t="s">
        <v>5354</v>
      </c>
      <c r="J1014" t="s">
        <v>78</v>
      </c>
    </row>
    <row r="1015" spans="1:10">
      <c r="A1015" t="s">
        <v>5355</v>
      </c>
      <c r="B1015">
        <v>-0.60491335512573796</v>
      </c>
      <c r="C1015">
        <v>5.4227687233450901</v>
      </c>
      <c r="D1015">
        <v>0.72661717246559498</v>
      </c>
      <c r="E1015">
        <v>1</v>
      </c>
      <c r="F1015">
        <v>3</v>
      </c>
      <c r="G1015">
        <v>5</v>
      </c>
      <c r="H1015" t="s">
        <v>28</v>
      </c>
      <c r="I1015" t="s">
        <v>3987</v>
      </c>
      <c r="J1015" t="s">
        <v>1432</v>
      </c>
    </row>
    <row r="1016" spans="1:10">
      <c r="A1016" t="s">
        <v>5356</v>
      </c>
      <c r="B1016">
        <v>-0.60491335512573796</v>
      </c>
      <c r="C1016">
        <v>5.4227687233450901</v>
      </c>
      <c r="D1016">
        <v>0.72661717246559498</v>
      </c>
      <c r="E1016">
        <v>1</v>
      </c>
      <c r="F1016">
        <v>3</v>
      </c>
      <c r="G1016">
        <v>5</v>
      </c>
      <c r="H1016" t="s">
        <v>28</v>
      </c>
      <c r="I1016" t="s">
        <v>3438</v>
      </c>
      <c r="J1016" t="s">
        <v>1433</v>
      </c>
    </row>
    <row r="1017" spans="1:10">
      <c r="A1017" t="s">
        <v>5357</v>
      </c>
      <c r="B1017">
        <v>-0.60491335512573796</v>
      </c>
      <c r="C1017">
        <v>5.4227687233450901</v>
      </c>
      <c r="D1017">
        <v>0.72661717246559498</v>
      </c>
      <c r="E1017">
        <v>1</v>
      </c>
      <c r="F1017">
        <v>3</v>
      </c>
      <c r="G1017">
        <v>5</v>
      </c>
      <c r="H1017" t="s">
        <v>28</v>
      </c>
      <c r="I1017" t="s">
        <v>3438</v>
      </c>
      <c r="J1017" t="s">
        <v>1434</v>
      </c>
    </row>
    <row r="1018" spans="1:10">
      <c r="A1018" t="s">
        <v>5358</v>
      </c>
      <c r="B1018">
        <v>-0.60491335512573796</v>
      </c>
      <c r="C1018">
        <v>5.4227687233450901</v>
      </c>
      <c r="D1018">
        <v>0.72661717246559498</v>
      </c>
      <c r="E1018">
        <v>1</v>
      </c>
      <c r="F1018">
        <v>3</v>
      </c>
      <c r="G1018">
        <v>5</v>
      </c>
      <c r="H1018" t="s">
        <v>5359</v>
      </c>
      <c r="I1018" t="s">
        <v>3450</v>
      </c>
      <c r="J1018" t="s">
        <v>1435</v>
      </c>
    </row>
    <row r="1019" spans="1:10">
      <c r="A1019" t="s">
        <v>5360</v>
      </c>
      <c r="B1019">
        <v>-0.60491335512573796</v>
      </c>
      <c r="C1019">
        <v>5.4227687233450901</v>
      </c>
      <c r="D1019">
        <v>0.72661717246559498</v>
      </c>
      <c r="E1019">
        <v>1</v>
      </c>
      <c r="F1019">
        <v>3</v>
      </c>
      <c r="G1019">
        <v>5</v>
      </c>
      <c r="H1019" t="s">
        <v>28</v>
      </c>
      <c r="I1019" t="s">
        <v>3491</v>
      </c>
      <c r="J1019" t="s">
        <v>1436</v>
      </c>
    </row>
    <row r="1020" spans="1:10">
      <c r="A1020" t="s">
        <v>5361</v>
      </c>
      <c r="B1020">
        <v>-0.60491335512573796</v>
      </c>
      <c r="C1020">
        <v>5.4227687233450901</v>
      </c>
      <c r="D1020">
        <v>0.72661717246559498</v>
      </c>
      <c r="E1020">
        <v>1</v>
      </c>
      <c r="F1020">
        <v>3</v>
      </c>
      <c r="G1020">
        <v>5</v>
      </c>
      <c r="H1020" t="s">
        <v>28</v>
      </c>
      <c r="I1020" t="s">
        <v>3438</v>
      </c>
      <c r="J1020" t="s">
        <v>1437</v>
      </c>
    </row>
    <row r="1021" spans="1:10">
      <c r="A1021" t="s">
        <v>5362</v>
      </c>
      <c r="B1021">
        <v>-0.60491335512573796</v>
      </c>
      <c r="C1021">
        <v>5.4227687233450901</v>
      </c>
      <c r="D1021">
        <v>0.72661717246559498</v>
      </c>
      <c r="E1021">
        <v>1</v>
      </c>
      <c r="F1021">
        <v>3</v>
      </c>
      <c r="G1021">
        <v>5</v>
      </c>
      <c r="H1021" t="s">
        <v>28</v>
      </c>
      <c r="I1021" t="s">
        <v>3438</v>
      </c>
      <c r="J1021" t="s">
        <v>1438</v>
      </c>
    </row>
    <row r="1022" spans="1:10">
      <c r="A1022" t="s">
        <v>5363</v>
      </c>
      <c r="B1022">
        <v>-0.60491335512573796</v>
      </c>
      <c r="C1022">
        <v>5.4227687233450901</v>
      </c>
      <c r="D1022">
        <v>0.72661717246559498</v>
      </c>
      <c r="E1022">
        <v>1</v>
      </c>
      <c r="F1022">
        <v>3</v>
      </c>
      <c r="G1022">
        <v>5</v>
      </c>
      <c r="H1022" t="s">
        <v>28</v>
      </c>
      <c r="I1022" t="s">
        <v>3438</v>
      </c>
      <c r="J1022" t="s">
        <v>1439</v>
      </c>
    </row>
    <row r="1023" spans="1:10">
      <c r="A1023" t="s">
        <v>5364</v>
      </c>
      <c r="B1023">
        <v>-0.60491335512573796</v>
      </c>
      <c r="C1023">
        <v>5.4227687233450901</v>
      </c>
      <c r="D1023">
        <v>0.72661717246559498</v>
      </c>
      <c r="E1023">
        <v>1</v>
      </c>
      <c r="F1023">
        <v>3</v>
      </c>
      <c r="G1023">
        <v>5</v>
      </c>
      <c r="H1023" t="s">
        <v>28</v>
      </c>
      <c r="I1023" t="s">
        <v>3474</v>
      </c>
      <c r="J1023" t="s">
        <v>1440</v>
      </c>
    </row>
    <row r="1024" spans="1:10">
      <c r="A1024" t="s">
        <v>5365</v>
      </c>
      <c r="B1024">
        <v>-0.60491335512573796</v>
      </c>
      <c r="C1024">
        <v>5.4227687233450901</v>
      </c>
      <c r="D1024">
        <v>0.72661717246559498</v>
      </c>
      <c r="E1024">
        <v>1</v>
      </c>
      <c r="F1024">
        <v>3</v>
      </c>
      <c r="G1024">
        <v>5</v>
      </c>
      <c r="H1024" t="s">
        <v>28</v>
      </c>
      <c r="I1024" t="s">
        <v>3438</v>
      </c>
      <c r="J1024" t="s">
        <v>1441</v>
      </c>
    </row>
    <row r="1025" spans="1:10">
      <c r="A1025" t="s">
        <v>5366</v>
      </c>
      <c r="B1025">
        <v>-0.60491335512573796</v>
      </c>
      <c r="C1025">
        <v>5.4227687233450901</v>
      </c>
      <c r="D1025">
        <v>0.72661717246559498</v>
      </c>
      <c r="E1025">
        <v>1</v>
      </c>
      <c r="F1025">
        <v>3</v>
      </c>
      <c r="G1025">
        <v>5</v>
      </c>
      <c r="H1025" t="s">
        <v>28</v>
      </c>
      <c r="I1025" t="s">
        <v>3438</v>
      </c>
      <c r="J1025" t="s">
        <v>1442</v>
      </c>
    </row>
    <row r="1026" spans="1:10">
      <c r="A1026" t="s">
        <v>5367</v>
      </c>
      <c r="B1026">
        <v>0.77884748974514495</v>
      </c>
      <c r="C1026">
        <v>5.4227779904650601</v>
      </c>
      <c r="D1026">
        <v>0.72661717246559498</v>
      </c>
      <c r="E1026">
        <v>1</v>
      </c>
      <c r="F1026">
        <v>5</v>
      </c>
      <c r="G1026">
        <v>3</v>
      </c>
      <c r="H1026" t="s">
        <v>28</v>
      </c>
      <c r="I1026" t="s">
        <v>3436</v>
      </c>
      <c r="J1026" t="s">
        <v>1443</v>
      </c>
    </row>
    <row r="1027" spans="1:10">
      <c r="A1027" t="s">
        <v>5368</v>
      </c>
      <c r="B1027">
        <v>0.77884748974514495</v>
      </c>
      <c r="C1027">
        <v>5.4227779904650601</v>
      </c>
      <c r="D1027">
        <v>0.72661717246559498</v>
      </c>
      <c r="E1027">
        <v>1</v>
      </c>
      <c r="F1027">
        <v>5</v>
      </c>
      <c r="G1027">
        <v>3</v>
      </c>
      <c r="H1027" t="s">
        <v>28</v>
      </c>
      <c r="I1027" t="s">
        <v>3438</v>
      </c>
      <c r="J1027" t="s">
        <v>1444</v>
      </c>
    </row>
    <row r="1028" spans="1:10">
      <c r="A1028" t="s">
        <v>5369</v>
      </c>
      <c r="B1028">
        <v>0.77884748974514495</v>
      </c>
      <c r="C1028">
        <v>5.4227779904650601</v>
      </c>
      <c r="D1028">
        <v>0.72661717246559498</v>
      </c>
      <c r="E1028">
        <v>1</v>
      </c>
      <c r="F1028">
        <v>5</v>
      </c>
      <c r="G1028">
        <v>3</v>
      </c>
      <c r="H1028" t="s">
        <v>28</v>
      </c>
      <c r="I1028" t="s">
        <v>3438</v>
      </c>
      <c r="J1028" t="s">
        <v>1445</v>
      </c>
    </row>
    <row r="1029" spans="1:10">
      <c r="A1029" t="s">
        <v>5370</v>
      </c>
      <c r="B1029">
        <v>0.77884748974514495</v>
      </c>
      <c r="C1029">
        <v>5.4227779904650601</v>
      </c>
      <c r="D1029">
        <v>0.72661717246559498</v>
      </c>
      <c r="E1029">
        <v>1</v>
      </c>
      <c r="F1029">
        <v>5</v>
      </c>
      <c r="G1029">
        <v>3</v>
      </c>
      <c r="H1029" t="s">
        <v>28</v>
      </c>
      <c r="I1029" t="s">
        <v>3438</v>
      </c>
      <c r="J1029" t="s">
        <v>1446</v>
      </c>
    </row>
    <row r="1030" spans="1:10">
      <c r="A1030" t="s">
        <v>5371</v>
      </c>
      <c r="B1030">
        <v>0.77884748974514495</v>
      </c>
      <c r="C1030">
        <v>5.4227779904650601</v>
      </c>
      <c r="D1030">
        <v>0.72661717246559498</v>
      </c>
      <c r="E1030">
        <v>1</v>
      </c>
      <c r="F1030">
        <v>5</v>
      </c>
      <c r="G1030">
        <v>3</v>
      </c>
      <c r="H1030" t="s">
        <v>28</v>
      </c>
      <c r="I1030" t="s">
        <v>3438</v>
      </c>
      <c r="J1030" t="s">
        <v>1447</v>
      </c>
    </row>
    <row r="1031" spans="1:10">
      <c r="A1031" t="s">
        <v>5372</v>
      </c>
      <c r="B1031">
        <v>0.77884748974514495</v>
      </c>
      <c r="C1031">
        <v>5.4227779904650601</v>
      </c>
      <c r="D1031">
        <v>0.72661717246559498</v>
      </c>
      <c r="E1031">
        <v>1</v>
      </c>
      <c r="F1031">
        <v>5</v>
      </c>
      <c r="G1031">
        <v>3</v>
      </c>
      <c r="H1031" t="s">
        <v>5373</v>
      </c>
      <c r="I1031" t="s">
        <v>3599</v>
      </c>
      <c r="J1031" t="s">
        <v>1448</v>
      </c>
    </row>
    <row r="1032" spans="1:10">
      <c r="A1032" t="s">
        <v>5374</v>
      </c>
      <c r="B1032">
        <v>0.77884748974514495</v>
      </c>
      <c r="C1032">
        <v>5.4227779904650601</v>
      </c>
      <c r="D1032">
        <v>0.72661717246559498</v>
      </c>
      <c r="E1032">
        <v>1</v>
      </c>
      <c r="F1032">
        <v>5</v>
      </c>
      <c r="G1032">
        <v>3</v>
      </c>
      <c r="H1032" t="s">
        <v>28</v>
      </c>
      <c r="I1032" t="s">
        <v>3438</v>
      </c>
      <c r="J1032" t="s">
        <v>1449</v>
      </c>
    </row>
    <row r="1033" spans="1:10">
      <c r="A1033" t="s">
        <v>5375</v>
      </c>
      <c r="B1033">
        <v>0.77884748974514495</v>
      </c>
      <c r="C1033">
        <v>5.4227779904650601</v>
      </c>
      <c r="D1033">
        <v>0.72661717246559498</v>
      </c>
      <c r="E1033">
        <v>1</v>
      </c>
      <c r="F1033">
        <v>5</v>
      </c>
      <c r="G1033">
        <v>3</v>
      </c>
      <c r="H1033" t="s">
        <v>259</v>
      </c>
      <c r="I1033" t="s">
        <v>3687</v>
      </c>
      <c r="J1033" t="s">
        <v>258</v>
      </c>
    </row>
    <row r="1034" spans="1:10">
      <c r="A1034" t="s">
        <v>5376</v>
      </c>
      <c r="B1034">
        <v>0.77884748974514495</v>
      </c>
      <c r="C1034">
        <v>5.4227779904650601</v>
      </c>
      <c r="D1034">
        <v>0.72661717246559498</v>
      </c>
      <c r="E1034">
        <v>1</v>
      </c>
      <c r="F1034">
        <v>5</v>
      </c>
      <c r="G1034">
        <v>3</v>
      </c>
      <c r="H1034" t="s">
        <v>28</v>
      </c>
      <c r="I1034" t="s">
        <v>3438</v>
      </c>
      <c r="J1034" t="s">
        <v>1450</v>
      </c>
    </row>
    <row r="1035" spans="1:10">
      <c r="A1035" t="s">
        <v>5377</v>
      </c>
      <c r="B1035">
        <v>0.77884748974514495</v>
      </c>
      <c r="C1035">
        <v>5.4227779904650601</v>
      </c>
      <c r="D1035">
        <v>0.72661717246559498</v>
      </c>
      <c r="E1035">
        <v>1</v>
      </c>
      <c r="F1035">
        <v>5</v>
      </c>
      <c r="G1035">
        <v>3</v>
      </c>
      <c r="H1035" t="s">
        <v>28</v>
      </c>
      <c r="I1035" t="s">
        <v>3438</v>
      </c>
      <c r="J1035" t="s">
        <v>242</v>
      </c>
    </row>
    <row r="1036" spans="1:10">
      <c r="A1036" t="s">
        <v>5378</v>
      </c>
      <c r="B1036">
        <v>0.77884748974514495</v>
      </c>
      <c r="C1036">
        <v>5.4227779904650601</v>
      </c>
      <c r="D1036">
        <v>0.72661717246559498</v>
      </c>
      <c r="E1036">
        <v>1</v>
      </c>
      <c r="F1036">
        <v>5</v>
      </c>
      <c r="G1036">
        <v>3</v>
      </c>
      <c r="H1036" t="s">
        <v>5379</v>
      </c>
      <c r="I1036" t="s">
        <v>3687</v>
      </c>
      <c r="J1036" t="s">
        <v>1451</v>
      </c>
    </row>
    <row r="1037" spans="1:10">
      <c r="A1037" t="s">
        <v>5380</v>
      </c>
      <c r="B1037">
        <v>0.77884748974514495</v>
      </c>
      <c r="C1037">
        <v>5.4227779904650601</v>
      </c>
      <c r="D1037">
        <v>0.72661717246559498</v>
      </c>
      <c r="E1037">
        <v>1</v>
      </c>
      <c r="F1037">
        <v>5</v>
      </c>
      <c r="G1037">
        <v>3</v>
      </c>
      <c r="H1037" t="s">
        <v>28</v>
      </c>
      <c r="I1037" t="s">
        <v>3438</v>
      </c>
      <c r="J1037" t="s">
        <v>1452</v>
      </c>
    </row>
    <row r="1038" spans="1:10">
      <c r="A1038" t="s">
        <v>5381</v>
      </c>
      <c r="B1038">
        <v>0.77884748974514495</v>
      </c>
      <c r="C1038">
        <v>5.4227779904650601</v>
      </c>
      <c r="D1038">
        <v>0.72661717246559498</v>
      </c>
      <c r="E1038">
        <v>1</v>
      </c>
      <c r="F1038">
        <v>5</v>
      </c>
      <c r="G1038">
        <v>3</v>
      </c>
      <c r="H1038" t="s">
        <v>28</v>
      </c>
      <c r="I1038" t="s">
        <v>3438</v>
      </c>
      <c r="J1038" t="s">
        <v>1453</v>
      </c>
    </row>
    <row r="1039" spans="1:10">
      <c r="A1039" t="s">
        <v>5382</v>
      </c>
      <c r="B1039">
        <v>0.77884748974514495</v>
      </c>
      <c r="C1039">
        <v>5.4227779904650601</v>
      </c>
      <c r="D1039">
        <v>0.72661717246559498</v>
      </c>
      <c r="E1039">
        <v>1</v>
      </c>
      <c r="F1039">
        <v>5</v>
      </c>
      <c r="G1039">
        <v>3</v>
      </c>
      <c r="H1039" t="s">
        <v>28</v>
      </c>
      <c r="I1039" t="s">
        <v>5383</v>
      </c>
      <c r="J1039" t="s">
        <v>292</v>
      </c>
    </row>
    <row r="1040" spans="1:10">
      <c r="A1040" t="s">
        <v>5384</v>
      </c>
      <c r="B1040">
        <v>0.77884748974514495</v>
      </c>
      <c r="C1040">
        <v>5.4227779904650601</v>
      </c>
      <c r="D1040">
        <v>0.72661717246559498</v>
      </c>
      <c r="E1040">
        <v>1</v>
      </c>
      <c r="F1040">
        <v>5</v>
      </c>
      <c r="G1040">
        <v>3</v>
      </c>
      <c r="H1040" t="s">
        <v>28</v>
      </c>
      <c r="I1040" t="s">
        <v>3465</v>
      </c>
      <c r="J1040" t="s">
        <v>1454</v>
      </c>
    </row>
    <row r="1041" spans="1:10">
      <c r="A1041" t="s">
        <v>5385</v>
      </c>
      <c r="B1041">
        <v>0.77884748974514495</v>
      </c>
      <c r="C1041">
        <v>5.4227779904650601</v>
      </c>
      <c r="D1041">
        <v>0.72661717246559498</v>
      </c>
      <c r="E1041">
        <v>1</v>
      </c>
      <c r="F1041">
        <v>5</v>
      </c>
      <c r="G1041">
        <v>3</v>
      </c>
      <c r="H1041" t="s">
        <v>28</v>
      </c>
      <c r="I1041" t="s">
        <v>3474</v>
      </c>
      <c r="J1041" t="s">
        <v>1455</v>
      </c>
    </row>
    <row r="1042" spans="1:10">
      <c r="A1042" t="s">
        <v>5386</v>
      </c>
      <c r="B1042">
        <v>0.77884748974514495</v>
      </c>
      <c r="C1042">
        <v>5.4227779904650601</v>
      </c>
      <c r="D1042">
        <v>0.72661717246559498</v>
      </c>
      <c r="E1042">
        <v>1</v>
      </c>
      <c r="F1042">
        <v>5</v>
      </c>
      <c r="G1042">
        <v>3</v>
      </c>
      <c r="H1042" t="s">
        <v>28</v>
      </c>
      <c r="I1042" t="s">
        <v>3631</v>
      </c>
      <c r="J1042" t="s">
        <v>1456</v>
      </c>
    </row>
    <row r="1043" spans="1:10">
      <c r="A1043" t="s">
        <v>5387</v>
      </c>
      <c r="B1043">
        <v>0.77884748974514495</v>
      </c>
      <c r="C1043">
        <v>5.4227779904650601</v>
      </c>
      <c r="D1043">
        <v>0.72661717246559498</v>
      </c>
      <c r="E1043">
        <v>1</v>
      </c>
      <c r="F1043">
        <v>5</v>
      </c>
      <c r="G1043">
        <v>3</v>
      </c>
      <c r="H1043" t="s">
        <v>28</v>
      </c>
      <c r="I1043" t="s">
        <v>3657</v>
      </c>
      <c r="J1043" t="s">
        <v>280</v>
      </c>
    </row>
    <row r="1044" spans="1:10">
      <c r="A1044" t="s">
        <v>5388</v>
      </c>
      <c r="B1044">
        <v>0.77884748974514495</v>
      </c>
      <c r="C1044">
        <v>5.4227779904650601</v>
      </c>
      <c r="D1044">
        <v>0.72661717246559498</v>
      </c>
      <c r="E1044">
        <v>1</v>
      </c>
      <c r="F1044">
        <v>5</v>
      </c>
      <c r="G1044">
        <v>3</v>
      </c>
      <c r="H1044" t="s">
        <v>5389</v>
      </c>
      <c r="I1044" t="s">
        <v>3450</v>
      </c>
      <c r="J1044" t="s">
        <v>1457</v>
      </c>
    </row>
    <row r="1045" spans="1:10">
      <c r="A1045" t="s">
        <v>5390</v>
      </c>
      <c r="B1045">
        <v>-7.8676253021852799E-2</v>
      </c>
      <c r="C1045">
        <v>10.080971601893401</v>
      </c>
      <c r="D1045">
        <v>0.72640983676462101</v>
      </c>
      <c r="E1045">
        <v>1</v>
      </c>
      <c r="F1045">
        <v>95</v>
      </c>
      <c r="G1045">
        <v>107</v>
      </c>
      <c r="H1045" t="s">
        <v>51</v>
      </c>
      <c r="I1045" t="s">
        <v>4748</v>
      </c>
      <c r="J1045" t="s">
        <v>50</v>
      </c>
    </row>
    <row r="1046" spans="1:10">
      <c r="A1046" t="s">
        <v>5391</v>
      </c>
      <c r="B1046">
        <v>0.171717432067756</v>
      </c>
      <c r="C1046">
        <v>8.5927077241718095</v>
      </c>
      <c r="D1046">
        <v>0.72442557544158603</v>
      </c>
      <c r="E1046">
        <v>1</v>
      </c>
      <c r="F1046">
        <v>37</v>
      </c>
      <c r="G1046">
        <v>35</v>
      </c>
      <c r="H1046" t="s">
        <v>28</v>
      </c>
      <c r="I1046" t="s">
        <v>3438</v>
      </c>
      <c r="J1046" t="s">
        <v>1458</v>
      </c>
    </row>
    <row r="1047" spans="1:10">
      <c r="A1047" t="s">
        <v>5392</v>
      </c>
      <c r="B1047">
        <v>0.171717432067756</v>
      </c>
      <c r="C1047">
        <v>8.5927077241718095</v>
      </c>
      <c r="D1047">
        <v>0.72442557544158603</v>
      </c>
      <c r="E1047">
        <v>1</v>
      </c>
      <c r="F1047">
        <v>37</v>
      </c>
      <c r="G1047">
        <v>35</v>
      </c>
      <c r="H1047" t="s">
        <v>5393</v>
      </c>
      <c r="I1047" t="s">
        <v>5394</v>
      </c>
      <c r="J1047" t="s">
        <v>1459</v>
      </c>
    </row>
    <row r="1048" spans="1:10">
      <c r="A1048" t="s">
        <v>5395</v>
      </c>
      <c r="B1048">
        <v>0.115362378071082</v>
      </c>
      <c r="C1048">
        <v>9.3885686002156508</v>
      </c>
      <c r="D1048">
        <v>0.72150720855425099</v>
      </c>
      <c r="E1048">
        <v>1</v>
      </c>
      <c r="F1048">
        <v>63</v>
      </c>
      <c r="G1048">
        <v>62</v>
      </c>
      <c r="H1048" t="s">
        <v>5396</v>
      </c>
      <c r="I1048" t="s">
        <v>5397</v>
      </c>
      <c r="J1048" t="s">
        <v>1460</v>
      </c>
    </row>
    <row r="1049" spans="1:10">
      <c r="A1049" t="s">
        <v>5398</v>
      </c>
      <c r="B1049">
        <v>-0.154082788374521</v>
      </c>
      <c r="C1049">
        <v>8.5520471152045605</v>
      </c>
      <c r="D1049">
        <v>0.72067276567332805</v>
      </c>
      <c r="E1049">
        <v>1</v>
      </c>
      <c r="F1049">
        <v>32</v>
      </c>
      <c r="G1049">
        <v>38</v>
      </c>
      <c r="H1049" t="s">
        <v>28</v>
      </c>
      <c r="I1049" t="s">
        <v>5399</v>
      </c>
      <c r="J1049" t="s">
        <v>1461</v>
      </c>
    </row>
    <row r="1050" spans="1:10">
      <c r="A1050" t="s">
        <v>5400</v>
      </c>
      <c r="B1050">
        <v>0.173959090683938</v>
      </c>
      <c r="C1050">
        <v>8.5520655922473505</v>
      </c>
      <c r="D1050">
        <v>0.72067276567332805</v>
      </c>
      <c r="E1050">
        <v>1</v>
      </c>
      <c r="F1050">
        <v>36</v>
      </c>
      <c r="G1050">
        <v>34</v>
      </c>
      <c r="H1050" t="s">
        <v>5401</v>
      </c>
      <c r="I1050" t="s">
        <v>5402</v>
      </c>
      <c r="J1050" t="s">
        <v>1462</v>
      </c>
    </row>
    <row r="1051" spans="1:10">
      <c r="A1051" t="s">
        <v>5403</v>
      </c>
      <c r="B1051">
        <v>-0.26564273780237901</v>
      </c>
      <c r="C1051">
        <v>7.4227658845644804</v>
      </c>
      <c r="D1051">
        <v>0.720309826083948</v>
      </c>
      <c r="E1051">
        <v>1</v>
      </c>
      <c r="F1051">
        <v>14</v>
      </c>
      <c r="G1051">
        <v>18</v>
      </c>
      <c r="H1051" t="s">
        <v>28</v>
      </c>
      <c r="I1051" t="s">
        <v>3438</v>
      </c>
      <c r="J1051" t="s">
        <v>1463</v>
      </c>
    </row>
    <row r="1052" spans="1:10">
      <c r="A1052" t="s">
        <v>5404</v>
      </c>
      <c r="B1052">
        <v>-0.26564273780237901</v>
      </c>
      <c r="C1052">
        <v>7.4227658845644804</v>
      </c>
      <c r="D1052">
        <v>0.720309826083948</v>
      </c>
      <c r="E1052">
        <v>1</v>
      </c>
      <c r="F1052">
        <v>14</v>
      </c>
      <c r="G1052">
        <v>18</v>
      </c>
      <c r="H1052" t="s">
        <v>28</v>
      </c>
      <c r="I1052" t="s">
        <v>3436</v>
      </c>
      <c r="J1052" t="s">
        <v>1464</v>
      </c>
    </row>
    <row r="1053" spans="1:10">
      <c r="A1053" t="s">
        <v>5405</v>
      </c>
      <c r="B1053">
        <v>-0.26564273780237901</v>
      </c>
      <c r="C1053">
        <v>7.4227658845644804</v>
      </c>
      <c r="D1053">
        <v>0.720309826083948</v>
      </c>
      <c r="E1053">
        <v>1</v>
      </c>
      <c r="F1053">
        <v>14</v>
      </c>
      <c r="G1053">
        <v>18</v>
      </c>
      <c r="H1053" t="s">
        <v>28</v>
      </c>
      <c r="I1053" t="s">
        <v>5406</v>
      </c>
      <c r="J1053" t="s">
        <v>1465</v>
      </c>
    </row>
    <row r="1054" spans="1:10">
      <c r="A1054" t="s">
        <v>5407</v>
      </c>
      <c r="B1054">
        <v>-0.26564273780237901</v>
      </c>
      <c r="C1054">
        <v>7.4227658845644804</v>
      </c>
      <c r="D1054">
        <v>0.720309826083948</v>
      </c>
      <c r="E1054">
        <v>1</v>
      </c>
      <c r="F1054">
        <v>14</v>
      </c>
      <c r="G1054">
        <v>18</v>
      </c>
      <c r="H1054" t="s">
        <v>5408</v>
      </c>
      <c r="I1054" t="s">
        <v>5409</v>
      </c>
      <c r="J1054" t="s">
        <v>1466</v>
      </c>
    </row>
    <row r="1055" spans="1:10">
      <c r="A1055" t="s">
        <v>5410</v>
      </c>
      <c r="B1055">
        <v>-0.26564273780237901</v>
      </c>
      <c r="C1055">
        <v>7.4227658845644804</v>
      </c>
      <c r="D1055">
        <v>0.720309826083948</v>
      </c>
      <c r="E1055">
        <v>1</v>
      </c>
      <c r="F1055">
        <v>14</v>
      </c>
      <c r="G1055">
        <v>18</v>
      </c>
      <c r="H1055" t="s">
        <v>5411</v>
      </c>
      <c r="I1055" t="s">
        <v>5412</v>
      </c>
      <c r="J1055" t="s">
        <v>1467</v>
      </c>
    </row>
    <row r="1056" spans="1:10">
      <c r="A1056" t="s">
        <v>5413</v>
      </c>
      <c r="B1056">
        <v>-0.26564273780237901</v>
      </c>
      <c r="C1056">
        <v>7.4227658845644804</v>
      </c>
      <c r="D1056">
        <v>0.720309826083948</v>
      </c>
      <c r="E1056">
        <v>1</v>
      </c>
      <c r="F1056">
        <v>14</v>
      </c>
      <c r="G1056">
        <v>18</v>
      </c>
      <c r="H1056" t="s">
        <v>5414</v>
      </c>
      <c r="I1056" t="s">
        <v>5415</v>
      </c>
      <c r="J1056" t="s">
        <v>1468</v>
      </c>
    </row>
    <row r="1057" spans="1:10">
      <c r="A1057" t="s">
        <v>5416</v>
      </c>
      <c r="B1057">
        <v>0.28069159584750097</v>
      </c>
      <c r="C1057">
        <v>7.3296702161952396</v>
      </c>
      <c r="D1057">
        <v>0.720309826083948</v>
      </c>
      <c r="E1057">
        <v>1</v>
      </c>
      <c r="F1057">
        <v>16</v>
      </c>
      <c r="G1057">
        <v>14</v>
      </c>
      <c r="H1057" t="s">
        <v>123</v>
      </c>
      <c r="I1057" t="s">
        <v>5417</v>
      </c>
      <c r="J1057" t="s">
        <v>122</v>
      </c>
    </row>
    <row r="1058" spans="1:10">
      <c r="A1058" t="s">
        <v>5418</v>
      </c>
      <c r="B1058">
        <v>0.28069159584750097</v>
      </c>
      <c r="C1058">
        <v>7.3296702161952396</v>
      </c>
      <c r="D1058">
        <v>0.720309826083948</v>
      </c>
      <c r="E1058">
        <v>1</v>
      </c>
      <c r="F1058">
        <v>16</v>
      </c>
      <c r="G1058">
        <v>14</v>
      </c>
      <c r="H1058" t="s">
        <v>5419</v>
      </c>
      <c r="I1058" t="s">
        <v>5420</v>
      </c>
      <c r="J1058" t="s">
        <v>1469</v>
      </c>
    </row>
    <row r="1059" spans="1:10">
      <c r="A1059" t="s">
        <v>5421</v>
      </c>
      <c r="B1059">
        <v>0.28069159584750097</v>
      </c>
      <c r="C1059">
        <v>7.3296702161952396</v>
      </c>
      <c r="D1059">
        <v>0.720309826083948</v>
      </c>
      <c r="E1059">
        <v>1</v>
      </c>
      <c r="F1059">
        <v>16</v>
      </c>
      <c r="G1059">
        <v>14</v>
      </c>
      <c r="H1059" t="s">
        <v>28</v>
      </c>
      <c r="I1059" t="s">
        <v>3593</v>
      </c>
      <c r="J1059" t="s">
        <v>1470</v>
      </c>
    </row>
    <row r="1060" spans="1:10">
      <c r="A1060" t="s">
        <v>5422</v>
      </c>
      <c r="B1060">
        <v>-6.1623689172745202E-2</v>
      </c>
      <c r="C1060">
        <v>10.9696490577562</v>
      </c>
      <c r="D1060">
        <v>0.71993085156476799</v>
      </c>
      <c r="E1060">
        <v>1</v>
      </c>
      <c r="F1060">
        <v>177</v>
      </c>
      <c r="G1060">
        <v>197</v>
      </c>
      <c r="H1060" t="s">
        <v>28</v>
      </c>
      <c r="I1060" t="s">
        <v>3438</v>
      </c>
      <c r="J1060" t="s">
        <v>1471</v>
      </c>
    </row>
    <row r="1061" spans="1:10">
      <c r="A1061" t="s">
        <v>5423</v>
      </c>
      <c r="B1061">
        <v>0.116498274084571</v>
      </c>
      <c r="C1061">
        <v>9.3176016381301796</v>
      </c>
      <c r="D1061">
        <v>0.71483836452956395</v>
      </c>
      <c r="E1061">
        <v>1</v>
      </c>
      <c r="F1061">
        <v>60</v>
      </c>
      <c r="G1061">
        <v>59</v>
      </c>
      <c r="H1061" t="s">
        <v>28</v>
      </c>
      <c r="I1061" t="s">
        <v>3465</v>
      </c>
      <c r="J1061" t="s">
        <v>1472</v>
      </c>
    </row>
    <row r="1062" spans="1:10">
      <c r="A1062" t="s">
        <v>5424</v>
      </c>
      <c r="B1062">
        <v>9.2488872155122206E-2</v>
      </c>
      <c r="C1062">
        <v>9.9463482949080007</v>
      </c>
      <c r="D1062">
        <v>0.71378824459867396</v>
      </c>
      <c r="E1062">
        <v>1</v>
      </c>
      <c r="F1062">
        <v>92</v>
      </c>
      <c r="G1062">
        <v>92</v>
      </c>
      <c r="H1062" t="s">
        <v>5425</v>
      </c>
      <c r="I1062" t="s">
        <v>5426</v>
      </c>
      <c r="J1062" t="s">
        <v>1473</v>
      </c>
    </row>
    <row r="1063" spans="1:10">
      <c r="A1063" t="s">
        <v>5427</v>
      </c>
      <c r="B1063">
        <v>-0.16900852945145101</v>
      </c>
      <c r="C1063">
        <v>8.4671579190000799</v>
      </c>
      <c r="D1063">
        <v>0.71268564052124705</v>
      </c>
      <c r="E1063">
        <v>1</v>
      </c>
      <c r="F1063">
        <v>30</v>
      </c>
      <c r="G1063">
        <v>36</v>
      </c>
      <c r="H1063" t="s">
        <v>5428</v>
      </c>
      <c r="I1063" t="s">
        <v>5429</v>
      </c>
      <c r="J1063" t="s">
        <v>1474</v>
      </c>
    </row>
    <row r="1064" spans="1:10">
      <c r="A1064" t="s">
        <v>5430</v>
      </c>
      <c r="B1064">
        <v>-0.16900852945145101</v>
      </c>
      <c r="C1064">
        <v>8.4671579190000799</v>
      </c>
      <c r="D1064">
        <v>0.71268564052124705</v>
      </c>
      <c r="E1064">
        <v>1</v>
      </c>
      <c r="F1064">
        <v>30</v>
      </c>
      <c r="G1064">
        <v>36</v>
      </c>
      <c r="H1064" t="s">
        <v>5431</v>
      </c>
      <c r="I1064" t="s">
        <v>5432</v>
      </c>
      <c r="J1064" t="s">
        <v>1475</v>
      </c>
    </row>
    <row r="1065" spans="1:10">
      <c r="A1065" t="s">
        <v>5433</v>
      </c>
      <c r="B1065">
        <v>-0.16900852945145101</v>
      </c>
      <c r="C1065">
        <v>8.4671579190000799</v>
      </c>
      <c r="D1065">
        <v>0.71268564052124705</v>
      </c>
      <c r="E1065">
        <v>1</v>
      </c>
      <c r="F1065">
        <v>30</v>
      </c>
      <c r="G1065">
        <v>36</v>
      </c>
      <c r="H1065" t="s">
        <v>5434</v>
      </c>
      <c r="I1065" t="s">
        <v>5435</v>
      </c>
      <c r="J1065" t="s">
        <v>1476</v>
      </c>
    </row>
    <row r="1066" spans="1:10">
      <c r="A1066" t="s">
        <v>5436</v>
      </c>
      <c r="B1066">
        <v>-0.28941040126790502</v>
      </c>
      <c r="C1066">
        <v>7.3296563307739202</v>
      </c>
      <c r="D1066">
        <v>0.71127314696896504</v>
      </c>
      <c r="E1066">
        <v>1</v>
      </c>
      <c r="F1066">
        <v>13</v>
      </c>
      <c r="G1066">
        <v>17</v>
      </c>
      <c r="H1066" t="s">
        <v>28</v>
      </c>
      <c r="I1066" t="s">
        <v>3438</v>
      </c>
      <c r="J1066" t="s">
        <v>1477</v>
      </c>
    </row>
    <row r="1067" spans="1:10">
      <c r="A1067" t="s">
        <v>5437</v>
      </c>
      <c r="B1067">
        <v>-0.28941040126790502</v>
      </c>
      <c r="C1067">
        <v>7.3296563307739202</v>
      </c>
      <c r="D1067">
        <v>0.71127314696896504</v>
      </c>
      <c r="E1067">
        <v>1</v>
      </c>
      <c r="F1067">
        <v>13</v>
      </c>
      <c r="G1067">
        <v>17</v>
      </c>
      <c r="H1067" t="s">
        <v>28</v>
      </c>
      <c r="I1067" t="s">
        <v>5438</v>
      </c>
      <c r="J1067" t="s">
        <v>1478</v>
      </c>
    </row>
    <row r="1068" spans="1:10">
      <c r="A1068" t="s">
        <v>5439</v>
      </c>
      <c r="B1068">
        <v>-0.203295079130068</v>
      </c>
      <c r="C1068">
        <v>7.2807489699252104</v>
      </c>
      <c r="D1068">
        <v>0.71127314696896504</v>
      </c>
      <c r="E1068">
        <v>1</v>
      </c>
      <c r="F1068">
        <v>13</v>
      </c>
      <c r="G1068">
        <v>16</v>
      </c>
      <c r="H1068" t="s">
        <v>28</v>
      </c>
      <c r="I1068" t="s">
        <v>3438</v>
      </c>
      <c r="J1068" t="s">
        <v>1479</v>
      </c>
    </row>
    <row r="1069" spans="1:10">
      <c r="A1069" t="s">
        <v>5440</v>
      </c>
      <c r="B1069">
        <v>-0.203295079130068</v>
      </c>
      <c r="C1069">
        <v>7.2807489699252104</v>
      </c>
      <c r="D1069">
        <v>0.71127314696896504</v>
      </c>
      <c r="E1069">
        <v>1</v>
      </c>
      <c r="F1069">
        <v>13</v>
      </c>
      <c r="G1069">
        <v>16</v>
      </c>
      <c r="H1069" t="s">
        <v>28</v>
      </c>
      <c r="I1069" t="s">
        <v>3438</v>
      </c>
      <c r="J1069" t="s">
        <v>1480</v>
      </c>
    </row>
    <row r="1070" spans="1:10">
      <c r="A1070" t="s">
        <v>5441</v>
      </c>
      <c r="B1070">
        <v>-0.203295079130068</v>
      </c>
      <c r="C1070">
        <v>7.2807489699252104</v>
      </c>
      <c r="D1070">
        <v>0.71127314696896504</v>
      </c>
      <c r="E1070">
        <v>1</v>
      </c>
      <c r="F1070">
        <v>13</v>
      </c>
      <c r="G1070">
        <v>16</v>
      </c>
      <c r="H1070" t="s">
        <v>5442</v>
      </c>
      <c r="I1070" t="s">
        <v>5443</v>
      </c>
      <c r="J1070" t="s">
        <v>1481</v>
      </c>
    </row>
    <row r="1071" spans="1:10">
      <c r="A1071" t="s">
        <v>5444</v>
      </c>
      <c r="B1071">
        <v>0.38559981550011602</v>
      </c>
      <c r="C1071">
        <v>7.2807628560605702</v>
      </c>
      <c r="D1071">
        <v>0.71127314696896504</v>
      </c>
      <c r="E1071">
        <v>1</v>
      </c>
      <c r="F1071">
        <v>16</v>
      </c>
      <c r="G1071">
        <v>13</v>
      </c>
      <c r="H1071" t="s">
        <v>28</v>
      </c>
      <c r="I1071" t="s">
        <v>5445</v>
      </c>
      <c r="J1071" t="s">
        <v>1482</v>
      </c>
    </row>
    <row r="1072" spans="1:10">
      <c r="A1072" t="s">
        <v>5446</v>
      </c>
      <c r="B1072">
        <v>8.1354640494737104E-2</v>
      </c>
      <c r="C1072">
        <v>10.4284139181564</v>
      </c>
      <c r="D1072">
        <v>0.71005614806018402</v>
      </c>
      <c r="E1072">
        <v>1</v>
      </c>
      <c r="F1072">
        <v>128</v>
      </c>
      <c r="G1072">
        <v>129</v>
      </c>
      <c r="H1072" t="s">
        <v>5447</v>
      </c>
      <c r="I1072" t="s">
        <v>5448</v>
      </c>
      <c r="J1072" t="s">
        <v>1483</v>
      </c>
    </row>
    <row r="1073" spans="1:10">
      <c r="A1073" t="s">
        <v>5449</v>
      </c>
      <c r="B1073">
        <v>0.181518910449919</v>
      </c>
      <c r="C1073">
        <v>8.4227821328449295</v>
      </c>
      <c r="D1073">
        <v>0.70842770113530296</v>
      </c>
      <c r="E1073">
        <v>1</v>
      </c>
      <c r="F1073">
        <v>33</v>
      </c>
      <c r="G1073">
        <v>31</v>
      </c>
      <c r="H1073" t="s">
        <v>28</v>
      </c>
      <c r="I1073" t="s">
        <v>3438</v>
      </c>
      <c r="J1073" t="s">
        <v>1484</v>
      </c>
    </row>
    <row r="1074" spans="1:10">
      <c r="A1074" t="s">
        <v>5450</v>
      </c>
      <c r="B1074">
        <v>0.181518910449919</v>
      </c>
      <c r="C1074">
        <v>8.4227821328449295</v>
      </c>
      <c r="D1074">
        <v>0.70842770113530296</v>
      </c>
      <c r="E1074">
        <v>1</v>
      </c>
      <c r="F1074">
        <v>33</v>
      </c>
      <c r="G1074">
        <v>31</v>
      </c>
      <c r="H1074" t="s">
        <v>28</v>
      </c>
      <c r="I1074" t="s">
        <v>5451</v>
      </c>
      <c r="J1074" t="s">
        <v>1485</v>
      </c>
    </row>
    <row r="1075" spans="1:10">
      <c r="A1075" t="s">
        <v>5452</v>
      </c>
      <c r="B1075">
        <v>-0.11094673653661501</v>
      </c>
      <c r="C1075">
        <v>9.8321486723360998</v>
      </c>
      <c r="D1075">
        <v>0.70268480149432</v>
      </c>
      <c r="E1075">
        <v>1</v>
      </c>
      <c r="F1075">
        <v>79</v>
      </c>
      <c r="G1075">
        <v>91</v>
      </c>
      <c r="H1075" t="s">
        <v>28</v>
      </c>
      <c r="I1075" t="s">
        <v>5453</v>
      </c>
      <c r="J1075" t="s">
        <v>1486</v>
      </c>
    </row>
    <row r="1076" spans="1:10">
      <c r="A1076" t="s">
        <v>5454</v>
      </c>
      <c r="B1076">
        <v>-0.224993394977413</v>
      </c>
      <c r="C1076">
        <v>7.1776553277479804</v>
      </c>
      <c r="D1076">
        <v>0.70130213383020001</v>
      </c>
      <c r="E1076">
        <v>1</v>
      </c>
      <c r="F1076">
        <v>12</v>
      </c>
      <c r="G1076">
        <v>15</v>
      </c>
      <c r="H1076" t="s">
        <v>28</v>
      </c>
      <c r="I1076" t="s">
        <v>3438</v>
      </c>
      <c r="J1076" t="s">
        <v>1487</v>
      </c>
    </row>
    <row r="1077" spans="1:10">
      <c r="A1077" t="s">
        <v>5455</v>
      </c>
      <c r="B1077">
        <v>-0.224993394977413</v>
      </c>
      <c r="C1077">
        <v>7.1776553277479804</v>
      </c>
      <c r="D1077">
        <v>0.70130213383020001</v>
      </c>
      <c r="E1077">
        <v>1</v>
      </c>
      <c r="F1077">
        <v>12</v>
      </c>
      <c r="G1077">
        <v>15</v>
      </c>
      <c r="H1077" t="s">
        <v>28</v>
      </c>
      <c r="I1077" t="s">
        <v>5301</v>
      </c>
      <c r="J1077" t="s">
        <v>1488</v>
      </c>
    </row>
    <row r="1078" spans="1:10">
      <c r="A1078" t="s">
        <v>5456</v>
      </c>
      <c r="B1078">
        <v>-0.224993394977413</v>
      </c>
      <c r="C1078">
        <v>7.1776553277479804</v>
      </c>
      <c r="D1078">
        <v>0.70130213383020001</v>
      </c>
      <c r="E1078">
        <v>1</v>
      </c>
      <c r="F1078">
        <v>12</v>
      </c>
      <c r="G1078">
        <v>15</v>
      </c>
      <c r="H1078" t="s">
        <v>28</v>
      </c>
      <c r="I1078" t="s">
        <v>3822</v>
      </c>
      <c r="J1078" t="s">
        <v>1489</v>
      </c>
    </row>
    <row r="1079" spans="1:10">
      <c r="A1079" t="s">
        <v>5457</v>
      </c>
      <c r="B1079">
        <v>-0.224993394977413</v>
      </c>
      <c r="C1079">
        <v>7.1776553277479804</v>
      </c>
      <c r="D1079">
        <v>0.70130213383020001</v>
      </c>
      <c r="E1079">
        <v>1</v>
      </c>
      <c r="F1079">
        <v>12</v>
      </c>
      <c r="G1079">
        <v>15</v>
      </c>
      <c r="H1079" t="s">
        <v>28</v>
      </c>
      <c r="I1079" t="s">
        <v>3770</v>
      </c>
      <c r="J1079" t="s">
        <v>1490</v>
      </c>
    </row>
    <row r="1080" spans="1:10">
      <c r="A1080" t="s">
        <v>5458</v>
      </c>
      <c r="B1080">
        <v>-0.224993394977413</v>
      </c>
      <c r="C1080">
        <v>7.1776553277479804</v>
      </c>
      <c r="D1080">
        <v>0.70130213383020001</v>
      </c>
      <c r="E1080">
        <v>1</v>
      </c>
      <c r="F1080">
        <v>12</v>
      </c>
      <c r="G1080">
        <v>15</v>
      </c>
      <c r="H1080" t="s">
        <v>28</v>
      </c>
      <c r="I1080" t="s">
        <v>3631</v>
      </c>
      <c r="J1080" t="s">
        <v>1491</v>
      </c>
    </row>
    <row r="1081" spans="1:10">
      <c r="A1081" t="s">
        <v>5459</v>
      </c>
      <c r="B1081">
        <v>0.40706181196924301</v>
      </c>
      <c r="C1081">
        <v>7.1776692152672403</v>
      </c>
      <c r="D1081">
        <v>0.70130213383020001</v>
      </c>
      <c r="E1081">
        <v>1</v>
      </c>
      <c r="F1081">
        <v>15</v>
      </c>
      <c r="G1081">
        <v>12</v>
      </c>
      <c r="H1081" t="s">
        <v>28</v>
      </c>
      <c r="I1081" t="s">
        <v>3438</v>
      </c>
      <c r="J1081" t="s">
        <v>1492</v>
      </c>
    </row>
    <row r="1082" spans="1:10">
      <c r="A1082" t="s">
        <v>5460</v>
      </c>
      <c r="B1082">
        <v>0.40706181196924301</v>
      </c>
      <c r="C1082">
        <v>7.1776692152672403</v>
      </c>
      <c r="D1082">
        <v>0.70130213383020001</v>
      </c>
      <c r="E1082">
        <v>1</v>
      </c>
      <c r="F1082">
        <v>15</v>
      </c>
      <c r="G1082">
        <v>12</v>
      </c>
      <c r="H1082" t="s">
        <v>5461</v>
      </c>
      <c r="I1082" t="s">
        <v>5462</v>
      </c>
      <c r="J1082" t="s">
        <v>1493</v>
      </c>
    </row>
    <row r="1083" spans="1:10">
      <c r="A1083" t="s">
        <v>5463</v>
      </c>
      <c r="B1083">
        <v>-6.6635785621557003E-2</v>
      </c>
      <c r="C1083">
        <v>10.7714837531685</v>
      </c>
      <c r="D1083">
        <v>0.70061857848069298</v>
      </c>
      <c r="E1083">
        <v>1</v>
      </c>
      <c r="F1083">
        <v>154</v>
      </c>
      <c r="G1083">
        <v>172</v>
      </c>
      <c r="H1083" t="s">
        <v>5464</v>
      </c>
      <c r="I1083" t="s">
        <v>5465</v>
      </c>
      <c r="J1083" t="s">
        <v>1494</v>
      </c>
    </row>
    <row r="1084" spans="1:10">
      <c r="A1084" t="s">
        <v>5466</v>
      </c>
      <c r="B1084">
        <v>-0.19513181142607799</v>
      </c>
      <c r="C1084">
        <v>8.3296539471002493</v>
      </c>
      <c r="D1084">
        <v>0.69931433318385705</v>
      </c>
      <c r="E1084">
        <v>1</v>
      </c>
      <c r="F1084">
        <v>27</v>
      </c>
      <c r="G1084">
        <v>33</v>
      </c>
      <c r="H1084" t="s">
        <v>28</v>
      </c>
      <c r="I1084" t="s">
        <v>3438</v>
      </c>
      <c r="J1084" t="s">
        <v>1495</v>
      </c>
    </row>
    <row r="1085" spans="1:10">
      <c r="A1085" t="s">
        <v>5467</v>
      </c>
      <c r="B1085">
        <v>-0.19513181142607799</v>
      </c>
      <c r="C1085">
        <v>8.3296539471002493</v>
      </c>
      <c r="D1085">
        <v>0.69931433318385705</v>
      </c>
      <c r="E1085">
        <v>1</v>
      </c>
      <c r="F1085">
        <v>27</v>
      </c>
      <c r="G1085">
        <v>33</v>
      </c>
      <c r="H1085" t="s">
        <v>5468</v>
      </c>
      <c r="I1085" t="s">
        <v>5469</v>
      </c>
      <c r="J1085" t="s">
        <v>1496</v>
      </c>
    </row>
    <row r="1086" spans="1:10">
      <c r="A1086" t="s">
        <v>5470</v>
      </c>
      <c r="B1086">
        <v>-0.19513181142607799</v>
      </c>
      <c r="C1086">
        <v>8.3296539471002493</v>
      </c>
      <c r="D1086">
        <v>0.69931433318385705</v>
      </c>
      <c r="E1086">
        <v>1</v>
      </c>
      <c r="F1086">
        <v>27</v>
      </c>
      <c r="G1086">
        <v>33</v>
      </c>
      <c r="H1086" t="s">
        <v>28</v>
      </c>
      <c r="I1086" t="s">
        <v>3438</v>
      </c>
      <c r="J1086" t="s">
        <v>359</v>
      </c>
    </row>
    <row r="1087" spans="1:10">
      <c r="A1087" t="s">
        <v>5471</v>
      </c>
      <c r="B1087">
        <v>-0.19513181142607799</v>
      </c>
      <c r="C1087">
        <v>8.3296539471002493</v>
      </c>
      <c r="D1087">
        <v>0.69931433318385705</v>
      </c>
      <c r="E1087">
        <v>1</v>
      </c>
      <c r="F1087">
        <v>27</v>
      </c>
      <c r="G1087">
        <v>33</v>
      </c>
      <c r="H1087" t="s">
        <v>5472</v>
      </c>
      <c r="I1087" t="s">
        <v>5473</v>
      </c>
      <c r="J1087" t="s">
        <v>1497</v>
      </c>
    </row>
    <row r="1088" spans="1:10">
      <c r="A1088" t="s">
        <v>5474</v>
      </c>
      <c r="B1088">
        <v>-0.19513181142607799</v>
      </c>
      <c r="C1088">
        <v>8.3296539471002493</v>
      </c>
      <c r="D1088">
        <v>0.69931433318385705</v>
      </c>
      <c r="E1088">
        <v>1</v>
      </c>
      <c r="F1088">
        <v>27</v>
      </c>
      <c r="G1088">
        <v>33</v>
      </c>
      <c r="H1088" t="s">
        <v>28</v>
      </c>
      <c r="I1088" t="s">
        <v>3438</v>
      </c>
      <c r="J1088" t="s">
        <v>1498</v>
      </c>
    </row>
    <row r="1089" spans="1:10">
      <c r="A1089" t="s">
        <v>5475</v>
      </c>
      <c r="B1089">
        <v>0.18739266404872301</v>
      </c>
      <c r="C1089">
        <v>8.3296724333350003</v>
      </c>
      <c r="D1089">
        <v>0.69931433318385705</v>
      </c>
      <c r="E1089">
        <v>1</v>
      </c>
      <c r="F1089">
        <v>31</v>
      </c>
      <c r="G1089">
        <v>29</v>
      </c>
      <c r="H1089" t="s">
        <v>28</v>
      </c>
      <c r="I1089" t="s">
        <v>3438</v>
      </c>
      <c r="J1089" t="s">
        <v>1499</v>
      </c>
    </row>
    <row r="1090" spans="1:10">
      <c r="A1090" t="s">
        <v>5476</v>
      </c>
      <c r="B1090">
        <v>0.18739266404872301</v>
      </c>
      <c r="C1090">
        <v>8.3296724333350003</v>
      </c>
      <c r="D1090">
        <v>0.69931433318385705</v>
      </c>
      <c r="E1090">
        <v>1</v>
      </c>
      <c r="F1090">
        <v>31</v>
      </c>
      <c r="G1090">
        <v>29</v>
      </c>
      <c r="H1090" t="s">
        <v>5477</v>
      </c>
      <c r="I1090" t="s">
        <v>5478</v>
      </c>
      <c r="J1090" t="s">
        <v>1500</v>
      </c>
    </row>
    <row r="1091" spans="1:10">
      <c r="A1091" t="s">
        <v>5479</v>
      </c>
      <c r="B1091">
        <v>0.18739266404872301</v>
      </c>
      <c r="C1091">
        <v>8.3296724333350003</v>
      </c>
      <c r="D1091">
        <v>0.69931433318385705</v>
      </c>
      <c r="E1091">
        <v>1</v>
      </c>
      <c r="F1091">
        <v>31</v>
      </c>
      <c r="G1091">
        <v>29</v>
      </c>
      <c r="H1091" t="s">
        <v>28</v>
      </c>
      <c r="I1091" t="s">
        <v>3631</v>
      </c>
      <c r="J1091" t="s">
        <v>1501</v>
      </c>
    </row>
    <row r="1092" spans="1:10">
      <c r="A1092" t="s">
        <v>5480</v>
      </c>
      <c r="B1092">
        <v>-4.47346041679446E-2</v>
      </c>
      <c r="C1092">
        <v>12.0245166989379</v>
      </c>
      <c r="D1092">
        <v>0.69846447798771705</v>
      </c>
      <c r="E1092">
        <v>1</v>
      </c>
      <c r="F1092">
        <v>370</v>
      </c>
      <c r="G1092">
        <v>407</v>
      </c>
      <c r="H1092" t="s">
        <v>28</v>
      </c>
      <c r="I1092" t="s">
        <v>5481</v>
      </c>
      <c r="J1092" t="s">
        <v>1502</v>
      </c>
    </row>
    <row r="1093" spans="1:10">
      <c r="A1093" t="s">
        <v>5482</v>
      </c>
      <c r="B1093">
        <v>9.2458326050086304E-2</v>
      </c>
      <c r="C1093">
        <v>9.7803368796429897</v>
      </c>
      <c r="D1093">
        <v>0.69751940742983498</v>
      </c>
      <c r="E1093">
        <v>1</v>
      </c>
      <c r="F1093">
        <v>82</v>
      </c>
      <c r="G1093">
        <v>82</v>
      </c>
      <c r="H1093" t="s">
        <v>5483</v>
      </c>
      <c r="I1093" t="s">
        <v>5484</v>
      </c>
      <c r="J1093" t="s">
        <v>1503</v>
      </c>
    </row>
    <row r="1094" spans="1:10">
      <c r="A1094" t="s">
        <v>5485</v>
      </c>
      <c r="B1094">
        <v>-0.205042448361276</v>
      </c>
      <c r="C1094">
        <v>8.2807441971765208</v>
      </c>
      <c r="D1094">
        <v>0.69442675397543896</v>
      </c>
      <c r="E1094">
        <v>1</v>
      </c>
      <c r="F1094">
        <v>26</v>
      </c>
      <c r="G1094">
        <v>32</v>
      </c>
      <c r="H1094" t="s">
        <v>28</v>
      </c>
      <c r="I1094" t="s">
        <v>3438</v>
      </c>
      <c r="J1094" t="s">
        <v>1504</v>
      </c>
    </row>
    <row r="1095" spans="1:10">
      <c r="A1095" t="s">
        <v>5486</v>
      </c>
      <c r="B1095">
        <v>0.19063109122526001</v>
      </c>
      <c r="C1095">
        <v>8.2807626852507497</v>
      </c>
      <c r="D1095">
        <v>0.69442675397543896</v>
      </c>
      <c r="E1095">
        <v>1</v>
      </c>
      <c r="F1095">
        <v>30</v>
      </c>
      <c r="G1095">
        <v>28</v>
      </c>
      <c r="H1095" t="s">
        <v>5487</v>
      </c>
      <c r="I1095" t="s">
        <v>5488</v>
      </c>
      <c r="J1095" t="s">
        <v>1505</v>
      </c>
    </row>
    <row r="1096" spans="1:10">
      <c r="A1096" t="s">
        <v>5489</v>
      </c>
      <c r="B1096">
        <v>0.19063109122526001</v>
      </c>
      <c r="C1096">
        <v>8.2807626852507497</v>
      </c>
      <c r="D1096">
        <v>0.69442675397543896</v>
      </c>
      <c r="E1096">
        <v>1</v>
      </c>
      <c r="F1096">
        <v>30</v>
      </c>
      <c r="G1096">
        <v>28</v>
      </c>
      <c r="H1096" t="s">
        <v>28</v>
      </c>
      <c r="I1096" t="s">
        <v>3438</v>
      </c>
      <c r="J1096" t="s">
        <v>1506</v>
      </c>
    </row>
    <row r="1097" spans="1:10">
      <c r="A1097" t="s">
        <v>5490</v>
      </c>
      <c r="B1097">
        <v>-9.6319549674935195E-2</v>
      </c>
      <c r="C1097">
        <v>10.2619590375642</v>
      </c>
      <c r="D1097">
        <v>0.69349563167710704</v>
      </c>
      <c r="E1097">
        <v>1</v>
      </c>
      <c r="F1097">
        <v>107</v>
      </c>
      <c r="G1097">
        <v>122</v>
      </c>
      <c r="H1097" t="s">
        <v>423</v>
      </c>
      <c r="I1097" t="s">
        <v>5491</v>
      </c>
      <c r="J1097" t="s">
        <v>422</v>
      </c>
    </row>
    <row r="1098" spans="1:10">
      <c r="A1098" t="s">
        <v>5492</v>
      </c>
      <c r="B1098">
        <v>-0.16424130124299399</v>
      </c>
      <c r="C1098">
        <v>9.0809709731103503</v>
      </c>
      <c r="D1098">
        <v>0.69156640243154499</v>
      </c>
      <c r="E1098">
        <v>1</v>
      </c>
      <c r="F1098">
        <v>46</v>
      </c>
      <c r="G1098">
        <v>55</v>
      </c>
      <c r="H1098" t="s">
        <v>28</v>
      </c>
      <c r="I1098" t="s">
        <v>3438</v>
      </c>
      <c r="J1098" t="s">
        <v>1507</v>
      </c>
    </row>
    <row r="1099" spans="1:10">
      <c r="A1099" t="s">
        <v>5493</v>
      </c>
      <c r="B1099">
        <v>-0.250140263539332</v>
      </c>
      <c r="C1099">
        <v>7.0666238661163598</v>
      </c>
      <c r="D1099">
        <v>0.69022378042386701</v>
      </c>
      <c r="E1099">
        <v>1</v>
      </c>
      <c r="F1099">
        <v>11</v>
      </c>
      <c r="G1099">
        <v>14</v>
      </c>
      <c r="H1099" t="s">
        <v>28</v>
      </c>
      <c r="I1099" t="s">
        <v>3438</v>
      </c>
      <c r="J1099" t="s">
        <v>1508</v>
      </c>
    </row>
    <row r="1100" spans="1:10">
      <c r="A1100" t="s">
        <v>5494</v>
      </c>
      <c r="B1100">
        <v>-0.250140263539332</v>
      </c>
      <c r="C1100">
        <v>7.0666238661163598</v>
      </c>
      <c r="D1100">
        <v>0.69022378042386701</v>
      </c>
      <c r="E1100">
        <v>1</v>
      </c>
      <c r="F1100">
        <v>11</v>
      </c>
      <c r="G1100">
        <v>14</v>
      </c>
      <c r="H1100" t="s">
        <v>5495</v>
      </c>
      <c r="I1100" t="s">
        <v>5496</v>
      </c>
      <c r="J1100" t="s">
        <v>1509</v>
      </c>
    </row>
    <row r="1101" spans="1:10">
      <c r="A1101" t="s">
        <v>5497</v>
      </c>
      <c r="B1101">
        <v>-0.250140263539332</v>
      </c>
      <c r="C1101">
        <v>7.0666238661163598</v>
      </c>
      <c r="D1101">
        <v>0.69022378042386701</v>
      </c>
      <c r="E1101">
        <v>1</v>
      </c>
      <c r="F1101">
        <v>11</v>
      </c>
      <c r="G1101">
        <v>14</v>
      </c>
      <c r="H1101" t="s">
        <v>28</v>
      </c>
      <c r="I1101" t="s">
        <v>3438</v>
      </c>
      <c r="J1101" t="s">
        <v>1510</v>
      </c>
    </row>
    <row r="1102" spans="1:10">
      <c r="A1102" t="s">
        <v>5498</v>
      </c>
      <c r="B1102">
        <v>-0.250140263539332</v>
      </c>
      <c r="C1102">
        <v>7.0666238661163598</v>
      </c>
      <c r="D1102">
        <v>0.69022378042386701</v>
      </c>
      <c r="E1102">
        <v>1</v>
      </c>
      <c r="F1102">
        <v>11</v>
      </c>
      <c r="G1102">
        <v>14</v>
      </c>
      <c r="H1102" t="s">
        <v>28</v>
      </c>
      <c r="I1102" t="s">
        <v>3438</v>
      </c>
      <c r="J1102" t="s">
        <v>1511</v>
      </c>
    </row>
    <row r="1103" spans="1:10">
      <c r="A1103" t="s">
        <v>5499</v>
      </c>
      <c r="B1103">
        <v>-0.250140263539332</v>
      </c>
      <c r="C1103">
        <v>7.0666238661163598</v>
      </c>
      <c r="D1103">
        <v>0.69022378042386701</v>
      </c>
      <c r="E1103">
        <v>1</v>
      </c>
      <c r="F1103">
        <v>11</v>
      </c>
      <c r="G1103">
        <v>14</v>
      </c>
      <c r="H1103" t="s">
        <v>28</v>
      </c>
      <c r="I1103" t="s">
        <v>3465</v>
      </c>
      <c r="J1103" t="s">
        <v>1512</v>
      </c>
    </row>
    <row r="1104" spans="1:10">
      <c r="A1104" t="s">
        <v>5500</v>
      </c>
      <c r="B1104">
        <v>-0.250140263539332</v>
      </c>
      <c r="C1104">
        <v>7.0666238661163598</v>
      </c>
      <c r="D1104">
        <v>0.69022378042386701</v>
      </c>
      <c r="E1104">
        <v>1</v>
      </c>
      <c r="F1104">
        <v>11</v>
      </c>
      <c r="G1104">
        <v>14</v>
      </c>
      <c r="H1104" t="s">
        <v>28</v>
      </c>
      <c r="I1104" t="s">
        <v>3438</v>
      </c>
      <c r="J1104" t="s">
        <v>1513</v>
      </c>
    </row>
    <row r="1105" spans="1:10">
      <c r="A1105" t="s">
        <v>5501</v>
      </c>
      <c r="B1105">
        <v>-0.250140263539332</v>
      </c>
      <c r="C1105">
        <v>7.0666238661163598</v>
      </c>
      <c r="D1105">
        <v>0.69022378042386701</v>
      </c>
      <c r="E1105">
        <v>1</v>
      </c>
      <c r="F1105">
        <v>11</v>
      </c>
      <c r="G1105">
        <v>14</v>
      </c>
      <c r="H1105" t="s">
        <v>28</v>
      </c>
      <c r="I1105" t="s">
        <v>5502</v>
      </c>
      <c r="J1105" t="s">
        <v>1514</v>
      </c>
    </row>
    <row r="1106" spans="1:10">
      <c r="A1106" t="s">
        <v>5503</v>
      </c>
      <c r="B1106">
        <v>0.43193384921295103</v>
      </c>
      <c r="C1106">
        <v>7.0666377550197801</v>
      </c>
      <c r="D1106">
        <v>0.69022378042386701</v>
      </c>
      <c r="E1106">
        <v>1</v>
      </c>
      <c r="F1106">
        <v>14</v>
      </c>
      <c r="G1106">
        <v>11</v>
      </c>
      <c r="H1106" t="s">
        <v>5504</v>
      </c>
      <c r="I1106" t="s">
        <v>5505</v>
      </c>
      <c r="J1106" t="s">
        <v>1515</v>
      </c>
    </row>
    <row r="1107" spans="1:10">
      <c r="A1107" t="s">
        <v>5506</v>
      </c>
      <c r="B1107">
        <v>0.43193384921295103</v>
      </c>
      <c r="C1107">
        <v>7.0666377550197801</v>
      </c>
      <c r="D1107">
        <v>0.69022378042386701</v>
      </c>
      <c r="E1107">
        <v>1</v>
      </c>
      <c r="F1107">
        <v>14</v>
      </c>
      <c r="G1107">
        <v>11</v>
      </c>
      <c r="H1107" t="s">
        <v>28</v>
      </c>
      <c r="I1107" t="s">
        <v>3878</v>
      </c>
      <c r="J1107" t="s">
        <v>1516</v>
      </c>
    </row>
    <row r="1108" spans="1:10">
      <c r="A1108" t="s">
        <v>5507</v>
      </c>
      <c r="B1108">
        <v>0.43193384921295103</v>
      </c>
      <c r="C1108">
        <v>7.0666377550197801</v>
      </c>
      <c r="D1108">
        <v>0.69022378042386701</v>
      </c>
      <c r="E1108">
        <v>1</v>
      </c>
      <c r="F1108">
        <v>14</v>
      </c>
      <c r="G1108">
        <v>11</v>
      </c>
      <c r="H1108" t="s">
        <v>28</v>
      </c>
      <c r="I1108" t="s">
        <v>3438</v>
      </c>
      <c r="J1108" t="s">
        <v>1517</v>
      </c>
    </row>
    <row r="1109" spans="1:10">
      <c r="A1109" t="s">
        <v>5508</v>
      </c>
      <c r="B1109">
        <v>0.43193384921295103</v>
      </c>
      <c r="C1109">
        <v>7.0666377550197801</v>
      </c>
      <c r="D1109">
        <v>0.69022378042386701</v>
      </c>
      <c r="E1109">
        <v>1</v>
      </c>
      <c r="F1109">
        <v>14</v>
      </c>
      <c r="G1109">
        <v>11</v>
      </c>
      <c r="H1109" t="s">
        <v>5509</v>
      </c>
      <c r="I1109" t="s">
        <v>5510</v>
      </c>
      <c r="J1109" t="s">
        <v>1518</v>
      </c>
    </row>
    <row r="1110" spans="1:10">
      <c r="A1110" t="s">
        <v>5511</v>
      </c>
      <c r="B1110">
        <v>0.43193384921295103</v>
      </c>
      <c r="C1110">
        <v>7.0666377550197801</v>
      </c>
      <c r="D1110">
        <v>0.69022378042386701</v>
      </c>
      <c r="E1110">
        <v>1</v>
      </c>
      <c r="F1110">
        <v>14</v>
      </c>
      <c r="G1110">
        <v>11</v>
      </c>
      <c r="H1110" t="s">
        <v>5512</v>
      </c>
      <c r="I1110" t="s">
        <v>5513</v>
      </c>
      <c r="J1110" t="s">
        <v>1519</v>
      </c>
    </row>
    <row r="1111" spans="1:10">
      <c r="A1111" t="s">
        <v>5514</v>
      </c>
      <c r="B1111">
        <v>0.43193384921295103</v>
      </c>
      <c r="C1111">
        <v>7.0666377550197801</v>
      </c>
      <c r="D1111">
        <v>0.69022378042386701</v>
      </c>
      <c r="E1111">
        <v>1</v>
      </c>
      <c r="F1111">
        <v>14</v>
      </c>
      <c r="G1111">
        <v>11</v>
      </c>
      <c r="H1111" t="s">
        <v>28</v>
      </c>
      <c r="I1111" t="s">
        <v>3438</v>
      </c>
      <c r="J1111" t="s">
        <v>1520</v>
      </c>
    </row>
    <row r="1112" spans="1:10">
      <c r="A1112" t="s">
        <v>5515</v>
      </c>
      <c r="B1112">
        <v>9.2443921560916797E-2</v>
      </c>
      <c r="C1112">
        <v>9.7081865075445499</v>
      </c>
      <c r="D1112">
        <v>0.690199554357943</v>
      </c>
      <c r="E1112">
        <v>1</v>
      </c>
      <c r="F1112">
        <v>78</v>
      </c>
      <c r="G1112">
        <v>78</v>
      </c>
      <c r="H1112" t="s">
        <v>5516</v>
      </c>
      <c r="I1112" t="s">
        <v>5517</v>
      </c>
      <c r="J1112" t="s">
        <v>1521</v>
      </c>
    </row>
    <row r="1113" spans="1:10">
      <c r="A1113" t="s">
        <v>5518</v>
      </c>
      <c r="B1113">
        <v>-0.215662497618057</v>
      </c>
      <c r="C1113">
        <v>8.2301179746340107</v>
      </c>
      <c r="D1113">
        <v>0.68929401375764598</v>
      </c>
      <c r="E1113">
        <v>1</v>
      </c>
      <c r="F1113">
        <v>25</v>
      </c>
      <c r="G1113">
        <v>31</v>
      </c>
      <c r="H1113" t="s">
        <v>28</v>
      </c>
      <c r="I1113" t="s">
        <v>3438</v>
      </c>
      <c r="J1113" t="s">
        <v>1522</v>
      </c>
    </row>
    <row r="1114" spans="1:10">
      <c r="A1114" t="s">
        <v>5519</v>
      </c>
      <c r="B1114">
        <v>0.121274068971208</v>
      </c>
      <c r="C1114">
        <v>9.0521390238999295</v>
      </c>
      <c r="D1114">
        <v>0.688616877879626</v>
      </c>
      <c r="E1114">
        <v>1</v>
      </c>
      <c r="F1114">
        <v>50</v>
      </c>
      <c r="G1114">
        <v>49</v>
      </c>
      <c r="H1114" t="s">
        <v>28</v>
      </c>
      <c r="I1114" t="s">
        <v>3438</v>
      </c>
      <c r="J1114" t="s">
        <v>1523</v>
      </c>
    </row>
    <row r="1115" spans="1:10">
      <c r="A1115" t="s">
        <v>5520</v>
      </c>
      <c r="B1115">
        <v>-0.112012169188879</v>
      </c>
      <c r="C1115">
        <v>9.6988833217463899</v>
      </c>
      <c r="D1115">
        <v>0.68828605921845698</v>
      </c>
      <c r="E1115">
        <v>1</v>
      </c>
      <c r="F1115">
        <v>72</v>
      </c>
      <c r="G1115">
        <v>83</v>
      </c>
      <c r="H1115" t="s">
        <v>28</v>
      </c>
      <c r="I1115" t="s">
        <v>3438</v>
      </c>
      <c r="J1115" t="s">
        <v>1524</v>
      </c>
    </row>
    <row r="1116" spans="1:10">
      <c r="A1116" t="s">
        <v>5521</v>
      </c>
      <c r="B1116">
        <v>-0.22707127850693101</v>
      </c>
      <c r="C1116">
        <v>8.1776504052375607</v>
      </c>
      <c r="D1116">
        <v>0.68389490376687001</v>
      </c>
      <c r="E1116">
        <v>1</v>
      </c>
      <c r="F1116">
        <v>24</v>
      </c>
      <c r="G1116">
        <v>30</v>
      </c>
      <c r="H1116" t="s">
        <v>5522</v>
      </c>
      <c r="I1116" t="s">
        <v>5523</v>
      </c>
      <c r="J1116" t="s">
        <v>1525</v>
      </c>
    </row>
    <row r="1117" spans="1:10">
      <c r="A1117" t="s">
        <v>5524</v>
      </c>
      <c r="B1117">
        <v>0.122469291336589</v>
      </c>
      <c r="C1117">
        <v>8.9926377176000702</v>
      </c>
      <c r="D1117">
        <v>0.68245685613585305</v>
      </c>
      <c r="E1117">
        <v>1</v>
      </c>
      <c r="F1117">
        <v>48</v>
      </c>
      <c r="G1117">
        <v>47</v>
      </c>
      <c r="H1117" t="s">
        <v>5525</v>
      </c>
      <c r="I1117" t="s">
        <v>5526</v>
      </c>
      <c r="J1117" t="s">
        <v>1526</v>
      </c>
    </row>
    <row r="1118" spans="1:10">
      <c r="A1118" t="s">
        <v>5527</v>
      </c>
      <c r="B1118">
        <v>-0.152605825458795</v>
      </c>
      <c r="C1118">
        <v>8.9773501254339791</v>
      </c>
      <c r="D1118">
        <v>0.679237617188859</v>
      </c>
      <c r="E1118">
        <v>1</v>
      </c>
      <c r="F1118">
        <v>43</v>
      </c>
      <c r="G1118">
        <v>51</v>
      </c>
      <c r="H1118" t="s">
        <v>5528</v>
      </c>
      <c r="I1118" t="s">
        <v>5529</v>
      </c>
      <c r="J1118" t="s">
        <v>1527</v>
      </c>
    </row>
    <row r="1119" spans="1:10">
      <c r="A1119" t="s">
        <v>5530</v>
      </c>
      <c r="B1119">
        <v>-0.23936044632908199</v>
      </c>
      <c r="C1119">
        <v>8.1232024716831006</v>
      </c>
      <c r="D1119">
        <v>0.67820555615482803</v>
      </c>
      <c r="E1119">
        <v>1</v>
      </c>
      <c r="F1119">
        <v>23</v>
      </c>
      <c r="G1119">
        <v>29</v>
      </c>
      <c r="H1119" t="s">
        <v>5531</v>
      </c>
      <c r="I1119" t="s">
        <v>5532</v>
      </c>
      <c r="J1119" t="s">
        <v>1528</v>
      </c>
    </row>
    <row r="1120" spans="1:10">
      <c r="A1120" t="s">
        <v>5533</v>
      </c>
      <c r="B1120">
        <v>0.20182874780943899</v>
      </c>
      <c r="C1120">
        <v>8.1232209652779908</v>
      </c>
      <c r="D1120">
        <v>0.67820555615482803</v>
      </c>
      <c r="E1120">
        <v>1</v>
      </c>
      <c r="F1120">
        <v>27</v>
      </c>
      <c r="G1120">
        <v>25</v>
      </c>
      <c r="H1120" t="s">
        <v>5534</v>
      </c>
      <c r="I1120" t="s">
        <v>5535</v>
      </c>
      <c r="J1120" t="s">
        <v>1529</v>
      </c>
    </row>
    <row r="1121" spans="1:10">
      <c r="A1121" t="s">
        <v>5536</v>
      </c>
      <c r="B1121">
        <v>-0.27963370759480899</v>
      </c>
      <c r="C1121">
        <v>6.9463294831260001</v>
      </c>
      <c r="D1121">
        <v>0.67781664097712802</v>
      </c>
      <c r="E1121">
        <v>1</v>
      </c>
      <c r="F1121">
        <v>10</v>
      </c>
      <c r="G1121">
        <v>13</v>
      </c>
      <c r="H1121" t="s">
        <v>28</v>
      </c>
      <c r="I1121" t="s">
        <v>3438</v>
      </c>
      <c r="J1121" t="s">
        <v>1530</v>
      </c>
    </row>
    <row r="1122" spans="1:10">
      <c r="A1122" t="s">
        <v>5537</v>
      </c>
      <c r="B1122">
        <v>-0.27963370759480899</v>
      </c>
      <c r="C1122">
        <v>6.9463294831260001</v>
      </c>
      <c r="D1122">
        <v>0.67781664097712802</v>
      </c>
      <c r="E1122">
        <v>1</v>
      </c>
      <c r="F1122">
        <v>10</v>
      </c>
      <c r="G1122">
        <v>13</v>
      </c>
      <c r="H1122" t="s">
        <v>28</v>
      </c>
      <c r="I1122" t="s">
        <v>3438</v>
      </c>
      <c r="J1122" t="s">
        <v>1531</v>
      </c>
    </row>
    <row r="1123" spans="1:10">
      <c r="A1123" t="s">
        <v>5538</v>
      </c>
      <c r="B1123">
        <v>-0.27963370759480899</v>
      </c>
      <c r="C1123">
        <v>6.9463294831260001</v>
      </c>
      <c r="D1123">
        <v>0.67781664097712802</v>
      </c>
      <c r="E1123">
        <v>1</v>
      </c>
      <c r="F1123">
        <v>10</v>
      </c>
      <c r="G1123">
        <v>13</v>
      </c>
      <c r="H1123" t="s">
        <v>28</v>
      </c>
      <c r="I1123" t="s">
        <v>3438</v>
      </c>
      <c r="J1123" t="s">
        <v>1532</v>
      </c>
    </row>
    <row r="1124" spans="1:10">
      <c r="A1124" t="s">
        <v>5539</v>
      </c>
      <c r="B1124">
        <v>-0.27963370759480899</v>
      </c>
      <c r="C1124">
        <v>6.9463294831260001</v>
      </c>
      <c r="D1124">
        <v>0.67781664097712802</v>
      </c>
      <c r="E1124">
        <v>1</v>
      </c>
      <c r="F1124">
        <v>10</v>
      </c>
      <c r="G1124">
        <v>13</v>
      </c>
      <c r="H1124" t="s">
        <v>5540</v>
      </c>
      <c r="I1124" t="s">
        <v>3438</v>
      </c>
      <c r="J1124" t="s">
        <v>1533</v>
      </c>
    </row>
    <row r="1125" spans="1:10">
      <c r="A1125" t="s">
        <v>5541</v>
      </c>
      <c r="B1125">
        <v>-0.27963370759480899</v>
      </c>
      <c r="C1125">
        <v>6.9463294831260001</v>
      </c>
      <c r="D1125">
        <v>0.67781664097712802</v>
      </c>
      <c r="E1125">
        <v>1</v>
      </c>
      <c r="F1125">
        <v>10</v>
      </c>
      <c r="G1125">
        <v>13</v>
      </c>
      <c r="H1125" t="s">
        <v>28</v>
      </c>
      <c r="I1125" t="s">
        <v>3438</v>
      </c>
      <c r="J1125" t="s">
        <v>1534</v>
      </c>
    </row>
    <row r="1126" spans="1:10">
      <c r="A1126" t="s">
        <v>5542</v>
      </c>
      <c r="B1126">
        <v>-0.27963370759480899</v>
      </c>
      <c r="C1126">
        <v>6.9463294831260001</v>
      </c>
      <c r="D1126">
        <v>0.67781664097712802</v>
      </c>
      <c r="E1126">
        <v>1</v>
      </c>
      <c r="F1126">
        <v>10</v>
      </c>
      <c r="G1126">
        <v>13</v>
      </c>
      <c r="H1126" t="s">
        <v>28</v>
      </c>
      <c r="I1126" t="s">
        <v>3438</v>
      </c>
      <c r="J1126" t="s">
        <v>1535</v>
      </c>
    </row>
    <row r="1127" spans="1:10">
      <c r="A1127" t="s">
        <v>5543</v>
      </c>
      <c r="B1127">
        <v>-0.27963370759480899</v>
      </c>
      <c r="C1127">
        <v>6.9463294831260001</v>
      </c>
      <c r="D1127">
        <v>0.67781664097712802</v>
      </c>
      <c r="E1127">
        <v>1</v>
      </c>
      <c r="F1127">
        <v>10</v>
      </c>
      <c r="G1127">
        <v>13</v>
      </c>
      <c r="H1127" t="s">
        <v>28</v>
      </c>
      <c r="I1127" t="s">
        <v>3438</v>
      </c>
      <c r="J1127" t="s">
        <v>1536</v>
      </c>
    </row>
    <row r="1128" spans="1:10">
      <c r="A1128" t="s">
        <v>5544</v>
      </c>
      <c r="B1128">
        <v>-0.27963370759480899</v>
      </c>
      <c r="C1128">
        <v>6.9463294831260001</v>
      </c>
      <c r="D1128">
        <v>0.67781664097712802</v>
      </c>
      <c r="E1128">
        <v>1</v>
      </c>
      <c r="F1128">
        <v>10</v>
      </c>
      <c r="G1128">
        <v>13</v>
      </c>
      <c r="H1128" t="s">
        <v>28</v>
      </c>
      <c r="I1128" t="s">
        <v>5545</v>
      </c>
      <c r="J1128" t="s">
        <v>1537</v>
      </c>
    </row>
    <row r="1129" spans="1:10">
      <c r="A1129" t="s">
        <v>5546</v>
      </c>
      <c r="B1129">
        <v>-0.27963370759480899</v>
      </c>
      <c r="C1129">
        <v>6.9463294831260001</v>
      </c>
      <c r="D1129">
        <v>0.67781664097712802</v>
      </c>
      <c r="E1129">
        <v>1</v>
      </c>
      <c r="F1129">
        <v>10</v>
      </c>
      <c r="G1129">
        <v>13</v>
      </c>
      <c r="H1129" t="s">
        <v>28</v>
      </c>
      <c r="I1129" t="s">
        <v>3438</v>
      </c>
      <c r="J1129" t="s">
        <v>1538</v>
      </c>
    </row>
    <row r="1130" spans="1:10">
      <c r="A1130" t="s">
        <v>5547</v>
      </c>
      <c r="B1130">
        <v>-0.27963370759480899</v>
      </c>
      <c r="C1130">
        <v>6.9463294831260001</v>
      </c>
      <c r="D1130">
        <v>0.67781664097712802</v>
      </c>
      <c r="E1130">
        <v>1</v>
      </c>
      <c r="F1130">
        <v>10</v>
      </c>
      <c r="G1130">
        <v>13</v>
      </c>
      <c r="H1130" t="s">
        <v>28</v>
      </c>
      <c r="I1130" t="s">
        <v>3438</v>
      </c>
      <c r="J1130" t="s">
        <v>1539</v>
      </c>
    </row>
    <row r="1131" spans="1:10">
      <c r="A1131" t="s">
        <v>5548</v>
      </c>
      <c r="B1131">
        <v>-0.27963370759480899</v>
      </c>
      <c r="C1131">
        <v>6.9463294831260001</v>
      </c>
      <c r="D1131">
        <v>0.67781664097712802</v>
      </c>
      <c r="E1131">
        <v>1</v>
      </c>
      <c r="F1131">
        <v>10</v>
      </c>
      <c r="G1131">
        <v>13</v>
      </c>
      <c r="H1131" t="s">
        <v>28</v>
      </c>
      <c r="I1131" t="s">
        <v>3438</v>
      </c>
      <c r="J1131" t="s">
        <v>1540</v>
      </c>
    </row>
    <row r="1132" spans="1:10">
      <c r="A1132" t="s">
        <v>5549</v>
      </c>
      <c r="B1132">
        <v>-0.27963370759480899</v>
      </c>
      <c r="C1132">
        <v>6.9463294831260001</v>
      </c>
      <c r="D1132">
        <v>0.67781664097712802</v>
      </c>
      <c r="E1132">
        <v>1</v>
      </c>
      <c r="F1132">
        <v>10</v>
      </c>
      <c r="G1132">
        <v>13</v>
      </c>
      <c r="H1132" t="s">
        <v>5550</v>
      </c>
      <c r="I1132" t="s">
        <v>5551</v>
      </c>
      <c r="J1132" t="s">
        <v>1541</v>
      </c>
    </row>
    <row r="1133" spans="1:10">
      <c r="A1133" t="s">
        <v>5552</v>
      </c>
      <c r="B1133">
        <v>0.46110354808362902</v>
      </c>
      <c r="C1133">
        <v>6.9463433734138604</v>
      </c>
      <c r="D1133">
        <v>0.67781664097712802</v>
      </c>
      <c r="E1133">
        <v>1</v>
      </c>
      <c r="F1133">
        <v>13</v>
      </c>
      <c r="G1133">
        <v>10</v>
      </c>
      <c r="H1133" t="s">
        <v>28</v>
      </c>
      <c r="I1133" t="s">
        <v>5553</v>
      </c>
      <c r="J1133" t="s">
        <v>1542</v>
      </c>
    </row>
    <row r="1134" spans="1:10">
      <c r="A1134" t="s">
        <v>5554</v>
      </c>
      <c r="B1134">
        <v>0.46110354808362902</v>
      </c>
      <c r="C1134">
        <v>6.9463433734138604</v>
      </c>
      <c r="D1134">
        <v>0.67781664097712802</v>
      </c>
      <c r="E1134">
        <v>1</v>
      </c>
      <c r="F1134">
        <v>13</v>
      </c>
      <c r="G1134">
        <v>10</v>
      </c>
      <c r="H1134" t="s">
        <v>28</v>
      </c>
      <c r="I1134" t="s">
        <v>3438</v>
      </c>
      <c r="J1134" t="s">
        <v>1543</v>
      </c>
    </row>
    <row r="1135" spans="1:10">
      <c r="A1135" t="s">
        <v>5555</v>
      </c>
      <c r="B1135">
        <v>0.46110354808362902</v>
      </c>
      <c r="C1135">
        <v>6.9463433734138604</v>
      </c>
      <c r="D1135">
        <v>0.67781664097712802</v>
      </c>
      <c r="E1135">
        <v>1</v>
      </c>
      <c r="F1135">
        <v>13</v>
      </c>
      <c r="G1135">
        <v>10</v>
      </c>
      <c r="H1135" t="s">
        <v>28</v>
      </c>
      <c r="I1135" t="s">
        <v>5556</v>
      </c>
      <c r="J1135" t="s">
        <v>1544</v>
      </c>
    </row>
    <row r="1136" spans="1:10">
      <c r="A1136" t="s">
        <v>5557</v>
      </c>
      <c r="B1136">
        <v>0.46110354808362902</v>
      </c>
      <c r="C1136">
        <v>6.9463433734138604</v>
      </c>
      <c r="D1136">
        <v>0.67781664097712802</v>
      </c>
      <c r="E1136">
        <v>1</v>
      </c>
      <c r="F1136">
        <v>13</v>
      </c>
      <c r="G1136">
        <v>10</v>
      </c>
      <c r="H1136" t="s">
        <v>28</v>
      </c>
      <c r="I1136" t="s">
        <v>3657</v>
      </c>
      <c r="J1136" t="s">
        <v>1545</v>
      </c>
    </row>
    <row r="1137" spans="1:10">
      <c r="A1137" t="s">
        <v>5558</v>
      </c>
      <c r="B1137">
        <v>0.46110354808362902</v>
      </c>
      <c r="C1137">
        <v>6.9463433734138604</v>
      </c>
      <c r="D1137">
        <v>0.67781664097712802</v>
      </c>
      <c r="E1137">
        <v>1</v>
      </c>
      <c r="F1137">
        <v>13</v>
      </c>
      <c r="G1137">
        <v>10</v>
      </c>
      <c r="H1137" t="s">
        <v>5559</v>
      </c>
      <c r="I1137" t="s">
        <v>5560</v>
      </c>
      <c r="J1137" t="s">
        <v>1546</v>
      </c>
    </row>
    <row r="1138" spans="1:10">
      <c r="A1138" t="s">
        <v>5561</v>
      </c>
      <c r="B1138">
        <v>0.46110354808362902</v>
      </c>
      <c r="C1138">
        <v>6.9463433734138604</v>
      </c>
      <c r="D1138">
        <v>0.67781664097712802</v>
      </c>
      <c r="E1138">
        <v>1</v>
      </c>
      <c r="F1138">
        <v>13</v>
      </c>
      <c r="G1138">
        <v>10</v>
      </c>
      <c r="H1138" t="s">
        <v>5562</v>
      </c>
      <c r="I1138" t="s">
        <v>3450</v>
      </c>
      <c r="J1138" t="s">
        <v>1547</v>
      </c>
    </row>
    <row r="1139" spans="1:10">
      <c r="A1139" t="s">
        <v>5563</v>
      </c>
      <c r="B1139">
        <v>0.46110354808362902</v>
      </c>
      <c r="C1139">
        <v>6.9463433734138604</v>
      </c>
      <c r="D1139">
        <v>0.67781664097712802</v>
      </c>
      <c r="E1139">
        <v>1</v>
      </c>
      <c r="F1139">
        <v>13</v>
      </c>
      <c r="G1139">
        <v>10</v>
      </c>
      <c r="H1139" t="s">
        <v>28</v>
      </c>
      <c r="I1139" t="s">
        <v>3438</v>
      </c>
      <c r="J1139" t="s">
        <v>1548</v>
      </c>
    </row>
    <row r="1140" spans="1:10">
      <c r="A1140" t="s">
        <v>5564</v>
      </c>
      <c r="B1140">
        <v>0.46110354808362902</v>
      </c>
      <c r="C1140">
        <v>6.9463433734138604</v>
      </c>
      <c r="D1140">
        <v>0.67781664097712802</v>
      </c>
      <c r="E1140">
        <v>1</v>
      </c>
      <c r="F1140">
        <v>13</v>
      </c>
      <c r="G1140">
        <v>10</v>
      </c>
      <c r="H1140" t="s">
        <v>28</v>
      </c>
      <c r="I1140" t="s">
        <v>5565</v>
      </c>
      <c r="J1140" t="s">
        <v>1549</v>
      </c>
    </row>
    <row r="1141" spans="1:10">
      <c r="A1141" t="s">
        <v>5566</v>
      </c>
      <c r="B1141">
        <v>0.46110354808362902</v>
      </c>
      <c r="C1141">
        <v>6.9463433734138604</v>
      </c>
      <c r="D1141">
        <v>0.67781664097712802</v>
      </c>
      <c r="E1141">
        <v>1</v>
      </c>
      <c r="F1141">
        <v>13</v>
      </c>
      <c r="G1141">
        <v>10</v>
      </c>
      <c r="H1141" t="s">
        <v>5567</v>
      </c>
      <c r="I1141" t="s">
        <v>5568</v>
      </c>
      <c r="J1141" t="s">
        <v>1550</v>
      </c>
    </row>
    <row r="1142" spans="1:10">
      <c r="A1142" t="s">
        <v>5569</v>
      </c>
      <c r="B1142">
        <v>0.46110354808362902</v>
      </c>
      <c r="C1142">
        <v>6.9463433734138604</v>
      </c>
      <c r="D1142">
        <v>0.67781664097712802</v>
      </c>
      <c r="E1142">
        <v>1</v>
      </c>
      <c r="F1142">
        <v>13</v>
      </c>
      <c r="G1142">
        <v>10</v>
      </c>
      <c r="H1142" t="s">
        <v>5570</v>
      </c>
      <c r="I1142" t="s">
        <v>3773</v>
      </c>
      <c r="J1142" t="s">
        <v>1551</v>
      </c>
    </row>
    <row r="1143" spans="1:10">
      <c r="A1143" t="s">
        <v>5571</v>
      </c>
      <c r="B1143">
        <v>0.46110354808362902</v>
      </c>
      <c r="C1143">
        <v>6.9463433734138604</v>
      </c>
      <c r="D1143">
        <v>0.67781664097712802</v>
      </c>
      <c r="E1143">
        <v>1</v>
      </c>
      <c r="F1143">
        <v>13</v>
      </c>
      <c r="G1143">
        <v>10</v>
      </c>
      <c r="H1143" t="s">
        <v>28</v>
      </c>
      <c r="I1143" t="s">
        <v>5572</v>
      </c>
      <c r="J1143" t="s">
        <v>1552</v>
      </c>
    </row>
    <row r="1144" spans="1:10">
      <c r="A1144" t="s">
        <v>5573</v>
      </c>
      <c r="B1144">
        <v>0.132914120670481</v>
      </c>
      <c r="C1144">
        <v>9.5725349837665696</v>
      </c>
      <c r="D1144">
        <v>0.67601940145630801</v>
      </c>
      <c r="E1144">
        <v>1</v>
      </c>
      <c r="F1144">
        <v>72</v>
      </c>
      <c r="G1144">
        <v>70</v>
      </c>
      <c r="H1144" t="s">
        <v>5574</v>
      </c>
      <c r="I1144" t="s">
        <v>5575</v>
      </c>
      <c r="J1144" t="s">
        <v>1553</v>
      </c>
    </row>
    <row r="1145" spans="1:10">
      <c r="A1145" t="s">
        <v>5576</v>
      </c>
      <c r="B1145">
        <v>-0.113305171254217</v>
      </c>
      <c r="C1145">
        <v>9.5520431154480896</v>
      </c>
      <c r="D1145">
        <v>0.67383240691135304</v>
      </c>
      <c r="E1145">
        <v>1</v>
      </c>
      <c r="F1145">
        <v>65</v>
      </c>
      <c r="G1145">
        <v>75</v>
      </c>
      <c r="H1145" t="s">
        <v>5577</v>
      </c>
      <c r="I1145" t="s">
        <v>5578</v>
      </c>
      <c r="J1145" t="s">
        <v>1554</v>
      </c>
    </row>
    <row r="1146" spans="1:10">
      <c r="A1146" t="s">
        <v>5579</v>
      </c>
      <c r="B1146">
        <v>-0.16350573340603999</v>
      </c>
      <c r="C1146">
        <v>8.9146140712632107</v>
      </c>
      <c r="D1146">
        <v>0.67249643175262697</v>
      </c>
      <c r="E1146">
        <v>1</v>
      </c>
      <c r="F1146">
        <v>41</v>
      </c>
      <c r="G1146">
        <v>49</v>
      </c>
      <c r="H1146" t="s">
        <v>5580</v>
      </c>
      <c r="I1146" t="s">
        <v>5581</v>
      </c>
      <c r="J1146" t="s">
        <v>1555</v>
      </c>
    </row>
    <row r="1147" spans="1:10">
      <c r="A1147" t="s">
        <v>5582</v>
      </c>
      <c r="B1147">
        <v>-0.25263649908381902</v>
      </c>
      <c r="C1147">
        <v>8.0666187937548592</v>
      </c>
      <c r="D1147">
        <v>0.67219899978759701</v>
      </c>
      <c r="E1147">
        <v>1</v>
      </c>
      <c r="F1147">
        <v>22</v>
      </c>
      <c r="G1147">
        <v>28</v>
      </c>
      <c r="H1147" t="s">
        <v>5583</v>
      </c>
      <c r="I1147" t="s">
        <v>5584</v>
      </c>
      <c r="J1147" t="s">
        <v>1556</v>
      </c>
    </row>
    <row r="1148" spans="1:10">
      <c r="A1148" t="s">
        <v>5585</v>
      </c>
      <c r="B1148">
        <v>-0.25263649908381902</v>
      </c>
      <c r="C1148">
        <v>8.0666187937548592</v>
      </c>
      <c r="D1148">
        <v>0.67219899978759701</v>
      </c>
      <c r="E1148">
        <v>1</v>
      </c>
      <c r="F1148">
        <v>22</v>
      </c>
      <c r="G1148">
        <v>28</v>
      </c>
      <c r="H1148" t="s">
        <v>5586</v>
      </c>
      <c r="I1148" t="s">
        <v>5587</v>
      </c>
      <c r="J1148" t="s">
        <v>1557</v>
      </c>
    </row>
    <row r="1149" spans="1:10">
      <c r="A1149" t="s">
        <v>5588</v>
      </c>
      <c r="B1149">
        <v>-0.25263649908381902</v>
      </c>
      <c r="C1149">
        <v>8.0666187937548592</v>
      </c>
      <c r="D1149">
        <v>0.67219899978759701</v>
      </c>
      <c r="E1149">
        <v>1</v>
      </c>
      <c r="F1149">
        <v>22</v>
      </c>
      <c r="G1149">
        <v>28</v>
      </c>
      <c r="H1149" t="s">
        <v>28</v>
      </c>
      <c r="I1149" t="s">
        <v>3438</v>
      </c>
      <c r="J1149" t="s">
        <v>1558</v>
      </c>
    </row>
    <row r="1150" spans="1:10">
      <c r="A1150" t="s">
        <v>5589</v>
      </c>
      <c r="B1150">
        <v>-0.25263649908381902</v>
      </c>
      <c r="C1150">
        <v>8.0666187937548592</v>
      </c>
      <c r="D1150">
        <v>0.67219899978759701</v>
      </c>
      <c r="E1150">
        <v>1</v>
      </c>
      <c r="F1150">
        <v>22</v>
      </c>
      <c r="G1150">
        <v>28</v>
      </c>
      <c r="H1150" t="s">
        <v>5590</v>
      </c>
      <c r="I1150" t="s">
        <v>5591</v>
      </c>
      <c r="J1150" t="s">
        <v>1559</v>
      </c>
    </row>
    <row r="1151" spans="1:10">
      <c r="A1151" t="s">
        <v>5592</v>
      </c>
      <c r="B1151">
        <v>-0.25263649908381902</v>
      </c>
      <c r="C1151">
        <v>8.0666187937548592</v>
      </c>
      <c r="D1151">
        <v>0.67219899978759701</v>
      </c>
      <c r="E1151">
        <v>1</v>
      </c>
      <c r="F1151">
        <v>22</v>
      </c>
      <c r="G1151">
        <v>28</v>
      </c>
      <c r="H1151" t="s">
        <v>28</v>
      </c>
      <c r="I1151" t="s">
        <v>3438</v>
      </c>
      <c r="J1151" t="s">
        <v>1560</v>
      </c>
    </row>
    <row r="1152" spans="1:10">
      <c r="A1152" t="s">
        <v>5593</v>
      </c>
      <c r="B1152">
        <v>0.206153456060374</v>
      </c>
      <c r="C1152">
        <v>8.0666372891906999</v>
      </c>
      <c r="D1152">
        <v>0.67219899978759701</v>
      </c>
      <c r="E1152">
        <v>1</v>
      </c>
      <c r="F1152">
        <v>26</v>
      </c>
      <c r="G1152">
        <v>24</v>
      </c>
      <c r="H1152" t="s">
        <v>5594</v>
      </c>
      <c r="I1152" t="s">
        <v>5595</v>
      </c>
      <c r="J1152" t="s">
        <v>1561</v>
      </c>
    </row>
    <row r="1153" spans="1:10">
      <c r="A1153" t="s">
        <v>5596</v>
      </c>
      <c r="B1153">
        <v>0.206153456060374</v>
      </c>
      <c r="C1153">
        <v>8.0666372891906999</v>
      </c>
      <c r="D1153">
        <v>0.67219899978759701</v>
      </c>
      <c r="E1153">
        <v>1</v>
      </c>
      <c r="F1153">
        <v>26</v>
      </c>
      <c r="G1153">
        <v>24</v>
      </c>
      <c r="H1153" t="s">
        <v>28</v>
      </c>
      <c r="I1153" t="s">
        <v>3878</v>
      </c>
      <c r="J1153" t="s">
        <v>1562</v>
      </c>
    </row>
    <row r="1154" spans="1:10">
      <c r="A1154" t="s">
        <v>5597</v>
      </c>
      <c r="B1154">
        <v>-0.139118613531758</v>
      </c>
      <c r="C1154">
        <v>8.8657065542467297</v>
      </c>
      <c r="D1154">
        <v>0.66896369704004299</v>
      </c>
      <c r="E1154">
        <v>1</v>
      </c>
      <c r="F1154">
        <v>40</v>
      </c>
      <c r="G1154">
        <v>47</v>
      </c>
      <c r="H1154" t="s">
        <v>28</v>
      </c>
      <c r="I1154" t="s">
        <v>3438</v>
      </c>
      <c r="J1154" t="s">
        <v>1563</v>
      </c>
    </row>
    <row r="1155" spans="1:10">
      <c r="A1155" t="s">
        <v>5598</v>
      </c>
      <c r="B1155">
        <v>0.13530398960846801</v>
      </c>
      <c r="C1155">
        <v>9.4888764689226708</v>
      </c>
      <c r="D1155">
        <v>0.66699887573930905</v>
      </c>
      <c r="E1155">
        <v>1</v>
      </c>
      <c r="F1155">
        <v>68</v>
      </c>
      <c r="G1155">
        <v>66</v>
      </c>
      <c r="H1155" t="s">
        <v>5599</v>
      </c>
      <c r="I1155" t="s">
        <v>5600</v>
      </c>
      <c r="J1155" t="s">
        <v>1564</v>
      </c>
    </row>
    <row r="1156" spans="1:10">
      <c r="A1156" t="s">
        <v>5601</v>
      </c>
      <c r="B1156">
        <v>-0.26702392443978601</v>
      </c>
      <c r="C1156">
        <v>8.0077249551096195</v>
      </c>
      <c r="D1156">
        <v>0.66584462194729199</v>
      </c>
      <c r="E1156">
        <v>1</v>
      </c>
      <c r="F1156">
        <v>21</v>
      </c>
      <c r="G1156">
        <v>27</v>
      </c>
      <c r="H1156" t="s">
        <v>28</v>
      </c>
      <c r="I1156" t="s">
        <v>3438</v>
      </c>
      <c r="J1156" t="s">
        <v>1565</v>
      </c>
    </row>
    <row r="1157" spans="1:10">
      <c r="A1157" t="s">
        <v>5602</v>
      </c>
      <c r="B1157">
        <v>-0.26702392443978601</v>
      </c>
      <c r="C1157">
        <v>8.0077249551096195</v>
      </c>
      <c r="D1157">
        <v>0.66584462194729199</v>
      </c>
      <c r="E1157">
        <v>1</v>
      </c>
      <c r="F1157">
        <v>21</v>
      </c>
      <c r="G1157">
        <v>27</v>
      </c>
      <c r="H1157" t="s">
        <v>5603</v>
      </c>
      <c r="I1157" t="s">
        <v>5604</v>
      </c>
      <c r="J1157" t="s">
        <v>1566</v>
      </c>
    </row>
    <row r="1158" spans="1:10">
      <c r="A1158" t="s">
        <v>5605</v>
      </c>
      <c r="B1158">
        <v>-0.26702392443978601</v>
      </c>
      <c r="C1158">
        <v>8.0077249551096195</v>
      </c>
      <c r="D1158">
        <v>0.66584462194729199</v>
      </c>
      <c r="E1158">
        <v>1</v>
      </c>
      <c r="F1158">
        <v>21</v>
      </c>
      <c r="G1158">
        <v>27</v>
      </c>
      <c r="H1158" t="s">
        <v>5606</v>
      </c>
      <c r="I1158" t="s">
        <v>5607</v>
      </c>
      <c r="J1158" t="s">
        <v>1567</v>
      </c>
    </row>
    <row r="1159" spans="1:10">
      <c r="A1159" t="s">
        <v>5608</v>
      </c>
      <c r="B1159">
        <v>-0.26702392443978601</v>
      </c>
      <c r="C1159">
        <v>8.0077249551096195</v>
      </c>
      <c r="D1159">
        <v>0.66584462194729199</v>
      </c>
      <c r="E1159">
        <v>1</v>
      </c>
      <c r="F1159">
        <v>21</v>
      </c>
      <c r="G1159">
        <v>27</v>
      </c>
      <c r="H1159" t="s">
        <v>28</v>
      </c>
      <c r="I1159" t="s">
        <v>3438</v>
      </c>
      <c r="J1159" t="s">
        <v>353</v>
      </c>
    </row>
    <row r="1160" spans="1:10">
      <c r="A1160" t="s">
        <v>5609</v>
      </c>
      <c r="B1160">
        <v>-0.103679835040275</v>
      </c>
      <c r="C1160">
        <v>10.000185833108301</v>
      </c>
      <c r="D1160">
        <v>0.66579320336485603</v>
      </c>
      <c r="E1160">
        <v>1</v>
      </c>
      <c r="F1160">
        <v>89</v>
      </c>
      <c r="G1160">
        <v>102</v>
      </c>
      <c r="H1160" t="s">
        <v>5610</v>
      </c>
      <c r="I1160" t="s">
        <v>5611</v>
      </c>
      <c r="J1160" t="s">
        <v>1568</v>
      </c>
    </row>
    <row r="1161" spans="1:10">
      <c r="A1161" t="s">
        <v>5612</v>
      </c>
      <c r="B1161">
        <v>-0.14456641791493399</v>
      </c>
      <c r="C1161">
        <v>8.8321538452644806</v>
      </c>
      <c r="D1161">
        <v>0.665314988230019</v>
      </c>
      <c r="E1161">
        <v>1</v>
      </c>
      <c r="F1161">
        <v>39</v>
      </c>
      <c r="G1161">
        <v>46</v>
      </c>
      <c r="H1161" t="s">
        <v>28</v>
      </c>
      <c r="I1161" t="s">
        <v>5613</v>
      </c>
      <c r="J1161" t="s">
        <v>1569</v>
      </c>
    </row>
    <row r="1162" spans="1:10">
      <c r="A1162" t="s">
        <v>5614</v>
      </c>
      <c r="B1162">
        <v>-0.314715414231589</v>
      </c>
      <c r="C1162">
        <v>6.8150848005453302</v>
      </c>
      <c r="D1162">
        <v>0.66379187607192403</v>
      </c>
      <c r="E1162">
        <v>1</v>
      </c>
      <c r="F1162">
        <v>9</v>
      </c>
      <c r="G1162">
        <v>12</v>
      </c>
      <c r="H1162" t="s">
        <v>5615</v>
      </c>
      <c r="I1162" t="s">
        <v>5616</v>
      </c>
      <c r="J1162" t="s">
        <v>1570</v>
      </c>
    </row>
    <row r="1163" spans="1:10">
      <c r="A1163" t="s">
        <v>5617</v>
      </c>
      <c r="B1163">
        <v>-0.314715414231589</v>
      </c>
      <c r="C1163">
        <v>6.8150848005453302</v>
      </c>
      <c r="D1163">
        <v>0.66379187607192403</v>
      </c>
      <c r="E1163">
        <v>1</v>
      </c>
      <c r="F1163">
        <v>9</v>
      </c>
      <c r="G1163">
        <v>12</v>
      </c>
      <c r="H1163" t="s">
        <v>28</v>
      </c>
      <c r="I1163" t="s">
        <v>3438</v>
      </c>
      <c r="J1163" t="s">
        <v>1571</v>
      </c>
    </row>
    <row r="1164" spans="1:10">
      <c r="A1164" t="s">
        <v>5618</v>
      </c>
      <c r="B1164">
        <v>-0.314715414231589</v>
      </c>
      <c r="C1164">
        <v>6.8150848005453302</v>
      </c>
      <c r="D1164">
        <v>0.66379187607192403</v>
      </c>
      <c r="E1164">
        <v>1</v>
      </c>
      <c r="F1164">
        <v>9</v>
      </c>
      <c r="G1164">
        <v>12</v>
      </c>
      <c r="H1164" t="s">
        <v>5619</v>
      </c>
      <c r="I1164" t="s">
        <v>5620</v>
      </c>
      <c r="J1164" t="s">
        <v>1572</v>
      </c>
    </row>
    <row r="1165" spans="1:10">
      <c r="A1165" t="s">
        <v>5621</v>
      </c>
      <c r="B1165">
        <v>-0.314715414231589</v>
      </c>
      <c r="C1165">
        <v>6.8150848005453302</v>
      </c>
      <c r="D1165">
        <v>0.66379187607192403</v>
      </c>
      <c r="E1165">
        <v>1</v>
      </c>
      <c r="F1165">
        <v>9</v>
      </c>
      <c r="G1165">
        <v>12</v>
      </c>
      <c r="H1165" t="s">
        <v>5622</v>
      </c>
      <c r="I1165" t="s">
        <v>3611</v>
      </c>
      <c r="J1165" t="s">
        <v>1573</v>
      </c>
    </row>
    <row r="1166" spans="1:10">
      <c r="A1166" t="s">
        <v>5623</v>
      </c>
      <c r="B1166">
        <v>-0.314715414231589</v>
      </c>
      <c r="C1166">
        <v>6.8150848005453302</v>
      </c>
      <c r="D1166">
        <v>0.66379187607192403</v>
      </c>
      <c r="E1166">
        <v>1</v>
      </c>
      <c r="F1166">
        <v>9</v>
      </c>
      <c r="G1166">
        <v>12</v>
      </c>
      <c r="H1166" t="s">
        <v>28</v>
      </c>
      <c r="I1166" t="s">
        <v>3465</v>
      </c>
      <c r="J1166" t="s">
        <v>1574</v>
      </c>
    </row>
    <row r="1167" spans="1:10">
      <c r="A1167" t="s">
        <v>5624</v>
      </c>
      <c r="B1167">
        <v>-0.314715414231589</v>
      </c>
      <c r="C1167">
        <v>6.8150848005453302</v>
      </c>
      <c r="D1167">
        <v>0.66379187607192403</v>
      </c>
      <c r="E1167">
        <v>1</v>
      </c>
      <c r="F1167">
        <v>9</v>
      </c>
      <c r="G1167">
        <v>12</v>
      </c>
      <c r="H1167" t="s">
        <v>28</v>
      </c>
      <c r="I1167" t="s">
        <v>3438</v>
      </c>
      <c r="J1167" t="s">
        <v>1575</v>
      </c>
    </row>
    <row r="1168" spans="1:10">
      <c r="A1168" t="s">
        <v>5625</v>
      </c>
      <c r="B1168">
        <v>-0.314715414231589</v>
      </c>
      <c r="C1168">
        <v>6.8150848005453302</v>
      </c>
      <c r="D1168">
        <v>0.66379187607192403</v>
      </c>
      <c r="E1168">
        <v>1</v>
      </c>
      <c r="F1168">
        <v>9</v>
      </c>
      <c r="G1168">
        <v>12</v>
      </c>
      <c r="H1168" t="s">
        <v>28</v>
      </c>
      <c r="I1168" t="s">
        <v>3438</v>
      </c>
      <c r="J1168" t="s">
        <v>1576</v>
      </c>
    </row>
    <row r="1169" spans="1:10">
      <c r="A1169" t="s">
        <v>5626</v>
      </c>
      <c r="B1169">
        <v>-0.314715414231589</v>
      </c>
      <c r="C1169">
        <v>6.8150848005453302</v>
      </c>
      <c r="D1169">
        <v>0.66379187607192403</v>
      </c>
      <c r="E1169">
        <v>1</v>
      </c>
      <c r="F1169">
        <v>9</v>
      </c>
      <c r="G1169">
        <v>12</v>
      </c>
      <c r="H1169" t="s">
        <v>28</v>
      </c>
      <c r="I1169" t="s">
        <v>3438</v>
      </c>
      <c r="J1169" t="s">
        <v>1577</v>
      </c>
    </row>
    <row r="1170" spans="1:10">
      <c r="A1170" t="s">
        <v>5627</v>
      </c>
      <c r="B1170">
        <v>-0.314715414231589</v>
      </c>
      <c r="C1170">
        <v>6.8150848005453302</v>
      </c>
      <c r="D1170">
        <v>0.66379187607192403</v>
      </c>
      <c r="E1170">
        <v>1</v>
      </c>
      <c r="F1170">
        <v>9</v>
      </c>
      <c r="G1170">
        <v>12</v>
      </c>
      <c r="H1170" t="s">
        <v>28</v>
      </c>
      <c r="I1170" t="s">
        <v>3438</v>
      </c>
      <c r="J1170" t="s">
        <v>247</v>
      </c>
    </row>
    <row r="1171" spans="1:10">
      <c r="A1171" t="s">
        <v>5628</v>
      </c>
      <c r="B1171">
        <v>-0.314715414231589</v>
      </c>
      <c r="C1171">
        <v>6.8150848005453302</v>
      </c>
      <c r="D1171">
        <v>0.66379187607192403</v>
      </c>
      <c r="E1171">
        <v>1</v>
      </c>
      <c r="F1171">
        <v>9</v>
      </c>
      <c r="G1171">
        <v>12</v>
      </c>
      <c r="H1171" t="s">
        <v>28</v>
      </c>
      <c r="I1171" t="s">
        <v>5629</v>
      </c>
      <c r="J1171" t="s">
        <v>1578</v>
      </c>
    </row>
    <row r="1172" spans="1:10">
      <c r="A1172" t="s">
        <v>5630</v>
      </c>
      <c r="B1172">
        <v>-0.314715414231589</v>
      </c>
      <c r="C1172">
        <v>6.8150848005453302</v>
      </c>
      <c r="D1172">
        <v>0.66379187607192403</v>
      </c>
      <c r="E1172">
        <v>1</v>
      </c>
      <c r="F1172">
        <v>9</v>
      </c>
      <c r="G1172">
        <v>12</v>
      </c>
      <c r="H1172" t="s">
        <v>28</v>
      </c>
      <c r="I1172" t="s">
        <v>3438</v>
      </c>
      <c r="J1172" t="s">
        <v>1579</v>
      </c>
    </row>
    <row r="1173" spans="1:10">
      <c r="A1173" t="s">
        <v>5631</v>
      </c>
      <c r="B1173">
        <v>-0.314715414231589</v>
      </c>
      <c r="C1173">
        <v>6.8150848005453302</v>
      </c>
      <c r="D1173">
        <v>0.66379187607192403</v>
      </c>
      <c r="E1173">
        <v>1</v>
      </c>
      <c r="F1173">
        <v>9</v>
      </c>
      <c r="G1173">
        <v>12</v>
      </c>
      <c r="H1173" t="s">
        <v>28</v>
      </c>
      <c r="I1173" t="s">
        <v>3438</v>
      </c>
      <c r="J1173" t="s">
        <v>1580</v>
      </c>
    </row>
    <row r="1174" spans="1:10">
      <c r="A1174" t="s">
        <v>5632</v>
      </c>
      <c r="B1174">
        <v>-0.314715414231589</v>
      </c>
      <c r="C1174">
        <v>6.8150848005453302</v>
      </c>
      <c r="D1174">
        <v>0.66379187607192403</v>
      </c>
      <c r="E1174">
        <v>1</v>
      </c>
      <c r="F1174">
        <v>9</v>
      </c>
      <c r="G1174">
        <v>12</v>
      </c>
      <c r="H1174" t="s">
        <v>28</v>
      </c>
      <c r="I1174" t="s">
        <v>3465</v>
      </c>
      <c r="J1174" t="s">
        <v>1581</v>
      </c>
    </row>
    <row r="1175" spans="1:10">
      <c r="A1175" t="s">
        <v>5633</v>
      </c>
      <c r="B1175">
        <v>-0.314715414231589</v>
      </c>
      <c r="C1175">
        <v>6.8150848005453302</v>
      </c>
      <c r="D1175">
        <v>0.66379187607192403</v>
      </c>
      <c r="E1175">
        <v>1</v>
      </c>
      <c r="F1175">
        <v>9</v>
      </c>
      <c r="G1175">
        <v>12</v>
      </c>
      <c r="H1175" t="s">
        <v>28</v>
      </c>
      <c r="I1175" t="s">
        <v>3438</v>
      </c>
      <c r="J1175" t="s">
        <v>1582</v>
      </c>
    </row>
    <row r="1176" spans="1:10">
      <c r="A1176" t="s">
        <v>5634</v>
      </c>
      <c r="B1176">
        <v>0.49579801035334597</v>
      </c>
      <c r="C1176">
        <v>6.8150986922178998</v>
      </c>
      <c r="D1176">
        <v>0.66379187607192403</v>
      </c>
      <c r="E1176">
        <v>1</v>
      </c>
      <c r="F1176">
        <v>12</v>
      </c>
      <c r="G1176">
        <v>9</v>
      </c>
      <c r="H1176" t="s">
        <v>5635</v>
      </c>
      <c r="I1176" t="s">
        <v>5636</v>
      </c>
      <c r="J1176" t="s">
        <v>1583</v>
      </c>
    </row>
    <row r="1177" spans="1:10">
      <c r="A1177" t="s">
        <v>5637</v>
      </c>
      <c r="B1177">
        <v>0.49579801035334597</v>
      </c>
      <c r="C1177">
        <v>6.8150986922178998</v>
      </c>
      <c r="D1177">
        <v>0.66379187607192403</v>
      </c>
      <c r="E1177">
        <v>1</v>
      </c>
      <c r="F1177">
        <v>12</v>
      </c>
      <c r="G1177">
        <v>9</v>
      </c>
      <c r="H1177" t="s">
        <v>5638</v>
      </c>
      <c r="I1177" t="s">
        <v>5639</v>
      </c>
      <c r="J1177" t="s">
        <v>1081</v>
      </c>
    </row>
    <row r="1178" spans="1:10">
      <c r="A1178" t="s">
        <v>5640</v>
      </c>
      <c r="B1178">
        <v>0.49579801035334597</v>
      </c>
      <c r="C1178">
        <v>6.8150986922178998</v>
      </c>
      <c r="D1178">
        <v>0.66379187607192403</v>
      </c>
      <c r="E1178">
        <v>1</v>
      </c>
      <c r="F1178">
        <v>12</v>
      </c>
      <c r="G1178">
        <v>9</v>
      </c>
      <c r="H1178" t="s">
        <v>5641</v>
      </c>
      <c r="I1178" t="s">
        <v>5642</v>
      </c>
      <c r="J1178" t="s">
        <v>1584</v>
      </c>
    </row>
    <row r="1179" spans="1:10">
      <c r="A1179" t="s">
        <v>5643</v>
      </c>
      <c r="B1179">
        <v>0.49579801035334597</v>
      </c>
      <c r="C1179">
        <v>6.8150986922178998</v>
      </c>
      <c r="D1179">
        <v>0.66379187607192403</v>
      </c>
      <c r="E1179">
        <v>1</v>
      </c>
      <c r="F1179">
        <v>12</v>
      </c>
      <c r="G1179">
        <v>9</v>
      </c>
      <c r="H1179" t="s">
        <v>5644</v>
      </c>
      <c r="I1179" t="s">
        <v>5645</v>
      </c>
      <c r="J1179" t="s">
        <v>1585</v>
      </c>
    </row>
    <row r="1180" spans="1:10">
      <c r="A1180" t="s">
        <v>5646</v>
      </c>
      <c r="B1180">
        <v>0.49579801035334597</v>
      </c>
      <c r="C1180">
        <v>6.8150986922178998</v>
      </c>
      <c r="D1180">
        <v>0.66379187607192403</v>
      </c>
      <c r="E1180">
        <v>1</v>
      </c>
      <c r="F1180">
        <v>12</v>
      </c>
      <c r="G1180">
        <v>9</v>
      </c>
      <c r="H1180" t="s">
        <v>28</v>
      </c>
      <c r="I1180" t="s">
        <v>3438</v>
      </c>
      <c r="J1180" t="s">
        <v>1586</v>
      </c>
    </row>
    <row r="1181" spans="1:10">
      <c r="A1181" t="s">
        <v>5647</v>
      </c>
      <c r="B1181">
        <v>0.49579801035334597</v>
      </c>
      <c r="C1181">
        <v>6.8150986922178998</v>
      </c>
      <c r="D1181">
        <v>0.66379187607192403</v>
      </c>
      <c r="E1181">
        <v>1</v>
      </c>
      <c r="F1181">
        <v>12</v>
      </c>
      <c r="G1181">
        <v>9</v>
      </c>
      <c r="H1181" t="s">
        <v>28</v>
      </c>
      <c r="I1181" t="s">
        <v>3631</v>
      </c>
      <c r="J1181" t="s">
        <v>1587</v>
      </c>
    </row>
    <row r="1182" spans="1:10">
      <c r="A1182" t="s">
        <v>5648</v>
      </c>
      <c r="B1182">
        <v>0.49579801035334597</v>
      </c>
      <c r="C1182">
        <v>6.8150986922178998</v>
      </c>
      <c r="D1182">
        <v>0.66379187607192403</v>
      </c>
      <c r="E1182">
        <v>1</v>
      </c>
      <c r="F1182">
        <v>12</v>
      </c>
      <c r="G1182">
        <v>9</v>
      </c>
      <c r="H1182" t="s">
        <v>5649</v>
      </c>
      <c r="I1182" t="s">
        <v>5650</v>
      </c>
      <c r="J1182" t="s">
        <v>1588</v>
      </c>
    </row>
    <row r="1183" spans="1:10">
      <c r="A1183" t="s">
        <v>5651</v>
      </c>
      <c r="B1183">
        <v>0.13660882754496501</v>
      </c>
      <c r="C1183">
        <v>9.4451547984205106</v>
      </c>
      <c r="D1183">
        <v>0.662199874233798</v>
      </c>
      <c r="E1183">
        <v>1</v>
      </c>
      <c r="F1183">
        <v>66</v>
      </c>
      <c r="G1183">
        <v>64</v>
      </c>
      <c r="H1183" t="s">
        <v>5652</v>
      </c>
      <c r="I1183" t="s">
        <v>3450</v>
      </c>
      <c r="J1183" t="s">
        <v>1589</v>
      </c>
    </row>
    <row r="1184" spans="1:10">
      <c r="A1184" t="s">
        <v>5653</v>
      </c>
      <c r="B1184">
        <v>-0.15027700753468801</v>
      </c>
      <c r="C1184">
        <v>8.7978021911727904</v>
      </c>
      <c r="D1184">
        <v>0.66154381819146002</v>
      </c>
      <c r="E1184">
        <v>1</v>
      </c>
      <c r="F1184">
        <v>38</v>
      </c>
      <c r="G1184">
        <v>45</v>
      </c>
      <c r="H1184" t="s">
        <v>5654</v>
      </c>
      <c r="I1184" t="s">
        <v>5655</v>
      </c>
      <c r="J1184" t="s">
        <v>1590</v>
      </c>
    </row>
    <row r="1185" spans="1:10">
      <c r="A1185" t="s">
        <v>5656</v>
      </c>
      <c r="B1185">
        <v>-7.6019691338722106E-2</v>
      </c>
      <c r="C1185">
        <v>10.7670491520757</v>
      </c>
      <c r="D1185">
        <v>0.65986216897583805</v>
      </c>
      <c r="E1185">
        <v>1</v>
      </c>
      <c r="F1185">
        <v>153</v>
      </c>
      <c r="G1185">
        <v>172</v>
      </c>
      <c r="H1185" t="s">
        <v>5657</v>
      </c>
      <c r="I1185" t="s">
        <v>5658</v>
      </c>
      <c r="J1185" t="s">
        <v>1591</v>
      </c>
    </row>
    <row r="1186" spans="1:10">
      <c r="A1186" t="s">
        <v>5659</v>
      </c>
      <c r="B1186">
        <v>-0.28266918728148699</v>
      </c>
      <c r="C1186">
        <v>7.9463242608240003</v>
      </c>
      <c r="D1186">
        <v>0.659107511463488</v>
      </c>
      <c r="E1186">
        <v>1</v>
      </c>
      <c r="F1186">
        <v>20</v>
      </c>
      <c r="G1186">
        <v>26</v>
      </c>
      <c r="H1186" t="s">
        <v>28</v>
      </c>
      <c r="I1186" t="s">
        <v>3438</v>
      </c>
      <c r="J1186" t="s">
        <v>1592</v>
      </c>
    </row>
    <row r="1187" spans="1:10">
      <c r="A1187" t="s">
        <v>5660</v>
      </c>
      <c r="B1187">
        <v>-0.28266918728148699</v>
      </c>
      <c r="C1187">
        <v>7.9463242608240003</v>
      </c>
      <c r="D1187">
        <v>0.659107511463488</v>
      </c>
      <c r="E1187">
        <v>1</v>
      </c>
      <c r="F1187">
        <v>20</v>
      </c>
      <c r="G1187">
        <v>26</v>
      </c>
      <c r="H1187" t="s">
        <v>28</v>
      </c>
      <c r="I1187" t="s">
        <v>3438</v>
      </c>
      <c r="J1187" t="s">
        <v>1593</v>
      </c>
    </row>
    <row r="1188" spans="1:10">
      <c r="A1188" t="s">
        <v>5661</v>
      </c>
      <c r="B1188">
        <v>0.21592083010226301</v>
      </c>
      <c r="C1188">
        <v>7.9463427599428398</v>
      </c>
      <c r="D1188">
        <v>0.659107511463488</v>
      </c>
      <c r="E1188">
        <v>1</v>
      </c>
      <c r="F1188">
        <v>24</v>
      </c>
      <c r="G1188">
        <v>22</v>
      </c>
      <c r="H1188" t="s">
        <v>28</v>
      </c>
      <c r="I1188" t="s">
        <v>3438</v>
      </c>
      <c r="J1188" t="s">
        <v>1594</v>
      </c>
    </row>
    <row r="1189" spans="1:10">
      <c r="A1189" t="s">
        <v>5662</v>
      </c>
      <c r="B1189">
        <v>0.21592083010226301</v>
      </c>
      <c r="C1189">
        <v>7.9463427599428398</v>
      </c>
      <c r="D1189">
        <v>0.659107511463488</v>
      </c>
      <c r="E1189">
        <v>1</v>
      </c>
      <c r="F1189">
        <v>24</v>
      </c>
      <c r="G1189">
        <v>22</v>
      </c>
      <c r="H1189" t="s">
        <v>28</v>
      </c>
      <c r="I1189" t="s">
        <v>5663</v>
      </c>
      <c r="J1189" t="s">
        <v>1595</v>
      </c>
    </row>
    <row r="1190" spans="1:10">
      <c r="A1190" t="s">
        <v>5664</v>
      </c>
      <c r="B1190">
        <v>0.21592083010226301</v>
      </c>
      <c r="C1190">
        <v>7.9463427599428398</v>
      </c>
      <c r="D1190">
        <v>0.659107511463488</v>
      </c>
      <c r="E1190">
        <v>1</v>
      </c>
      <c r="F1190">
        <v>24</v>
      </c>
      <c r="G1190">
        <v>22</v>
      </c>
      <c r="H1190" t="s">
        <v>5665</v>
      </c>
      <c r="I1190" t="s">
        <v>5666</v>
      </c>
      <c r="J1190" t="s">
        <v>1596</v>
      </c>
    </row>
    <row r="1191" spans="1:10">
      <c r="A1191" t="s">
        <v>5667</v>
      </c>
      <c r="B1191">
        <v>0.13799620456847</v>
      </c>
      <c r="C1191">
        <v>9.4000666157028192</v>
      </c>
      <c r="D1191">
        <v>0.65718955901543596</v>
      </c>
      <c r="E1191">
        <v>1</v>
      </c>
      <c r="F1191">
        <v>64</v>
      </c>
      <c r="G1191">
        <v>62</v>
      </c>
      <c r="H1191" t="s">
        <v>5668</v>
      </c>
      <c r="I1191" t="s">
        <v>5669</v>
      </c>
      <c r="J1191" t="s">
        <v>1597</v>
      </c>
    </row>
    <row r="1192" spans="1:10">
      <c r="A1192" t="s">
        <v>5670</v>
      </c>
      <c r="B1192">
        <v>-0.162566660469737</v>
      </c>
      <c r="C1192">
        <v>8.7265432093120605</v>
      </c>
      <c r="D1192">
        <v>0.65360549646737598</v>
      </c>
      <c r="E1192">
        <v>1</v>
      </c>
      <c r="F1192">
        <v>36</v>
      </c>
      <c r="G1192">
        <v>43</v>
      </c>
      <c r="H1192" t="s">
        <v>5671</v>
      </c>
      <c r="I1192" t="s">
        <v>5672</v>
      </c>
      <c r="J1192" t="s">
        <v>1598</v>
      </c>
    </row>
    <row r="1193" spans="1:10">
      <c r="A1193" t="s">
        <v>5673</v>
      </c>
      <c r="B1193">
        <v>8.33283816837916E-2</v>
      </c>
      <c r="C1193">
        <v>10.703564054814301</v>
      </c>
      <c r="D1193">
        <v>0.652672809767049</v>
      </c>
      <c r="E1193">
        <v>1</v>
      </c>
      <c r="F1193">
        <v>155</v>
      </c>
      <c r="G1193">
        <v>156</v>
      </c>
      <c r="H1193" t="s">
        <v>5674</v>
      </c>
      <c r="I1193" t="s">
        <v>5675</v>
      </c>
      <c r="J1193" t="s">
        <v>1599</v>
      </c>
    </row>
    <row r="1194" spans="1:10">
      <c r="A1194" t="s">
        <v>5676</v>
      </c>
      <c r="B1194">
        <v>-0.29974583352717399</v>
      </c>
      <c r="C1194">
        <v>7.8821937737530101</v>
      </c>
      <c r="D1194">
        <v>0.65194765116277997</v>
      </c>
      <c r="E1194">
        <v>1</v>
      </c>
      <c r="F1194">
        <v>19</v>
      </c>
      <c r="G1194">
        <v>25</v>
      </c>
      <c r="H1194" t="s">
        <v>28</v>
      </c>
      <c r="I1194" t="s">
        <v>5301</v>
      </c>
      <c r="J1194" t="s">
        <v>1600</v>
      </c>
    </row>
    <row r="1195" spans="1:10">
      <c r="A1195" t="s">
        <v>5677</v>
      </c>
      <c r="B1195">
        <v>-0.29974583352717399</v>
      </c>
      <c r="C1195">
        <v>7.8821937737530101</v>
      </c>
      <c r="D1195">
        <v>0.65194765116277997</v>
      </c>
      <c r="E1195">
        <v>1</v>
      </c>
      <c r="F1195">
        <v>19</v>
      </c>
      <c r="G1195">
        <v>25</v>
      </c>
      <c r="H1195" t="s">
        <v>28</v>
      </c>
      <c r="I1195" t="s">
        <v>4727</v>
      </c>
      <c r="J1195" t="s">
        <v>1601</v>
      </c>
    </row>
    <row r="1196" spans="1:10">
      <c r="A1196" t="s">
        <v>5678</v>
      </c>
      <c r="B1196">
        <v>-0.29974583352717399</v>
      </c>
      <c r="C1196">
        <v>7.8821937737530101</v>
      </c>
      <c r="D1196">
        <v>0.65194765116277997</v>
      </c>
      <c r="E1196">
        <v>1</v>
      </c>
      <c r="F1196">
        <v>19</v>
      </c>
      <c r="G1196">
        <v>25</v>
      </c>
      <c r="H1196" t="s">
        <v>5679</v>
      </c>
      <c r="I1196" t="s">
        <v>5680</v>
      </c>
      <c r="J1196" t="s">
        <v>1602</v>
      </c>
    </row>
    <row r="1197" spans="1:10">
      <c r="A1197" t="s">
        <v>5681</v>
      </c>
      <c r="B1197">
        <v>-0.29974583352717399</v>
      </c>
      <c r="C1197">
        <v>7.8821937737530101</v>
      </c>
      <c r="D1197">
        <v>0.65194765116277997</v>
      </c>
      <c r="E1197">
        <v>1</v>
      </c>
      <c r="F1197">
        <v>19</v>
      </c>
      <c r="G1197">
        <v>25</v>
      </c>
      <c r="H1197" t="s">
        <v>5682</v>
      </c>
      <c r="I1197" t="s">
        <v>5683</v>
      </c>
      <c r="J1197" t="s">
        <v>1603</v>
      </c>
    </row>
    <row r="1198" spans="1:10">
      <c r="A1198" t="s">
        <v>5684</v>
      </c>
      <c r="B1198">
        <v>-0.29974583352717399</v>
      </c>
      <c r="C1198">
        <v>7.8821937737530101</v>
      </c>
      <c r="D1198">
        <v>0.65194765116277997</v>
      </c>
      <c r="E1198">
        <v>1</v>
      </c>
      <c r="F1198">
        <v>19</v>
      </c>
      <c r="G1198">
        <v>25</v>
      </c>
      <c r="H1198" t="s">
        <v>28</v>
      </c>
      <c r="I1198" t="s">
        <v>3770</v>
      </c>
      <c r="J1198" t="s">
        <v>1604</v>
      </c>
    </row>
    <row r="1199" spans="1:10">
      <c r="A1199" t="s">
        <v>5685</v>
      </c>
      <c r="B1199">
        <v>-0.29974583352717399</v>
      </c>
      <c r="C1199">
        <v>7.8821937737530101</v>
      </c>
      <c r="D1199">
        <v>0.65194765116277997</v>
      </c>
      <c r="E1199">
        <v>1</v>
      </c>
      <c r="F1199">
        <v>19</v>
      </c>
      <c r="G1199">
        <v>25</v>
      </c>
      <c r="H1199" t="s">
        <v>28</v>
      </c>
      <c r="I1199" t="s">
        <v>3438</v>
      </c>
      <c r="J1199" t="s">
        <v>1605</v>
      </c>
    </row>
    <row r="1200" spans="1:10">
      <c r="A1200" t="s">
        <v>5686</v>
      </c>
      <c r="B1200">
        <v>0.22146423232024001</v>
      </c>
      <c r="C1200">
        <v>7.8822122747138899</v>
      </c>
      <c r="D1200">
        <v>0.65194765116277997</v>
      </c>
      <c r="E1200">
        <v>1</v>
      </c>
      <c r="F1200">
        <v>23</v>
      </c>
      <c r="G1200">
        <v>21</v>
      </c>
      <c r="H1200" t="s">
        <v>5687</v>
      </c>
      <c r="I1200" t="s">
        <v>5688</v>
      </c>
      <c r="J1200" t="s">
        <v>1606</v>
      </c>
    </row>
    <row r="1201" spans="1:10">
      <c r="A1201" t="s">
        <v>5689</v>
      </c>
      <c r="B1201">
        <v>0.22146423232024001</v>
      </c>
      <c r="C1201">
        <v>7.8822122747138899</v>
      </c>
      <c r="D1201">
        <v>0.65194765116277997</v>
      </c>
      <c r="E1201">
        <v>1</v>
      </c>
      <c r="F1201">
        <v>23</v>
      </c>
      <c r="G1201">
        <v>21</v>
      </c>
      <c r="H1201" t="s">
        <v>5690</v>
      </c>
      <c r="I1201" t="s">
        <v>5691</v>
      </c>
      <c r="J1201" t="s">
        <v>1607</v>
      </c>
    </row>
    <row r="1202" spans="1:10">
      <c r="A1202" t="s">
        <v>5692</v>
      </c>
      <c r="B1202">
        <v>0.22146423232024001</v>
      </c>
      <c r="C1202">
        <v>7.8822122747138899</v>
      </c>
      <c r="D1202">
        <v>0.65194765116277997</v>
      </c>
      <c r="E1202">
        <v>1</v>
      </c>
      <c r="F1202">
        <v>23</v>
      </c>
      <c r="G1202">
        <v>21</v>
      </c>
      <c r="H1202" t="s">
        <v>28</v>
      </c>
      <c r="I1202" t="s">
        <v>3770</v>
      </c>
      <c r="J1202" t="s">
        <v>1608</v>
      </c>
    </row>
    <row r="1203" spans="1:10">
      <c r="A1203" t="s">
        <v>5693</v>
      </c>
      <c r="B1203">
        <v>0.22146423232024001</v>
      </c>
      <c r="C1203">
        <v>7.8822122747138899</v>
      </c>
      <c r="D1203">
        <v>0.65194765116277997</v>
      </c>
      <c r="E1203">
        <v>1</v>
      </c>
      <c r="F1203">
        <v>23</v>
      </c>
      <c r="G1203">
        <v>21</v>
      </c>
      <c r="H1203" t="s">
        <v>5694</v>
      </c>
      <c r="I1203" t="s">
        <v>5695</v>
      </c>
      <c r="J1203" t="s">
        <v>1609</v>
      </c>
    </row>
    <row r="1204" spans="1:10">
      <c r="A1204" t="s">
        <v>5696</v>
      </c>
      <c r="B1204">
        <v>-0.16919101845176299</v>
      </c>
      <c r="C1204">
        <v>8.6895488524398399</v>
      </c>
      <c r="D1204">
        <v>0.64942255029338003</v>
      </c>
      <c r="E1204">
        <v>1</v>
      </c>
      <c r="F1204">
        <v>35</v>
      </c>
      <c r="G1204">
        <v>42</v>
      </c>
      <c r="H1204" t="s">
        <v>5697</v>
      </c>
      <c r="I1204" t="s">
        <v>5698</v>
      </c>
      <c r="J1204" t="s">
        <v>1610</v>
      </c>
    </row>
    <row r="1205" spans="1:10">
      <c r="A1205" t="s">
        <v>5699</v>
      </c>
      <c r="B1205">
        <v>-0.16919101845176299</v>
      </c>
      <c r="C1205">
        <v>8.6895488524398399</v>
      </c>
      <c r="D1205">
        <v>0.64942255029338003</v>
      </c>
      <c r="E1205">
        <v>1</v>
      </c>
      <c r="F1205">
        <v>35</v>
      </c>
      <c r="G1205">
        <v>42</v>
      </c>
      <c r="H1205" t="s">
        <v>28</v>
      </c>
      <c r="I1205" t="s">
        <v>3580</v>
      </c>
      <c r="J1205" t="s">
        <v>1611</v>
      </c>
    </row>
    <row r="1206" spans="1:10">
      <c r="A1206" t="s">
        <v>5700</v>
      </c>
      <c r="B1206">
        <v>0.10929444119283099</v>
      </c>
      <c r="C1206">
        <v>9.8406402006822606</v>
      </c>
      <c r="D1206">
        <v>0.64788572397455702</v>
      </c>
      <c r="E1206">
        <v>1</v>
      </c>
      <c r="F1206">
        <v>86</v>
      </c>
      <c r="G1206">
        <v>85</v>
      </c>
      <c r="H1206" t="s">
        <v>5701</v>
      </c>
      <c r="I1206" t="s">
        <v>5702</v>
      </c>
      <c r="J1206" t="s">
        <v>1612</v>
      </c>
    </row>
    <row r="1207" spans="1:10">
      <c r="A1207" t="s">
        <v>5703</v>
      </c>
      <c r="B1207">
        <v>-0.35715394038974702</v>
      </c>
      <c r="C1207">
        <v>6.6706947418779396</v>
      </c>
      <c r="D1207">
        <v>0.64776437034252099</v>
      </c>
      <c r="E1207">
        <v>1</v>
      </c>
      <c r="F1207">
        <v>8</v>
      </c>
      <c r="G1207">
        <v>11</v>
      </c>
      <c r="H1207" t="s">
        <v>28</v>
      </c>
      <c r="I1207" t="s">
        <v>3438</v>
      </c>
      <c r="J1207" t="s">
        <v>1613</v>
      </c>
    </row>
    <row r="1208" spans="1:10">
      <c r="A1208" t="s">
        <v>5704</v>
      </c>
      <c r="B1208">
        <v>-0.35715394038974702</v>
      </c>
      <c r="C1208">
        <v>6.6706947418779396</v>
      </c>
      <c r="D1208">
        <v>0.64776437034252099</v>
      </c>
      <c r="E1208">
        <v>1</v>
      </c>
      <c r="F1208">
        <v>8</v>
      </c>
      <c r="G1208">
        <v>11</v>
      </c>
      <c r="H1208" t="s">
        <v>28</v>
      </c>
      <c r="I1208" t="s">
        <v>3438</v>
      </c>
      <c r="J1208" t="s">
        <v>1614</v>
      </c>
    </row>
    <row r="1209" spans="1:10">
      <c r="A1209" t="s">
        <v>5705</v>
      </c>
      <c r="B1209">
        <v>-0.35715394038974702</v>
      </c>
      <c r="C1209">
        <v>6.6706947418779396</v>
      </c>
      <c r="D1209">
        <v>0.64776437034252099</v>
      </c>
      <c r="E1209">
        <v>1</v>
      </c>
      <c r="F1209">
        <v>8</v>
      </c>
      <c r="G1209">
        <v>11</v>
      </c>
      <c r="H1209" t="s">
        <v>28</v>
      </c>
      <c r="I1209" t="s">
        <v>3474</v>
      </c>
      <c r="J1209" t="s">
        <v>1615</v>
      </c>
    </row>
    <row r="1210" spans="1:10">
      <c r="A1210" t="s">
        <v>5706</v>
      </c>
      <c r="B1210">
        <v>-0.35715394038974702</v>
      </c>
      <c r="C1210">
        <v>6.6706947418779396</v>
      </c>
      <c r="D1210">
        <v>0.64776437034252099</v>
      </c>
      <c r="E1210">
        <v>1</v>
      </c>
      <c r="F1210">
        <v>8</v>
      </c>
      <c r="G1210">
        <v>11</v>
      </c>
      <c r="H1210" t="s">
        <v>5707</v>
      </c>
      <c r="I1210" t="s">
        <v>5708</v>
      </c>
      <c r="J1210" t="s">
        <v>1616</v>
      </c>
    </row>
    <row r="1211" spans="1:10">
      <c r="A1211" t="s">
        <v>5709</v>
      </c>
      <c r="B1211">
        <v>-0.35715394038974702</v>
      </c>
      <c r="C1211">
        <v>6.6706947418779396</v>
      </c>
      <c r="D1211">
        <v>0.64776437034252099</v>
      </c>
      <c r="E1211">
        <v>1</v>
      </c>
      <c r="F1211">
        <v>8</v>
      </c>
      <c r="G1211">
        <v>11</v>
      </c>
      <c r="H1211" t="s">
        <v>5710</v>
      </c>
      <c r="I1211" t="s">
        <v>5711</v>
      </c>
      <c r="J1211" t="s">
        <v>1617</v>
      </c>
    </row>
    <row r="1212" spans="1:10">
      <c r="A1212" t="s">
        <v>5712</v>
      </c>
      <c r="B1212">
        <v>-0.35715394038974702</v>
      </c>
      <c r="C1212">
        <v>6.6706947418779396</v>
      </c>
      <c r="D1212">
        <v>0.64776437034252099</v>
      </c>
      <c r="E1212">
        <v>1</v>
      </c>
      <c r="F1212">
        <v>8</v>
      </c>
      <c r="G1212">
        <v>11</v>
      </c>
      <c r="H1212" t="s">
        <v>5713</v>
      </c>
      <c r="I1212" t="s">
        <v>5714</v>
      </c>
      <c r="J1212" t="s">
        <v>1618</v>
      </c>
    </row>
    <row r="1213" spans="1:10">
      <c r="A1213" t="s">
        <v>5715</v>
      </c>
      <c r="B1213">
        <v>-0.35715394038974702</v>
      </c>
      <c r="C1213">
        <v>6.6706947418779396</v>
      </c>
      <c r="D1213">
        <v>0.64776437034252099</v>
      </c>
      <c r="E1213">
        <v>1</v>
      </c>
      <c r="F1213">
        <v>8</v>
      </c>
      <c r="G1213">
        <v>11</v>
      </c>
      <c r="H1213" t="s">
        <v>28</v>
      </c>
      <c r="I1213" t="s">
        <v>5716</v>
      </c>
      <c r="J1213" t="s">
        <v>1619</v>
      </c>
    </row>
    <row r="1214" spans="1:10">
      <c r="A1214" t="s">
        <v>5717</v>
      </c>
      <c r="B1214">
        <v>-0.35715394038974702</v>
      </c>
      <c r="C1214">
        <v>6.6706947418779396</v>
      </c>
      <c r="D1214">
        <v>0.64776437034252099</v>
      </c>
      <c r="E1214">
        <v>1</v>
      </c>
      <c r="F1214">
        <v>8</v>
      </c>
      <c r="G1214">
        <v>11</v>
      </c>
      <c r="H1214" t="s">
        <v>5718</v>
      </c>
      <c r="I1214" t="s">
        <v>5719</v>
      </c>
      <c r="J1214" t="s">
        <v>1620</v>
      </c>
    </row>
    <row r="1215" spans="1:10">
      <c r="A1215" t="s">
        <v>5720</v>
      </c>
      <c r="B1215">
        <v>-0.35715394038974702</v>
      </c>
      <c r="C1215">
        <v>6.6706947418779396</v>
      </c>
      <c r="D1215">
        <v>0.64776437034252099</v>
      </c>
      <c r="E1215">
        <v>1</v>
      </c>
      <c r="F1215">
        <v>8</v>
      </c>
      <c r="G1215">
        <v>11</v>
      </c>
      <c r="H1215" t="s">
        <v>28</v>
      </c>
      <c r="I1215" t="s">
        <v>3438</v>
      </c>
      <c r="J1215" t="s">
        <v>1621</v>
      </c>
    </row>
    <row r="1216" spans="1:10">
      <c r="A1216" t="s">
        <v>5721</v>
      </c>
      <c r="B1216">
        <v>-0.35715394038974702</v>
      </c>
      <c r="C1216">
        <v>6.6706947418779396</v>
      </c>
      <c r="D1216">
        <v>0.64776437034252099</v>
      </c>
      <c r="E1216">
        <v>1</v>
      </c>
      <c r="F1216">
        <v>8</v>
      </c>
      <c r="G1216">
        <v>11</v>
      </c>
      <c r="H1216" t="s">
        <v>5722</v>
      </c>
      <c r="I1216" t="s">
        <v>5723</v>
      </c>
      <c r="J1216" t="s">
        <v>1622</v>
      </c>
    </row>
    <row r="1217" spans="1:10">
      <c r="A1217" t="s">
        <v>5724</v>
      </c>
      <c r="B1217">
        <v>-0.35715394038974702</v>
      </c>
      <c r="C1217">
        <v>6.6706947418779396</v>
      </c>
      <c r="D1217">
        <v>0.64776437034252099</v>
      </c>
      <c r="E1217">
        <v>1</v>
      </c>
      <c r="F1217">
        <v>8</v>
      </c>
      <c r="G1217">
        <v>11</v>
      </c>
      <c r="H1217" t="s">
        <v>5725</v>
      </c>
      <c r="I1217" t="s">
        <v>5726</v>
      </c>
      <c r="J1217" t="s">
        <v>1623</v>
      </c>
    </row>
    <row r="1218" spans="1:10">
      <c r="A1218" t="s">
        <v>5727</v>
      </c>
      <c r="B1218">
        <v>0.53776464570969096</v>
      </c>
      <c r="C1218">
        <v>6.6707086349355098</v>
      </c>
      <c r="D1218">
        <v>0.64776437034252099</v>
      </c>
      <c r="E1218">
        <v>1</v>
      </c>
      <c r="F1218">
        <v>11</v>
      </c>
      <c r="G1218">
        <v>8</v>
      </c>
      <c r="H1218" t="s">
        <v>28</v>
      </c>
      <c r="I1218" t="s">
        <v>3438</v>
      </c>
      <c r="J1218" t="s">
        <v>1624</v>
      </c>
    </row>
    <row r="1219" spans="1:10">
      <c r="A1219" t="s">
        <v>5728</v>
      </c>
      <c r="B1219">
        <v>0.53776464570969096</v>
      </c>
      <c r="C1219">
        <v>6.6707086349355098</v>
      </c>
      <c r="D1219">
        <v>0.64776437034252099</v>
      </c>
      <c r="E1219">
        <v>1</v>
      </c>
      <c r="F1219">
        <v>11</v>
      </c>
      <c r="G1219">
        <v>8</v>
      </c>
      <c r="H1219" t="s">
        <v>28</v>
      </c>
      <c r="I1219" t="s">
        <v>3438</v>
      </c>
      <c r="J1219" t="s">
        <v>1625</v>
      </c>
    </row>
    <row r="1220" spans="1:10">
      <c r="A1220" t="s">
        <v>5729</v>
      </c>
      <c r="B1220">
        <v>0.53776464570969096</v>
      </c>
      <c r="C1220">
        <v>6.6707086349355098</v>
      </c>
      <c r="D1220">
        <v>0.64776437034252099</v>
      </c>
      <c r="E1220">
        <v>1</v>
      </c>
      <c r="F1220">
        <v>11</v>
      </c>
      <c r="G1220">
        <v>8</v>
      </c>
      <c r="H1220" t="s">
        <v>28</v>
      </c>
      <c r="I1220" t="s">
        <v>3438</v>
      </c>
      <c r="J1220" t="s">
        <v>1626</v>
      </c>
    </row>
    <row r="1221" spans="1:10">
      <c r="A1221" t="s">
        <v>5730</v>
      </c>
      <c r="B1221">
        <v>0.53776464570969096</v>
      </c>
      <c r="C1221">
        <v>6.6707086349355098</v>
      </c>
      <c r="D1221">
        <v>0.64776437034252099</v>
      </c>
      <c r="E1221">
        <v>1</v>
      </c>
      <c r="F1221">
        <v>11</v>
      </c>
      <c r="G1221">
        <v>8</v>
      </c>
      <c r="H1221" t="s">
        <v>5731</v>
      </c>
      <c r="I1221" t="s">
        <v>5732</v>
      </c>
      <c r="J1221" t="s">
        <v>1627</v>
      </c>
    </row>
    <row r="1222" spans="1:10">
      <c r="A1222" t="s">
        <v>5733</v>
      </c>
      <c r="B1222">
        <v>0.53776464570969096</v>
      </c>
      <c r="C1222">
        <v>6.6707086349355098</v>
      </c>
      <c r="D1222">
        <v>0.64776437034252099</v>
      </c>
      <c r="E1222">
        <v>1</v>
      </c>
      <c r="F1222">
        <v>11</v>
      </c>
      <c r="G1222">
        <v>8</v>
      </c>
      <c r="H1222" t="s">
        <v>5734</v>
      </c>
      <c r="I1222" t="s">
        <v>5735</v>
      </c>
      <c r="J1222" t="s">
        <v>1628</v>
      </c>
    </row>
    <row r="1223" spans="1:10">
      <c r="A1223" t="s">
        <v>5736</v>
      </c>
      <c r="B1223">
        <v>0.53776464570969096</v>
      </c>
      <c r="C1223">
        <v>6.6707086349355098</v>
      </c>
      <c r="D1223">
        <v>0.64776437034252099</v>
      </c>
      <c r="E1223">
        <v>1</v>
      </c>
      <c r="F1223">
        <v>11</v>
      </c>
      <c r="G1223">
        <v>8</v>
      </c>
      <c r="H1223" t="s">
        <v>5737</v>
      </c>
      <c r="I1223" t="s">
        <v>3687</v>
      </c>
      <c r="J1223" t="s">
        <v>1629</v>
      </c>
    </row>
    <row r="1224" spans="1:10">
      <c r="A1224" t="s">
        <v>5738</v>
      </c>
      <c r="B1224">
        <v>0.53776464570969096</v>
      </c>
      <c r="C1224">
        <v>6.6707086349355098</v>
      </c>
      <c r="D1224">
        <v>0.64776437034252099</v>
      </c>
      <c r="E1224">
        <v>1</v>
      </c>
      <c r="F1224">
        <v>11</v>
      </c>
      <c r="G1224">
        <v>8</v>
      </c>
      <c r="H1224" t="s">
        <v>5739</v>
      </c>
      <c r="I1224" t="s">
        <v>5740</v>
      </c>
      <c r="J1224" t="s">
        <v>1630</v>
      </c>
    </row>
    <row r="1225" spans="1:10">
      <c r="A1225" t="s">
        <v>5741</v>
      </c>
      <c r="B1225">
        <v>0.53776464570969096</v>
      </c>
      <c r="C1225">
        <v>6.6707086349355098</v>
      </c>
      <c r="D1225">
        <v>0.64776437034252099</v>
      </c>
      <c r="E1225">
        <v>1</v>
      </c>
      <c r="F1225">
        <v>11</v>
      </c>
      <c r="G1225">
        <v>8</v>
      </c>
      <c r="H1225" t="s">
        <v>5742</v>
      </c>
      <c r="I1225" t="s">
        <v>5743</v>
      </c>
      <c r="J1225" t="s">
        <v>1631</v>
      </c>
    </row>
    <row r="1226" spans="1:10">
      <c r="A1226" t="s">
        <v>5744</v>
      </c>
      <c r="B1226">
        <v>0.53776464570969096</v>
      </c>
      <c r="C1226">
        <v>6.6707086349355098</v>
      </c>
      <c r="D1226">
        <v>0.64776437034252099</v>
      </c>
      <c r="E1226">
        <v>1</v>
      </c>
      <c r="F1226">
        <v>11</v>
      </c>
      <c r="G1226">
        <v>8</v>
      </c>
      <c r="H1226" t="s">
        <v>28</v>
      </c>
      <c r="I1226" t="s">
        <v>3438</v>
      </c>
      <c r="J1226" t="s">
        <v>1632</v>
      </c>
    </row>
    <row r="1227" spans="1:10">
      <c r="A1227" t="s">
        <v>5745</v>
      </c>
      <c r="B1227">
        <v>0.53776464570969096</v>
      </c>
      <c r="C1227">
        <v>6.6707086349355098</v>
      </c>
      <c r="D1227">
        <v>0.64776437034252099</v>
      </c>
      <c r="E1227">
        <v>1</v>
      </c>
      <c r="F1227">
        <v>11</v>
      </c>
      <c r="G1227">
        <v>8</v>
      </c>
      <c r="H1227" t="s">
        <v>28</v>
      </c>
      <c r="I1227" t="s">
        <v>3438</v>
      </c>
      <c r="J1227" t="s">
        <v>352</v>
      </c>
    </row>
    <row r="1228" spans="1:10">
      <c r="A1228" t="s">
        <v>5746</v>
      </c>
      <c r="B1228">
        <v>0.53776464570969096</v>
      </c>
      <c r="C1228">
        <v>6.6707086349355098</v>
      </c>
      <c r="D1228">
        <v>0.64776437034252099</v>
      </c>
      <c r="E1228">
        <v>1</v>
      </c>
      <c r="F1228">
        <v>11</v>
      </c>
      <c r="G1228">
        <v>8</v>
      </c>
      <c r="H1228" t="s">
        <v>5747</v>
      </c>
      <c r="I1228" t="s">
        <v>5748</v>
      </c>
      <c r="J1228" t="s">
        <v>269</v>
      </c>
    </row>
    <row r="1229" spans="1:10">
      <c r="A1229" t="s">
        <v>5749</v>
      </c>
      <c r="B1229">
        <v>0.53776464570969096</v>
      </c>
      <c r="C1229">
        <v>6.6707086349355098</v>
      </c>
      <c r="D1229">
        <v>0.64776437034252099</v>
      </c>
      <c r="E1229">
        <v>1</v>
      </c>
      <c r="F1229">
        <v>11</v>
      </c>
      <c r="G1229">
        <v>8</v>
      </c>
      <c r="H1229" t="s">
        <v>5750</v>
      </c>
      <c r="I1229" t="s">
        <v>5751</v>
      </c>
      <c r="J1229" t="s">
        <v>1633</v>
      </c>
    </row>
    <row r="1230" spans="1:10">
      <c r="A1230" t="s">
        <v>5752</v>
      </c>
      <c r="B1230">
        <v>0.53776464570969096</v>
      </c>
      <c r="C1230">
        <v>6.6707086349355098</v>
      </c>
      <c r="D1230">
        <v>0.64776437034252099</v>
      </c>
      <c r="E1230">
        <v>1</v>
      </c>
      <c r="F1230">
        <v>11</v>
      </c>
      <c r="G1230">
        <v>8</v>
      </c>
      <c r="H1230" t="s">
        <v>28</v>
      </c>
      <c r="I1230" t="s">
        <v>3438</v>
      </c>
      <c r="J1230" t="s">
        <v>1634</v>
      </c>
    </row>
    <row r="1231" spans="1:10">
      <c r="A1231" t="s">
        <v>5753</v>
      </c>
      <c r="B1231">
        <v>0.53776464570969096</v>
      </c>
      <c r="C1231">
        <v>6.6707086349355098</v>
      </c>
      <c r="D1231">
        <v>0.64776437034252099</v>
      </c>
      <c r="E1231">
        <v>1</v>
      </c>
      <c r="F1231">
        <v>11</v>
      </c>
      <c r="G1231">
        <v>8</v>
      </c>
      <c r="H1231" t="s">
        <v>28</v>
      </c>
      <c r="I1231" t="s">
        <v>3438</v>
      </c>
      <c r="J1231" t="s">
        <v>1635</v>
      </c>
    </row>
    <row r="1232" spans="1:10">
      <c r="A1232" t="s">
        <v>5754</v>
      </c>
      <c r="B1232">
        <v>0.53776464570969096</v>
      </c>
      <c r="C1232">
        <v>6.6707086349355098</v>
      </c>
      <c r="D1232">
        <v>0.64776437034252099</v>
      </c>
      <c r="E1232">
        <v>1</v>
      </c>
      <c r="F1232">
        <v>11</v>
      </c>
      <c r="G1232">
        <v>8</v>
      </c>
      <c r="H1232" t="s">
        <v>5755</v>
      </c>
      <c r="I1232" t="s">
        <v>5756</v>
      </c>
      <c r="J1232" t="s">
        <v>1636</v>
      </c>
    </row>
    <row r="1233" spans="1:10">
      <c r="A1233" t="s">
        <v>5757</v>
      </c>
      <c r="B1233">
        <v>-0.15172718690044701</v>
      </c>
      <c r="C1233">
        <v>9.3054015053524193</v>
      </c>
      <c r="D1233">
        <v>0.64646932393182999</v>
      </c>
      <c r="E1233">
        <v>1</v>
      </c>
      <c r="F1233">
        <v>54</v>
      </c>
      <c r="G1233">
        <v>64</v>
      </c>
      <c r="H1233" t="s">
        <v>28</v>
      </c>
      <c r="I1233" t="s">
        <v>3438</v>
      </c>
      <c r="J1233" t="s">
        <v>1637</v>
      </c>
    </row>
    <row r="1234" spans="1:10">
      <c r="A1234" t="s">
        <v>5758</v>
      </c>
      <c r="B1234">
        <v>0.141052021072542</v>
      </c>
      <c r="C1234">
        <v>9.3054291548371992</v>
      </c>
      <c r="D1234">
        <v>0.64646932393182999</v>
      </c>
      <c r="E1234">
        <v>1</v>
      </c>
      <c r="F1234">
        <v>60</v>
      </c>
      <c r="G1234">
        <v>58</v>
      </c>
      <c r="H1234" t="s">
        <v>5759</v>
      </c>
      <c r="I1234" t="s">
        <v>5760</v>
      </c>
      <c r="J1234" t="s">
        <v>1638</v>
      </c>
    </row>
    <row r="1235" spans="1:10">
      <c r="A1235" t="s">
        <v>5761</v>
      </c>
      <c r="B1235">
        <v>-0.108071962034087</v>
      </c>
      <c r="C1235">
        <v>10.268243083541799</v>
      </c>
      <c r="D1235">
        <v>0.646378051311434</v>
      </c>
      <c r="E1235">
        <v>1</v>
      </c>
      <c r="F1235">
        <v>107</v>
      </c>
      <c r="G1235">
        <v>123</v>
      </c>
      <c r="H1235" t="s">
        <v>28</v>
      </c>
      <c r="I1235" t="s">
        <v>5762</v>
      </c>
      <c r="J1235" t="s">
        <v>1639</v>
      </c>
    </row>
    <row r="1236" spans="1:10">
      <c r="A1236" t="s">
        <v>5763</v>
      </c>
      <c r="B1236">
        <v>-0.108071962034087</v>
      </c>
      <c r="C1236">
        <v>10.268243083541799</v>
      </c>
      <c r="D1236">
        <v>0.646378051311434</v>
      </c>
      <c r="E1236">
        <v>1</v>
      </c>
      <c r="F1236">
        <v>107</v>
      </c>
      <c r="G1236">
        <v>123</v>
      </c>
      <c r="H1236" t="s">
        <v>28</v>
      </c>
      <c r="I1236" t="s">
        <v>3438</v>
      </c>
      <c r="J1236" t="s">
        <v>1640</v>
      </c>
    </row>
    <row r="1237" spans="1:10">
      <c r="A1237" t="s">
        <v>5764</v>
      </c>
      <c r="B1237">
        <v>-0.176169314729301</v>
      </c>
      <c r="C1237">
        <v>8.6515808528210805</v>
      </c>
      <c r="D1237">
        <v>0.64508542221146703</v>
      </c>
      <c r="E1237">
        <v>1</v>
      </c>
      <c r="F1237">
        <v>34</v>
      </c>
      <c r="G1237">
        <v>41</v>
      </c>
      <c r="H1237" t="s">
        <v>5765</v>
      </c>
      <c r="I1237" t="s">
        <v>5766</v>
      </c>
      <c r="J1237" t="s">
        <v>1641</v>
      </c>
    </row>
    <row r="1238" spans="1:10">
      <c r="A1238" t="s">
        <v>5767</v>
      </c>
      <c r="B1238">
        <v>0.206836845504873</v>
      </c>
      <c r="C1238">
        <v>8.6516039433838596</v>
      </c>
      <c r="D1238">
        <v>0.64508542221146703</v>
      </c>
      <c r="E1238">
        <v>1</v>
      </c>
      <c r="F1238">
        <v>39</v>
      </c>
      <c r="G1238">
        <v>36</v>
      </c>
      <c r="H1238" t="s">
        <v>5768</v>
      </c>
      <c r="I1238" t="s">
        <v>5769</v>
      </c>
      <c r="J1238" t="s">
        <v>1642</v>
      </c>
    </row>
    <row r="1239" spans="1:10">
      <c r="A1239" t="s">
        <v>5770</v>
      </c>
      <c r="B1239">
        <v>0.206836845504873</v>
      </c>
      <c r="C1239">
        <v>8.6516039433838596</v>
      </c>
      <c r="D1239">
        <v>0.64508542221146703</v>
      </c>
      <c r="E1239">
        <v>1</v>
      </c>
      <c r="F1239">
        <v>39</v>
      </c>
      <c r="G1239">
        <v>36</v>
      </c>
      <c r="H1239" t="s">
        <v>5771</v>
      </c>
      <c r="I1239" t="s">
        <v>5772</v>
      </c>
      <c r="J1239" t="s">
        <v>1643</v>
      </c>
    </row>
    <row r="1240" spans="1:10">
      <c r="A1240" t="s">
        <v>5773</v>
      </c>
      <c r="B1240">
        <v>-0.318461094984412</v>
      </c>
      <c r="C1240">
        <v>7.8150794282133704</v>
      </c>
      <c r="D1240">
        <v>0.64431891706926003</v>
      </c>
      <c r="E1240">
        <v>1</v>
      </c>
      <c r="F1240">
        <v>18</v>
      </c>
      <c r="G1240">
        <v>24</v>
      </c>
      <c r="H1240" t="s">
        <v>28</v>
      </c>
      <c r="I1240" t="s">
        <v>3657</v>
      </c>
      <c r="J1240" t="s">
        <v>1644</v>
      </c>
    </row>
    <row r="1241" spans="1:10">
      <c r="A1241" t="s">
        <v>5774</v>
      </c>
      <c r="B1241">
        <v>-0.318461094984412</v>
      </c>
      <c r="C1241">
        <v>7.8150794282133704</v>
      </c>
      <c r="D1241">
        <v>0.64431891706926003</v>
      </c>
      <c r="E1241">
        <v>1</v>
      </c>
      <c r="F1241">
        <v>18</v>
      </c>
      <c r="G1241">
        <v>24</v>
      </c>
      <c r="H1241" t="s">
        <v>28</v>
      </c>
      <c r="I1241" t="s">
        <v>3438</v>
      </c>
      <c r="J1241" t="s">
        <v>1645</v>
      </c>
    </row>
    <row r="1242" spans="1:10">
      <c r="A1242" t="s">
        <v>5775</v>
      </c>
      <c r="B1242">
        <v>-0.318461094984412</v>
      </c>
      <c r="C1242">
        <v>7.8150794282133704</v>
      </c>
      <c r="D1242">
        <v>0.64431891706926003</v>
      </c>
      <c r="E1242">
        <v>1</v>
      </c>
      <c r="F1242">
        <v>18</v>
      </c>
      <c r="G1242">
        <v>24</v>
      </c>
      <c r="H1242" t="s">
        <v>5776</v>
      </c>
      <c r="I1242" t="s">
        <v>5777</v>
      </c>
      <c r="J1242" t="s">
        <v>1646</v>
      </c>
    </row>
    <row r="1243" spans="1:10">
      <c r="A1243" t="s">
        <v>5778</v>
      </c>
      <c r="B1243">
        <v>-0.318461094984412</v>
      </c>
      <c r="C1243">
        <v>7.8150794282133704</v>
      </c>
      <c r="D1243">
        <v>0.64431891706926003</v>
      </c>
      <c r="E1243">
        <v>1</v>
      </c>
      <c r="F1243">
        <v>18</v>
      </c>
      <c r="G1243">
        <v>24</v>
      </c>
      <c r="H1243" t="s">
        <v>28</v>
      </c>
      <c r="I1243" t="s">
        <v>3438</v>
      </c>
      <c r="J1243" t="s">
        <v>1647</v>
      </c>
    </row>
    <row r="1244" spans="1:10">
      <c r="A1244" t="s">
        <v>5779</v>
      </c>
      <c r="B1244">
        <v>-0.318461094984412</v>
      </c>
      <c r="C1244">
        <v>7.8150794282133704</v>
      </c>
      <c r="D1244">
        <v>0.64431891706926003</v>
      </c>
      <c r="E1244">
        <v>1</v>
      </c>
      <c r="F1244">
        <v>18</v>
      </c>
      <c r="G1244">
        <v>24</v>
      </c>
      <c r="H1244" t="s">
        <v>5780</v>
      </c>
      <c r="I1244" t="s">
        <v>5781</v>
      </c>
      <c r="J1244" t="s">
        <v>1648</v>
      </c>
    </row>
    <row r="1245" spans="1:10">
      <c r="A1245" t="s">
        <v>5782</v>
      </c>
      <c r="B1245">
        <v>0.22753045605910299</v>
      </c>
      <c r="C1245">
        <v>7.8150979310166599</v>
      </c>
      <c r="D1245">
        <v>0.64431891706926003</v>
      </c>
      <c r="E1245">
        <v>1</v>
      </c>
      <c r="F1245">
        <v>22</v>
      </c>
      <c r="G1245">
        <v>20</v>
      </c>
      <c r="H1245" t="s">
        <v>5783</v>
      </c>
      <c r="I1245" t="s">
        <v>5784</v>
      </c>
      <c r="J1245" t="s">
        <v>1450</v>
      </c>
    </row>
    <row r="1246" spans="1:10">
      <c r="A1246" t="s">
        <v>5785</v>
      </c>
      <c r="B1246">
        <v>0.22753045605910299</v>
      </c>
      <c r="C1246">
        <v>7.8150979310166599</v>
      </c>
      <c r="D1246">
        <v>0.64431891706926003</v>
      </c>
      <c r="E1246">
        <v>1</v>
      </c>
      <c r="F1246">
        <v>22</v>
      </c>
      <c r="G1246">
        <v>20</v>
      </c>
      <c r="H1246" t="s">
        <v>28</v>
      </c>
      <c r="I1246" t="s">
        <v>3438</v>
      </c>
      <c r="J1246" t="s">
        <v>1649</v>
      </c>
    </row>
    <row r="1247" spans="1:10">
      <c r="A1247" t="s">
        <v>5786</v>
      </c>
      <c r="B1247">
        <v>-0.155944688016524</v>
      </c>
      <c r="C1247">
        <v>9.2807393016200805</v>
      </c>
      <c r="D1247">
        <v>0.64363005443497501</v>
      </c>
      <c r="E1247">
        <v>1</v>
      </c>
      <c r="F1247">
        <v>53</v>
      </c>
      <c r="G1247">
        <v>63</v>
      </c>
      <c r="H1247" t="s">
        <v>5787</v>
      </c>
      <c r="I1247" t="s">
        <v>5788</v>
      </c>
      <c r="J1247" t="s">
        <v>1650</v>
      </c>
    </row>
    <row r="1248" spans="1:10">
      <c r="A1248" t="s">
        <v>5789</v>
      </c>
      <c r="B1248">
        <v>9.2535460022497198E-2</v>
      </c>
      <c r="C1248">
        <v>10.2429683658921</v>
      </c>
      <c r="D1248">
        <v>0.64344604741150402</v>
      </c>
      <c r="E1248">
        <v>1</v>
      </c>
      <c r="F1248">
        <v>113</v>
      </c>
      <c r="G1248">
        <v>113</v>
      </c>
      <c r="H1248" t="s">
        <v>28</v>
      </c>
      <c r="I1248" t="s">
        <v>3438</v>
      </c>
      <c r="J1248" t="s">
        <v>1651</v>
      </c>
    </row>
    <row r="1249" spans="1:10">
      <c r="A1249" t="s">
        <v>5790</v>
      </c>
      <c r="B1249">
        <v>0.14274010547397001</v>
      </c>
      <c r="C1249">
        <v>9.2556758261015801</v>
      </c>
      <c r="D1249">
        <v>0.64072196623984501</v>
      </c>
      <c r="E1249">
        <v>1</v>
      </c>
      <c r="F1249">
        <v>58</v>
      </c>
      <c r="G1249">
        <v>56</v>
      </c>
      <c r="H1249" t="s">
        <v>5791</v>
      </c>
      <c r="I1249" t="s">
        <v>5792</v>
      </c>
      <c r="J1249" t="s">
        <v>1652</v>
      </c>
    </row>
    <row r="1250" spans="1:10">
      <c r="A1250" t="s">
        <v>5793</v>
      </c>
      <c r="B1250">
        <v>-0.18353078280111501</v>
      </c>
      <c r="C1250">
        <v>8.6125865717557506</v>
      </c>
      <c r="D1250">
        <v>0.64058440727346799</v>
      </c>
      <c r="E1250">
        <v>1</v>
      </c>
      <c r="F1250">
        <v>33</v>
      </c>
      <c r="G1250">
        <v>40</v>
      </c>
      <c r="H1250" t="s">
        <v>5794</v>
      </c>
      <c r="I1250" t="s">
        <v>5795</v>
      </c>
      <c r="J1250" t="s">
        <v>1653</v>
      </c>
    </row>
    <row r="1251" spans="1:10">
      <c r="A1251" t="s">
        <v>5796</v>
      </c>
      <c r="B1251">
        <v>-0.18353078280111501</v>
      </c>
      <c r="C1251">
        <v>8.6125865717557506</v>
      </c>
      <c r="D1251">
        <v>0.64058440727346799</v>
      </c>
      <c r="E1251">
        <v>1</v>
      </c>
      <c r="F1251">
        <v>33</v>
      </c>
      <c r="G1251">
        <v>40</v>
      </c>
      <c r="H1251" t="s">
        <v>28</v>
      </c>
      <c r="I1251" t="s">
        <v>5797</v>
      </c>
      <c r="J1251" t="s">
        <v>1654</v>
      </c>
    </row>
    <row r="1252" spans="1:10">
      <c r="A1252" t="s">
        <v>5798</v>
      </c>
      <c r="B1252">
        <v>-0.164833048878026</v>
      </c>
      <c r="C1252">
        <v>9.2301129294649193</v>
      </c>
      <c r="D1252">
        <v>0.63774223473827996</v>
      </c>
      <c r="E1252">
        <v>1</v>
      </c>
      <c r="F1252">
        <v>51</v>
      </c>
      <c r="G1252">
        <v>61</v>
      </c>
      <c r="H1252" t="s">
        <v>5799</v>
      </c>
      <c r="I1252" t="s">
        <v>5800</v>
      </c>
      <c r="J1252" t="s">
        <v>1655</v>
      </c>
    </row>
    <row r="1253" spans="1:10">
      <c r="A1253" t="s">
        <v>5801</v>
      </c>
      <c r="B1253">
        <v>0.14362917694459701</v>
      </c>
      <c r="C1253">
        <v>9.2301405871814595</v>
      </c>
      <c r="D1253">
        <v>0.63774223473827996</v>
      </c>
      <c r="E1253">
        <v>1</v>
      </c>
      <c r="F1253">
        <v>57</v>
      </c>
      <c r="G1253">
        <v>55</v>
      </c>
      <c r="H1253" t="s">
        <v>5802</v>
      </c>
      <c r="I1253" t="s">
        <v>5803</v>
      </c>
      <c r="J1253" t="s">
        <v>1656</v>
      </c>
    </row>
    <row r="1254" spans="1:10">
      <c r="A1254" t="s">
        <v>5804</v>
      </c>
      <c r="B1254">
        <v>-0.33906454047149698</v>
      </c>
      <c r="C1254">
        <v>7.74468995061103</v>
      </c>
      <c r="D1254">
        <v>0.63616782730910004</v>
      </c>
      <c r="E1254">
        <v>1</v>
      </c>
      <c r="F1254">
        <v>17</v>
      </c>
      <c r="G1254">
        <v>23</v>
      </c>
      <c r="H1254" t="s">
        <v>28</v>
      </c>
      <c r="I1254" t="s">
        <v>5805</v>
      </c>
      <c r="J1254" t="s">
        <v>1657</v>
      </c>
    </row>
    <row r="1255" spans="1:10">
      <c r="A1255" t="s">
        <v>5806</v>
      </c>
      <c r="B1255">
        <v>0.23419718823098801</v>
      </c>
      <c r="C1255">
        <v>7.7447084552571104</v>
      </c>
      <c r="D1255">
        <v>0.63616782730910004</v>
      </c>
      <c r="E1255">
        <v>1</v>
      </c>
      <c r="F1255">
        <v>21</v>
      </c>
      <c r="G1255">
        <v>19</v>
      </c>
      <c r="H1255" t="s">
        <v>28</v>
      </c>
      <c r="I1255" t="s">
        <v>3438</v>
      </c>
      <c r="J1255" t="s">
        <v>1658</v>
      </c>
    </row>
    <row r="1256" spans="1:10">
      <c r="A1256" t="s">
        <v>5807</v>
      </c>
      <c r="B1256">
        <v>0.23419718823098801</v>
      </c>
      <c r="C1256">
        <v>7.7447084552571104</v>
      </c>
      <c r="D1256">
        <v>0.63616782730910004</v>
      </c>
      <c r="E1256">
        <v>1</v>
      </c>
      <c r="F1256">
        <v>21</v>
      </c>
      <c r="G1256">
        <v>19</v>
      </c>
      <c r="H1256" t="s">
        <v>5808</v>
      </c>
      <c r="I1256" t="s">
        <v>5809</v>
      </c>
      <c r="J1256" t="s">
        <v>1659</v>
      </c>
    </row>
    <row r="1257" spans="1:10">
      <c r="A1257" t="s">
        <v>5810</v>
      </c>
      <c r="B1257">
        <v>0.23419718823098801</v>
      </c>
      <c r="C1257">
        <v>7.7447084552571104</v>
      </c>
      <c r="D1257">
        <v>0.63616782730910004</v>
      </c>
      <c r="E1257">
        <v>1</v>
      </c>
      <c r="F1257">
        <v>21</v>
      </c>
      <c r="G1257">
        <v>19</v>
      </c>
      <c r="H1257" t="s">
        <v>5811</v>
      </c>
      <c r="I1257" t="s">
        <v>5812</v>
      </c>
      <c r="J1257" t="s">
        <v>1660</v>
      </c>
    </row>
    <row r="1258" spans="1:10">
      <c r="A1258" t="s">
        <v>5813</v>
      </c>
      <c r="B1258">
        <v>-0.19130797724492701</v>
      </c>
      <c r="C1258">
        <v>8.5725089829012102</v>
      </c>
      <c r="D1258">
        <v>0.63590892477069705</v>
      </c>
      <c r="E1258">
        <v>1</v>
      </c>
      <c r="F1258">
        <v>32</v>
      </c>
      <c r="G1258">
        <v>39</v>
      </c>
      <c r="H1258" t="s">
        <v>28</v>
      </c>
      <c r="I1258" t="s">
        <v>5814</v>
      </c>
      <c r="J1258" t="s">
        <v>1661</v>
      </c>
    </row>
    <row r="1259" spans="1:10">
      <c r="A1259" t="s">
        <v>5815</v>
      </c>
      <c r="B1259">
        <v>-9.5531599700858602E-2</v>
      </c>
      <c r="C1259">
        <v>10.5312763406926</v>
      </c>
      <c r="D1259">
        <v>0.63192467998398305</v>
      </c>
      <c r="E1259">
        <v>1</v>
      </c>
      <c r="F1259">
        <v>129</v>
      </c>
      <c r="G1259">
        <v>147</v>
      </c>
      <c r="H1259" t="s">
        <v>5816</v>
      </c>
      <c r="I1259" t="s">
        <v>5817</v>
      </c>
      <c r="J1259" t="s">
        <v>1662</v>
      </c>
    </row>
    <row r="1260" spans="1:10">
      <c r="A1260" t="s">
        <v>5818</v>
      </c>
      <c r="B1260">
        <v>0.216698564593267</v>
      </c>
      <c r="C1260">
        <v>8.5313092681177096</v>
      </c>
      <c r="D1260">
        <v>0.63104741416774601</v>
      </c>
      <c r="E1260">
        <v>1</v>
      </c>
      <c r="F1260">
        <v>36</v>
      </c>
      <c r="G1260">
        <v>33</v>
      </c>
      <c r="H1260" t="s">
        <v>28</v>
      </c>
      <c r="I1260" t="s">
        <v>5819</v>
      </c>
      <c r="J1260" t="s">
        <v>1663</v>
      </c>
    </row>
    <row r="1261" spans="1:10">
      <c r="A1261" t="s">
        <v>5820</v>
      </c>
      <c r="B1261">
        <v>0.216698564593267</v>
      </c>
      <c r="C1261">
        <v>8.5313092681177096</v>
      </c>
      <c r="D1261">
        <v>0.63104741416774601</v>
      </c>
      <c r="E1261">
        <v>1</v>
      </c>
      <c r="F1261">
        <v>36</v>
      </c>
      <c r="G1261">
        <v>33</v>
      </c>
      <c r="H1261" t="s">
        <v>5821</v>
      </c>
      <c r="I1261" t="s">
        <v>5822</v>
      </c>
      <c r="J1261" t="s">
        <v>1664</v>
      </c>
    </row>
    <row r="1262" spans="1:10">
      <c r="A1262" t="s">
        <v>5823</v>
      </c>
      <c r="B1262">
        <v>-0.40956034378267098</v>
      </c>
      <c r="C1262">
        <v>6.5102299203226899</v>
      </c>
      <c r="D1262">
        <v>0.62920712909388798</v>
      </c>
      <c r="E1262">
        <v>1</v>
      </c>
      <c r="F1262">
        <v>7</v>
      </c>
      <c r="G1262">
        <v>10</v>
      </c>
      <c r="H1262" t="s">
        <v>28</v>
      </c>
      <c r="I1262" t="s">
        <v>3438</v>
      </c>
      <c r="J1262" t="s">
        <v>1665</v>
      </c>
    </row>
    <row r="1263" spans="1:10">
      <c r="A1263" t="s">
        <v>5824</v>
      </c>
      <c r="B1263">
        <v>-0.40956034378267098</v>
      </c>
      <c r="C1263">
        <v>6.5102299203226899</v>
      </c>
      <c r="D1263">
        <v>0.62920712909388798</v>
      </c>
      <c r="E1263">
        <v>1</v>
      </c>
      <c r="F1263">
        <v>7</v>
      </c>
      <c r="G1263">
        <v>10</v>
      </c>
      <c r="H1263" t="s">
        <v>28</v>
      </c>
      <c r="I1263" t="s">
        <v>3465</v>
      </c>
      <c r="J1263" t="s">
        <v>1666</v>
      </c>
    </row>
    <row r="1264" spans="1:10">
      <c r="A1264" t="s">
        <v>5825</v>
      </c>
      <c r="B1264">
        <v>-0.40956034378267098</v>
      </c>
      <c r="C1264">
        <v>6.5102299203226899</v>
      </c>
      <c r="D1264">
        <v>0.62920712909388798</v>
      </c>
      <c r="E1264">
        <v>1</v>
      </c>
      <c r="F1264">
        <v>7</v>
      </c>
      <c r="G1264">
        <v>10</v>
      </c>
      <c r="H1264" t="s">
        <v>28</v>
      </c>
      <c r="I1264" t="s">
        <v>3438</v>
      </c>
      <c r="J1264" t="s">
        <v>1667</v>
      </c>
    </row>
    <row r="1265" spans="1:10">
      <c r="A1265" t="s">
        <v>5826</v>
      </c>
      <c r="B1265">
        <v>-0.40956034378267098</v>
      </c>
      <c r="C1265">
        <v>6.5102299203226899</v>
      </c>
      <c r="D1265">
        <v>0.62920712909388798</v>
      </c>
      <c r="E1265">
        <v>1</v>
      </c>
      <c r="F1265">
        <v>7</v>
      </c>
      <c r="G1265">
        <v>10</v>
      </c>
      <c r="H1265" t="s">
        <v>5827</v>
      </c>
      <c r="I1265" t="s">
        <v>5828</v>
      </c>
      <c r="J1265" t="s">
        <v>1668</v>
      </c>
    </row>
    <row r="1266" spans="1:10">
      <c r="A1266" t="s">
        <v>5829</v>
      </c>
      <c r="B1266">
        <v>-0.40956034378267098</v>
      </c>
      <c r="C1266">
        <v>6.5102299203226899</v>
      </c>
      <c r="D1266">
        <v>0.62920712909388798</v>
      </c>
      <c r="E1266">
        <v>1</v>
      </c>
      <c r="F1266">
        <v>7</v>
      </c>
      <c r="G1266">
        <v>10</v>
      </c>
      <c r="H1266" t="s">
        <v>5830</v>
      </c>
      <c r="I1266" t="s">
        <v>5831</v>
      </c>
      <c r="J1266" t="s">
        <v>1669</v>
      </c>
    </row>
    <row r="1267" spans="1:10">
      <c r="A1267" t="s">
        <v>5832</v>
      </c>
      <c r="B1267">
        <v>-0.40956034378267098</v>
      </c>
      <c r="C1267">
        <v>6.5102299203226899</v>
      </c>
      <c r="D1267">
        <v>0.62920712909388798</v>
      </c>
      <c r="E1267">
        <v>1</v>
      </c>
      <c r="F1267">
        <v>7</v>
      </c>
      <c r="G1267">
        <v>10</v>
      </c>
      <c r="H1267" t="s">
        <v>5833</v>
      </c>
      <c r="I1267" t="s">
        <v>5834</v>
      </c>
      <c r="J1267" t="s">
        <v>1670</v>
      </c>
    </row>
    <row r="1268" spans="1:10">
      <c r="A1268" t="s">
        <v>5835</v>
      </c>
      <c r="B1268">
        <v>-0.40956034378267098</v>
      </c>
      <c r="C1268">
        <v>6.5102299203226899</v>
      </c>
      <c r="D1268">
        <v>0.62920712909388798</v>
      </c>
      <c r="E1268">
        <v>1</v>
      </c>
      <c r="F1268">
        <v>7</v>
      </c>
      <c r="G1268">
        <v>10</v>
      </c>
      <c r="H1268" t="s">
        <v>28</v>
      </c>
      <c r="I1268" t="s">
        <v>5836</v>
      </c>
      <c r="J1268" t="s">
        <v>1671</v>
      </c>
    </row>
    <row r="1269" spans="1:10">
      <c r="A1269" t="s">
        <v>5837</v>
      </c>
      <c r="B1269">
        <v>-0.40956034378267098</v>
      </c>
      <c r="C1269">
        <v>6.5102299203226899</v>
      </c>
      <c r="D1269">
        <v>0.62920712909388798</v>
      </c>
      <c r="E1269">
        <v>1</v>
      </c>
      <c r="F1269">
        <v>7</v>
      </c>
      <c r="G1269">
        <v>10</v>
      </c>
      <c r="H1269" t="s">
        <v>28</v>
      </c>
      <c r="I1269" t="s">
        <v>5838</v>
      </c>
      <c r="J1269" t="s">
        <v>1672</v>
      </c>
    </row>
    <row r="1270" spans="1:10">
      <c r="A1270" t="s">
        <v>5839</v>
      </c>
      <c r="B1270">
        <v>-0.40956034378267098</v>
      </c>
      <c r="C1270">
        <v>6.5102299203226899</v>
      </c>
      <c r="D1270">
        <v>0.62920712909388798</v>
      </c>
      <c r="E1270">
        <v>1</v>
      </c>
      <c r="F1270">
        <v>7</v>
      </c>
      <c r="G1270">
        <v>10</v>
      </c>
      <c r="H1270" t="s">
        <v>5840</v>
      </c>
      <c r="I1270" t="s">
        <v>3450</v>
      </c>
      <c r="J1270" t="s">
        <v>781</v>
      </c>
    </row>
    <row r="1271" spans="1:10">
      <c r="A1271" t="s">
        <v>5841</v>
      </c>
      <c r="B1271">
        <v>0.58958256014617605</v>
      </c>
      <c r="C1271">
        <v>6.5102438147655297</v>
      </c>
      <c r="D1271">
        <v>0.62920712909388798</v>
      </c>
      <c r="E1271">
        <v>1</v>
      </c>
      <c r="F1271">
        <v>10</v>
      </c>
      <c r="G1271">
        <v>7</v>
      </c>
      <c r="H1271" t="s">
        <v>5842</v>
      </c>
      <c r="I1271" t="s">
        <v>5843</v>
      </c>
      <c r="J1271" t="s">
        <v>1673</v>
      </c>
    </row>
    <row r="1272" spans="1:10">
      <c r="A1272" t="s">
        <v>5844</v>
      </c>
      <c r="B1272">
        <v>0.58958256014617605</v>
      </c>
      <c r="C1272">
        <v>6.5102438147655297</v>
      </c>
      <c r="D1272">
        <v>0.62920712909388798</v>
      </c>
      <c r="E1272">
        <v>1</v>
      </c>
      <c r="F1272">
        <v>10</v>
      </c>
      <c r="G1272">
        <v>7</v>
      </c>
      <c r="H1272" t="s">
        <v>5845</v>
      </c>
      <c r="I1272" t="s">
        <v>5846</v>
      </c>
      <c r="J1272" t="s">
        <v>1674</v>
      </c>
    </row>
    <row r="1273" spans="1:10">
      <c r="A1273" t="s">
        <v>5847</v>
      </c>
      <c r="B1273">
        <v>0.58958256014617605</v>
      </c>
      <c r="C1273">
        <v>6.5102438147655297</v>
      </c>
      <c r="D1273">
        <v>0.62920712909388798</v>
      </c>
      <c r="E1273">
        <v>1</v>
      </c>
      <c r="F1273">
        <v>10</v>
      </c>
      <c r="G1273">
        <v>7</v>
      </c>
      <c r="H1273" t="s">
        <v>28</v>
      </c>
      <c r="I1273" t="s">
        <v>3438</v>
      </c>
      <c r="J1273" t="s">
        <v>1675</v>
      </c>
    </row>
    <row r="1274" spans="1:10">
      <c r="A1274" t="s">
        <v>5848</v>
      </c>
      <c r="B1274">
        <v>0.58958256014617605</v>
      </c>
      <c r="C1274">
        <v>6.5102438147655297</v>
      </c>
      <c r="D1274">
        <v>0.62920712909388798</v>
      </c>
      <c r="E1274">
        <v>1</v>
      </c>
      <c r="F1274">
        <v>10</v>
      </c>
      <c r="G1274">
        <v>7</v>
      </c>
      <c r="H1274" t="s">
        <v>28</v>
      </c>
      <c r="I1274" t="s">
        <v>3657</v>
      </c>
      <c r="J1274" t="s">
        <v>1676</v>
      </c>
    </row>
    <row r="1275" spans="1:10">
      <c r="A1275" t="s">
        <v>5849</v>
      </c>
      <c r="B1275">
        <v>0.58958256014617605</v>
      </c>
      <c r="C1275">
        <v>6.5102438147655297</v>
      </c>
      <c r="D1275">
        <v>0.62920712909388798</v>
      </c>
      <c r="E1275">
        <v>1</v>
      </c>
      <c r="F1275">
        <v>10</v>
      </c>
      <c r="G1275">
        <v>7</v>
      </c>
      <c r="H1275" t="s">
        <v>5850</v>
      </c>
      <c r="I1275" t="s">
        <v>3438</v>
      </c>
      <c r="J1275" t="s">
        <v>1677</v>
      </c>
    </row>
    <row r="1276" spans="1:10">
      <c r="A1276" t="s">
        <v>5851</v>
      </c>
      <c r="B1276">
        <v>0.58958256014617605</v>
      </c>
      <c r="C1276">
        <v>6.5102438147655297</v>
      </c>
      <c r="D1276">
        <v>0.62920712909388798</v>
      </c>
      <c r="E1276">
        <v>1</v>
      </c>
      <c r="F1276">
        <v>10</v>
      </c>
      <c r="G1276">
        <v>7</v>
      </c>
      <c r="H1276" t="s">
        <v>28</v>
      </c>
      <c r="I1276" t="s">
        <v>3631</v>
      </c>
      <c r="J1276" t="s">
        <v>1678</v>
      </c>
    </row>
    <row r="1277" spans="1:10">
      <c r="A1277" t="s">
        <v>5852</v>
      </c>
      <c r="B1277">
        <v>0.58958256014617605</v>
      </c>
      <c r="C1277">
        <v>6.5102438147655297</v>
      </c>
      <c r="D1277">
        <v>0.62920712909388798</v>
      </c>
      <c r="E1277">
        <v>1</v>
      </c>
      <c r="F1277">
        <v>10</v>
      </c>
      <c r="G1277">
        <v>7</v>
      </c>
      <c r="H1277" t="s">
        <v>28</v>
      </c>
      <c r="I1277" t="s">
        <v>5853</v>
      </c>
      <c r="J1277" t="s">
        <v>1679</v>
      </c>
    </row>
    <row r="1278" spans="1:10">
      <c r="A1278" t="s">
        <v>5854</v>
      </c>
      <c r="B1278">
        <v>0.58958256014617605</v>
      </c>
      <c r="C1278">
        <v>6.5102438147655297</v>
      </c>
      <c r="D1278">
        <v>0.62920712909388798</v>
      </c>
      <c r="E1278">
        <v>1</v>
      </c>
      <c r="F1278">
        <v>10</v>
      </c>
      <c r="G1278">
        <v>7</v>
      </c>
      <c r="H1278" t="s">
        <v>28</v>
      </c>
      <c r="I1278" t="s">
        <v>3631</v>
      </c>
      <c r="J1278" t="s">
        <v>1680</v>
      </c>
    </row>
    <row r="1279" spans="1:10">
      <c r="A1279" t="s">
        <v>5855</v>
      </c>
      <c r="B1279">
        <v>0.58958256014617605</v>
      </c>
      <c r="C1279">
        <v>6.5102438147655297</v>
      </c>
      <c r="D1279">
        <v>0.62920712909388798</v>
      </c>
      <c r="E1279">
        <v>1</v>
      </c>
      <c r="F1279">
        <v>10</v>
      </c>
      <c r="G1279">
        <v>7</v>
      </c>
      <c r="H1279" t="s">
        <v>5856</v>
      </c>
      <c r="I1279" t="s">
        <v>5857</v>
      </c>
      <c r="J1279" t="s">
        <v>1681</v>
      </c>
    </row>
    <row r="1280" spans="1:10">
      <c r="A1280" t="s">
        <v>5858</v>
      </c>
      <c r="B1280">
        <v>0.58958256014617605</v>
      </c>
      <c r="C1280">
        <v>6.5102438147655297</v>
      </c>
      <c r="D1280">
        <v>0.62920712909388798</v>
      </c>
      <c r="E1280">
        <v>1</v>
      </c>
      <c r="F1280">
        <v>10</v>
      </c>
      <c r="G1280">
        <v>7</v>
      </c>
      <c r="H1280" t="s">
        <v>28</v>
      </c>
      <c r="I1280" t="s">
        <v>3438</v>
      </c>
      <c r="J1280" t="s">
        <v>1682</v>
      </c>
    </row>
    <row r="1281" spans="1:10">
      <c r="A1281" t="s">
        <v>5859</v>
      </c>
      <c r="B1281">
        <v>-0.36185955886681298</v>
      </c>
      <c r="C1281">
        <v>7.67068921942648</v>
      </c>
      <c r="D1281">
        <v>0.62743196335650797</v>
      </c>
      <c r="E1281">
        <v>1</v>
      </c>
      <c r="F1281">
        <v>16</v>
      </c>
      <c r="G1281">
        <v>22</v>
      </c>
      <c r="H1281" t="s">
        <v>28</v>
      </c>
      <c r="I1281" t="s">
        <v>5860</v>
      </c>
      <c r="J1281" t="s">
        <v>1683</v>
      </c>
    </row>
    <row r="1282" spans="1:10">
      <c r="A1282" t="s">
        <v>5861</v>
      </c>
      <c r="B1282">
        <v>0.241558323639362</v>
      </c>
      <c r="C1282">
        <v>7.6707077259157099</v>
      </c>
      <c r="D1282">
        <v>0.62743196335650797</v>
      </c>
      <c r="E1282">
        <v>1</v>
      </c>
      <c r="F1282">
        <v>20</v>
      </c>
      <c r="G1282">
        <v>18</v>
      </c>
      <c r="H1282" t="s">
        <v>28</v>
      </c>
      <c r="I1282" t="s">
        <v>5862</v>
      </c>
      <c r="J1282" t="s">
        <v>1684</v>
      </c>
    </row>
    <row r="1283" spans="1:10">
      <c r="A1283" t="s">
        <v>5863</v>
      </c>
      <c r="B1283">
        <v>0.241558323639362</v>
      </c>
      <c r="C1283">
        <v>7.6707077259157099</v>
      </c>
      <c r="D1283">
        <v>0.62743196335650797</v>
      </c>
      <c r="E1283">
        <v>1</v>
      </c>
      <c r="F1283">
        <v>20</v>
      </c>
      <c r="G1283">
        <v>18</v>
      </c>
      <c r="H1283" t="s">
        <v>28</v>
      </c>
      <c r="I1283" t="s">
        <v>4402</v>
      </c>
      <c r="J1283" t="s">
        <v>1685</v>
      </c>
    </row>
    <row r="1284" spans="1:10">
      <c r="A1284" t="s">
        <v>5864</v>
      </c>
      <c r="B1284">
        <v>0.241558323639362</v>
      </c>
      <c r="C1284">
        <v>7.6707077259157099</v>
      </c>
      <c r="D1284">
        <v>0.62743196335650797</v>
      </c>
      <c r="E1284">
        <v>1</v>
      </c>
      <c r="F1284">
        <v>20</v>
      </c>
      <c r="G1284">
        <v>18</v>
      </c>
      <c r="H1284" t="s">
        <v>5865</v>
      </c>
      <c r="I1284" t="s">
        <v>5866</v>
      </c>
      <c r="J1284" t="s">
        <v>1686</v>
      </c>
    </row>
    <row r="1285" spans="1:10">
      <c r="A1285" t="s">
        <v>5867</v>
      </c>
      <c r="B1285">
        <v>0.241558323639362</v>
      </c>
      <c r="C1285">
        <v>7.6707077259157099</v>
      </c>
      <c r="D1285">
        <v>0.62743196335650797</v>
      </c>
      <c r="E1285">
        <v>1</v>
      </c>
      <c r="F1285">
        <v>20</v>
      </c>
      <c r="G1285">
        <v>18</v>
      </c>
      <c r="H1285" t="s">
        <v>28</v>
      </c>
      <c r="I1285" t="s">
        <v>5868</v>
      </c>
      <c r="J1285" t="s">
        <v>1687</v>
      </c>
    </row>
    <row r="1286" spans="1:10">
      <c r="A1286" t="s">
        <v>5869</v>
      </c>
      <c r="B1286">
        <v>0.241558323639362</v>
      </c>
      <c r="C1286">
        <v>7.6707077259157099</v>
      </c>
      <c r="D1286">
        <v>0.62743196335650797</v>
      </c>
      <c r="E1286">
        <v>1</v>
      </c>
      <c r="F1286">
        <v>20</v>
      </c>
      <c r="G1286">
        <v>18</v>
      </c>
      <c r="H1286" t="s">
        <v>28</v>
      </c>
      <c r="I1286" t="s">
        <v>3438</v>
      </c>
      <c r="J1286" t="s">
        <v>1688</v>
      </c>
    </row>
    <row r="1287" spans="1:10">
      <c r="A1287" t="s">
        <v>5870</v>
      </c>
      <c r="B1287">
        <v>-0.20825937966920899</v>
      </c>
      <c r="C1287">
        <v>8.4888507548066396</v>
      </c>
      <c r="D1287">
        <v>0.625987215552677</v>
      </c>
      <c r="E1287">
        <v>1</v>
      </c>
      <c r="F1287">
        <v>30</v>
      </c>
      <c r="G1287">
        <v>37</v>
      </c>
      <c r="H1287" t="s">
        <v>5871</v>
      </c>
      <c r="I1287" t="s">
        <v>5872</v>
      </c>
      <c r="J1287" t="s">
        <v>1689</v>
      </c>
    </row>
    <row r="1288" spans="1:10">
      <c r="A1288" t="s">
        <v>5873</v>
      </c>
      <c r="B1288">
        <v>0.22037613159404801</v>
      </c>
      <c r="C1288">
        <v>8.4888738545559104</v>
      </c>
      <c r="D1288">
        <v>0.625987215552677</v>
      </c>
      <c r="E1288">
        <v>1</v>
      </c>
      <c r="F1288">
        <v>35</v>
      </c>
      <c r="G1288">
        <v>32</v>
      </c>
      <c r="H1288" t="s">
        <v>5874</v>
      </c>
      <c r="I1288" t="s">
        <v>5875</v>
      </c>
      <c r="J1288" t="s">
        <v>1690</v>
      </c>
    </row>
    <row r="1289" spans="1:10">
      <c r="A1289" t="s">
        <v>5876</v>
      </c>
      <c r="B1289">
        <v>-0.19011620476955601</v>
      </c>
      <c r="C1289">
        <v>9.0951826011458898</v>
      </c>
      <c r="D1289">
        <v>0.621657803648481</v>
      </c>
      <c r="E1289">
        <v>1</v>
      </c>
      <c r="F1289">
        <v>46</v>
      </c>
      <c r="G1289">
        <v>56</v>
      </c>
      <c r="H1289" t="s">
        <v>28</v>
      </c>
      <c r="I1289" t="s">
        <v>3438</v>
      </c>
      <c r="J1289" t="s">
        <v>1691</v>
      </c>
    </row>
    <row r="1290" spans="1:10">
      <c r="A1290" t="s">
        <v>5877</v>
      </c>
      <c r="B1290">
        <v>0.14859514882553901</v>
      </c>
      <c r="C1290">
        <v>9.0952102725928903</v>
      </c>
      <c r="D1290">
        <v>0.621657803648481</v>
      </c>
      <c r="E1290">
        <v>1</v>
      </c>
      <c r="F1290">
        <v>52</v>
      </c>
      <c r="G1290">
        <v>50</v>
      </c>
      <c r="H1290" t="s">
        <v>5878</v>
      </c>
      <c r="I1290" t="s">
        <v>5879</v>
      </c>
      <c r="J1290" t="s">
        <v>1692</v>
      </c>
    </row>
    <row r="1291" spans="1:10">
      <c r="A1291" t="s">
        <v>5880</v>
      </c>
      <c r="B1291">
        <v>0.22427873630412201</v>
      </c>
      <c r="C1291">
        <v>8.4451523298558904</v>
      </c>
      <c r="D1291">
        <v>0.62071443181417996</v>
      </c>
      <c r="E1291">
        <v>1</v>
      </c>
      <c r="F1291">
        <v>34</v>
      </c>
      <c r="G1291">
        <v>31</v>
      </c>
      <c r="H1291" t="s">
        <v>28</v>
      </c>
      <c r="I1291" t="s">
        <v>5881</v>
      </c>
      <c r="J1291" t="s">
        <v>1693</v>
      </c>
    </row>
    <row r="1292" spans="1:10">
      <c r="A1292" t="s">
        <v>5882</v>
      </c>
      <c r="B1292">
        <v>0.22427873630412201</v>
      </c>
      <c r="C1292">
        <v>8.4451523298558904</v>
      </c>
      <c r="D1292">
        <v>0.62071443181417996</v>
      </c>
      <c r="E1292">
        <v>1</v>
      </c>
      <c r="F1292">
        <v>34</v>
      </c>
      <c r="G1292">
        <v>31</v>
      </c>
      <c r="H1292" t="s">
        <v>28</v>
      </c>
      <c r="I1292" t="s">
        <v>3438</v>
      </c>
      <c r="J1292" t="s">
        <v>1694</v>
      </c>
    </row>
    <row r="1293" spans="1:10">
      <c r="A1293" t="s">
        <v>5883</v>
      </c>
      <c r="B1293">
        <v>-0.38721882737709501</v>
      </c>
      <c r="C1293">
        <v>7.5926865576545897</v>
      </c>
      <c r="D1293">
        <v>0.61803795735581701</v>
      </c>
      <c r="E1293">
        <v>1</v>
      </c>
      <c r="F1293">
        <v>15</v>
      </c>
      <c r="G1293">
        <v>21</v>
      </c>
      <c r="H1293" t="s">
        <v>5884</v>
      </c>
      <c r="I1293" t="s">
        <v>5885</v>
      </c>
      <c r="J1293" t="s">
        <v>1695</v>
      </c>
    </row>
    <row r="1294" spans="1:10">
      <c r="A1294" t="s">
        <v>5886</v>
      </c>
      <c r="B1294">
        <v>0.249728428779214</v>
      </c>
      <c r="C1294">
        <v>7.5927050659873299</v>
      </c>
      <c r="D1294">
        <v>0.61803795735581701</v>
      </c>
      <c r="E1294">
        <v>1</v>
      </c>
      <c r="F1294">
        <v>19</v>
      </c>
      <c r="G1294">
        <v>17</v>
      </c>
      <c r="H1294" t="s">
        <v>28</v>
      </c>
      <c r="I1294" t="s">
        <v>3438</v>
      </c>
      <c r="J1294" t="s">
        <v>1696</v>
      </c>
    </row>
    <row r="1295" spans="1:10">
      <c r="A1295" t="s">
        <v>5887</v>
      </c>
      <c r="B1295">
        <v>0.249728428779214</v>
      </c>
      <c r="C1295">
        <v>7.5927050659873299</v>
      </c>
      <c r="D1295">
        <v>0.61803795735581701</v>
      </c>
      <c r="E1295">
        <v>1</v>
      </c>
      <c r="F1295">
        <v>19</v>
      </c>
      <c r="G1295">
        <v>17</v>
      </c>
      <c r="H1295" t="s">
        <v>5888</v>
      </c>
      <c r="I1295" t="s">
        <v>5889</v>
      </c>
      <c r="J1295" t="s">
        <v>1697</v>
      </c>
    </row>
    <row r="1296" spans="1:10">
      <c r="A1296" t="s">
        <v>5890</v>
      </c>
      <c r="B1296">
        <v>0.249728428779214</v>
      </c>
      <c r="C1296">
        <v>7.5927050659873299</v>
      </c>
      <c r="D1296">
        <v>0.61803795735581701</v>
      </c>
      <c r="E1296">
        <v>1</v>
      </c>
      <c r="F1296">
        <v>19</v>
      </c>
      <c r="G1296">
        <v>17</v>
      </c>
      <c r="H1296" t="s">
        <v>5891</v>
      </c>
      <c r="I1296" t="s">
        <v>5892</v>
      </c>
      <c r="J1296" t="s">
        <v>1698</v>
      </c>
    </row>
    <row r="1297" spans="1:10">
      <c r="A1297" t="s">
        <v>5893</v>
      </c>
      <c r="B1297">
        <v>0.15086397527949</v>
      </c>
      <c r="C1297">
        <v>9.0374944807312794</v>
      </c>
      <c r="D1297">
        <v>0.61460283246616398</v>
      </c>
      <c r="E1297">
        <v>1</v>
      </c>
      <c r="F1297">
        <v>50</v>
      </c>
      <c r="G1297">
        <v>48</v>
      </c>
      <c r="H1297" t="s">
        <v>5894</v>
      </c>
      <c r="I1297" t="s">
        <v>5895</v>
      </c>
      <c r="J1297" t="s">
        <v>1699</v>
      </c>
    </row>
    <row r="1298" spans="1:10">
      <c r="A1298" t="s">
        <v>5896</v>
      </c>
      <c r="B1298">
        <v>-0.17484347604572401</v>
      </c>
      <c r="C1298">
        <v>9.0226720334726291</v>
      </c>
      <c r="D1298">
        <v>0.610925550381614</v>
      </c>
      <c r="E1298">
        <v>1</v>
      </c>
      <c r="F1298">
        <v>44</v>
      </c>
      <c r="G1298">
        <v>53</v>
      </c>
      <c r="H1298" t="s">
        <v>28</v>
      </c>
      <c r="I1298" t="s">
        <v>5897</v>
      </c>
      <c r="J1298" t="s">
        <v>1700</v>
      </c>
    </row>
    <row r="1299" spans="1:10">
      <c r="A1299" t="s">
        <v>5898</v>
      </c>
      <c r="B1299">
        <v>0.23284713641088201</v>
      </c>
      <c r="C1299">
        <v>8.3535215597609405</v>
      </c>
      <c r="D1299">
        <v>0.60946835186449599</v>
      </c>
      <c r="E1299">
        <v>1</v>
      </c>
      <c r="F1299">
        <v>32</v>
      </c>
      <c r="G1299">
        <v>29</v>
      </c>
      <c r="H1299" t="s">
        <v>28</v>
      </c>
      <c r="I1299" t="s">
        <v>3878</v>
      </c>
      <c r="J1299" t="s">
        <v>1701</v>
      </c>
    </row>
    <row r="1300" spans="1:10">
      <c r="A1300" t="s">
        <v>5899</v>
      </c>
      <c r="B1300">
        <v>0.23284713641088201</v>
      </c>
      <c r="C1300">
        <v>8.3535215597609405</v>
      </c>
      <c r="D1300">
        <v>0.60946835186449599</v>
      </c>
      <c r="E1300">
        <v>1</v>
      </c>
      <c r="F1300">
        <v>32</v>
      </c>
      <c r="G1300">
        <v>29</v>
      </c>
      <c r="H1300" t="s">
        <v>4444</v>
      </c>
      <c r="I1300" t="s">
        <v>4445</v>
      </c>
      <c r="J1300" t="s">
        <v>1702</v>
      </c>
    </row>
    <row r="1301" spans="1:10">
      <c r="A1301" t="s">
        <v>5900</v>
      </c>
      <c r="B1301">
        <v>-0.110901620894908</v>
      </c>
      <c r="C1301">
        <v>10.335640898827901</v>
      </c>
      <c r="D1301">
        <v>0.60857168212837398</v>
      </c>
      <c r="E1301">
        <v>1</v>
      </c>
      <c r="F1301">
        <v>112</v>
      </c>
      <c r="G1301">
        <v>129</v>
      </c>
      <c r="H1301" t="s">
        <v>5901</v>
      </c>
      <c r="I1301" t="s">
        <v>5902</v>
      </c>
      <c r="J1301" t="s">
        <v>1703</v>
      </c>
    </row>
    <row r="1302" spans="1:10">
      <c r="A1302" t="s">
        <v>5903</v>
      </c>
      <c r="B1302">
        <v>0.25884876858503297</v>
      </c>
      <c r="C1302">
        <v>7.5102427578387596</v>
      </c>
      <c r="D1302">
        <v>0.60789889750750803</v>
      </c>
      <c r="E1302">
        <v>1</v>
      </c>
      <c r="F1302">
        <v>18</v>
      </c>
      <c r="G1302">
        <v>16</v>
      </c>
      <c r="H1302" t="s">
        <v>5904</v>
      </c>
      <c r="I1302" t="s">
        <v>5905</v>
      </c>
      <c r="J1302" t="s">
        <v>1704</v>
      </c>
    </row>
    <row r="1303" spans="1:10">
      <c r="A1303" t="s">
        <v>5906</v>
      </c>
      <c r="B1303">
        <v>-0.47596468808865</v>
      </c>
      <c r="C1303">
        <v>6.3296575252890701</v>
      </c>
      <c r="D1303">
        <v>0.60737616726717103</v>
      </c>
      <c r="E1303">
        <v>1</v>
      </c>
      <c r="F1303">
        <v>6</v>
      </c>
      <c r="G1303">
        <v>9</v>
      </c>
      <c r="H1303" t="s">
        <v>28</v>
      </c>
      <c r="I1303" t="s">
        <v>3436</v>
      </c>
      <c r="J1303" t="s">
        <v>1705</v>
      </c>
    </row>
    <row r="1304" spans="1:10">
      <c r="A1304" t="s">
        <v>5907</v>
      </c>
      <c r="B1304">
        <v>-0.47596468808865</v>
      </c>
      <c r="C1304">
        <v>6.3296575252890701</v>
      </c>
      <c r="D1304">
        <v>0.60737616726717103</v>
      </c>
      <c r="E1304">
        <v>1</v>
      </c>
      <c r="F1304">
        <v>6</v>
      </c>
      <c r="G1304">
        <v>9</v>
      </c>
      <c r="H1304" t="s">
        <v>5908</v>
      </c>
      <c r="I1304" t="s">
        <v>5909</v>
      </c>
      <c r="J1304" t="s">
        <v>1706</v>
      </c>
    </row>
    <row r="1305" spans="1:10">
      <c r="A1305" t="s">
        <v>5910</v>
      </c>
      <c r="B1305">
        <v>-0.47596468808865</v>
      </c>
      <c r="C1305">
        <v>6.3296575252890701</v>
      </c>
      <c r="D1305">
        <v>0.60737616726717103</v>
      </c>
      <c r="E1305">
        <v>1</v>
      </c>
      <c r="F1305">
        <v>6</v>
      </c>
      <c r="G1305">
        <v>9</v>
      </c>
      <c r="H1305" t="s">
        <v>5911</v>
      </c>
      <c r="I1305" t="s">
        <v>5912</v>
      </c>
      <c r="J1305" t="s">
        <v>1707</v>
      </c>
    </row>
    <row r="1306" spans="1:10">
      <c r="A1306" t="s">
        <v>5913</v>
      </c>
      <c r="B1306">
        <v>-0.47596468808865</v>
      </c>
      <c r="C1306">
        <v>6.3296575252890701</v>
      </c>
      <c r="D1306">
        <v>0.60737616726717103</v>
      </c>
      <c r="E1306">
        <v>1</v>
      </c>
      <c r="F1306">
        <v>6</v>
      </c>
      <c r="G1306">
        <v>9</v>
      </c>
      <c r="H1306" t="s">
        <v>28</v>
      </c>
      <c r="I1306" t="s">
        <v>5914</v>
      </c>
      <c r="J1306" t="s">
        <v>1708</v>
      </c>
    </row>
    <row r="1307" spans="1:10">
      <c r="A1307" t="s">
        <v>5915</v>
      </c>
      <c r="B1307">
        <v>-0.47596468808865</v>
      </c>
      <c r="C1307">
        <v>6.3296575252890701</v>
      </c>
      <c r="D1307">
        <v>0.60737616726717103</v>
      </c>
      <c r="E1307">
        <v>1</v>
      </c>
      <c r="F1307">
        <v>6</v>
      </c>
      <c r="G1307">
        <v>9</v>
      </c>
      <c r="H1307" t="s">
        <v>28</v>
      </c>
      <c r="I1307" t="s">
        <v>3438</v>
      </c>
      <c r="J1307" t="s">
        <v>1709</v>
      </c>
    </row>
    <row r="1308" spans="1:10">
      <c r="A1308" t="s">
        <v>5916</v>
      </c>
      <c r="B1308">
        <v>-0.47596468808865</v>
      </c>
      <c r="C1308">
        <v>6.3296575252890701</v>
      </c>
      <c r="D1308">
        <v>0.60737616726717103</v>
      </c>
      <c r="E1308">
        <v>1</v>
      </c>
      <c r="F1308">
        <v>6</v>
      </c>
      <c r="G1308">
        <v>9</v>
      </c>
      <c r="H1308" t="s">
        <v>28</v>
      </c>
      <c r="I1308" t="s">
        <v>3631</v>
      </c>
      <c r="J1308" t="s">
        <v>1710</v>
      </c>
    </row>
    <row r="1309" spans="1:10">
      <c r="A1309" t="s">
        <v>5917</v>
      </c>
      <c r="B1309">
        <v>-0.47596468808865</v>
      </c>
      <c r="C1309">
        <v>6.3296575252890701</v>
      </c>
      <c r="D1309">
        <v>0.60737616726717103</v>
      </c>
      <c r="E1309">
        <v>1</v>
      </c>
      <c r="F1309">
        <v>6</v>
      </c>
      <c r="G1309">
        <v>9</v>
      </c>
      <c r="H1309" t="s">
        <v>28</v>
      </c>
      <c r="I1309" t="s">
        <v>3438</v>
      </c>
      <c r="J1309" t="s">
        <v>1711</v>
      </c>
    </row>
    <row r="1310" spans="1:10">
      <c r="A1310" t="s">
        <v>5918</v>
      </c>
      <c r="B1310">
        <v>-0.47596468808865</v>
      </c>
      <c r="C1310">
        <v>6.3296575252890701</v>
      </c>
      <c r="D1310">
        <v>0.60737616726717103</v>
      </c>
      <c r="E1310">
        <v>1</v>
      </c>
      <c r="F1310">
        <v>6</v>
      </c>
      <c r="G1310">
        <v>9</v>
      </c>
      <c r="H1310" t="s">
        <v>28</v>
      </c>
      <c r="I1310" t="s">
        <v>3438</v>
      </c>
      <c r="J1310" t="s">
        <v>1712</v>
      </c>
    </row>
    <row r="1311" spans="1:10">
      <c r="A1311" t="s">
        <v>5919</v>
      </c>
      <c r="B1311">
        <v>-0.47596468808865</v>
      </c>
      <c r="C1311">
        <v>6.3296575252890701</v>
      </c>
      <c r="D1311">
        <v>0.60737616726717103</v>
      </c>
      <c r="E1311">
        <v>1</v>
      </c>
      <c r="F1311">
        <v>6</v>
      </c>
      <c r="G1311">
        <v>9</v>
      </c>
      <c r="H1311" t="s">
        <v>28</v>
      </c>
      <c r="I1311" t="s">
        <v>3438</v>
      </c>
      <c r="J1311" t="s">
        <v>330</v>
      </c>
    </row>
    <row r="1312" spans="1:10">
      <c r="A1312" t="s">
        <v>5920</v>
      </c>
      <c r="B1312">
        <v>0.65523095868514503</v>
      </c>
      <c r="C1312">
        <v>6.3296714211174496</v>
      </c>
      <c r="D1312">
        <v>0.60737616726717103</v>
      </c>
      <c r="E1312">
        <v>1</v>
      </c>
      <c r="F1312">
        <v>9</v>
      </c>
      <c r="G1312">
        <v>6</v>
      </c>
      <c r="H1312" t="s">
        <v>28</v>
      </c>
      <c r="I1312" t="s">
        <v>3438</v>
      </c>
      <c r="J1312" t="s">
        <v>1713</v>
      </c>
    </row>
    <row r="1313" spans="1:10">
      <c r="A1313" t="s">
        <v>5921</v>
      </c>
      <c r="B1313">
        <v>0.65523095868514503</v>
      </c>
      <c r="C1313">
        <v>6.3296714211174496</v>
      </c>
      <c r="D1313">
        <v>0.60737616726717103</v>
      </c>
      <c r="E1313">
        <v>1</v>
      </c>
      <c r="F1313">
        <v>9</v>
      </c>
      <c r="G1313">
        <v>6</v>
      </c>
      <c r="H1313" t="s">
        <v>5922</v>
      </c>
      <c r="I1313" t="s">
        <v>5923</v>
      </c>
      <c r="J1313" t="s">
        <v>1714</v>
      </c>
    </row>
    <row r="1314" spans="1:10">
      <c r="A1314" t="s">
        <v>5924</v>
      </c>
      <c r="B1314">
        <v>0.65523095868514503</v>
      </c>
      <c r="C1314">
        <v>6.3296714211174496</v>
      </c>
      <c r="D1314">
        <v>0.60737616726717103</v>
      </c>
      <c r="E1314">
        <v>1</v>
      </c>
      <c r="F1314">
        <v>9</v>
      </c>
      <c r="G1314">
        <v>6</v>
      </c>
      <c r="H1314" t="s">
        <v>28</v>
      </c>
      <c r="I1314" t="s">
        <v>3438</v>
      </c>
      <c r="J1314" t="s">
        <v>160</v>
      </c>
    </row>
    <row r="1315" spans="1:10">
      <c r="A1315" t="s">
        <v>5925</v>
      </c>
      <c r="B1315">
        <v>0.65523095868514503</v>
      </c>
      <c r="C1315">
        <v>6.3296714211174496</v>
      </c>
      <c r="D1315">
        <v>0.60737616726717103</v>
      </c>
      <c r="E1315">
        <v>1</v>
      </c>
      <c r="F1315">
        <v>9</v>
      </c>
      <c r="G1315">
        <v>6</v>
      </c>
      <c r="H1315" t="s">
        <v>28</v>
      </c>
      <c r="I1315" t="s">
        <v>3438</v>
      </c>
      <c r="J1315" t="s">
        <v>1715</v>
      </c>
    </row>
    <row r="1316" spans="1:10">
      <c r="A1316" t="s">
        <v>5926</v>
      </c>
      <c r="B1316">
        <v>0.65523095868514503</v>
      </c>
      <c r="C1316">
        <v>6.3296714211174496</v>
      </c>
      <c r="D1316">
        <v>0.60737616726717103</v>
      </c>
      <c r="E1316">
        <v>1</v>
      </c>
      <c r="F1316">
        <v>9</v>
      </c>
      <c r="G1316">
        <v>6</v>
      </c>
      <c r="H1316" t="s">
        <v>28</v>
      </c>
      <c r="I1316" t="s">
        <v>3438</v>
      </c>
      <c r="J1316" t="s">
        <v>1716</v>
      </c>
    </row>
    <row r="1317" spans="1:10">
      <c r="A1317" t="s">
        <v>5927</v>
      </c>
      <c r="B1317">
        <v>0.65523095868514503</v>
      </c>
      <c r="C1317">
        <v>6.3296714211174496</v>
      </c>
      <c r="D1317">
        <v>0.60737616726717103</v>
      </c>
      <c r="E1317">
        <v>1</v>
      </c>
      <c r="F1317">
        <v>9</v>
      </c>
      <c r="G1317">
        <v>6</v>
      </c>
      <c r="H1317" t="s">
        <v>5928</v>
      </c>
      <c r="I1317" t="s">
        <v>5929</v>
      </c>
      <c r="J1317" t="s">
        <v>1717</v>
      </c>
    </row>
    <row r="1318" spans="1:10">
      <c r="A1318" t="s">
        <v>5930</v>
      </c>
      <c r="B1318">
        <v>0.65523095868514503</v>
      </c>
      <c r="C1318">
        <v>6.3296714211174496</v>
      </c>
      <c r="D1318">
        <v>0.60737616726717103</v>
      </c>
      <c r="E1318">
        <v>1</v>
      </c>
      <c r="F1318">
        <v>9</v>
      </c>
      <c r="G1318">
        <v>6</v>
      </c>
      <c r="H1318" t="s">
        <v>28</v>
      </c>
      <c r="I1318" t="s">
        <v>3438</v>
      </c>
      <c r="J1318" t="s">
        <v>1718</v>
      </c>
    </row>
    <row r="1319" spans="1:10">
      <c r="A1319" t="s">
        <v>5931</v>
      </c>
      <c r="B1319">
        <v>0.65523095868514503</v>
      </c>
      <c r="C1319">
        <v>6.3296714211174496</v>
      </c>
      <c r="D1319">
        <v>0.60737616726717103</v>
      </c>
      <c r="E1319">
        <v>1</v>
      </c>
      <c r="F1319">
        <v>9</v>
      </c>
      <c r="G1319">
        <v>6</v>
      </c>
      <c r="H1319" t="s">
        <v>28</v>
      </c>
      <c r="I1319" t="s">
        <v>3657</v>
      </c>
      <c r="J1319" t="s">
        <v>1719</v>
      </c>
    </row>
    <row r="1320" spans="1:10">
      <c r="A1320" t="s">
        <v>5932</v>
      </c>
      <c r="B1320">
        <v>0.65523095868514503</v>
      </c>
      <c r="C1320">
        <v>6.3296714211174496</v>
      </c>
      <c r="D1320">
        <v>0.60737616726717103</v>
      </c>
      <c r="E1320">
        <v>1</v>
      </c>
      <c r="F1320">
        <v>9</v>
      </c>
      <c r="G1320">
        <v>6</v>
      </c>
      <c r="H1320" t="s">
        <v>5933</v>
      </c>
      <c r="I1320" t="s">
        <v>5934</v>
      </c>
      <c r="J1320" t="s">
        <v>1720</v>
      </c>
    </row>
    <row r="1321" spans="1:10">
      <c r="A1321" t="s">
        <v>5935</v>
      </c>
      <c r="B1321">
        <v>-0.18048053109748299</v>
      </c>
      <c r="C1321">
        <v>8.9926146500353408</v>
      </c>
      <c r="D1321">
        <v>0.60714200511641703</v>
      </c>
      <c r="E1321">
        <v>1</v>
      </c>
      <c r="F1321">
        <v>43</v>
      </c>
      <c r="G1321">
        <v>52</v>
      </c>
      <c r="H1321" t="s">
        <v>28</v>
      </c>
      <c r="I1321" t="s">
        <v>3438</v>
      </c>
      <c r="J1321" t="s">
        <v>1721</v>
      </c>
    </row>
    <row r="1322" spans="1:10">
      <c r="A1322" t="s">
        <v>5936</v>
      </c>
      <c r="B1322">
        <v>0.237564400751163</v>
      </c>
      <c r="C1322">
        <v>8.3054271242012092</v>
      </c>
      <c r="D1322">
        <v>0.60345950615200605</v>
      </c>
      <c r="E1322">
        <v>1</v>
      </c>
      <c r="F1322">
        <v>31</v>
      </c>
      <c r="G1322">
        <v>28</v>
      </c>
      <c r="H1322" t="s">
        <v>28</v>
      </c>
      <c r="I1322" t="s">
        <v>3438</v>
      </c>
      <c r="J1322" t="s">
        <v>1722</v>
      </c>
    </row>
    <row r="1323" spans="1:10">
      <c r="A1323" t="s">
        <v>5937</v>
      </c>
      <c r="B1323">
        <v>0.237564400751163</v>
      </c>
      <c r="C1323">
        <v>8.3054271242012092</v>
      </c>
      <c r="D1323">
        <v>0.60345950615200605</v>
      </c>
      <c r="E1323">
        <v>1</v>
      </c>
      <c r="F1323">
        <v>31</v>
      </c>
      <c r="G1323">
        <v>28</v>
      </c>
      <c r="H1323" t="s">
        <v>5938</v>
      </c>
      <c r="I1323" t="s">
        <v>5939</v>
      </c>
      <c r="J1323" t="s">
        <v>1723</v>
      </c>
    </row>
    <row r="1324" spans="1:10">
      <c r="A1324" t="s">
        <v>5940</v>
      </c>
      <c r="B1324">
        <v>9.2582714560678195E-2</v>
      </c>
      <c r="C1324">
        <v>10.622466683234199</v>
      </c>
      <c r="D1324">
        <v>0.60239240001776295</v>
      </c>
      <c r="E1324">
        <v>1</v>
      </c>
      <c r="F1324">
        <v>147</v>
      </c>
      <c r="G1324">
        <v>147</v>
      </c>
      <c r="H1324" t="s">
        <v>5941</v>
      </c>
      <c r="I1324" t="s">
        <v>5942</v>
      </c>
      <c r="J1324" t="s">
        <v>1724</v>
      </c>
    </row>
    <row r="1325" spans="1:10">
      <c r="A1325" t="s">
        <v>5943</v>
      </c>
      <c r="B1325">
        <v>-0.19250092329794599</v>
      </c>
      <c r="C1325">
        <v>8.9305533826516807</v>
      </c>
      <c r="D1325">
        <v>0.59923492376369003</v>
      </c>
      <c r="E1325">
        <v>1</v>
      </c>
      <c r="F1325">
        <v>41</v>
      </c>
      <c r="G1325">
        <v>50</v>
      </c>
      <c r="H1325" t="s">
        <v>28</v>
      </c>
      <c r="I1325" t="s">
        <v>3657</v>
      </c>
      <c r="J1325" t="s">
        <v>1725</v>
      </c>
    </row>
    <row r="1326" spans="1:10">
      <c r="A1326" t="s">
        <v>5944</v>
      </c>
      <c r="B1326">
        <v>0.21984111196421299</v>
      </c>
      <c r="C1326">
        <v>8.9146417592925093</v>
      </c>
      <c r="D1326">
        <v>0.59923492376369003</v>
      </c>
      <c r="E1326">
        <v>1</v>
      </c>
      <c r="F1326">
        <v>47</v>
      </c>
      <c r="G1326">
        <v>43</v>
      </c>
      <c r="H1326" t="s">
        <v>28</v>
      </c>
      <c r="I1326" t="s">
        <v>5945</v>
      </c>
      <c r="J1326" t="s">
        <v>1726</v>
      </c>
    </row>
    <row r="1327" spans="1:10">
      <c r="A1327" t="s">
        <v>5946</v>
      </c>
      <c r="B1327">
        <v>-0.123479017498593</v>
      </c>
      <c r="C1327">
        <v>10.249299004373499</v>
      </c>
      <c r="D1327">
        <v>0.59760587076357097</v>
      </c>
      <c r="E1327">
        <v>1</v>
      </c>
      <c r="F1327">
        <v>105</v>
      </c>
      <c r="G1327">
        <v>122</v>
      </c>
      <c r="H1327" t="s">
        <v>5947</v>
      </c>
      <c r="I1327" t="s">
        <v>5948</v>
      </c>
      <c r="J1327" t="s">
        <v>1727</v>
      </c>
    </row>
    <row r="1328" spans="1:10">
      <c r="A1328" t="s">
        <v>5949</v>
      </c>
      <c r="B1328">
        <v>-0.13951847471144799</v>
      </c>
      <c r="C1328">
        <v>9.8656969349210399</v>
      </c>
      <c r="D1328">
        <v>0.59736924194551699</v>
      </c>
      <c r="E1328">
        <v>1</v>
      </c>
      <c r="F1328">
        <v>80</v>
      </c>
      <c r="G1328">
        <v>94</v>
      </c>
      <c r="H1328" t="s">
        <v>5950</v>
      </c>
      <c r="I1328" t="s">
        <v>5951</v>
      </c>
      <c r="J1328" t="s">
        <v>1728</v>
      </c>
    </row>
    <row r="1329" spans="1:10">
      <c r="A1329" t="s">
        <v>5952</v>
      </c>
      <c r="B1329">
        <v>0.242610679524355</v>
      </c>
      <c r="C1329">
        <v>8.2556739416160791</v>
      </c>
      <c r="D1329">
        <v>0.59716650705227403</v>
      </c>
      <c r="E1329">
        <v>1</v>
      </c>
      <c r="F1329">
        <v>30</v>
      </c>
      <c r="G1329">
        <v>27</v>
      </c>
      <c r="H1329" t="s">
        <v>28</v>
      </c>
      <c r="I1329" t="s">
        <v>3438</v>
      </c>
      <c r="J1329" t="s">
        <v>1729</v>
      </c>
    </row>
    <row r="1330" spans="1:10">
      <c r="A1330" t="s">
        <v>5953</v>
      </c>
      <c r="B1330">
        <v>-0.34257174738315399</v>
      </c>
      <c r="C1330">
        <v>7.4671577647332104</v>
      </c>
      <c r="D1330">
        <v>0.596910942209391</v>
      </c>
      <c r="E1330">
        <v>1</v>
      </c>
      <c r="F1330">
        <v>14</v>
      </c>
      <c r="G1330">
        <v>19</v>
      </c>
      <c r="H1330" t="s">
        <v>28</v>
      </c>
      <c r="I1330" t="s">
        <v>3438</v>
      </c>
      <c r="J1330" t="s">
        <v>1730</v>
      </c>
    </row>
    <row r="1331" spans="1:10">
      <c r="A1331" t="s">
        <v>5954</v>
      </c>
      <c r="B1331">
        <v>-0.34257174738315399</v>
      </c>
      <c r="C1331">
        <v>7.4671577647332104</v>
      </c>
      <c r="D1331">
        <v>0.596910942209391</v>
      </c>
      <c r="E1331">
        <v>1</v>
      </c>
      <c r="F1331">
        <v>14</v>
      </c>
      <c r="G1331">
        <v>19</v>
      </c>
      <c r="H1331" t="s">
        <v>28</v>
      </c>
      <c r="I1331" t="s">
        <v>3438</v>
      </c>
      <c r="J1331" t="s">
        <v>1731</v>
      </c>
    </row>
    <row r="1332" spans="1:10">
      <c r="A1332" t="s">
        <v>5955</v>
      </c>
      <c r="B1332">
        <v>0.26909557498029602</v>
      </c>
      <c r="C1332">
        <v>7.4227797686023198</v>
      </c>
      <c r="D1332">
        <v>0.596910942209391</v>
      </c>
      <c r="E1332">
        <v>1</v>
      </c>
      <c r="F1332">
        <v>17</v>
      </c>
      <c r="G1332">
        <v>15</v>
      </c>
      <c r="H1332" t="s">
        <v>28</v>
      </c>
      <c r="I1332" t="s">
        <v>3438</v>
      </c>
      <c r="J1332" t="s">
        <v>1732</v>
      </c>
    </row>
    <row r="1333" spans="1:10">
      <c r="A1333" t="s">
        <v>5956</v>
      </c>
      <c r="B1333">
        <v>0.26909557498029602</v>
      </c>
      <c r="C1333">
        <v>7.4227797686023198</v>
      </c>
      <c r="D1333">
        <v>0.596910942209391</v>
      </c>
      <c r="E1333">
        <v>1</v>
      </c>
      <c r="F1333">
        <v>17</v>
      </c>
      <c r="G1333">
        <v>15</v>
      </c>
      <c r="H1333" t="s">
        <v>28</v>
      </c>
      <c r="I1333" t="s">
        <v>5301</v>
      </c>
      <c r="J1333" t="s">
        <v>1733</v>
      </c>
    </row>
    <row r="1334" spans="1:10">
      <c r="A1334" t="s">
        <v>5957</v>
      </c>
      <c r="B1334">
        <v>0.26909557498029602</v>
      </c>
      <c r="C1334">
        <v>7.4227797686023198</v>
      </c>
      <c r="D1334">
        <v>0.596910942209391</v>
      </c>
      <c r="E1334">
        <v>1</v>
      </c>
      <c r="F1334">
        <v>17</v>
      </c>
      <c r="G1334">
        <v>15</v>
      </c>
      <c r="H1334" t="s">
        <v>28</v>
      </c>
      <c r="I1334" t="s">
        <v>3593</v>
      </c>
      <c r="J1334" t="s">
        <v>1734</v>
      </c>
    </row>
    <row r="1335" spans="1:10">
      <c r="A1335" t="s">
        <v>5958</v>
      </c>
      <c r="B1335">
        <v>0.26909557498029602</v>
      </c>
      <c r="C1335">
        <v>7.4227797686023198</v>
      </c>
      <c r="D1335">
        <v>0.596910942209391</v>
      </c>
      <c r="E1335">
        <v>1</v>
      </c>
      <c r="F1335">
        <v>17</v>
      </c>
      <c r="G1335">
        <v>15</v>
      </c>
      <c r="H1335" t="s">
        <v>5959</v>
      </c>
      <c r="I1335" t="s">
        <v>5960</v>
      </c>
      <c r="J1335" t="s">
        <v>1735</v>
      </c>
    </row>
    <row r="1336" spans="1:10">
      <c r="A1336" t="s">
        <v>5961</v>
      </c>
      <c r="B1336">
        <v>0.26909557498029602</v>
      </c>
      <c r="C1336">
        <v>7.4227797686023198</v>
      </c>
      <c r="D1336">
        <v>0.596910942209391</v>
      </c>
      <c r="E1336">
        <v>1</v>
      </c>
      <c r="F1336">
        <v>17</v>
      </c>
      <c r="G1336">
        <v>15</v>
      </c>
      <c r="H1336" t="s">
        <v>28</v>
      </c>
      <c r="I1336" t="s">
        <v>3438</v>
      </c>
      <c r="J1336" t="s">
        <v>349</v>
      </c>
    </row>
    <row r="1337" spans="1:10">
      <c r="A1337" t="s">
        <v>5962</v>
      </c>
      <c r="B1337">
        <v>0.16028041651935901</v>
      </c>
      <c r="C1337">
        <v>9.4114737554023904</v>
      </c>
      <c r="D1337">
        <v>0.59578323704940395</v>
      </c>
      <c r="E1337">
        <v>1</v>
      </c>
      <c r="F1337">
        <v>65</v>
      </c>
      <c r="G1337">
        <v>62</v>
      </c>
      <c r="H1337" t="s">
        <v>28</v>
      </c>
      <c r="I1337" t="s">
        <v>3627</v>
      </c>
      <c r="J1337" t="s">
        <v>1736</v>
      </c>
    </row>
    <row r="1338" spans="1:10">
      <c r="A1338" t="s">
        <v>5963</v>
      </c>
      <c r="B1338">
        <v>0.222717295140024</v>
      </c>
      <c r="C1338">
        <v>8.8822201348952099</v>
      </c>
      <c r="D1338">
        <v>0.59509984528374804</v>
      </c>
      <c r="E1338">
        <v>1</v>
      </c>
      <c r="F1338">
        <v>46</v>
      </c>
      <c r="G1338">
        <v>42</v>
      </c>
      <c r="H1338" t="s">
        <v>5964</v>
      </c>
      <c r="I1338" t="s">
        <v>5965</v>
      </c>
      <c r="J1338" t="s">
        <v>1737</v>
      </c>
    </row>
    <row r="1339" spans="1:10">
      <c r="A1339" t="s">
        <v>5966</v>
      </c>
      <c r="B1339">
        <v>-0.16118545802123699</v>
      </c>
      <c r="C1339">
        <v>9.3885409603619401</v>
      </c>
      <c r="D1339">
        <v>0.59283994245398797</v>
      </c>
      <c r="E1339">
        <v>1</v>
      </c>
      <c r="F1339">
        <v>57</v>
      </c>
      <c r="G1339">
        <v>68</v>
      </c>
      <c r="H1339" t="s">
        <v>5967</v>
      </c>
      <c r="I1339" t="s">
        <v>5968</v>
      </c>
      <c r="J1339" t="s">
        <v>1738</v>
      </c>
    </row>
    <row r="1340" spans="1:10">
      <c r="A1340" t="s">
        <v>5969</v>
      </c>
      <c r="B1340">
        <v>0.22572675742982301</v>
      </c>
      <c r="C1340">
        <v>8.8490531242259092</v>
      </c>
      <c r="D1340">
        <v>0.59083534884177502</v>
      </c>
      <c r="E1340">
        <v>1</v>
      </c>
      <c r="F1340">
        <v>45</v>
      </c>
      <c r="G1340">
        <v>41</v>
      </c>
      <c r="H1340" t="s">
        <v>5970</v>
      </c>
      <c r="I1340" t="s">
        <v>5971</v>
      </c>
      <c r="J1340" t="s">
        <v>1739</v>
      </c>
    </row>
    <row r="1341" spans="1:10">
      <c r="A1341" t="s">
        <v>5972</v>
      </c>
      <c r="B1341">
        <v>-0.27398007016229398</v>
      </c>
      <c r="C1341">
        <v>8.2041203800159295</v>
      </c>
      <c r="D1341">
        <v>0.59056628044553505</v>
      </c>
      <c r="E1341">
        <v>1</v>
      </c>
      <c r="F1341">
        <v>24</v>
      </c>
      <c r="G1341">
        <v>31</v>
      </c>
      <c r="H1341" t="s">
        <v>28</v>
      </c>
      <c r="I1341" t="s">
        <v>3438</v>
      </c>
      <c r="J1341" t="s">
        <v>1740</v>
      </c>
    </row>
    <row r="1342" spans="1:10">
      <c r="A1342" t="s">
        <v>5973</v>
      </c>
      <c r="B1342">
        <v>0.248021672473483</v>
      </c>
      <c r="C1342">
        <v>8.2041434935586199</v>
      </c>
      <c r="D1342">
        <v>0.59056628044553505</v>
      </c>
      <c r="E1342">
        <v>1</v>
      </c>
      <c r="F1342">
        <v>29</v>
      </c>
      <c r="G1342">
        <v>26</v>
      </c>
      <c r="H1342" t="s">
        <v>28</v>
      </c>
      <c r="I1342" t="s">
        <v>3438</v>
      </c>
      <c r="J1342" t="s">
        <v>1741</v>
      </c>
    </row>
    <row r="1343" spans="1:10">
      <c r="A1343" t="s">
        <v>5974</v>
      </c>
      <c r="B1343">
        <v>-9.5191166985386794E-2</v>
      </c>
      <c r="C1343">
        <v>10.8236268073251</v>
      </c>
      <c r="D1343">
        <v>0.58912523196143296</v>
      </c>
      <c r="E1343">
        <v>1</v>
      </c>
      <c r="F1343">
        <v>158</v>
      </c>
      <c r="G1343">
        <v>180</v>
      </c>
      <c r="H1343" t="s">
        <v>28</v>
      </c>
      <c r="I1343" t="s">
        <v>4348</v>
      </c>
      <c r="J1343" t="s">
        <v>1742</v>
      </c>
    </row>
    <row r="1344" spans="1:10">
      <c r="A1344" t="s">
        <v>5975</v>
      </c>
      <c r="B1344">
        <v>-0.121103649336923</v>
      </c>
      <c r="C1344">
        <v>10.1776394896934</v>
      </c>
      <c r="D1344">
        <v>0.58745118296850596</v>
      </c>
      <c r="E1344">
        <v>1</v>
      </c>
      <c r="F1344">
        <v>100</v>
      </c>
      <c r="G1344">
        <v>116</v>
      </c>
      <c r="H1344" t="s">
        <v>28</v>
      </c>
      <c r="I1344" t="s">
        <v>3438</v>
      </c>
      <c r="J1344" t="s">
        <v>1743</v>
      </c>
    </row>
    <row r="1345" spans="1:10">
      <c r="A1345" t="s">
        <v>5976</v>
      </c>
      <c r="B1345">
        <v>-0.181807044643152</v>
      </c>
      <c r="C1345">
        <v>8.8150779492552598</v>
      </c>
      <c r="D1345">
        <v>0.58643455693158997</v>
      </c>
      <c r="E1345">
        <v>1</v>
      </c>
      <c r="F1345">
        <v>38</v>
      </c>
      <c r="G1345">
        <v>46</v>
      </c>
      <c r="H1345" t="s">
        <v>28</v>
      </c>
      <c r="I1345" t="s">
        <v>3438</v>
      </c>
      <c r="J1345" t="s">
        <v>1744</v>
      </c>
    </row>
    <row r="1346" spans="1:10">
      <c r="A1346" t="s">
        <v>5977</v>
      </c>
      <c r="B1346">
        <v>-0.37067370915758402</v>
      </c>
      <c r="C1346">
        <v>7.3769598061468997</v>
      </c>
      <c r="D1346">
        <v>0.58494884201277797</v>
      </c>
      <c r="E1346">
        <v>1</v>
      </c>
      <c r="F1346">
        <v>13</v>
      </c>
      <c r="G1346">
        <v>18</v>
      </c>
      <c r="H1346" t="s">
        <v>28</v>
      </c>
      <c r="I1346" t="s">
        <v>3438</v>
      </c>
      <c r="J1346" t="s">
        <v>1745</v>
      </c>
    </row>
    <row r="1347" spans="1:10">
      <c r="A1347" t="s">
        <v>5978</v>
      </c>
      <c r="B1347">
        <v>-0.37067370915758402</v>
      </c>
      <c r="C1347">
        <v>7.3769598061468997</v>
      </c>
      <c r="D1347">
        <v>0.58494884201277797</v>
      </c>
      <c r="E1347">
        <v>1</v>
      </c>
      <c r="F1347">
        <v>13</v>
      </c>
      <c r="G1347">
        <v>18</v>
      </c>
      <c r="H1347" t="s">
        <v>5979</v>
      </c>
      <c r="I1347" t="s">
        <v>3438</v>
      </c>
      <c r="J1347" t="s">
        <v>1746</v>
      </c>
    </row>
    <row r="1348" spans="1:10">
      <c r="A1348" t="s">
        <v>5980</v>
      </c>
      <c r="B1348">
        <v>-0.37067370915758402</v>
      </c>
      <c r="C1348">
        <v>7.3769598061468997</v>
      </c>
      <c r="D1348">
        <v>0.58494884201277797</v>
      </c>
      <c r="E1348">
        <v>1</v>
      </c>
      <c r="F1348">
        <v>13</v>
      </c>
      <c r="G1348">
        <v>18</v>
      </c>
      <c r="H1348" t="s">
        <v>5981</v>
      </c>
      <c r="I1348" t="s">
        <v>3438</v>
      </c>
      <c r="J1348" t="s">
        <v>1747</v>
      </c>
    </row>
    <row r="1349" spans="1:10">
      <c r="A1349" t="s">
        <v>5982</v>
      </c>
      <c r="B1349">
        <v>-0.37067370915758402</v>
      </c>
      <c r="C1349">
        <v>7.3769598061468997</v>
      </c>
      <c r="D1349">
        <v>0.58494884201277797</v>
      </c>
      <c r="E1349">
        <v>1</v>
      </c>
      <c r="F1349">
        <v>13</v>
      </c>
      <c r="G1349">
        <v>18</v>
      </c>
      <c r="H1349" t="s">
        <v>28</v>
      </c>
      <c r="I1349" t="s">
        <v>3438</v>
      </c>
      <c r="J1349" t="s">
        <v>1748</v>
      </c>
    </row>
    <row r="1350" spans="1:10">
      <c r="A1350" t="s">
        <v>5983</v>
      </c>
      <c r="B1350">
        <v>-0.37067370915758402</v>
      </c>
      <c r="C1350">
        <v>7.3769598061468997</v>
      </c>
      <c r="D1350">
        <v>0.58494884201277797</v>
      </c>
      <c r="E1350">
        <v>1</v>
      </c>
      <c r="F1350">
        <v>13</v>
      </c>
      <c r="G1350">
        <v>18</v>
      </c>
      <c r="H1350" t="s">
        <v>5984</v>
      </c>
      <c r="I1350" t="s">
        <v>5985</v>
      </c>
      <c r="J1350" t="s">
        <v>1749</v>
      </c>
    </row>
    <row r="1351" spans="1:10">
      <c r="A1351" t="s">
        <v>5986</v>
      </c>
      <c r="B1351">
        <v>-0.28784587040440002</v>
      </c>
      <c r="C1351">
        <v>8.1506809713072297</v>
      </c>
      <c r="D1351">
        <v>0.58363305071339999</v>
      </c>
      <c r="E1351">
        <v>1</v>
      </c>
      <c r="F1351">
        <v>23</v>
      </c>
      <c r="G1351">
        <v>30</v>
      </c>
      <c r="H1351" t="s">
        <v>28</v>
      </c>
      <c r="I1351" t="s">
        <v>5838</v>
      </c>
      <c r="J1351" t="s">
        <v>207</v>
      </c>
    </row>
    <row r="1352" spans="1:10">
      <c r="A1352" t="s">
        <v>5987</v>
      </c>
      <c r="B1352">
        <v>0.25383844350462398</v>
      </c>
      <c r="C1352">
        <v>8.1507040871504195</v>
      </c>
      <c r="D1352">
        <v>0.58363305071339999</v>
      </c>
      <c r="E1352">
        <v>1</v>
      </c>
      <c r="F1352">
        <v>28</v>
      </c>
      <c r="G1352">
        <v>25</v>
      </c>
      <c r="H1352" t="s">
        <v>5988</v>
      </c>
      <c r="I1352" t="s">
        <v>5989</v>
      </c>
      <c r="J1352" t="s">
        <v>1750</v>
      </c>
    </row>
    <row r="1353" spans="1:10">
      <c r="A1353" t="s">
        <v>5990</v>
      </c>
      <c r="B1353">
        <v>0.25383844350462398</v>
      </c>
      <c r="C1353">
        <v>8.1507040871504195</v>
      </c>
      <c r="D1353">
        <v>0.58363305071339999</v>
      </c>
      <c r="E1353">
        <v>1</v>
      </c>
      <c r="F1353">
        <v>28</v>
      </c>
      <c r="G1353">
        <v>25</v>
      </c>
      <c r="H1353" t="s">
        <v>28</v>
      </c>
      <c r="I1353" t="s">
        <v>3438</v>
      </c>
      <c r="J1353" t="s">
        <v>1751</v>
      </c>
    </row>
    <row r="1354" spans="1:10">
      <c r="A1354" t="s">
        <v>5991</v>
      </c>
      <c r="B1354">
        <v>-0.12722227160767199</v>
      </c>
      <c r="C1354">
        <v>10.1369970568875</v>
      </c>
      <c r="D1354">
        <v>0.58208281169065501</v>
      </c>
      <c r="E1354">
        <v>1</v>
      </c>
      <c r="F1354">
        <v>97</v>
      </c>
      <c r="G1354">
        <v>113</v>
      </c>
      <c r="H1354" t="s">
        <v>5992</v>
      </c>
      <c r="I1354" t="s">
        <v>5993</v>
      </c>
      <c r="J1354" t="s">
        <v>1752</v>
      </c>
    </row>
    <row r="1355" spans="1:10">
      <c r="A1355" t="s">
        <v>5994</v>
      </c>
      <c r="B1355">
        <v>-0.56294959714815895</v>
      </c>
      <c r="C1355">
        <v>6.1232064984000196</v>
      </c>
      <c r="D1355">
        <v>0.58118031770368195</v>
      </c>
      <c r="E1355">
        <v>1</v>
      </c>
      <c r="F1355">
        <v>5</v>
      </c>
      <c r="G1355">
        <v>8</v>
      </c>
      <c r="H1355" t="s">
        <v>5995</v>
      </c>
      <c r="I1355" t="s">
        <v>5996</v>
      </c>
      <c r="J1355" t="s">
        <v>1753</v>
      </c>
    </row>
    <row r="1356" spans="1:10">
      <c r="A1356" t="s">
        <v>5997</v>
      </c>
      <c r="B1356">
        <v>-0.56294959714815895</v>
      </c>
      <c r="C1356">
        <v>6.1232064984000196</v>
      </c>
      <c r="D1356">
        <v>0.58118031770368195</v>
      </c>
      <c r="E1356">
        <v>1</v>
      </c>
      <c r="F1356">
        <v>5</v>
      </c>
      <c r="G1356">
        <v>8</v>
      </c>
      <c r="H1356" t="s">
        <v>28</v>
      </c>
      <c r="I1356" t="s">
        <v>3438</v>
      </c>
      <c r="J1356" t="s">
        <v>1754</v>
      </c>
    </row>
    <row r="1357" spans="1:10">
      <c r="A1357" t="s">
        <v>5998</v>
      </c>
      <c r="B1357">
        <v>-0.56294959714815895</v>
      </c>
      <c r="C1357">
        <v>6.1232064984000196</v>
      </c>
      <c r="D1357">
        <v>0.58118031770368195</v>
      </c>
      <c r="E1357">
        <v>1</v>
      </c>
      <c r="F1357">
        <v>5</v>
      </c>
      <c r="G1357">
        <v>8</v>
      </c>
      <c r="H1357" t="s">
        <v>5999</v>
      </c>
      <c r="I1357" t="s">
        <v>6000</v>
      </c>
      <c r="J1357" t="s">
        <v>1755</v>
      </c>
    </row>
    <row r="1358" spans="1:10">
      <c r="A1358" t="s">
        <v>6001</v>
      </c>
      <c r="B1358">
        <v>-0.56294959714815895</v>
      </c>
      <c r="C1358">
        <v>6.1232064984000196</v>
      </c>
      <c r="D1358">
        <v>0.58118031770368195</v>
      </c>
      <c r="E1358">
        <v>1</v>
      </c>
      <c r="F1358">
        <v>5</v>
      </c>
      <c r="G1358">
        <v>8</v>
      </c>
      <c r="H1358" t="s">
        <v>28</v>
      </c>
      <c r="I1358" t="s">
        <v>3438</v>
      </c>
      <c r="J1358" t="s">
        <v>1756</v>
      </c>
    </row>
    <row r="1359" spans="1:10">
      <c r="A1359" t="s">
        <v>6002</v>
      </c>
      <c r="B1359">
        <v>-0.56294959714815895</v>
      </c>
      <c r="C1359">
        <v>6.1232064984000196</v>
      </c>
      <c r="D1359">
        <v>0.58118031770368195</v>
      </c>
      <c r="E1359">
        <v>1</v>
      </c>
      <c r="F1359">
        <v>5</v>
      </c>
      <c r="G1359">
        <v>8</v>
      </c>
      <c r="H1359" t="s">
        <v>28</v>
      </c>
      <c r="I1359" t="s">
        <v>3438</v>
      </c>
      <c r="J1359" t="s">
        <v>1757</v>
      </c>
    </row>
    <row r="1360" spans="1:10">
      <c r="A1360" t="s">
        <v>6003</v>
      </c>
      <c r="B1360">
        <v>-0.56294959714815895</v>
      </c>
      <c r="C1360">
        <v>6.1232064984000196</v>
      </c>
      <c r="D1360">
        <v>0.58118031770368195</v>
      </c>
      <c r="E1360">
        <v>1</v>
      </c>
      <c r="F1360">
        <v>5</v>
      </c>
      <c r="G1360">
        <v>8</v>
      </c>
      <c r="H1360" t="s">
        <v>28</v>
      </c>
      <c r="I1360" t="s">
        <v>3438</v>
      </c>
      <c r="J1360" t="s">
        <v>1758</v>
      </c>
    </row>
    <row r="1361" spans="1:10">
      <c r="A1361" t="s">
        <v>6004</v>
      </c>
      <c r="B1361">
        <v>-0.56294959714815895</v>
      </c>
      <c r="C1361">
        <v>6.1232064984000196</v>
      </c>
      <c r="D1361">
        <v>0.58118031770368195</v>
      </c>
      <c r="E1361">
        <v>1</v>
      </c>
      <c r="F1361">
        <v>5</v>
      </c>
      <c r="G1361">
        <v>8</v>
      </c>
      <c r="H1361" t="s">
        <v>6005</v>
      </c>
      <c r="I1361" t="s">
        <v>6006</v>
      </c>
      <c r="J1361" t="s">
        <v>1759</v>
      </c>
    </row>
    <row r="1362" spans="1:10">
      <c r="A1362" t="s">
        <v>6007</v>
      </c>
      <c r="B1362">
        <v>-0.56294959714815895</v>
      </c>
      <c r="C1362">
        <v>6.1232064984000196</v>
      </c>
      <c r="D1362">
        <v>0.58118031770368195</v>
      </c>
      <c r="E1362">
        <v>1</v>
      </c>
      <c r="F1362">
        <v>5</v>
      </c>
      <c r="G1362">
        <v>8</v>
      </c>
      <c r="H1362" t="s">
        <v>28</v>
      </c>
      <c r="I1362" t="s">
        <v>3438</v>
      </c>
      <c r="J1362" t="s">
        <v>1760</v>
      </c>
    </row>
    <row r="1363" spans="1:10">
      <c r="A1363" t="s">
        <v>6008</v>
      </c>
      <c r="B1363">
        <v>-0.56294959714815895</v>
      </c>
      <c r="C1363">
        <v>6.1232064984000196</v>
      </c>
      <c r="D1363">
        <v>0.58118031770368195</v>
      </c>
      <c r="E1363">
        <v>1</v>
      </c>
      <c r="F1363">
        <v>5</v>
      </c>
      <c r="G1363">
        <v>8</v>
      </c>
      <c r="H1363" t="s">
        <v>6009</v>
      </c>
      <c r="I1363" t="s">
        <v>6010</v>
      </c>
      <c r="J1363" t="s">
        <v>1761</v>
      </c>
    </row>
    <row r="1364" spans="1:10">
      <c r="A1364" t="s">
        <v>6011</v>
      </c>
      <c r="B1364">
        <v>-0.56294959714815895</v>
      </c>
      <c r="C1364">
        <v>6.1232064984000196</v>
      </c>
      <c r="D1364">
        <v>0.58118031770368195</v>
      </c>
      <c r="E1364">
        <v>1</v>
      </c>
      <c r="F1364">
        <v>5</v>
      </c>
      <c r="G1364">
        <v>8</v>
      </c>
      <c r="H1364" t="s">
        <v>28</v>
      </c>
      <c r="I1364" t="s">
        <v>3438</v>
      </c>
      <c r="J1364" t="s">
        <v>119</v>
      </c>
    </row>
    <row r="1365" spans="1:10">
      <c r="A1365" t="s">
        <v>6012</v>
      </c>
      <c r="B1365">
        <v>-0.56294959714815895</v>
      </c>
      <c r="C1365">
        <v>6.1232064984000196</v>
      </c>
      <c r="D1365">
        <v>0.58118031770368195</v>
      </c>
      <c r="E1365">
        <v>1</v>
      </c>
      <c r="F1365">
        <v>5</v>
      </c>
      <c r="G1365">
        <v>8</v>
      </c>
      <c r="H1365" t="s">
        <v>28</v>
      </c>
      <c r="I1365" t="s">
        <v>3933</v>
      </c>
      <c r="J1365" t="s">
        <v>1762</v>
      </c>
    </row>
    <row r="1366" spans="1:10">
      <c r="A1366" t="s">
        <v>6013</v>
      </c>
      <c r="B1366">
        <v>0.74120580561732696</v>
      </c>
      <c r="C1366">
        <v>6.1232203956142204</v>
      </c>
      <c r="D1366">
        <v>0.58118031770368195</v>
      </c>
      <c r="E1366">
        <v>1</v>
      </c>
      <c r="F1366">
        <v>8</v>
      </c>
      <c r="G1366">
        <v>5</v>
      </c>
      <c r="H1366" t="s">
        <v>28</v>
      </c>
      <c r="I1366" t="s">
        <v>3438</v>
      </c>
      <c r="J1366" t="s">
        <v>1763</v>
      </c>
    </row>
    <row r="1367" spans="1:10">
      <c r="A1367" t="s">
        <v>6014</v>
      </c>
      <c r="B1367">
        <v>0.74120580561732696</v>
      </c>
      <c r="C1367">
        <v>6.1232203956142204</v>
      </c>
      <c r="D1367">
        <v>0.58118031770368195</v>
      </c>
      <c r="E1367">
        <v>1</v>
      </c>
      <c r="F1367">
        <v>8</v>
      </c>
      <c r="G1367">
        <v>5</v>
      </c>
      <c r="H1367" t="s">
        <v>28</v>
      </c>
      <c r="I1367" t="s">
        <v>4138</v>
      </c>
      <c r="J1367" t="s">
        <v>1764</v>
      </c>
    </row>
    <row r="1368" spans="1:10">
      <c r="A1368" t="s">
        <v>6015</v>
      </c>
      <c r="B1368">
        <v>0.74120580561732696</v>
      </c>
      <c r="C1368">
        <v>6.1232203956142204</v>
      </c>
      <c r="D1368">
        <v>0.58118031770368195</v>
      </c>
      <c r="E1368">
        <v>1</v>
      </c>
      <c r="F1368">
        <v>8</v>
      </c>
      <c r="G1368">
        <v>5</v>
      </c>
      <c r="H1368" t="s">
        <v>28</v>
      </c>
      <c r="I1368" t="s">
        <v>3438</v>
      </c>
      <c r="J1368" t="s">
        <v>1765</v>
      </c>
    </row>
    <row r="1369" spans="1:10">
      <c r="A1369" t="s">
        <v>6016</v>
      </c>
      <c r="B1369">
        <v>0.74120580561732696</v>
      </c>
      <c r="C1369">
        <v>6.1232203956142204</v>
      </c>
      <c r="D1369">
        <v>0.58118031770368195</v>
      </c>
      <c r="E1369">
        <v>1</v>
      </c>
      <c r="F1369">
        <v>8</v>
      </c>
      <c r="G1369">
        <v>5</v>
      </c>
      <c r="H1369" t="s">
        <v>6017</v>
      </c>
      <c r="I1369" t="s">
        <v>6018</v>
      </c>
      <c r="J1369" t="s">
        <v>1766</v>
      </c>
    </row>
    <row r="1370" spans="1:10">
      <c r="A1370" t="s">
        <v>6019</v>
      </c>
      <c r="B1370">
        <v>0.74120580561732696</v>
      </c>
      <c r="C1370">
        <v>6.1232203956142204</v>
      </c>
      <c r="D1370">
        <v>0.58118031770368195</v>
      </c>
      <c r="E1370">
        <v>1</v>
      </c>
      <c r="F1370">
        <v>8</v>
      </c>
      <c r="G1370">
        <v>5</v>
      </c>
      <c r="H1370" t="s">
        <v>6020</v>
      </c>
      <c r="I1370" t="s">
        <v>6021</v>
      </c>
      <c r="J1370" t="s">
        <v>1767</v>
      </c>
    </row>
    <row r="1371" spans="1:10">
      <c r="A1371" t="s">
        <v>6022</v>
      </c>
      <c r="B1371">
        <v>0.74120580561732696</v>
      </c>
      <c r="C1371">
        <v>6.1232203956142204</v>
      </c>
      <c r="D1371">
        <v>0.58118031770368195</v>
      </c>
      <c r="E1371">
        <v>1</v>
      </c>
      <c r="F1371">
        <v>8</v>
      </c>
      <c r="G1371">
        <v>5</v>
      </c>
      <c r="H1371" t="s">
        <v>6023</v>
      </c>
      <c r="I1371" t="s">
        <v>3687</v>
      </c>
      <c r="J1371" t="s">
        <v>1768</v>
      </c>
    </row>
    <row r="1372" spans="1:10">
      <c r="A1372" t="s">
        <v>6024</v>
      </c>
      <c r="B1372">
        <v>0.74120580561732696</v>
      </c>
      <c r="C1372">
        <v>6.1232203956142204</v>
      </c>
      <c r="D1372">
        <v>0.58118031770368195</v>
      </c>
      <c r="E1372">
        <v>1</v>
      </c>
      <c r="F1372">
        <v>8</v>
      </c>
      <c r="G1372">
        <v>5</v>
      </c>
      <c r="H1372" t="s">
        <v>6025</v>
      </c>
      <c r="I1372" t="s">
        <v>6026</v>
      </c>
      <c r="J1372" t="s">
        <v>1769</v>
      </c>
    </row>
    <row r="1373" spans="1:10">
      <c r="A1373" t="s">
        <v>6027</v>
      </c>
      <c r="B1373">
        <v>0.74120580561732696</v>
      </c>
      <c r="C1373">
        <v>6.1232203956142204</v>
      </c>
      <c r="D1373">
        <v>0.58118031770368195</v>
      </c>
      <c r="E1373">
        <v>1</v>
      </c>
      <c r="F1373">
        <v>8</v>
      </c>
      <c r="G1373">
        <v>5</v>
      </c>
      <c r="H1373" t="s">
        <v>6028</v>
      </c>
      <c r="I1373" t="s">
        <v>3571</v>
      </c>
      <c r="J1373" t="s">
        <v>1770</v>
      </c>
    </row>
    <row r="1374" spans="1:10">
      <c r="A1374" t="s">
        <v>6029</v>
      </c>
      <c r="B1374">
        <v>0.74120580561732696</v>
      </c>
      <c r="C1374">
        <v>6.1232203956142204</v>
      </c>
      <c r="D1374">
        <v>0.58118031770368195</v>
      </c>
      <c r="E1374">
        <v>1</v>
      </c>
      <c r="F1374">
        <v>8</v>
      </c>
      <c r="G1374">
        <v>5</v>
      </c>
      <c r="H1374" t="s">
        <v>6030</v>
      </c>
      <c r="I1374" t="s">
        <v>6031</v>
      </c>
      <c r="J1374" t="s">
        <v>1771</v>
      </c>
    </row>
    <row r="1375" spans="1:10">
      <c r="A1375" t="s">
        <v>6032</v>
      </c>
      <c r="B1375">
        <v>0.74120580561732696</v>
      </c>
      <c r="C1375">
        <v>6.1232203956142204</v>
      </c>
      <c r="D1375">
        <v>0.58118031770368195</v>
      </c>
      <c r="E1375">
        <v>1</v>
      </c>
      <c r="F1375">
        <v>8</v>
      </c>
      <c r="G1375">
        <v>5</v>
      </c>
      <c r="H1375" t="s">
        <v>28</v>
      </c>
      <c r="I1375" t="s">
        <v>3438</v>
      </c>
      <c r="J1375" t="s">
        <v>1772</v>
      </c>
    </row>
    <row r="1376" spans="1:10">
      <c r="A1376" t="s">
        <v>6033</v>
      </c>
      <c r="B1376">
        <v>0.74120580561732696</v>
      </c>
      <c r="C1376">
        <v>6.1232203956142204</v>
      </c>
      <c r="D1376">
        <v>0.58118031770368195</v>
      </c>
      <c r="E1376">
        <v>1</v>
      </c>
      <c r="F1376">
        <v>8</v>
      </c>
      <c r="G1376">
        <v>5</v>
      </c>
      <c r="H1376" t="s">
        <v>6034</v>
      </c>
      <c r="I1376" t="s">
        <v>6035</v>
      </c>
      <c r="J1376" t="s">
        <v>1773</v>
      </c>
    </row>
    <row r="1377" spans="1:10">
      <c r="A1377" t="s">
        <v>6036</v>
      </c>
      <c r="B1377">
        <v>0.74120580561732696</v>
      </c>
      <c r="C1377">
        <v>6.1232203956142204</v>
      </c>
      <c r="D1377">
        <v>0.58118031770368195</v>
      </c>
      <c r="E1377">
        <v>1</v>
      </c>
      <c r="F1377">
        <v>8</v>
      </c>
      <c r="G1377">
        <v>5</v>
      </c>
      <c r="H1377" t="s">
        <v>28</v>
      </c>
      <c r="I1377" t="s">
        <v>3438</v>
      </c>
      <c r="J1377" t="s">
        <v>341</v>
      </c>
    </row>
    <row r="1378" spans="1:10">
      <c r="A1378" t="s">
        <v>6037</v>
      </c>
      <c r="B1378">
        <v>-0.178572811236934</v>
      </c>
      <c r="C1378">
        <v>9.2931207966142697</v>
      </c>
      <c r="D1378">
        <v>0.58039817284529804</v>
      </c>
      <c r="E1378">
        <v>1</v>
      </c>
      <c r="F1378">
        <v>53</v>
      </c>
      <c r="G1378">
        <v>64</v>
      </c>
      <c r="H1378" t="s">
        <v>6038</v>
      </c>
      <c r="I1378" t="s">
        <v>6039</v>
      </c>
      <c r="J1378" t="s">
        <v>1774</v>
      </c>
    </row>
    <row r="1379" spans="1:10">
      <c r="A1379" t="s">
        <v>6040</v>
      </c>
      <c r="B1379">
        <v>0.235654460650498</v>
      </c>
      <c r="C1379">
        <v>8.7447160240337496</v>
      </c>
      <c r="D1379">
        <v>0.57719392245426304</v>
      </c>
      <c r="E1379">
        <v>1</v>
      </c>
      <c r="F1379">
        <v>42</v>
      </c>
      <c r="G1379">
        <v>38</v>
      </c>
      <c r="H1379" t="s">
        <v>6041</v>
      </c>
      <c r="I1379" t="s">
        <v>6042</v>
      </c>
      <c r="J1379" t="s">
        <v>1775</v>
      </c>
    </row>
    <row r="1380" spans="1:10">
      <c r="A1380" t="s">
        <v>6043</v>
      </c>
      <c r="B1380">
        <v>-0.30280823578625898</v>
      </c>
      <c r="C1380">
        <v>8.0951857089384607</v>
      </c>
      <c r="D1380">
        <v>0.57633792190947497</v>
      </c>
      <c r="E1380">
        <v>1</v>
      </c>
      <c r="F1380">
        <v>22</v>
      </c>
      <c r="G1380">
        <v>29</v>
      </c>
      <c r="H1380" t="s">
        <v>28</v>
      </c>
      <c r="I1380" t="s">
        <v>3465</v>
      </c>
      <c r="J1380" t="s">
        <v>1776</v>
      </c>
    </row>
    <row r="1381" spans="1:10">
      <c r="A1381" t="s">
        <v>6044</v>
      </c>
      <c r="B1381">
        <v>0.26010846868422099</v>
      </c>
      <c r="C1381">
        <v>8.0952088270826099</v>
      </c>
      <c r="D1381">
        <v>0.57633792190947497</v>
      </c>
      <c r="E1381">
        <v>1</v>
      </c>
      <c r="F1381">
        <v>27</v>
      </c>
      <c r="G1381">
        <v>24</v>
      </c>
      <c r="H1381" t="s">
        <v>6045</v>
      </c>
      <c r="I1381" t="s">
        <v>6046</v>
      </c>
      <c r="J1381" t="s">
        <v>1777</v>
      </c>
    </row>
    <row r="1382" spans="1:10">
      <c r="A1382" t="s">
        <v>6047</v>
      </c>
      <c r="B1382">
        <v>-0.40269245316764601</v>
      </c>
      <c r="C1382">
        <v>7.2807443412430404</v>
      </c>
      <c r="D1382">
        <v>0.57185992876132397</v>
      </c>
      <c r="E1382">
        <v>1</v>
      </c>
      <c r="F1382">
        <v>12</v>
      </c>
      <c r="G1382">
        <v>17</v>
      </c>
      <c r="H1382" t="s">
        <v>6048</v>
      </c>
      <c r="I1382" t="s">
        <v>6049</v>
      </c>
      <c r="J1382" t="s">
        <v>1778</v>
      </c>
    </row>
    <row r="1383" spans="1:10">
      <c r="A1383" t="s">
        <v>6050</v>
      </c>
      <c r="B1383">
        <v>-0.40269245316764601</v>
      </c>
      <c r="C1383">
        <v>7.2807443412430404</v>
      </c>
      <c r="D1383">
        <v>0.57185992876132397</v>
      </c>
      <c r="E1383">
        <v>1</v>
      </c>
      <c r="F1383">
        <v>12</v>
      </c>
      <c r="G1383">
        <v>17</v>
      </c>
      <c r="H1383" t="s">
        <v>28</v>
      </c>
      <c r="I1383" t="s">
        <v>3438</v>
      </c>
      <c r="J1383" t="s">
        <v>1779</v>
      </c>
    </row>
    <row r="1384" spans="1:10">
      <c r="A1384" t="s">
        <v>6051</v>
      </c>
      <c r="B1384">
        <v>-0.40269245316764601</v>
      </c>
      <c r="C1384">
        <v>7.2807443412430404</v>
      </c>
      <c r="D1384">
        <v>0.57185992876132397</v>
      </c>
      <c r="E1384">
        <v>1</v>
      </c>
      <c r="F1384">
        <v>12</v>
      </c>
      <c r="G1384">
        <v>17</v>
      </c>
      <c r="H1384" t="s">
        <v>6052</v>
      </c>
      <c r="I1384" t="s">
        <v>3450</v>
      </c>
      <c r="J1384" t="s">
        <v>1780</v>
      </c>
    </row>
    <row r="1385" spans="1:10">
      <c r="A1385" t="s">
        <v>6053</v>
      </c>
      <c r="B1385">
        <v>-0.316577131029809</v>
      </c>
      <c r="C1385">
        <v>7.2301205077941502</v>
      </c>
      <c r="D1385">
        <v>0.57185992876132397</v>
      </c>
      <c r="E1385">
        <v>1</v>
      </c>
      <c r="F1385">
        <v>12</v>
      </c>
      <c r="G1385">
        <v>16</v>
      </c>
      <c r="H1385" t="s">
        <v>28</v>
      </c>
      <c r="I1385" t="s">
        <v>3438</v>
      </c>
      <c r="J1385" t="s">
        <v>1781</v>
      </c>
    </row>
    <row r="1386" spans="1:10">
      <c r="A1386" t="s">
        <v>6054</v>
      </c>
      <c r="B1386">
        <v>-0.316577131029809</v>
      </c>
      <c r="C1386">
        <v>7.2301205077941502</v>
      </c>
      <c r="D1386">
        <v>0.57185992876132397</v>
      </c>
      <c r="E1386">
        <v>1</v>
      </c>
      <c r="F1386">
        <v>12</v>
      </c>
      <c r="G1386">
        <v>16</v>
      </c>
      <c r="H1386" t="s">
        <v>28</v>
      </c>
      <c r="I1386" t="s">
        <v>3631</v>
      </c>
      <c r="J1386" t="s">
        <v>1782</v>
      </c>
    </row>
    <row r="1387" spans="1:10">
      <c r="A1387" t="s">
        <v>6055</v>
      </c>
      <c r="B1387">
        <v>-0.316577131029809</v>
      </c>
      <c r="C1387">
        <v>7.2301205077941502</v>
      </c>
      <c r="D1387">
        <v>0.57185992876132397</v>
      </c>
      <c r="E1387">
        <v>1</v>
      </c>
      <c r="F1387">
        <v>12</v>
      </c>
      <c r="G1387">
        <v>16</v>
      </c>
      <c r="H1387" t="s">
        <v>6056</v>
      </c>
      <c r="I1387" t="s">
        <v>6057</v>
      </c>
      <c r="J1387" t="s">
        <v>1783</v>
      </c>
    </row>
    <row r="1388" spans="1:10">
      <c r="A1388" t="s">
        <v>6058</v>
      </c>
      <c r="B1388">
        <v>-0.316577131029809</v>
      </c>
      <c r="C1388">
        <v>7.2301205077941502</v>
      </c>
      <c r="D1388">
        <v>0.57185992876132397</v>
      </c>
      <c r="E1388">
        <v>1</v>
      </c>
      <c r="F1388">
        <v>12</v>
      </c>
      <c r="G1388">
        <v>16</v>
      </c>
      <c r="H1388" t="s">
        <v>28</v>
      </c>
      <c r="I1388" t="s">
        <v>3438</v>
      </c>
      <c r="J1388" t="s">
        <v>1784</v>
      </c>
    </row>
    <row r="1389" spans="1:10">
      <c r="A1389" t="s">
        <v>6059</v>
      </c>
      <c r="B1389">
        <v>-0.316577131029809</v>
      </c>
      <c r="C1389">
        <v>7.2301205077941502</v>
      </c>
      <c r="D1389">
        <v>0.57185992876132397</v>
      </c>
      <c r="E1389">
        <v>1</v>
      </c>
      <c r="F1389">
        <v>12</v>
      </c>
      <c r="G1389">
        <v>16</v>
      </c>
      <c r="H1389" t="s">
        <v>28</v>
      </c>
      <c r="I1389" t="s">
        <v>3438</v>
      </c>
      <c r="J1389" t="s">
        <v>1785</v>
      </c>
    </row>
    <row r="1390" spans="1:10">
      <c r="A1390" t="s">
        <v>6060</v>
      </c>
      <c r="B1390">
        <v>0.49873907459497102</v>
      </c>
      <c r="C1390">
        <v>7.2301390235638499</v>
      </c>
      <c r="D1390">
        <v>0.57185992876132397</v>
      </c>
      <c r="E1390">
        <v>1</v>
      </c>
      <c r="F1390">
        <v>16</v>
      </c>
      <c r="G1390">
        <v>12</v>
      </c>
      <c r="H1390" t="s">
        <v>6061</v>
      </c>
      <c r="I1390" t="s">
        <v>6062</v>
      </c>
      <c r="J1390" t="s">
        <v>140</v>
      </c>
    </row>
    <row r="1391" spans="1:10">
      <c r="A1391" t="s">
        <v>6063</v>
      </c>
      <c r="B1391">
        <v>0.49873907459497102</v>
      </c>
      <c r="C1391">
        <v>7.2301390235638499</v>
      </c>
      <c r="D1391">
        <v>0.57185992876132397</v>
      </c>
      <c r="E1391">
        <v>1</v>
      </c>
      <c r="F1391">
        <v>16</v>
      </c>
      <c r="G1391">
        <v>12</v>
      </c>
      <c r="H1391" t="s">
        <v>28</v>
      </c>
      <c r="I1391" t="s">
        <v>3438</v>
      </c>
      <c r="J1391" t="s">
        <v>1786</v>
      </c>
    </row>
    <row r="1392" spans="1:10">
      <c r="A1392" t="s">
        <v>6064</v>
      </c>
      <c r="B1392">
        <v>0.49873907459497102</v>
      </c>
      <c r="C1392">
        <v>7.2301390235638499</v>
      </c>
      <c r="D1392">
        <v>0.57185992876132397</v>
      </c>
      <c r="E1392">
        <v>1</v>
      </c>
      <c r="F1392">
        <v>16</v>
      </c>
      <c r="G1392">
        <v>12</v>
      </c>
      <c r="H1392" t="s">
        <v>6065</v>
      </c>
      <c r="I1392" t="s">
        <v>6066</v>
      </c>
      <c r="J1392" t="s">
        <v>1787</v>
      </c>
    </row>
    <row r="1393" spans="1:10">
      <c r="A1393" t="s">
        <v>6067</v>
      </c>
      <c r="B1393">
        <v>-0.193265957768502</v>
      </c>
      <c r="C1393">
        <v>9.2171714940671503</v>
      </c>
      <c r="D1393">
        <v>0.57029078305876602</v>
      </c>
      <c r="E1393">
        <v>1</v>
      </c>
      <c r="F1393">
        <v>50</v>
      </c>
      <c r="G1393">
        <v>61</v>
      </c>
      <c r="H1393" t="s">
        <v>28</v>
      </c>
      <c r="I1393" t="s">
        <v>3438</v>
      </c>
      <c r="J1393" t="s">
        <v>1788</v>
      </c>
    </row>
    <row r="1394" spans="1:10">
      <c r="A1394" t="s">
        <v>6068</v>
      </c>
      <c r="B1394">
        <v>-0.319003512738881</v>
      </c>
      <c r="C1394">
        <v>8.0374700612752701</v>
      </c>
      <c r="D1394">
        <v>0.568648377200905</v>
      </c>
      <c r="E1394">
        <v>1</v>
      </c>
      <c r="F1394">
        <v>21</v>
      </c>
      <c r="G1394">
        <v>28</v>
      </c>
      <c r="H1394" t="s">
        <v>28</v>
      </c>
      <c r="I1394" t="s">
        <v>3465</v>
      </c>
      <c r="J1394" t="s">
        <v>1789</v>
      </c>
    </row>
    <row r="1395" spans="1:10">
      <c r="A1395" t="s">
        <v>6069</v>
      </c>
      <c r="B1395">
        <v>-0.319003512738881</v>
      </c>
      <c r="C1395">
        <v>8.0374700612752701</v>
      </c>
      <c r="D1395">
        <v>0.568648377200905</v>
      </c>
      <c r="E1395">
        <v>1</v>
      </c>
      <c r="F1395">
        <v>21</v>
      </c>
      <c r="G1395">
        <v>28</v>
      </c>
      <c r="H1395" t="s">
        <v>28</v>
      </c>
      <c r="I1395" t="s">
        <v>3657</v>
      </c>
      <c r="J1395" t="s">
        <v>1790</v>
      </c>
    </row>
    <row r="1396" spans="1:10">
      <c r="A1396" t="s">
        <v>6070</v>
      </c>
      <c r="B1396">
        <v>0.26688694023042098</v>
      </c>
      <c r="C1396">
        <v>8.0374931817208299</v>
      </c>
      <c r="D1396">
        <v>0.568648377200905</v>
      </c>
      <c r="E1396">
        <v>1</v>
      </c>
      <c r="F1396">
        <v>26</v>
      </c>
      <c r="G1396">
        <v>23</v>
      </c>
      <c r="H1396" t="s">
        <v>28</v>
      </c>
      <c r="I1396" t="s">
        <v>3438</v>
      </c>
      <c r="J1396" t="s">
        <v>1791</v>
      </c>
    </row>
    <row r="1397" spans="1:10">
      <c r="A1397" t="s">
        <v>6071</v>
      </c>
      <c r="B1397">
        <v>0.24314031159003599</v>
      </c>
      <c r="C1397">
        <v>8.6707151488590206</v>
      </c>
      <c r="D1397">
        <v>0.56731153869095297</v>
      </c>
      <c r="E1397">
        <v>1</v>
      </c>
      <c r="F1397">
        <v>40</v>
      </c>
      <c r="G1397">
        <v>36</v>
      </c>
      <c r="H1397" t="s">
        <v>28</v>
      </c>
      <c r="I1397" t="s">
        <v>6072</v>
      </c>
      <c r="J1397" t="s">
        <v>1792</v>
      </c>
    </row>
    <row r="1398" spans="1:10">
      <c r="A1398" t="s">
        <v>6073</v>
      </c>
      <c r="B1398">
        <v>0.24314031159003599</v>
      </c>
      <c r="C1398">
        <v>8.6707151488590206</v>
      </c>
      <c r="D1398">
        <v>0.56731153869095297</v>
      </c>
      <c r="E1398">
        <v>1</v>
      </c>
      <c r="F1398">
        <v>40</v>
      </c>
      <c r="G1398">
        <v>36</v>
      </c>
      <c r="H1398" t="s">
        <v>28</v>
      </c>
      <c r="I1398" t="s">
        <v>3438</v>
      </c>
      <c r="J1398" t="s">
        <v>1793</v>
      </c>
    </row>
    <row r="1399" spans="1:10">
      <c r="A1399" t="s">
        <v>6074</v>
      </c>
      <c r="B1399">
        <v>-0.21892914058350499</v>
      </c>
      <c r="C1399">
        <v>8.6322131440822396</v>
      </c>
      <c r="D1399">
        <v>0.56210594575643102</v>
      </c>
      <c r="E1399">
        <v>0.99380578425106203</v>
      </c>
      <c r="F1399">
        <v>33</v>
      </c>
      <c r="G1399">
        <v>41</v>
      </c>
      <c r="H1399" t="s">
        <v>28</v>
      </c>
      <c r="I1399" t="s">
        <v>3438</v>
      </c>
      <c r="J1399" t="s">
        <v>1794</v>
      </c>
    </row>
    <row r="1400" spans="1:10">
      <c r="A1400" t="s">
        <v>6075</v>
      </c>
      <c r="B1400">
        <v>-0.14775320388803601</v>
      </c>
      <c r="C1400">
        <v>9.5926807959494997</v>
      </c>
      <c r="D1400">
        <v>0.56123019039854105</v>
      </c>
      <c r="E1400">
        <v>0.99280324110104901</v>
      </c>
      <c r="F1400">
        <v>66</v>
      </c>
      <c r="G1400">
        <v>78</v>
      </c>
      <c r="H1400" t="s">
        <v>6076</v>
      </c>
      <c r="I1400" t="s">
        <v>6077</v>
      </c>
      <c r="J1400" t="s">
        <v>1795</v>
      </c>
    </row>
    <row r="1401" spans="1:10">
      <c r="A1401" t="s">
        <v>6078</v>
      </c>
      <c r="B1401">
        <v>0.27423840264650101</v>
      </c>
      <c r="C1401">
        <v>7.9773720417483798</v>
      </c>
      <c r="D1401">
        <v>0.56052767718083996</v>
      </c>
      <c r="E1401">
        <v>0.99210622444335805</v>
      </c>
      <c r="F1401">
        <v>25</v>
      </c>
      <c r="G1401">
        <v>22</v>
      </c>
      <c r="H1401" t="s">
        <v>6079</v>
      </c>
      <c r="I1401" t="s">
        <v>6080</v>
      </c>
      <c r="J1401" t="s">
        <v>1796</v>
      </c>
    </row>
    <row r="1402" spans="1:10">
      <c r="A1402" t="s">
        <v>6081</v>
      </c>
      <c r="B1402">
        <v>0.27423840264650101</v>
      </c>
      <c r="C1402">
        <v>7.9773720417483798</v>
      </c>
      <c r="D1402">
        <v>0.56052767718083996</v>
      </c>
      <c r="E1402">
        <v>0.99210622444335805</v>
      </c>
      <c r="F1402">
        <v>25</v>
      </c>
      <c r="G1402">
        <v>22</v>
      </c>
      <c r="H1402" t="s">
        <v>6082</v>
      </c>
      <c r="I1402" t="s">
        <v>6083</v>
      </c>
      <c r="J1402" t="s">
        <v>1797</v>
      </c>
    </row>
    <row r="1403" spans="1:10">
      <c r="A1403" t="s">
        <v>6084</v>
      </c>
      <c r="B1403">
        <v>0.27423840264650101</v>
      </c>
      <c r="C1403">
        <v>7.9773720417483798</v>
      </c>
      <c r="D1403">
        <v>0.56052767718083996</v>
      </c>
      <c r="E1403">
        <v>0.99210622444335805</v>
      </c>
      <c r="F1403">
        <v>25</v>
      </c>
      <c r="G1403">
        <v>22</v>
      </c>
      <c r="H1403" t="s">
        <v>28</v>
      </c>
      <c r="I1403" t="s">
        <v>3438</v>
      </c>
      <c r="J1403" t="s">
        <v>1798</v>
      </c>
    </row>
    <row r="1404" spans="1:10">
      <c r="A1404" t="s">
        <v>6085</v>
      </c>
      <c r="B1404">
        <v>0.17437151782338001</v>
      </c>
      <c r="C1404">
        <v>9.1370329743491006</v>
      </c>
      <c r="D1404">
        <v>0.559426256695014</v>
      </c>
      <c r="E1404">
        <v>0.99179428970847106</v>
      </c>
      <c r="F1404">
        <v>54</v>
      </c>
      <c r="G1404">
        <v>51</v>
      </c>
      <c r="H1404" t="s">
        <v>6086</v>
      </c>
      <c r="I1404" t="s">
        <v>6087</v>
      </c>
      <c r="J1404" t="s">
        <v>1799</v>
      </c>
    </row>
    <row r="1405" spans="1:10">
      <c r="A1405" t="s">
        <v>6088</v>
      </c>
      <c r="B1405">
        <v>0.17342925485882399</v>
      </c>
      <c r="C1405">
        <v>9.5725395865850107</v>
      </c>
      <c r="D1405">
        <v>0.55846700587196896</v>
      </c>
      <c r="E1405">
        <v>0.99063976331177706</v>
      </c>
      <c r="F1405">
        <v>73</v>
      </c>
      <c r="G1405">
        <v>69</v>
      </c>
      <c r="H1405" t="s">
        <v>6089</v>
      </c>
      <c r="I1405" t="s">
        <v>3450</v>
      </c>
      <c r="J1405" t="s">
        <v>1800</v>
      </c>
    </row>
    <row r="1406" spans="1:10">
      <c r="A1406" t="s">
        <v>6090</v>
      </c>
      <c r="B1406">
        <v>-0.34793428945452798</v>
      </c>
      <c r="C1406">
        <v>7.1232051544189696</v>
      </c>
      <c r="D1406">
        <v>0.55745591368801395</v>
      </c>
      <c r="E1406">
        <v>0.98939195277078096</v>
      </c>
      <c r="F1406">
        <v>11</v>
      </c>
      <c r="G1406">
        <v>15</v>
      </c>
      <c r="H1406" t="s">
        <v>6091</v>
      </c>
      <c r="I1406" t="s">
        <v>6092</v>
      </c>
      <c r="J1406" t="s">
        <v>1801</v>
      </c>
    </row>
    <row r="1407" spans="1:10">
      <c r="A1407" t="s">
        <v>6093</v>
      </c>
      <c r="B1407">
        <v>-0.34793428945452798</v>
      </c>
      <c r="C1407">
        <v>7.1232051544189696</v>
      </c>
      <c r="D1407">
        <v>0.55745591368801395</v>
      </c>
      <c r="E1407">
        <v>0.98939195277078096</v>
      </c>
      <c r="F1407">
        <v>11</v>
      </c>
      <c r="G1407">
        <v>15</v>
      </c>
      <c r="H1407" t="s">
        <v>6094</v>
      </c>
      <c r="I1407" t="s">
        <v>6095</v>
      </c>
      <c r="J1407" t="s">
        <v>1802</v>
      </c>
    </row>
    <row r="1408" spans="1:10">
      <c r="A1408" t="s">
        <v>6096</v>
      </c>
      <c r="B1408">
        <v>-0.34793428945452798</v>
      </c>
      <c r="C1408">
        <v>7.1232051544189696</v>
      </c>
      <c r="D1408">
        <v>0.55745591368801395</v>
      </c>
      <c r="E1408">
        <v>0.98939195277078096</v>
      </c>
      <c r="F1408">
        <v>11</v>
      </c>
      <c r="G1408">
        <v>15</v>
      </c>
      <c r="H1408" t="s">
        <v>28</v>
      </c>
      <c r="I1408" t="s">
        <v>3438</v>
      </c>
      <c r="J1408" t="s">
        <v>1803</v>
      </c>
    </row>
    <row r="1409" spans="1:10">
      <c r="A1409" t="s">
        <v>6097</v>
      </c>
      <c r="B1409">
        <v>0.52983452824199695</v>
      </c>
      <c r="C1409">
        <v>7.1232236720340403</v>
      </c>
      <c r="D1409">
        <v>0.55745591368801395</v>
      </c>
      <c r="E1409">
        <v>0.98939195277078096</v>
      </c>
      <c r="F1409">
        <v>15</v>
      </c>
      <c r="G1409">
        <v>11</v>
      </c>
      <c r="H1409" t="s">
        <v>6098</v>
      </c>
      <c r="I1409" t="s">
        <v>6099</v>
      </c>
      <c r="J1409" t="s">
        <v>1804</v>
      </c>
    </row>
    <row r="1410" spans="1:10">
      <c r="A1410" t="s">
        <v>6100</v>
      </c>
      <c r="B1410">
        <v>0.52983452824199695</v>
      </c>
      <c r="C1410">
        <v>7.1232236720340403</v>
      </c>
      <c r="D1410">
        <v>0.55745591368801395</v>
      </c>
      <c r="E1410">
        <v>0.98939195277078096</v>
      </c>
      <c r="F1410">
        <v>15</v>
      </c>
      <c r="G1410">
        <v>11</v>
      </c>
      <c r="H1410" t="s">
        <v>28</v>
      </c>
      <c r="I1410" t="s">
        <v>3438</v>
      </c>
      <c r="J1410" t="s">
        <v>1805</v>
      </c>
    </row>
    <row r="1411" spans="1:10">
      <c r="A1411" t="s">
        <v>6101</v>
      </c>
      <c r="B1411">
        <v>0.52983452824199695</v>
      </c>
      <c r="C1411">
        <v>7.1232236720340403</v>
      </c>
      <c r="D1411">
        <v>0.55745591368801395</v>
      </c>
      <c r="E1411">
        <v>0.98939195277078096</v>
      </c>
      <c r="F1411">
        <v>15</v>
      </c>
      <c r="G1411">
        <v>11</v>
      </c>
      <c r="H1411" t="s">
        <v>28</v>
      </c>
      <c r="I1411" t="s">
        <v>3438</v>
      </c>
      <c r="J1411" t="s">
        <v>1806</v>
      </c>
    </row>
    <row r="1412" spans="1:10">
      <c r="A1412" t="s">
        <v>6102</v>
      </c>
      <c r="B1412">
        <v>0.52983452824199695</v>
      </c>
      <c r="C1412">
        <v>7.1232236720340403</v>
      </c>
      <c r="D1412">
        <v>0.55745591368801395</v>
      </c>
      <c r="E1412">
        <v>0.98939195277078096</v>
      </c>
      <c r="F1412">
        <v>15</v>
      </c>
      <c r="G1412">
        <v>11</v>
      </c>
      <c r="H1412" t="s">
        <v>6103</v>
      </c>
      <c r="I1412" t="s">
        <v>6104</v>
      </c>
      <c r="J1412" t="s">
        <v>1807</v>
      </c>
    </row>
    <row r="1413" spans="1:10">
      <c r="A1413" t="s">
        <v>6105</v>
      </c>
      <c r="B1413">
        <v>0.52983452824199695</v>
      </c>
      <c r="C1413">
        <v>7.1232236720340403</v>
      </c>
      <c r="D1413">
        <v>0.55745591368801395</v>
      </c>
      <c r="E1413">
        <v>0.98939195277078096</v>
      </c>
      <c r="F1413">
        <v>15</v>
      </c>
      <c r="G1413">
        <v>11</v>
      </c>
      <c r="H1413" t="s">
        <v>6106</v>
      </c>
      <c r="I1413" t="s">
        <v>6107</v>
      </c>
      <c r="J1413" t="s">
        <v>1808</v>
      </c>
    </row>
    <row r="1414" spans="1:10">
      <c r="A1414" t="s">
        <v>6108</v>
      </c>
      <c r="B1414">
        <v>0.52983452824199695</v>
      </c>
      <c r="C1414">
        <v>7.1232236720340403</v>
      </c>
      <c r="D1414">
        <v>0.55745591368801395</v>
      </c>
      <c r="E1414">
        <v>0.98939195277078096</v>
      </c>
      <c r="F1414">
        <v>15</v>
      </c>
      <c r="G1414">
        <v>11</v>
      </c>
      <c r="H1414" t="s">
        <v>6109</v>
      </c>
      <c r="I1414" t="s">
        <v>6110</v>
      </c>
      <c r="J1414" t="s">
        <v>1809</v>
      </c>
    </row>
    <row r="1415" spans="1:10">
      <c r="A1415" t="s">
        <v>6111</v>
      </c>
      <c r="B1415">
        <v>0.52983452824199695</v>
      </c>
      <c r="C1415">
        <v>7.1232236720340403</v>
      </c>
      <c r="D1415">
        <v>0.55745591368801395</v>
      </c>
      <c r="E1415">
        <v>0.98939195277078096</v>
      </c>
      <c r="F1415">
        <v>15</v>
      </c>
      <c r="G1415">
        <v>11</v>
      </c>
      <c r="H1415" t="s">
        <v>28</v>
      </c>
      <c r="I1415" t="s">
        <v>3438</v>
      </c>
      <c r="J1415" t="s">
        <v>1810</v>
      </c>
    </row>
    <row r="1416" spans="1:10">
      <c r="A1416" t="s">
        <v>6112</v>
      </c>
      <c r="B1416">
        <v>0.52983452824199695</v>
      </c>
      <c r="C1416">
        <v>7.1232236720340403</v>
      </c>
      <c r="D1416">
        <v>0.55745591368801395</v>
      </c>
      <c r="E1416">
        <v>0.98939195277078096</v>
      </c>
      <c r="F1416">
        <v>15</v>
      </c>
      <c r="G1416">
        <v>11</v>
      </c>
      <c r="H1416" t="s">
        <v>6113</v>
      </c>
      <c r="I1416" t="s">
        <v>6114</v>
      </c>
      <c r="J1416" t="s">
        <v>1811</v>
      </c>
    </row>
    <row r="1417" spans="1:10">
      <c r="A1417" t="s">
        <v>6115</v>
      </c>
      <c r="B1417">
        <v>0.52983452824199695</v>
      </c>
      <c r="C1417">
        <v>7.1232236720340403</v>
      </c>
      <c r="D1417">
        <v>0.55745591368801395</v>
      </c>
      <c r="E1417">
        <v>0.98939195277078096</v>
      </c>
      <c r="F1417">
        <v>15</v>
      </c>
      <c r="G1417">
        <v>11</v>
      </c>
      <c r="H1417" t="s">
        <v>6116</v>
      </c>
      <c r="I1417" t="s">
        <v>6117</v>
      </c>
      <c r="J1417" t="s">
        <v>1812</v>
      </c>
    </row>
    <row r="1418" spans="1:10">
      <c r="A1418" t="s">
        <v>6118</v>
      </c>
      <c r="B1418">
        <v>-0.22759677257083299</v>
      </c>
      <c r="C1418">
        <v>8.59268463020166</v>
      </c>
      <c r="D1418">
        <v>0.55670981627569904</v>
      </c>
      <c r="E1418">
        <v>0.98939195277078096</v>
      </c>
      <c r="F1418">
        <v>32</v>
      </c>
      <c r="G1418">
        <v>40</v>
      </c>
      <c r="H1418" t="s">
        <v>6119</v>
      </c>
      <c r="I1418" t="s">
        <v>6120</v>
      </c>
      <c r="J1418" t="s">
        <v>1813</v>
      </c>
    </row>
    <row r="1419" spans="1:10">
      <c r="A1419" t="s">
        <v>6121</v>
      </c>
      <c r="B1419">
        <v>-0.35576239003131299</v>
      </c>
      <c r="C1419">
        <v>7.9146130137863802</v>
      </c>
      <c r="D1419">
        <v>0.55193413218878395</v>
      </c>
      <c r="E1419">
        <v>0.98667046643642498</v>
      </c>
      <c r="F1419">
        <v>19</v>
      </c>
      <c r="G1419">
        <v>26</v>
      </c>
      <c r="H1419" t="s">
        <v>6122</v>
      </c>
      <c r="I1419" t="s">
        <v>6123</v>
      </c>
      <c r="J1419" t="s">
        <v>1814</v>
      </c>
    </row>
    <row r="1420" spans="1:10">
      <c r="A1420" t="s">
        <v>6124</v>
      </c>
      <c r="B1420">
        <v>0.28223882421770902</v>
      </c>
      <c r="C1420">
        <v>7.9146361388361504</v>
      </c>
      <c r="D1420">
        <v>0.55193413218878395</v>
      </c>
      <c r="E1420">
        <v>0.98667046643642498</v>
      </c>
      <c r="F1420">
        <v>24</v>
      </c>
      <c r="G1420">
        <v>21</v>
      </c>
      <c r="H1420" t="s">
        <v>6125</v>
      </c>
      <c r="I1420" t="s">
        <v>6126</v>
      </c>
      <c r="J1420" t="s">
        <v>1815</v>
      </c>
    </row>
    <row r="1421" spans="1:10">
      <c r="A1421" t="s">
        <v>6127</v>
      </c>
      <c r="B1421">
        <v>0.28223882421770902</v>
      </c>
      <c r="C1421">
        <v>7.9146361388361504</v>
      </c>
      <c r="D1421">
        <v>0.55193413218878395</v>
      </c>
      <c r="E1421">
        <v>0.98667046643642498</v>
      </c>
      <c r="F1421">
        <v>24</v>
      </c>
      <c r="G1421">
        <v>21</v>
      </c>
      <c r="H1421" t="s">
        <v>28</v>
      </c>
      <c r="I1421" t="s">
        <v>3438</v>
      </c>
      <c r="J1421" t="s">
        <v>1816</v>
      </c>
    </row>
    <row r="1422" spans="1:10">
      <c r="A1422" t="s">
        <v>6128</v>
      </c>
      <c r="B1422">
        <v>-0.14920251545111801</v>
      </c>
      <c r="C1422">
        <v>9.9065672930217499</v>
      </c>
      <c r="D1422">
        <v>0.55177284326184695</v>
      </c>
      <c r="E1422">
        <v>0.98667046643642498</v>
      </c>
      <c r="F1422">
        <v>82</v>
      </c>
      <c r="G1422">
        <v>97</v>
      </c>
      <c r="H1422" t="s">
        <v>6129</v>
      </c>
      <c r="I1422" t="s">
        <v>6130</v>
      </c>
      <c r="J1422" t="s">
        <v>1817</v>
      </c>
    </row>
    <row r="1423" spans="1:10">
      <c r="A1423" t="s">
        <v>6131</v>
      </c>
      <c r="B1423">
        <v>0.25596657902228698</v>
      </c>
      <c r="C1423">
        <v>8.5520702115447609</v>
      </c>
      <c r="D1423">
        <v>0.55111128985195401</v>
      </c>
      <c r="E1423">
        <v>0.98667046643642498</v>
      </c>
      <c r="F1423">
        <v>37</v>
      </c>
      <c r="G1423">
        <v>33</v>
      </c>
      <c r="H1423" t="s">
        <v>28</v>
      </c>
      <c r="I1423" t="s">
        <v>4348</v>
      </c>
      <c r="J1423" t="s">
        <v>1818</v>
      </c>
    </row>
    <row r="1424" spans="1:10">
      <c r="A1424" t="s">
        <v>6132</v>
      </c>
      <c r="B1424">
        <v>-0.16191931385947</v>
      </c>
      <c r="C1424">
        <v>9.5102180373034795</v>
      </c>
      <c r="D1424">
        <v>0.54985860484559901</v>
      </c>
      <c r="E1424">
        <v>0.98569970634528803</v>
      </c>
      <c r="F1424">
        <v>62</v>
      </c>
      <c r="G1424">
        <v>74</v>
      </c>
      <c r="H1424" t="s">
        <v>6133</v>
      </c>
      <c r="I1424" t="s">
        <v>6134</v>
      </c>
      <c r="J1424" t="s">
        <v>1819</v>
      </c>
    </row>
    <row r="1425" spans="1:10">
      <c r="A1425" t="s">
        <v>6135</v>
      </c>
      <c r="B1425">
        <v>-0.15194164406194499</v>
      </c>
      <c r="C1425">
        <v>9.8903569161074092</v>
      </c>
      <c r="D1425">
        <v>0.54951494286355296</v>
      </c>
      <c r="E1425">
        <v>0.98563304866100698</v>
      </c>
      <c r="F1425">
        <v>81</v>
      </c>
      <c r="G1425">
        <v>96</v>
      </c>
      <c r="H1425" t="s">
        <v>6136</v>
      </c>
      <c r="I1425" t="s">
        <v>4748</v>
      </c>
      <c r="J1425" t="s">
        <v>1820</v>
      </c>
    </row>
    <row r="1426" spans="1:10">
      <c r="A1426" t="s">
        <v>6137</v>
      </c>
      <c r="B1426">
        <v>-0.68210486381634605</v>
      </c>
      <c r="C1426">
        <v>5.8821982494447802</v>
      </c>
      <c r="D1426">
        <v>0.54894087850671403</v>
      </c>
      <c r="E1426">
        <v>0.98515282660579895</v>
      </c>
      <c r="F1426">
        <v>4</v>
      </c>
      <c r="G1426">
        <v>7</v>
      </c>
      <c r="H1426" t="s">
        <v>28</v>
      </c>
      <c r="I1426" t="s">
        <v>4184</v>
      </c>
      <c r="J1426" t="s">
        <v>1821</v>
      </c>
    </row>
    <row r="1427" spans="1:10">
      <c r="A1427" t="s">
        <v>6138</v>
      </c>
      <c r="B1427">
        <v>-0.68210486381634605</v>
      </c>
      <c r="C1427">
        <v>5.8821982494447802</v>
      </c>
      <c r="D1427">
        <v>0.54894087850671403</v>
      </c>
      <c r="E1427">
        <v>0.98515282660579895</v>
      </c>
      <c r="F1427">
        <v>4</v>
      </c>
      <c r="G1427">
        <v>7</v>
      </c>
      <c r="H1427" t="s">
        <v>28</v>
      </c>
      <c r="I1427" t="s">
        <v>3438</v>
      </c>
      <c r="J1427" t="s">
        <v>1822</v>
      </c>
    </row>
    <row r="1428" spans="1:10">
      <c r="A1428" t="s">
        <v>6139</v>
      </c>
      <c r="B1428">
        <v>-0.68210486381634605</v>
      </c>
      <c r="C1428">
        <v>5.8821982494447802</v>
      </c>
      <c r="D1428">
        <v>0.54894087850671403</v>
      </c>
      <c r="E1428">
        <v>0.98515282660579895</v>
      </c>
      <c r="F1428">
        <v>4</v>
      </c>
      <c r="G1428">
        <v>7</v>
      </c>
      <c r="H1428" t="s">
        <v>6140</v>
      </c>
      <c r="I1428" t="s">
        <v>6141</v>
      </c>
      <c r="J1428" t="s">
        <v>1823</v>
      </c>
    </row>
    <row r="1429" spans="1:10">
      <c r="A1429" t="s">
        <v>6142</v>
      </c>
      <c r="B1429">
        <v>-0.68210486381634605</v>
      </c>
      <c r="C1429">
        <v>5.8821982494447802</v>
      </c>
      <c r="D1429">
        <v>0.54894087850671403</v>
      </c>
      <c r="E1429">
        <v>0.98515282660579895</v>
      </c>
      <c r="F1429">
        <v>4</v>
      </c>
      <c r="G1429">
        <v>7</v>
      </c>
      <c r="H1429" t="s">
        <v>28</v>
      </c>
      <c r="I1429" t="s">
        <v>3438</v>
      </c>
      <c r="J1429" t="s">
        <v>1824</v>
      </c>
    </row>
    <row r="1430" spans="1:10">
      <c r="A1430" t="s">
        <v>6143</v>
      </c>
      <c r="B1430">
        <v>-0.68210486381634605</v>
      </c>
      <c r="C1430">
        <v>5.8821982494447802</v>
      </c>
      <c r="D1430">
        <v>0.54894087850671403</v>
      </c>
      <c r="E1430">
        <v>0.98515282660579895</v>
      </c>
      <c r="F1430">
        <v>4</v>
      </c>
      <c r="G1430">
        <v>7</v>
      </c>
      <c r="H1430" t="s">
        <v>28</v>
      </c>
      <c r="I1430" t="s">
        <v>6144</v>
      </c>
      <c r="J1430" t="s">
        <v>1825</v>
      </c>
    </row>
    <row r="1431" spans="1:10">
      <c r="A1431" t="s">
        <v>6145</v>
      </c>
      <c r="B1431">
        <v>-0.68210486381634605</v>
      </c>
      <c r="C1431">
        <v>5.8821982494447802</v>
      </c>
      <c r="D1431">
        <v>0.54894087850671403</v>
      </c>
      <c r="E1431">
        <v>0.98515282660579895</v>
      </c>
      <c r="F1431">
        <v>4</v>
      </c>
      <c r="G1431">
        <v>7</v>
      </c>
      <c r="H1431" t="s">
        <v>28</v>
      </c>
      <c r="I1431" t="s">
        <v>3438</v>
      </c>
      <c r="J1431" t="s">
        <v>1826</v>
      </c>
    </row>
    <row r="1432" spans="1:10">
      <c r="A1432" t="s">
        <v>6146</v>
      </c>
      <c r="B1432">
        <v>-0.68210486381634605</v>
      </c>
      <c r="C1432">
        <v>5.8821982494447802</v>
      </c>
      <c r="D1432">
        <v>0.54894087850671403</v>
      </c>
      <c r="E1432">
        <v>0.98515282660579895</v>
      </c>
      <c r="F1432">
        <v>4</v>
      </c>
      <c r="G1432">
        <v>7</v>
      </c>
      <c r="H1432" t="s">
        <v>28</v>
      </c>
      <c r="I1432" t="s">
        <v>3438</v>
      </c>
      <c r="J1432" t="s">
        <v>1827</v>
      </c>
    </row>
    <row r="1433" spans="1:10">
      <c r="A1433" t="s">
        <v>6147</v>
      </c>
      <c r="B1433">
        <v>-0.68210486381634605</v>
      </c>
      <c r="C1433">
        <v>5.8821982494447802</v>
      </c>
      <c r="D1433">
        <v>0.54894087850671403</v>
      </c>
      <c r="E1433">
        <v>0.98515282660579895</v>
      </c>
      <c r="F1433">
        <v>4</v>
      </c>
      <c r="G1433">
        <v>7</v>
      </c>
      <c r="H1433" t="s">
        <v>28</v>
      </c>
      <c r="I1433" t="s">
        <v>3438</v>
      </c>
      <c r="J1433" t="s">
        <v>1828</v>
      </c>
    </row>
    <row r="1434" spans="1:10">
      <c r="A1434" t="s">
        <v>6148</v>
      </c>
      <c r="B1434">
        <v>-0.68210486381634605</v>
      </c>
      <c r="C1434">
        <v>5.8821982494447802</v>
      </c>
      <c r="D1434">
        <v>0.54894087850671403</v>
      </c>
      <c r="E1434">
        <v>0.98515282660579895</v>
      </c>
      <c r="F1434">
        <v>4</v>
      </c>
      <c r="G1434">
        <v>7</v>
      </c>
      <c r="H1434" t="s">
        <v>28</v>
      </c>
      <c r="I1434" t="s">
        <v>3438</v>
      </c>
      <c r="J1434" t="s">
        <v>1829</v>
      </c>
    </row>
    <row r="1435" spans="1:10">
      <c r="A1435" t="s">
        <v>6149</v>
      </c>
      <c r="B1435">
        <v>-0.68210486381634605</v>
      </c>
      <c r="C1435">
        <v>5.8821982494447802</v>
      </c>
      <c r="D1435">
        <v>0.54894087850671403</v>
      </c>
      <c r="E1435">
        <v>0.98515282660579895</v>
      </c>
      <c r="F1435">
        <v>4</v>
      </c>
      <c r="G1435">
        <v>7</v>
      </c>
      <c r="H1435" t="s">
        <v>28</v>
      </c>
      <c r="I1435" t="s">
        <v>3438</v>
      </c>
      <c r="J1435" t="s">
        <v>1830</v>
      </c>
    </row>
    <row r="1436" spans="1:10">
      <c r="A1436" t="s">
        <v>6150</v>
      </c>
      <c r="B1436">
        <v>-0.68210486381634605</v>
      </c>
      <c r="C1436">
        <v>5.8821982494447802</v>
      </c>
      <c r="D1436">
        <v>0.54894087850671403</v>
      </c>
      <c r="E1436">
        <v>0.98515282660579895</v>
      </c>
      <c r="F1436">
        <v>4</v>
      </c>
      <c r="G1436">
        <v>7</v>
      </c>
      <c r="H1436" t="s">
        <v>28</v>
      </c>
      <c r="I1436" t="s">
        <v>4138</v>
      </c>
      <c r="J1436" t="s">
        <v>1831</v>
      </c>
    </row>
    <row r="1437" spans="1:10">
      <c r="A1437" t="s">
        <v>6151</v>
      </c>
      <c r="B1437">
        <v>-0.68210486381634605</v>
      </c>
      <c r="C1437">
        <v>5.8821982494447802</v>
      </c>
      <c r="D1437">
        <v>0.54894087850671403</v>
      </c>
      <c r="E1437">
        <v>0.98515282660579895</v>
      </c>
      <c r="F1437">
        <v>4</v>
      </c>
      <c r="G1437">
        <v>7</v>
      </c>
      <c r="H1437" t="s">
        <v>28</v>
      </c>
      <c r="I1437" t="s">
        <v>3438</v>
      </c>
      <c r="J1437" t="s">
        <v>1832</v>
      </c>
    </row>
    <row r="1438" spans="1:10">
      <c r="A1438" t="s">
        <v>6152</v>
      </c>
      <c r="B1438">
        <v>-0.68210486381634605</v>
      </c>
      <c r="C1438">
        <v>5.8821982494447802</v>
      </c>
      <c r="D1438">
        <v>0.54894087850671403</v>
      </c>
      <c r="E1438">
        <v>0.98515282660579895</v>
      </c>
      <c r="F1438">
        <v>4</v>
      </c>
      <c r="G1438">
        <v>7</v>
      </c>
      <c r="H1438" t="s">
        <v>28</v>
      </c>
      <c r="I1438" t="s">
        <v>3474</v>
      </c>
      <c r="J1438" t="s">
        <v>1833</v>
      </c>
    </row>
    <row r="1439" spans="1:10">
      <c r="A1439" t="s">
        <v>6153</v>
      </c>
      <c r="B1439">
        <v>0.85893482651729702</v>
      </c>
      <c r="C1439">
        <v>5.88221214804509</v>
      </c>
      <c r="D1439">
        <v>0.54894087850671403</v>
      </c>
      <c r="E1439">
        <v>0.98515282660579895</v>
      </c>
      <c r="F1439">
        <v>7</v>
      </c>
      <c r="G1439">
        <v>4</v>
      </c>
      <c r="H1439" t="s">
        <v>6154</v>
      </c>
      <c r="I1439" t="s">
        <v>6155</v>
      </c>
      <c r="J1439" t="s">
        <v>1834</v>
      </c>
    </row>
    <row r="1440" spans="1:10">
      <c r="A1440" t="s">
        <v>6156</v>
      </c>
      <c r="B1440">
        <v>0.85893482651729702</v>
      </c>
      <c r="C1440">
        <v>5.88221214804509</v>
      </c>
      <c r="D1440">
        <v>0.54894087850671403</v>
      </c>
      <c r="E1440">
        <v>0.98515282660579895</v>
      </c>
      <c r="F1440">
        <v>7</v>
      </c>
      <c r="G1440">
        <v>4</v>
      </c>
      <c r="H1440" t="s">
        <v>6157</v>
      </c>
      <c r="I1440" t="s">
        <v>6158</v>
      </c>
      <c r="J1440" t="s">
        <v>1835</v>
      </c>
    </row>
    <row r="1441" spans="1:10">
      <c r="A1441" t="s">
        <v>6159</v>
      </c>
      <c r="B1441">
        <v>0.85893482651729702</v>
      </c>
      <c r="C1441">
        <v>5.88221214804509</v>
      </c>
      <c r="D1441">
        <v>0.54894087850671403</v>
      </c>
      <c r="E1441">
        <v>0.98515282660579895</v>
      </c>
      <c r="F1441">
        <v>7</v>
      </c>
      <c r="G1441">
        <v>4</v>
      </c>
      <c r="H1441" t="s">
        <v>6160</v>
      </c>
      <c r="I1441" t="s">
        <v>6161</v>
      </c>
      <c r="J1441" t="s">
        <v>1836</v>
      </c>
    </row>
    <row r="1442" spans="1:10">
      <c r="A1442" t="s">
        <v>6162</v>
      </c>
      <c r="B1442">
        <v>0.85893482651729702</v>
      </c>
      <c r="C1442">
        <v>5.88221214804509</v>
      </c>
      <c r="D1442">
        <v>0.54894087850671403</v>
      </c>
      <c r="E1442">
        <v>0.98515282660579895</v>
      </c>
      <c r="F1442">
        <v>7</v>
      </c>
      <c r="G1442">
        <v>4</v>
      </c>
      <c r="H1442" t="s">
        <v>28</v>
      </c>
      <c r="I1442" t="s">
        <v>3438</v>
      </c>
      <c r="J1442" t="s">
        <v>1837</v>
      </c>
    </row>
    <row r="1443" spans="1:10">
      <c r="A1443" t="s">
        <v>6163</v>
      </c>
      <c r="B1443">
        <v>0.85893482651729702</v>
      </c>
      <c r="C1443">
        <v>5.88221214804509</v>
      </c>
      <c r="D1443">
        <v>0.54894087850671403</v>
      </c>
      <c r="E1443">
        <v>0.98515282660579895</v>
      </c>
      <c r="F1443">
        <v>7</v>
      </c>
      <c r="G1443">
        <v>4</v>
      </c>
      <c r="H1443" t="s">
        <v>28</v>
      </c>
      <c r="I1443" t="s">
        <v>3438</v>
      </c>
      <c r="J1443" t="s">
        <v>184</v>
      </c>
    </row>
    <row r="1444" spans="1:10">
      <c r="A1444" t="s">
        <v>6164</v>
      </c>
      <c r="B1444">
        <v>0.85893482651729702</v>
      </c>
      <c r="C1444">
        <v>5.88221214804509</v>
      </c>
      <c r="D1444">
        <v>0.54894087850671403</v>
      </c>
      <c r="E1444">
        <v>0.98515282660579895</v>
      </c>
      <c r="F1444">
        <v>7</v>
      </c>
      <c r="G1444">
        <v>4</v>
      </c>
      <c r="H1444" t="s">
        <v>28</v>
      </c>
      <c r="I1444" t="s">
        <v>3474</v>
      </c>
      <c r="J1444" t="s">
        <v>1838</v>
      </c>
    </row>
    <row r="1445" spans="1:10">
      <c r="A1445" t="s">
        <v>6165</v>
      </c>
      <c r="B1445">
        <v>0.85893482651729702</v>
      </c>
      <c r="C1445">
        <v>5.88221214804509</v>
      </c>
      <c r="D1445">
        <v>0.54894087850671403</v>
      </c>
      <c r="E1445">
        <v>0.98515282660579895</v>
      </c>
      <c r="F1445">
        <v>7</v>
      </c>
      <c r="G1445">
        <v>4</v>
      </c>
      <c r="H1445" t="s">
        <v>28</v>
      </c>
      <c r="I1445" t="s">
        <v>3438</v>
      </c>
      <c r="J1445" t="s">
        <v>1839</v>
      </c>
    </row>
    <row r="1446" spans="1:10">
      <c r="A1446" t="s">
        <v>6166</v>
      </c>
      <c r="B1446">
        <v>0.85893482651729702</v>
      </c>
      <c r="C1446">
        <v>5.88221214804509</v>
      </c>
      <c r="D1446">
        <v>0.54894087850671403</v>
      </c>
      <c r="E1446">
        <v>0.98515282660579895</v>
      </c>
      <c r="F1446">
        <v>7</v>
      </c>
      <c r="G1446">
        <v>4</v>
      </c>
      <c r="H1446" t="s">
        <v>28</v>
      </c>
      <c r="I1446" t="s">
        <v>3438</v>
      </c>
      <c r="J1446" t="s">
        <v>1840</v>
      </c>
    </row>
    <row r="1447" spans="1:10">
      <c r="A1447" t="s">
        <v>6167</v>
      </c>
      <c r="B1447">
        <v>0.85893482651729702</v>
      </c>
      <c r="C1447">
        <v>5.88221214804509</v>
      </c>
      <c r="D1447">
        <v>0.54894087850671403</v>
      </c>
      <c r="E1447">
        <v>0.98515282660579895</v>
      </c>
      <c r="F1447">
        <v>7</v>
      </c>
      <c r="G1447">
        <v>4</v>
      </c>
      <c r="H1447" t="s">
        <v>28</v>
      </c>
      <c r="I1447" t="s">
        <v>3438</v>
      </c>
      <c r="J1447" t="s">
        <v>1841</v>
      </c>
    </row>
    <row r="1448" spans="1:10">
      <c r="A1448" t="s">
        <v>6168</v>
      </c>
      <c r="B1448">
        <v>0.85893482651729702</v>
      </c>
      <c r="C1448">
        <v>5.88221214804509</v>
      </c>
      <c r="D1448">
        <v>0.54894087850671403</v>
      </c>
      <c r="E1448">
        <v>0.98515282660579895</v>
      </c>
      <c r="F1448">
        <v>7</v>
      </c>
      <c r="G1448">
        <v>4</v>
      </c>
      <c r="H1448" t="s">
        <v>28</v>
      </c>
      <c r="I1448" t="s">
        <v>3438</v>
      </c>
      <c r="J1448" t="s">
        <v>1842</v>
      </c>
    </row>
    <row r="1449" spans="1:10">
      <c r="A1449" t="s">
        <v>6169</v>
      </c>
      <c r="B1449">
        <v>-0.22802853855487901</v>
      </c>
      <c r="C1449">
        <v>9.0521113483655</v>
      </c>
      <c r="D1449">
        <v>0.54770552218860902</v>
      </c>
      <c r="E1449">
        <v>0.98515282660579895</v>
      </c>
      <c r="F1449">
        <v>44</v>
      </c>
      <c r="G1449">
        <v>55</v>
      </c>
      <c r="H1449" t="s">
        <v>28</v>
      </c>
      <c r="I1449" t="s">
        <v>3465</v>
      </c>
      <c r="J1449" t="s">
        <v>1843</v>
      </c>
    </row>
    <row r="1450" spans="1:10">
      <c r="A1450" t="s">
        <v>6170</v>
      </c>
      <c r="B1450">
        <v>0.179296884169966</v>
      </c>
      <c r="C1450">
        <v>9.0521436365290899</v>
      </c>
      <c r="D1450">
        <v>0.54770552218860902</v>
      </c>
      <c r="E1450">
        <v>0.98515282660579895</v>
      </c>
      <c r="F1450">
        <v>51</v>
      </c>
      <c r="G1450">
        <v>48</v>
      </c>
      <c r="H1450" t="s">
        <v>407</v>
      </c>
      <c r="I1450" t="s">
        <v>5510</v>
      </c>
      <c r="J1450" t="s">
        <v>1844</v>
      </c>
    </row>
    <row r="1451" spans="1:10">
      <c r="A1451" t="s">
        <v>6171</v>
      </c>
      <c r="B1451">
        <v>-0.24647057026258301</v>
      </c>
      <c r="C1451">
        <v>8.5102221705324297</v>
      </c>
      <c r="D1451">
        <v>0.545297453290287</v>
      </c>
      <c r="E1451">
        <v>0.98515282660579895</v>
      </c>
      <c r="F1451">
        <v>30</v>
      </c>
      <c r="G1451">
        <v>38</v>
      </c>
      <c r="H1451" t="s">
        <v>28</v>
      </c>
      <c r="I1451" t="s">
        <v>3465</v>
      </c>
      <c r="J1451" t="s">
        <v>1845</v>
      </c>
    </row>
    <row r="1452" spans="1:10">
      <c r="A1452" t="s">
        <v>6172</v>
      </c>
      <c r="B1452">
        <v>-0.24647057026258301</v>
      </c>
      <c r="C1452">
        <v>8.5102221705324297</v>
      </c>
      <c r="D1452">
        <v>0.545297453290287</v>
      </c>
      <c r="E1452">
        <v>0.98515282660579895</v>
      </c>
      <c r="F1452">
        <v>30</v>
      </c>
      <c r="G1452">
        <v>38</v>
      </c>
      <c r="H1452" t="s">
        <v>6173</v>
      </c>
      <c r="I1452" t="s">
        <v>6174</v>
      </c>
      <c r="J1452" t="s">
        <v>1846</v>
      </c>
    </row>
    <row r="1453" spans="1:10">
      <c r="A1453" t="s">
        <v>6175</v>
      </c>
      <c r="B1453">
        <v>-0.24647057026258301</v>
      </c>
      <c r="C1453">
        <v>8.5102221705324297</v>
      </c>
      <c r="D1453">
        <v>0.545297453290287</v>
      </c>
      <c r="E1453">
        <v>0.98515282660579895</v>
      </c>
      <c r="F1453">
        <v>30</v>
      </c>
      <c r="G1453">
        <v>38</v>
      </c>
      <c r="H1453" t="s">
        <v>28</v>
      </c>
      <c r="I1453" t="s">
        <v>3438</v>
      </c>
      <c r="J1453" t="s">
        <v>1847</v>
      </c>
    </row>
    <row r="1454" spans="1:10">
      <c r="A1454" t="s">
        <v>6176</v>
      </c>
      <c r="B1454">
        <v>0.26074294028191503</v>
      </c>
      <c r="C1454">
        <v>8.5102498888530995</v>
      </c>
      <c r="D1454">
        <v>0.545297453290287</v>
      </c>
      <c r="E1454">
        <v>0.98515282660579895</v>
      </c>
      <c r="F1454">
        <v>36</v>
      </c>
      <c r="G1454">
        <v>32</v>
      </c>
      <c r="H1454" t="s">
        <v>6177</v>
      </c>
      <c r="I1454" t="s">
        <v>6178</v>
      </c>
      <c r="J1454" t="s">
        <v>1848</v>
      </c>
    </row>
    <row r="1455" spans="1:10">
      <c r="A1455" t="s">
        <v>6179</v>
      </c>
      <c r="B1455">
        <v>-8.4283260227491899E-2</v>
      </c>
      <c r="C1455">
        <v>11.4506443610963</v>
      </c>
      <c r="D1455">
        <v>0.54487993512578203</v>
      </c>
      <c r="E1455">
        <v>0.98515282660579895</v>
      </c>
      <c r="F1455">
        <v>245</v>
      </c>
      <c r="G1455">
        <v>277</v>
      </c>
      <c r="H1455" t="s">
        <v>6180</v>
      </c>
      <c r="I1455" t="s">
        <v>6181</v>
      </c>
      <c r="J1455" t="s">
        <v>1849</v>
      </c>
    </row>
    <row r="1456" spans="1:10">
      <c r="A1456" t="s">
        <v>6182</v>
      </c>
      <c r="B1456">
        <v>-0.376740815859193</v>
      </c>
      <c r="C1456">
        <v>7.84902452226234</v>
      </c>
      <c r="D1456">
        <v>0.54282021652398305</v>
      </c>
      <c r="E1456">
        <v>0.98515282660579895</v>
      </c>
      <c r="F1456">
        <v>18</v>
      </c>
      <c r="G1456">
        <v>25</v>
      </c>
      <c r="H1456" t="s">
        <v>6183</v>
      </c>
      <c r="I1456" t="s">
        <v>3599</v>
      </c>
      <c r="J1456" t="s">
        <v>1850</v>
      </c>
    </row>
    <row r="1457" spans="1:10">
      <c r="A1457" t="s">
        <v>6184</v>
      </c>
      <c r="B1457">
        <v>-0.376740815859193</v>
      </c>
      <c r="C1457">
        <v>7.84902452226234</v>
      </c>
      <c r="D1457">
        <v>0.54282021652398305</v>
      </c>
      <c r="E1457">
        <v>0.98515282660579895</v>
      </c>
      <c r="F1457">
        <v>18</v>
      </c>
      <c r="G1457">
        <v>25</v>
      </c>
      <c r="H1457" t="s">
        <v>6185</v>
      </c>
      <c r="I1457" t="s">
        <v>6186</v>
      </c>
      <c r="J1457" t="s">
        <v>1851</v>
      </c>
    </row>
    <row r="1458" spans="1:10">
      <c r="A1458" t="s">
        <v>6187</v>
      </c>
      <c r="B1458">
        <v>0.29097824551628099</v>
      </c>
      <c r="C1458">
        <v>7.8490476496149002</v>
      </c>
      <c r="D1458">
        <v>0.54282021652398305</v>
      </c>
      <c r="E1458">
        <v>0.98515282660579895</v>
      </c>
      <c r="F1458">
        <v>23</v>
      </c>
      <c r="G1458">
        <v>20</v>
      </c>
      <c r="H1458" t="s">
        <v>6188</v>
      </c>
      <c r="I1458" t="s">
        <v>6189</v>
      </c>
      <c r="J1458" t="s">
        <v>1852</v>
      </c>
    </row>
    <row r="1459" spans="1:10">
      <c r="A1459" t="s">
        <v>6190</v>
      </c>
      <c r="B1459">
        <v>0.29097824551628099</v>
      </c>
      <c r="C1459">
        <v>7.8490476496149002</v>
      </c>
      <c r="D1459">
        <v>0.54282021652398305</v>
      </c>
      <c r="E1459">
        <v>0.98515282660579895</v>
      </c>
      <c r="F1459">
        <v>23</v>
      </c>
      <c r="G1459">
        <v>20</v>
      </c>
      <c r="H1459" t="s">
        <v>28</v>
      </c>
      <c r="I1459" t="s">
        <v>3438</v>
      </c>
      <c r="J1459" t="s">
        <v>1853</v>
      </c>
    </row>
    <row r="1460" spans="1:10">
      <c r="A1460" t="s">
        <v>6191</v>
      </c>
      <c r="B1460">
        <v>0.29097824551628099</v>
      </c>
      <c r="C1460">
        <v>7.8490476496149002</v>
      </c>
      <c r="D1460">
        <v>0.54282021652398305</v>
      </c>
      <c r="E1460">
        <v>0.98515282660579895</v>
      </c>
      <c r="F1460">
        <v>23</v>
      </c>
      <c r="G1460">
        <v>20</v>
      </c>
      <c r="H1460" t="s">
        <v>28</v>
      </c>
      <c r="I1460" t="s">
        <v>3438</v>
      </c>
      <c r="J1460" t="s">
        <v>1854</v>
      </c>
    </row>
    <row r="1461" spans="1:10">
      <c r="A1461" t="s">
        <v>6192</v>
      </c>
      <c r="B1461">
        <v>-0.13346000571303099</v>
      </c>
      <c r="C1461">
        <v>10.1843010018688</v>
      </c>
      <c r="D1461">
        <v>0.54256450808007295</v>
      </c>
      <c r="E1461">
        <v>0.98515282660579895</v>
      </c>
      <c r="F1461">
        <v>100</v>
      </c>
      <c r="G1461">
        <v>117</v>
      </c>
      <c r="H1461" t="s">
        <v>28</v>
      </c>
      <c r="I1461" t="s">
        <v>6193</v>
      </c>
      <c r="J1461" t="s">
        <v>1855</v>
      </c>
    </row>
    <row r="1462" spans="1:10">
      <c r="A1462" t="s">
        <v>6194</v>
      </c>
      <c r="B1462">
        <v>-0.38454192724742298</v>
      </c>
      <c r="C1462">
        <v>7.0077277875105599</v>
      </c>
      <c r="D1462">
        <v>0.54150148918666696</v>
      </c>
      <c r="E1462">
        <v>0.98515282660579895</v>
      </c>
      <c r="F1462">
        <v>10</v>
      </c>
      <c r="G1462">
        <v>14</v>
      </c>
      <c r="H1462" t="s">
        <v>28</v>
      </c>
      <c r="I1462" t="s">
        <v>4138</v>
      </c>
      <c r="J1462" t="s">
        <v>130</v>
      </c>
    </row>
    <row r="1463" spans="1:10">
      <c r="A1463" t="s">
        <v>6195</v>
      </c>
      <c r="B1463">
        <v>-0.38454192724742298</v>
      </c>
      <c r="C1463">
        <v>7.0077277875105599</v>
      </c>
      <c r="D1463">
        <v>0.54150148918666696</v>
      </c>
      <c r="E1463">
        <v>0.98515282660579895</v>
      </c>
      <c r="F1463">
        <v>10</v>
      </c>
      <c r="G1463">
        <v>14</v>
      </c>
      <c r="H1463" t="s">
        <v>28</v>
      </c>
      <c r="I1463" t="s">
        <v>3438</v>
      </c>
      <c r="J1463" t="s">
        <v>1856</v>
      </c>
    </row>
    <row r="1464" spans="1:10">
      <c r="A1464" t="s">
        <v>6196</v>
      </c>
      <c r="B1464">
        <v>-0.38454192724742298</v>
      </c>
      <c r="C1464">
        <v>7.0077277875105599</v>
      </c>
      <c r="D1464">
        <v>0.54150148918666696</v>
      </c>
      <c r="E1464">
        <v>0.98515282660579895</v>
      </c>
      <c r="F1464">
        <v>10</v>
      </c>
      <c r="G1464">
        <v>14</v>
      </c>
      <c r="H1464" t="s">
        <v>28</v>
      </c>
      <c r="I1464" t="s">
        <v>3465</v>
      </c>
      <c r="J1464" t="s">
        <v>1857</v>
      </c>
    </row>
    <row r="1465" spans="1:10">
      <c r="A1465" t="s">
        <v>6197</v>
      </c>
      <c r="B1465">
        <v>-0.38454192724742298</v>
      </c>
      <c r="C1465">
        <v>7.0077277875105599</v>
      </c>
      <c r="D1465">
        <v>0.54150148918666696</v>
      </c>
      <c r="E1465">
        <v>0.98515282660579895</v>
      </c>
      <c r="F1465">
        <v>10</v>
      </c>
      <c r="G1465">
        <v>14</v>
      </c>
      <c r="H1465" t="s">
        <v>6198</v>
      </c>
      <c r="I1465" t="s">
        <v>6199</v>
      </c>
      <c r="J1465" t="s">
        <v>198</v>
      </c>
    </row>
    <row r="1466" spans="1:10">
      <c r="A1466" t="s">
        <v>6200</v>
      </c>
      <c r="B1466">
        <v>-0.38454192724742298</v>
      </c>
      <c r="C1466">
        <v>7.0077277875105599</v>
      </c>
      <c r="D1466">
        <v>0.54150148918666696</v>
      </c>
      <c r="E1466">
        <v>0.98515282660579895</v>
      </c>
      <c r="F1466">
        <v>10</v>
      </c>
      <c r="G1466">
        <v>14</v>
      </c>
      <c r="H1466" t="s">
        <v>28</v>
      </c>
      <c r="I1466" t="s">
        <v>6201</v>
      </c>
      <c r="J1466" t="s">
        <v>1858</v>
      </c>
    </row>
    <row r="1467" spans="1:10">
      <c r="A1467" t="s">
        <v>6202</v>
      </c>
      <c r="B1467">
        <v>-0.38454192724742298</v>
      </c>
      <c r="C1467">
        <v>7.0077277875105599</v>
      </c>
      <c r="D1467">
        <v>0.54150148918666696</v>
      </c>
      <c r="E1467">
        <v>0.98515282660579895</v>
      </c>
      <c r="F1467">
        <v>10</v>
      </c>
      <c r="G1467">
        <v>14</v>
      </c>
      <c r="H1467" t="s">
        <v>6203</v>
      </c>
      <c r="I1467" t="s">
        <v>6204</v>
      </c>
      <c r="J1467" t="s">
        <v>1859</v>
      </c>
    </row>
    <row r="1468" spans="1:10">
      <c r="A1468" t="s">
        <v>6205</v>
      </c>
      <c r="B1468">
        <v>-0.38454192724742298</v>
      </c>
      <c r="C1468">
        <v>7.0077277875105599</v>
      </c>
      <c r="D1468">
        <v>0.54150148918666696</v>
      </c>
      <c r="E1468">
        <v>0.98515282660579895</v>
      </c>
      <c r="F1468">
        <v>10</v>
      </c>
      <c r="G1468">
        <v>14</v>
      </c>
      <c r="H1468" t="s">
        <v>6206</v>
      </c>
      <c r="I1468" t="s">
        <v>6207</v>
      </c>
      <c r="J1468" t="s">
        <v>1860</v>
      </c>
    </row>
    <row r="1469" spans="1:10">
      <c r="A1469" t="s">
        <v>6208</v>
      </c>
      <c r="B1469">
        <v>0.56613451943883397</v>
      </c>
      <c r="C1469">
        <v>7.0077463069713701</v>
      </c>
      <c r="D1469">
        <v>0.54150148918666696</v>
      </c>
      <c r="E1469">
        <v>0.98515282660579895</v>
      </c>
      <c r="F1469">
        <v>14</v>
      </c>
      <c r="G1469">
        <v>10</v>
      </c>
      <c r="H1469" t="s">
        <v>28</v>
      </c>
      <c r="I1469" t="s">
        <v>6209</v>
      </c>
      <c r="J1469" t="s">
        <v>1861</v>
      </c>
    </row>
    <row r="1470" spans="1:10">
      <c r="A1470" t="s">
        <v>6210</v>
      </c>
      <c r="B1470">
        <v>0.56613451943883397</v>
      </c>
      <c r="C1470">
        <v>7.0077463069713701</v>
      </c>
      <c r="D1470">
        <v>0.54150148918666696</v>
      </c>
      <c r="E1470">
        <v>0.98515282660579895</v>
      </c>
      <c r="F1470">
        <v>14</v>
      </c>
      <c r="G1470">
        <v>10</v>
      </c>
      <c r="H1470" t="s">
        <v>6211</v>
      </c>
      <c r="I1470" t="s">
        <v>6212</v>
      </c>
      <c r="J1470" t="s">
        <v>1862</v>
      </c>
    </row>
    <row r="1471" spans="1:10">
      <c r="A1471" t="s">
        <v>6213</v>
      </c>
      <c r="B1471">
        <v>0.56613451943883397</v>
      </c>
      <c r="C1471">
        <v>7.0077463069713701</v>
      </c>
      <c r="D1471">
        <v>0.54150148918666696</v>
      </c>
      <c r="E1471">
        <v>0.98515282660579895</v>
      </c>
      <c r="F1471">
        <v>14</v>
      </c>
      <c r="G1471">
        <v>10</v>
      </c>
      <c r="H1471" t="s">
        <v>6214</v>
      </c>
      <c r="I1471" t="s">
        <v>3438</v>
      </c>
      <c r="J1471" t="s">
        <v>1863</v>
      </c>
    </row>
    <row r="1472" spans="1:10">
      <c r="A1472" t="s">
        <v>6215</v>
      </c>
      <c r="B1472">
        <v>0.56613451943883397</v>
      </c>
      <c r="C1472">
        <v>7.0077463069713701</v>
      </c>
      <c r="D1472">
        <v>0.54150148918666696</v>
      </c>
      <c r="E1472">
        <v>0.98515282660579895</v>
      </c>
      <c r="F1472">
        <v>14</v>
      </c>
      <c r="G1472">
        <v>10</v>
      </c>
      <c r="H1472" t="s">
        <v>28</v>
      </c>
      <c r="I1472" t="s">
        <v>6216</v>
      </c>
      <c r="J1472" t="s">
        <v>1864</v>
      </c>
    </row>
    <row r="1473" spans="1:10">
      <c r="A1473" t="s">
        <v>6217</v>
      </c>
      <c r="B1473">
        <v>0.56613451943883397</v>
      </c>
      <c r="C1473">
        <v>7.0077463069713701</v>
      </c>
      <c r="D1473">
        <v>0.54150148918666696</v>
      </c>
      <c r="E1473">
        <v>0.98515282660579895</v>
      </c>
      <c r="F1473">
        <v>14</v>
      </c>
      <c r="G1473">
        <v>10</v>
      </c>
      <c r="H1473" t="s">
        <v>6218</v>
      </c>
      <c r="I1473" t="s">
        <v>4138</v>
      </c>
      <c r="J1473" t="s">
        <v>1865</v>
      </c>
    </row>
    <row r="1474" spans="1:10">
      <c r="A1474" t="s">
        <v>6219</v>
      </c>
      <c r="B1474">
        <v>-0.17369298323041099</v>
      </c>
      <c r="C1474">
        <v>9.4451225599293807</v>
      </c>
      <c r="D1474">
        <v>0.54073495321440201</v>
      </c>
      <c r="E1474">
        <v>0.98515282660579895</v>
      </c>
      <c r="F1474">
        <v>59</v>
      </c>
      <c r="G1474">
        <v>71</v>
      </c>
      <c r="H1474" t="s">
        <v>117</v>
      </c>
      <c r="I1474" t="s">
        <v>6220</v>
      </c>
      <c r="J1474" t="s">
        <v>1866</v>
      </c>
    </row>
    <row r="1475" spans="1:10">
      <c r="A1475" t="s">
        <v>6221</v>
      </c>
      <c r="B1475">
        <v>-0.207826854807489</v>
      </c>
      <c r="C1475">
        <v>9.0077193105989206</v>
      </c>
      <c r="D1475">
        <v>0.53935863919892302</v>
      </c>
      <c r="E1475">
        <v>0.98515282660579895</v>
      </c>
      <c r="F1475">
        <v>43</v>
      </c>
      <c r="G1475">
        <v>53</v>
      </c>
      <c r="H1475" t="s">
        <v>6222</v>
      </c>
      <c r="I1475" t="s">
        <v>6223</v>
      </c>
      <c r="J1475" t="s">
        <v>1867</v>
      </c>
    </row>
    <row r="1476" spans="1:10">
      <c r="A1476" t="s">
        <v>6224</v>
      </c>
      <c r="B1476">
        <v>0.214454649822583</v>
      </c>
      <c r="C1476">
        <v>8.9773778079628599</v>
      </c>
      <c r="D1476">
        <v>0.53935863919892302</v>
      </c>
      <c r="E1476">
        <v>0.98515282660579895</v>
      </c>
      <c r="F1476">
        <v>49</v>
      </c>
      <c r="G1476">
        <v>45</v>
      </c>
      <c r="H1476" t="s">
        <v>6225</v>
      </c>
      <c r="I1476" t="s">
        <v>6226</v>
      </c>
      <c r="J1476" t="s">
        <v>1868</v>
      </c>
    </row>
    <row r="1477" spans="1:10">
      <c r="A1477" t="s">
        <v>6227</v>
      </c>
      <c r="B1477">
        <v>-0.25677099805078002</v>
      </c>
      <c r="C1477">
        <v>8.4671532988572107</v>
      </c>
      <c r="D1477">
        <v>0.53925421838791798</v>
      </c>
      <c r="E1477">
        <v>0.98515282660579895</v>
      </c>
      <c r="F1477">
        <v>29</v>
      </c>
      <c r="G1477">
        <v>37</v>
      </c>
      <c r="H1477" t="s">
        <v>6228</v>
      </c>
      <c r="I1477" t="s">
        <v>6229</v>
      </c>
      <c r="J1477" t="s">
        <v>1869</v>
      </c>
    </row>
    <row r="1478" spans="1:10">
      <c r="A1478" t="s">
        <v>6230</v>
      </c>
      <c r="B1478">
        <v>-0.25677099805078002</v>
      </c>
      <c r="C1478">
        <v>8.4671532988572107</v>
      </c>
      <c r="D1478">
        <v>0.53925421838791798</v>
      </c>
      <c r="E1478">
        <v>0.98515282660579895</v>
      </c>
      <c r="F1478">
        <v>29</v>
      </c>
      <c r="G1478">
        <v>37</v>
      </c>
      <c r="H1478" t="s">
        <v>6231</v>
      </c>
      <c r="I1478" t="s">
        <v>6232</v>
      </c>
      <c r="J1478" t="s">
        <v>1870</v>
      </c>
    </row>
    <row r="1479" spans="1:10">
      <c r="A1479" t="s">
        <v>6233</v>
      </c>
      <c r="B1479">
        <v>0.26580760657386199</v>
      </c>
      <c r="C1479">
        <v>8.4671810199349196</v>
      </c>
      <c r="D1479">
        <v>0.53925421838791798</v>
      </c>
      <c r="E1479">
        <v>0.98515282660579895</v>
      </c>
      <c r="F1479">
        <v>35</v>
      </c>
      <c r="G1479">
        <v>31</v>
      </c>
      <c r="H1479" t="s">
        <v>28</v>
      </c>
      <c r="I1479" t="s">
        <v>6234</v>
      </c>
      <c r="J1479" t="s">
        <v>1871</v>
      </c>
    </row>
    <row r="1480" spans="1:10">
      <c r="A1480" t="s">
        <v>6235</v>
      </c>
      <c r="B1480">
        <v>0.26580760657386199</v>
      </c>
      <c r="C1480">
        <v>8.4671810199349196</v>
      </c>
      <c r="D1480">
        <v>0.53925421838791798</v>
      </c>
      <c r="E1480">
        <v>0.98515282660579895</v>
      </c>
      <c r="F1480">
        <v>35</v>
      </c>
      <c r="G1480">
        <v>31</v>
      </c>
      <c r="H1480" t="s">
        <v>6236</v>
      </c>
      <c r="I1480" t="s">
        <v>6237</v>
      </c>
      <c r="J1480" t="s">
        <v>1872</v>
      </c>
    </row>
    <row r="1481" spans="1:10">
      <c r="A1481" t="s">
        <v>6238</v>
      </c>
      <c r="B1481">
        <v>0.26580760657386199</v>
      </c>
      <c r="C1481">
        <v>8.4671810199349196</v>
      </c>
      <c r="D1481">
        <v>0.53925421838791798</v>
      </c>
      <c r="E1481">
        <v>0.98515282660579895</v>
      </c>
      <c r="F1481">
        <v>35</v>
      </c>
      <c r="G1481">
        <v>31</v>
      </c>
      <c r="H1481" t="s">
        <v>6239</v>
      </c>
      <c r="I1481" t="s">
        <v>5996</v>
      </c>
      <c r="J1481" t="s">
        <v>1873</v>
      </c>
    </row>
    <row r="1482" spans="1:10">
      <c r="A1482" t="s">
        <v>6240</v>
      </c>
      <c r="B1482">
        <v>0.26580760657386199</v>
      </c>
      <c r="C1482">
        <v>8.4671810199349196</v>
      </c>
      <c r="D1482">
        <v>0.53925421838791798</v>
      </c>
      <c r="E1482">
        <v>0.98515282660579895</v>
      </c>
      <c r="F1482">
        <v>35</v>
      </c>
      <c r="G1482">
        <v>31</v>
      </c>
      <c r="H1482" t="s">
        <v>6241</v>
      </c>
      <c r="I1482" t="s">
        <v>6242</v>
      </c>
      <c r="J1482" t="s">
        <v>1874</v>
      </c>
    </row>
    <row r="1483" spans="1:10">
      <c r="A1483" t="s">
        <v>6243</v>
      </c>
      <c r="B1483">
        <v>0.26580760657386199</v>
      </c>
      <c r="C1483">
        <v>8.4671810199349196</v>
      </c>
      <c r="D1483">
        <v>0.53925421838791798</v>
      </c>
      <c r="E1483">
        <v>0.98515282660579895</v>
      </c>
      <c r="F1483">
        <v>35</v>
      </c>
      <c r="G1483">
        <v>31</v>
      </c>
      <c r="H1483" t="s">
        <v>6244</v>
      </c>
      <c r="I1483" t="s">
        <v>6245</v>
      </c>
      <c r="J1483" t="s">
        <v>1875</v>
      </c>
    </row>
    <row r="1484" spans="1:10">
      <c r="A1484" t="s">
        <v>6246</v>
      </c>
      <c r="B1484">
        <v>-0.17786397179944799</v>
      </c>
      <c r="C1484">
        <v>9.4227545971241096</v>
      </c>
      <c r="D1484">
        <v>0.53757025019683402</v>
      </c>
      <c r="E1484">
        <v>0.98515282660579895</v>
      </c>
      <c r="F1484">
        <v>58</v>
      </c>
      <c r="G1484">
        <v>70</v>
      </c>
      <c r="H1484" t="s">
        <v>6247</v>
      </c>
      <c r="I1484" t="s">
        <v>3571</v>
      </c>
      <c r="J1484" t="s">
        <v>1876</v>
      </c>
    </row>
    <row r="1485" spans="1:10">
      <c r="A1485" t="s">
        <v>6248</v>
      </c>
      <c r="B1485">
        <v>-0.169777643781926</v>
      </c>
      <c r="C1485">
        <v>9.7890726812490101</v>
      </c>
      <c r="D1485">
        <v>0.53522673271802901</v>
      </c>
      <c r="E1485">
        <v>0.98515282660579895</v>
      </c>
      <c r="F1485">
        <v>75</v>
      </c>
      <c r="G1485">
        <v>90</v>
      </c>
      <c r="H1485" t="s">
        <v>6249</v>
      </c>
      <c r="I1485" t="s">
        <v>6250</v>
      </c>
      <c r="J1485" t="s">
        <v>1877</v>
      </c>
    </row>
    <row r="1486" spans="1:10">
      <c r="A1486" t="s">
        <v>6251</v>
      </c>
      <c r="B1486">
        <v>-0.12240828654889301</v>
      </c>
      <c r="C1486">
        <v>10.4171014664756</v>
      </c>
      <c r="D1486">
        <v>0.53384922320769401</v>
      </c>
      <c r="E1486">
        <v>0.98515282660579895</v>
      </c>
      <c r="F1486">
        <v>118</v>
      </c>
      <c r="G1486">
        <v>137</v>
      </c>
      <c r="H1486" t="s">
        <v>28</v>
      </c>
      <c r="I1486" t="s">
        <v>3438</v>
      </c>
      <c r="J1486" t="s">
        <v>1878</v>
      </c>
    </row>
    <row r="1487" spans="1:10">
      <c r="A1487" t="s">
        <v>6252</v>
      </c>
      <c r="B1487">
        <v>-0.39979802464154401</v>
      </c>
      <c r="C1487">
        <v>7.7803116222519897</v>
      </c>
      <c r="D1487">
        <v>0.53313148272890099</v>
      </c>
      <c r="E1487">
        <v>0.98515282660579895</v>
      </c>
      <c r="F1487">
        <v>17</v>
      </c>
      <c r="G1487">
        <v>24</v>
      </c>
      <c r="H1487" t="s">
        <v>6253</v>
      </c>
      <c r="I1487" t="s">
        <v>6254</v>
      </c>
      <c r="J1487" t="s">
        <v>1879</v>
      </c>
    </row>
    <row r="1488" spans="1:10">
      <c r="A1488" t="s">
        <v>6255</v>
      </c>
      <c r="B1488">
        <v>-0.39979802464154401</v>
      </c>
      <c r="C1488">
        <v>7.7803116222519897</v>
      </c>
      <c r="D1488">
        <v>0.53313148272890099</v>
      </c>
      <c r="E1488">
        <v>0.98515282660579895</v>
      </c>
      <c r="F1488">
        <v>17</v>
      </c>
      <c r="G1488">
        <v>24</v>
      </c>
      <c r="H1488" t="s">
        <v>28</v>
      </c>
      <c r="I1488" t="s">
        <v>3438</v>
      </c>
      <c r="J1488" t="s">
        <v>1880</v>
      </c>
    </row>
    <row r="1489" spans="1:10">
      <c r="A1489" t="s">
        <v>6256</v>
      </c>
      <c r="B1489">
        <v>-0.39979802464154401</v>
      </c>
      <c r="C1489">
        <v>7.7803116222519897</v>
      </c>
      <c r="D1489">
        <v>0.53313148272890099</v>
      </c>
      <c r="E1489">
        <v>0.98515282660579895</v>
      </c>
      <c r="F1489">
        <v>17</v>
      </c>
      <c r="G1489">
        <v>24</v>
      </c>
      <c r="H1489" t="s">
        <v>6257</v>
      </c>
      <c r="I1489" t="s">
        <v>6258</v>
      </c>
      <c r="J1489" t="s">
        <v>1881</v>
      </c>
    </row>
    <row r="1490" spans="1:10">
      <c r="A1490" t="s">
        <v>6259</v>
      </c>
      <c r="B1490">
        <v>0.30056420188604999</v>
      </c>
      <c r="C1490">
        <v>7.7803347519077901</v>
      </c>
      <c r="D1490">
        <v>0.53313148272890099</v>
      </c>
      <c r="E1490">
        <v>0.98515282660579895</v>
      </c>
      <c r="F1490">
        <v>22</v>
      </c>
      <c r="G1490">
        <v>19</v>
      </c>
      <c r="H1490" t="s">
        <v>28</v>
      </c>
      <c r="I1490" t="s">
        <v>6260</v>
      </c>
      <c r="J1490" t="s">
        <v>1882</v>
      </c>
    </row>
    <row r="1491" spans="1:10">
      <c r="A1491" t="s">
        <v>6261</v>
      </c>
      <c r="B1491">
        <v>0.30056420188604999</v>
      </c>
      <c r="C1491">
        <v>7.7803347519077901</v>
      </c>
      <c r="D1491">
        <v>0.53313148272890099</v>
      </c>
      <c r="E1491">
        <v>0.98515282660579895</v>
      </c>
      <c r="F1491">
        <v>22</v>
      </c>
      <c r="G1491">
        <v>19</v>
      </c>
      <c r="H1491" t="s">
        <v>28</v>
      </c>
      <c r="I1491" t="s">
        <v>3438</v>
      </c>
      <c r="J1491" t="s">
        <v>1883</v>
      </c>
    </row>
    <row r="1492" spans="1:10">
      <c r="A1492" t="s">
        <v>6262</v>
      </c>
      <c r="B1492">
        <v>0.27118752795948498</v>
      </c>
      <c r="C1492">
        <v>8.42278675352091</v>
      </c>
      <c r="D1492">
        <v>0.53296618212643398</v>
      </c>
      <c r="E1492">
        <v>0.98515282660579895</v>
      </c>
      <c r="F1492">
        <v>34</v>
      </c>
      <c r="G1492">
        <v>30</v>
      </c>
      <c r="H1492" t="s">
        <v>28</v>
      </c>
      <c r="I1492" t="s">
        <v>3438</v>
      </c>
      <c r="J1492" t="s">
        <v>1884</v>
      </c>
    </row>
    <row r="1493" spans="1:10">
      <c r="A1493" t="s">
        <v>6263</v>
      </c>
      <c r="B1493">
        <v>0.27118752795948498</v>
      </c>
      <c r="C1493">
        <v>8.42278675352091</v>
      </c>
      <c r="D1493">
        <v>0.53296618212643398</v>
      </c>
      <c r="E1493">
        <v>0.98515282660579895</v>
      </c>
      <c r="F1493">
        <v>34</v>
      </c>
      <c r="G1493">
        <v>30</v>
      </c>
      <c r="H1493" t="s">
        <v>28</v>
      </c>
      <c r="I1493" t="s">
        <v>3438</v>
      </c>
      <c r="J1493" t="s">
        <v>1885</v>
      </c>
    </row>
    <row r="1494" spans="1:10">
      <c r="A1494" t="s">
        <v>6264</v>
      </c>
      <c r="B1494">
        <v>0.27118752795948498</v>
      </c>
      <c r="C1494">
        <v>8.42278675352091</v>
      </c>
      <c r="D1494">
        <v>0.53296618212643398</v>
      </c>
      <c r="E1494">
        <v>0.98515282660579895</v>
      </c>
      <c r="F1494">
        <v>34</v>
      </c>
      <c r="G1494">
        <v>30</v>
      </c>
      <c r="H1494" t="s">
        <v>6265</v>
      </c>
      <c r="I1494" t="s">
        <v>6266</v>
      </c>
      <c r="J1494" t="s">
        <v>1886</v>
      </c>
    </row>
    <row r="1495" spans="1:10">
      <c r="A1495" t="s">
        <v>6267</v>
      </c>
      <c r="B1495">
        <v>0.27118752795948498</v>
      </c>
      <c r="C1495">
        <v>8.42278675352091</v>
      </c>
      <c r="D1495">
        <v>0.53296618212643398</v>
      </c>
      <c r="E1495">
        <v>0.98515282660579895</v>
      </c>
      <c r="F1495">
        <v>34</v>
      </c>
      <c r="G1495">
        <v>30</v>
      </c>
      <c r="H1495" t="s">
        <v>6268</v>
      </c>
      <c r="I1495" t="s">
        <v>3438</v>
      </c>
      <c r="J1495" t="s">
        <v>1887</v>
      </c>
    </row>
    <row r="1496" spans="1:10">
      <c r="A1496" t="s">
        <v>6269</v>
      </c>
      <c r="B1496">
        <v>-0.19120176135456601</v>
      </c>
      <c r="C1496">
        <v>9.3534914851781803</v>
      </c>
      <c r="D1496">
        <v>0.52767545494840296</v>
      </c>
      <c r="E1496">
        <v>0.98515282660579895</v>
      </c>
      <c r="F1496">
        <v>55</v>
      </c>
      <c r="G1496">
        <v>67</v>
      </c>
      <c r="H1496" t="s">
        <v>28</v>
      </c>
      <c r="I1496" t="s">
        <v>4485</v>
      </c>
      <c r="J1496" t="s">
        <v>1888</v>
      </c>
    </row>
    <row r="1497" spans="1:10">
      <c r="A1497" t="s">
        <v>6270</v>
      </c>
      <c r="B1497">
        <v>0.186611636613012</v>
      </c>
      <c r="C1497">
        <v>9.3535283438444008</v>
      </c>
      <c r="D1497">
        <v>0.52767545494840296</v>
      </c>
      <c r="E1497">
        <v>0.98515282660579895</v>
      </c>
      <c r="F1497">
        <v>63</v>
      </c>
      <c r="G1497">
        <v>59</v>
      </c>
      <c r="H1497" t="s">
        <v>6271</v>
      </c>
      <c r="I1497" t="s">
        <v>6272</v>
      </c>
      <c r="J1497" t="s">
        <v>1889</v>
      </c>
    </row>
    <row r="1498" spans="1:10">
      <c r="A1498" t="s">
        <v>6273</v>
      </c>
      <c r="B1498">
        <v>-0.279380958380608</v>
      </c>
      <c r="C1498">
        <v>8.3769551902295198</v>
      </c>
      <c r="D1498">
        <v>0.52641646623634797</v>
      </c>
      <c r="E1498">
        <v>0.98427636942796204</v>
      </c>
      <c r="F1498">
        <v>27</v>
      </c>
      <c r="G1498">
        <v>35</v>
      </c>
      <c r="H1498" t="s">
        <v>6274</v>
      </c>
      <c r="I1498" t="s">
        <v>6275</v>
      </c>
      <c r="J1498" t="s">
        <v>1890</v>
      </c>
    </row>
    <row r="1499" spans="1:10">
      <c r="A1499" t="s">
        <v>6276</v>
      </c>
      <c r="B1499">
        <v>0.27691312618059999</v>
      </c>
      <c r="C1499">
        <v>8.3769829168229606</v>
      </c>
      <c r="D1499">
        <v>0.52641646623634797</v>
      </c>
      <c r="E1499">
        <v>0.98427636942796204</v>
      </c>
      <c r="F1499">
        <v>33</v>
      </c>
      <c r="G1499">
        <v>29</v>
      </c>
      <c r="H1499" t="s">
        <v>6277</v>
      </c>
      <c r="I1499" t="s">
        <v>6278</v>
      </c>
      <c r="J1499" t="s">
        <v>320</v>
      </c>
    </row>
    <row r="1500" spans="1:10">
      <c r="A1500" t="s">
        <v>6279</v>
      </c>
      <c r="B1500">
        <v>-0.22791324053002501</v>
      </c>
      <c r="C1500">
        <v>8.9146094566428609</v>
      </c>
      <c r="D1500">
        <v>0.52593693822646004</v>
      </c>
      <c r="E1500">
        <v>0.98427636942796204</v>
      </c>
      <c r="F1500">
        <v>40</v>
      </c>
      <c r="G1500">
        <v>50</v>
      </c>
      <c r="H1500" t="s">
        <v>6280</v>
      </c>
      <c r="I1500" t="s">
        <v>6281</v>
      </c>
      <c r="J1500" t="s">
        <v>1891</v>
      </c>
    </row>
    <row r="1501" spans="1:10">
      <c r="A1501" t="s">
        <v>6282</v>
      </c>
      <c r="B1501">
        <v>0.18817079734056999</v>
      </c>
      <c r="C1501">
        <v>9.3296814556506593</v>
      </c>
      <c r="D1501">
        <v>0.52423572139671704</v>
      </c>
      <c r="E1501">
        <v>0.98191152010008398</v>
      </c>
      <c r="F1501">
        <v>62</v>
      </c>
      <c r="G1501">
        <v>58</v>
      </c>
      <c r="H1501" t="s">
        <v>6283</v>
      </c>
      <c r="I1501" t="s">
        <v>6284</v>
      </c>
      <c r="J1501" t="s">
        <v>1892</v>
      </c>
    </row>
    <row r="1502" spans="1:10">
      <c r="A1502" t="s">
        <v>6285</v>
      </c>
      <c r="B1502">
        <v>-0.427854673326444</v>
      </c>
      <c r="C1502">
        <v>6.8821967559084101</v>
      </c>
      <c r="D1502">
        <v>0.52369816077946996</v>
      </c>
      <c r="E1502">
        <v>0.98147627334893595</v>
      </c>
      <c r="F1502">
        <v>9</v>
      </c>
      <c r="G1502">
        <v>13</v>
      </c>
      <c r="H1502" t="s">
        <v>6286</v>
      </c>
      <c r="I1502" t="s">
        <v>6287</v>
      </c>
      <c r="J1502" t="s">
        <v>1893</v>
      </c>
    </row>
    <row r="1503" spans="1:10">
      <c r="A1503" t="s">
        <v>6288</v>
      </c>
      <c r="B1503">
        <v>-0.427854673326444</v>
      </c>
      <c r="C1503">
        <v>6.8821967559084101</v>
      </c>
      <c r="D1503">
        <v>0.52369816077946996</v>
      </c>
      <c r="E1503">
        <v>0.98147627334893595</v>
      </c>
      <c r="F1503">
        <v>9</v>
      </c>
      <c r="G1503">
        <v>13</v>
      </c>
      <c r="H1503" t="s">
        <v>6289</v>
      </c>
      <c r="I1503" t="s">
        <v>6290</v>
      </c>
      <c r="J1503" t="s">
        <v>1894</v>
      </c>
    </row>
    <row r="1504" spans="1:10">
      <c r="A1504" t="s">
        <v>6291</v>
      </c>
      <c r="B1504">
        <v>0.60908006225308697</v>
      </c>
      <c r="C1504">
        <v>6.8822152772153302</v>
      </c>
      <c r="D1504">
        <v>0.52369816077946996</v>
      </c>
      <c r="E1504">
        <v>0.98147627334893595</v>
      </c>
      <c r="F1504">
        <v>13</v>
      </c>
      <c r="G1504">
        <v>9</v>
      </c>
      <c r="H1504" t="s">
        <v>6292</v>
      </c>
      <c r="I1504" t="s">
        <v>6293</v>
      </c>
      <c r="J1504" t="s">
        <v>1895</v>
      </c>
    </row>
    <row r="1505" spans="1:10">
      <c r="A1505" t="s">
        <v>6294</v>
      </c>
      <c r="B1505">
        <v>-0.425262545519487</v>
      </c>
      <c r="C1505">
        <v>7.70816168653994</v>
      </c>
      <c r="D1505">
        <v>0.52280522100415405</v>
      </c>
      <c r="E1505">
        <v>0.98147627334893595</v>
      </c>
      <c r="F1505">
        <v>16</v>
      </c>
      <c r="G1505">
        <v>23</v>
      </c>
      <c r="H1505" t="s">
        <v>6295</v>
      </c>
      <c r="I1505" t="s">
        <v>4748</v>
      </c>
      <c r="J1505" t="s">
        <v>1896</v>
      </c>
    </row>
    <row r="1506" spans="1:10">
      <c r="A1506" t="s">
        <v>6296</v>
      </c>
      <c r="B1506">
        <v>0.31112619781176198</v>
      </c>
      <c r="C1506">
        <v>7.7081848184994399</v>
      </c>
      <c r="D1506">
        <v>0.52280522100415405</v>
      </c>
      <c r="E1506">
        <v>0.98147627334893595</v>
      </c>
      <c r="F1506">
        <v>21</v>
      </c>
      <c r="G1506">
        <v>18</v>
      </c>
      <c r="H1506" t="s">
        <v>6297</v>
      </c>
      <c r="I1506" t="s">
        <v>6298</v>
      </c>
      <c r="J1506" t="s">
        <v>1897</v>
      </c>
    </row>
    <row r="1507" spans="1:10">
      <c r="A1507" t="s">
        <v>6299</v>
      </c>
      <c r="B1507">
        <v>0.31112619781176198</v>
      </c>
      <c r="C1507">
        <v>7.7081848184994399</v>
      </c>
      <c r="D1507">
        <v>0.52280522100415405</v>
      </c>
      <c r="E1507">
        <v>0.98147627334893595</v>
      </c>
      <c r="F1507">
        <v>21</v>
      </c>
      <c r="G1507">
        <v>18</v>
      </c>
      <c r="H1507" t="s">
        <v>28</v>
      </c>
      <c r="I1507" t="s">
        <v>3438</v>
      </c>
      <c r="J1507" t="s">
        <v>1898</v>
      </c>
    </row>
    <row r="1508" spans="1:10">
      <c r="A1508" t="s">
        <v>6300</v>
      </c>
      <c r="B1508">
        <v>-0.29182629795925202</v>
      </c>
      <c r="C1508">
        <v>8.3296493255783606</v>
      </c>
      <c r="D1508">
        <v>0.519586532499133</v>
      </c>
      <c r="E1508">
        <v>0.97718730322644098</v>
      </c>
      <c r="F1508">
        <v>26</v>
      </c>
      <c r="G1508">
        <v>34</v>
      </c>
      <c r="H1508" t="s">
        <v>6301</v>
      </c>
      <c r="I1508" t="s">
        <v>6302</v>
      </c>
      <c r="J1508" t="s">
        <v>1899</v>
      </c>
    </row>
    <row r="1509" spans="1:10">
      <c r="A1509" t="s">
        <v>6303</v>
      </c>
      <c r="B1509">
        <v>0.28301887311332202</v>
      </c>
      <c r="C1509">
        <v>8.3296770549304799</v>
      </c>
      <c r="D1509">
        <v>0.519586532499133</v>
      </c>
      <c r="E1509">
        <v>0.97718730322644098</v>
      </c>
      <c r="F1509">
        <v>32</v>
      </c>
      <c r="G1509">
        <v>28</v>
      </c>
      <c r="H1509" t="s">
        <v>6304</v>
      </c>
      <c r="I1509" t="s">
        <v>6305</v>
      </c>
      <c r="J1509" t="s">
        <v>1900</v>
      </c>
    </row>
    <row r="1510" spans="1:10">
      <c r="A1510" t="s">
        <v>6306</v>
      </c>
      <c r="B1510">
        <v>0.26112511521221299</v>
      </c>
      <c r="C1510">
        <v>8.8321815402163004</v>
      </c>
      <c r="D1510">
        <v>0.51631861799964696</v>
      </c>
      <c r="E1510">
        <v>0.97217838143259105</v>
      </c>
      <c r="F1510">
        <v>45</v>
      </c>
      <c r="G1510">
        <v>40</v>
      </c>
      <c r="H1510" t="s">
        <v>28</v>
      </c>
      <c r="I1510" t="s">
        <v>4074</v>
      </c>
      <c r="J1510" t="s">
        <v>1901</v>
      </c>
    </row>
    <row r="1511" spans="1:10">
      <c r="A1511" t="s">
        <v>6307</v>
      </c>
      <c r="B1511">
        <v>0.11855734299114</v>
      </c>
      <c r="C1511">
        <v>10.802182360417801</v>
      </c>
      <c r="D1511">
        <v>0.51434232120016099</v>
      </c>
      <c r="E1511">
        <v>0.96902454890434497</v>
      </c>
      <c r="F1511">
        <v>168</v>
      </c>
      <c r="G1511">
        <v>165</v>
      </c>
      <c r="H1511" t="s">
        <v>6308</v>
      </c>
      <c r="I1511" t="s">
        <v>6309</v>
      </c>
      <c r="J1511" t="s">
        <v>1902</v>
      </c>
    </row>
    <row r="1512" spans="1:10">
      <c r="A1512" t="s">
        <v>6310</v>
      </c>
      <c r="B1512">
        <v>-0.21118270272078199</v>
      </c>
      <c r="C1512">
        <v>9.2556435620184399</v>
      </c>
      <c r="D1512">
        <v>0.51345550353431202</v>
      </c>
      <c r="E1512">
        <v>0.96792080853830498</v>
      </c>
      <c r="F1512">
        <v>51</v>
      </c>
      <c r="G1512">
        <v>63</v>
      </c>
      <c r="H1512" t="s">
        <v>6311</v>
      </c>
      <c r="I1512" t="s">
        <v>3450</v>
      </c>
      <c r="J1512" t="s">
        <v>1903</v>
      </c>
    </row>
    <row r="1513" spans="1:10">
      <c r="A1513" t="s">
        <v>6312</v>
      </c>
      <c r="B1513">
        <v>0.193175471418748</v>
      </c>
      <c r="C1513">
        <v>9.2556804353145505</v>
      </c>
      <c r="D1513">
        <v>0.51345550353431202</v>
      </c>
      <c r="E1513">
        <v>0.96792080853830498</v>
      </c>
      <c r="F1513">
        <v>59</v>
      </c>
      <c r="G1513">
        <v>55</v>
      </c>
      <c r="H1513" t="s">
        <v>6313</v>
      </c>
      <c r="I1513" t="s">
        <v>4748</v>
      </c>
      <c r="J1513" t="s">
        <v>1904</v>
      </c>
    </row>
    <row r="1514" spans="1:10">
      <c r="A1514" t="s">
        <v>6314</v>
      </c>
      <c r="B1514">
        <v>-0.30513834828651898</v>
      </c>
      <c r="C1514">
        <v>8.2807395751947706</v>
      </c>
      <c r="D1514">
        <v>0.51245596940952498</v>
      </c>
      <c r="E1514">
        <v>0.96717042113910401</v>
      </c>
      <c r="F1514">
        <v>25</v>
      </c>
      <c r="G1514">
        <v>33</v>
      </c>
      <c r="H1514" t="s">
        <v>6315</v>
      </c>
      <c r="I1514" t="s">
        <v>6316</v>
      </c>
      <c r="J1514" t="s">
        <v>1905</v>
      </c>
    </row>
    <row r="1515" spans="1:10">
      <c r="A1515" t="s">
        <v>6317</v>
      </c>
      <c r="B1515">
        <v>0.28954398905025802</v>
      </c>
      <c r="C1515">
        <v>8.2807673073061192</v>
      </c>
      <c r="D1515">
        <v>0.51245596940952498</v>
      </c>
      <c r="E1515">
        <v>0.96717042113910401</v>
      </c>
      <c r="F1515">
        <v>31</v>
      </c>
      <c r="G1515">
        <v>27</v>
      </c>
      <c r="H1515" t="s">
        <v>28</v>
      </c>
      <c r="I1515" t="s">
        <v>6318</v>
      </c>
      <c r="J1515" t="s">
        <v>1906</v>
      </c>
    </row>
    <row r="1516" spans="1:10">
      <c r="A1516" t="s">
        <v>6319</v>
      </c>
      <c r="B1516">
        <v>0.28954398905025802</v>
      </c>
      <c r="C1516">
        <v>8.2807673073061192</v>
      </c>
      <c r="D1516">
        <v>0.51245596940952498</v>
      </c>
      <c r="E1516">
        <v>0.96717042113910401</v>
      </c>
      <c r="F1516">
        <v>31</v>
      </c>
      <c r="G1516">
        <v>27</v>
      </c>
      <c r="H1516" t="s">
        <v>28</v>
      </c>
      <c r="I1516" t="s">
        <v>3438</v>
      </c>
      <c r="J1516" t="s">
        <v>1907</v>
      </c>
    </row>
    <row r="1517" spans="1:10">
      <c r="A1517" t="s">
        <v>6320</v>
      </c>
      <c r="B1517">
        <v>-0.45353682149253999</v>
      </c>
      <c r="C1517">
        <v>7.6322126833205299</v>
      </c>
      <c r="D1517">
        <v>0.51176879093806804</v>
      </c>
      <c r="E1517">
        <v>0.96717042113910401</v>
      </c>
      <c r="F1517">
        <v>15</v>
      </c>
      <c r="G1517">
        <v>22</v>
      </c>
      <c r="H1517" t="s">
        <v>6321</v>
      </c>
      <c r="I1517" t="s">
        <v>6322</v>
      </c>
      <c r="J1517" t="s">
        <v>1908</v>
      </c>
    </row>
    <row r="1518" spans="1:10">
      <c r="A1518" t="s">
        <v>6323</v>
      </c>
      <c r="B1518">
        <v>-0.45353682149253999</v>
      </c>
      <c r="C1518">
        <v>7.6322126833205299</v>
      </c>
      <c r="D1518">
        <v>0.51176879093806804</v>
      </c>
      <c r="E1518">
        <v>0.96717042113910401</v>
      </c>
      <c r="F1518">
        <v>15</v>
      </c>
      <c r="G1518">
        <v>22</v>
      </c>
      <c r="H1518" t="s">
        <v>6324</v>
      </c>
      <c r="I1518" t="s">
        <v>6325</v>
      </c>
      <c r="J1518" t="s">
        <v>1909</v>
      </c>
    </row>
    <row r="1519" spans="1:10">
      <c r="A1519" t="s">
        <v>6326</v>
      </c>
      <c r="B1519">
        <v>-0.45353682149253999</v>
      </c>
      <c r="C1519">
        <v>7.6322126833205299</v>
      </c>
      <c r="D1519">
        <v>0.51176879093806804</v>
      </c>
      <c r="E1519">
        <v>0.96717042113910401</v>
      </c>
      <c r="F1519">
        <v>15</v>
      </c>
      <c r="G1519">
        <v>22</v>
      </c>
      <c r="H1519" t="s">
        <v>6327</v>
      </c>
      <c r="I1519" t="s">
        <v>6328</v>
      </c>
      <c r="J1519" t="s">
        <v>1910</v>
      </c>
    </row>
    <row r="1520" spans="1:10">
      <c r="A1520" t="s">
        <v>6329</v>
      </c>
      <c r="B1520">
        <v>-0.45353682149253999</v>
      </c>
      <c r="C1520">
        <v>7.6322126833205299</v>
      </c>
      <c r="D1520">
        <v>0.51176879093806804</v>
      </c>
      <c r="E1520">
        <v>0.96717042113910401</v>
      </c>
      <c r="F1520">
        <v>15</v>
      </c>
      <c r="G1520">
        <v>22</v>
      </c>
      <c r="H1520" t="s">
        <v>28</v>
      </c>
      <c r="I1520" t="s">
        <v>3438</v>
      </c>
      <c r="J1520" t="s">
        <v>1911</v>
      </c>
    </row>
    <row r="1521" spans="1:10">
      <c r="A1521" t="s">
        <v>6330</v>
      </c>
      <c r="B1521">
        <v>-0.45353682149253999</v>
      </c>
      <c r="C1521">
        <v>7.6322126833205299</v>
      </c>
      <c r="D1521">
        <v>0.51176879093806804</v>
      </c>
      <c r="E1521">
        <v>0.96717042113910401</v>
      </c>
      <c r="F1521">
        <v>15</v>
      </c>
      <c r="G1521">
        <v>22</v>
      </c>
      <c r="H1521" t="s">
        <v>28</v>
      </c>
      <c r="I1521" t="s">
        <v>3438</v>
      </c>
      <c r="J1521" t="s">
        <v>1912</v>
      </c>
    </row>
    <row r="1522" spans="1:10">
      <c r="A1522" t="s">
        <v>6331</v>
      </c>
      <c r="B1522">
        <v>-0.45353682149253999</v>
      </c>
      <c r="C1522">
        <v>7.6322126833205299</v>
      </c>
      <c r="D1522">
        <v>0.51176879093806804</v>
      </c>
      <c r="E1522">
        <v>0.96717042113910401</v>
      </c>
      <c r="F1522">
        <v>15</v>
      </c>
      <c r="G1522">
        <v>22</v>
      </c>
      <c r="H1522" t="s">
        <v>28</v>
      </c>
      <c r="I1522" t="s">
        <v>3438</v>
      </c>
      <c r="J1522" t="s">
        <v>1913</v>
      </c>
    </row>
    <row r="1523" spans="1:10">
      <c r="A1523" t="s">
        <v>6332</v>
      </c>
      <c r="B1523">
        <v>-0.45353682149253999</v>
      </c>
      <c r="C1523">
        <v>7.6322126833205299</v>
      </c>
      <c r="D1523">
        <v>0.51176879093806804</v>
      </c>
      <c r="E1523">
        <v>0.96717042113910401</v>
      </c>
      <c r="F1523">
        <v>15</v>
      </c>
      <c r="G1523">
        <v>22</v>
      </c>
      <c r="H1523" t="s">
        <v>6333</v>
      </c>
      <c r="I1523" t="s">
        <v>6334</v>
      </c>
      <c r="J1523" t="s">
        <v>1914</v>
      </c>
    </row>
    <row r="1524" spans="1:10">
      <c r="A1524" t="s">
        <v>6335</v>
      </c>
      <c r="B1524">
        <v>0.32282163152904098</v>
      </c>
      <c r="C1524">
        <v>7.6322358175842098</v>
      </c>
      <c r="D1524">
        <v>0.51176879093806804</v>
      </c>
      <c r="E1524">
        <v>0.96717042113910401</v>
      </c>
      <c r="F1524">
        <v>20</v>
      </c>
      <c r="G1524">
        <v>17</v>
      </c>
      <c r="H1524" t="s">
        <v>28</v>
      </c>
      <c r="I1524" t="s">
        <v>3657</v>
      </c>
      <c r="J1524" t="s">
        <v>1915</v>
      </c>
    </row>
    <row r="1525" spans="1:10">
      <c r="A1525" t="s">
        <v>6336</v>
      </c>
      <c r="B1525">
        <v>0.32282163152904098</v>
      </c>
      <c r="C1525">
        <v>7.6322358175842098</v>
      </c>
      <c r="D1525">
        <v>0.51176879093806804</v>
      </c>
      <c r="E1525">
        <v>0.96717042113910401</v>
      </c>
      <c r="F1525">
        <v>20</v>
      </c>
      <c r="G1525">
        <v>17</v>
      </c>
      <c r="H1525" t="s">
        <v>6337</v>
      </c>
      <c r="I1525" t="s">
        <v>3687</v>
      </c>
      <c r="J1525" t="s">
        <v>1916</v>
      </c>
    </row>
    <row r="1526" spans="1:10">
      <c r="A1526" t="s">
        <v>6338</v>
      </c>
      <c r="B1526">
        <v>0.32282163152904098</v>
      </c>
      <c r="C1526">
        <v>7.6322358175842098</v>
      </c>
      <c r="D1526">
        <v>0.51176879093806804</v>
      </c>
      <c r="E1526">
        <v>0.96717042113910401</v>
      </c>
      <c r="F1526">
        <v>20</v>
      </c>
      <c r="G1526">
        <v>17</v>
      </c>
      <c r="H1526" t="s">
        <v>6339</v>
      </c>
      <c r="I1526" t="s">
        <v>6340</v>
      </c>
      <c r="J1526" t="s">
        <v>1917</v>
      </c>
    </row>
    <row r="1527" spans="1:10">
      <c r="A1527" t="s">
        <v>6341</v>
      </c>
      <c r="B1527">
        <v>0.32282163152904098</v>
      </c>
      <c r="C1527">
        <v>7.6322358175842098</v>
      </c>
      <c r="D1527">
        <v>0.51176879093806804</v>
      </c>
      <c r="E1527">
        <v>0.96717042113910401</v>
      </c>
      <c r="F1527">
        <v>20</v>
      </c>
      <c r="G1527">
        <v>17</v>
      </c>
      <c r="H1527" t="s">
        <v>6342</v>
      </c>
      <c r="I1527" t="s">
        <v>6343</v>
      </c>
      <c r="J1527" t="s">
        <v>1918</v>
      </c>
    </row>
    <row r="1528" spans="1:10">
      <c r="A1528" t="s">
        <v>6344</v>
      </c>
      <c r="B1528">
        <v>0.32282163152904098</v>
      </c>
      <c r="C1528">
        <v>7.6322358175842098</v>
      </c>
      <c r="D1528">
        <v>0.51176879093806804</v>
      </c>
      <c r="E1528">
        <v>0.96717042113910401</v>
      </c>
      <c r="F1528">
        <v>20</v>
      </c>
      <c r="G1528">
        <v>17</v>
      </c>
      <c r="H1528" t="s">
        <v>134</v>
      </c>
      <c r="I1528" t="s">
        <v>6345</v>
      </c>
      <c r="J1528" t="s">
        <v>133</v>
      </c>
    </row>
    <row r="1529" spans="1:10">
      <c r="A1529" t="s">
        <v>6346</v>
      </c>
      <c r="B1529">
        <v>0.32282163152904098</v>
      </c>
      <c r="C1529">
        <v>7.6322358175842098</v>
      </c>
      <c r="D1529">
        <v>0.51176879093806804</v>
      </c>
      <c r="E1529">
        <v>0.96717042113910401</v>
      </c>
      <c r="F1529">
        <v>20</v>
      </c>
      <c r="G1529">
        <v>17</v>
      </c>
      <c r="H1529" t="s">
        <v>28</v>
      </c>
      <c r="I1529" t="s">
        <v>5629</v>
      </c>
      <c r="J1529" t="s">
        <v>1919</v>
      </c>
    </row>
    <row r="1530" spans="1:10">
      <c r="A1530" t="s">
        <v>6347</v>
      </c>
      <c r="B1530">
        <v>-0.22003450197264801</v>
      </c>
      <c r="C1530">
        <v>8.7977975749400201</v>
      </c>
      <c r="D1530">
        <v>0.51128788693516003</v>
      </c>
      <c r="E1530">
        <v>0.96717042113910401</v>
      </c>
      <c r="F1530">
        <v>37</v>
      </c>
      <c r="G1530">
        <v>46</v>
      </c>
      <c r="H1530" t="s">
        <v>6348</v>
      </c>
      <c r="I1530" t="s">
        <v>6349</v>
      </c>
      <c r="J1530" t="s">
        <v>1920</v>
      </c>
    </row>
    <row r="1531" spans="1:10">
      <c r="A1531" t="s">
        <v>6350</v>
      </c>
      <c r="B1531">
        <v>-0.22003450197264801</v>
      </c>
      <c r="C1531">
        <v>8.7977975749400201</v>
      </c>
      <c r="D1531">
        <v>0.51128788693516003</v>
      </c>
      <c r="E1531">
        <v>0.96717042113910401</v>
      </c>
      <c r="F1531">
        <v>37</v>
      </c>
      <c r="G1531">
        <v>46</v>
      </c>
      <c r="H1531" t="s">
        <v>28</v>
      </c>
      <c r="I1531" t="s">
        <v>3438</v>
      </c>
      <c r="J1531" t="s">
        <v>1921</v>
      </c>
    </row>
    <row r="1532" spans="1:10">
      <c r="A1532" t="s">
        <v>6351</v>
      </c>
      <c r="B1532">
        <v>0.26516778492863602</v>
      </c>
      <c r="C1532">
        <v>8.7978298888770308</v>
      </c>
      <c r="D1532">
        <v>0.51128788693516003</v>
      </c>
      <c r="E1532">
        <v>0.96717042113910401</v>
      </c>
      <c r="F1532">
        <v>44</v>
      </c>
      <c r="G1532">
        <v>39</v>
      </c>
      <c r="H1532" t="s">
        <v>6352</v>
      </c>
      <c r="I1532" t="s">
        <v>6353</v>
      </c>
      <c r="J1532" t="s">
        <v>1922</v>
      </c>
    </row>
    <row r="1533" spans="1:10">
      <c r="A1533" t="s">
        <v>6354</v>
      </c>
      <c r="B1533">
        <v>0.19027281183508901</v>
      </c>
      <c r="C1533">
        <v>9.6224674775085397</v>
      </c>
      <c r="D1533">
        <v>0.51105306910638304</v>
      </c>
      <c r="E1533">
        <v>0.96717042113910401</v>
      </c>
      <c r="F1533">
        <v>76</v>
      </c>
      <c r="G1533">
        <v>71</v>
      </c>
      <c r="H1533" t="s">
        <v>28</v>
      </c>
      <c r="I1533" t="s">
        <v>6355</v>
      </c>
      <c r="J1533" t="s">
        <v>1923</v>
      </c>
    </row>
    <row r="1534" spans="1:10">
      <c r="A1534" t="s">
        <v>6356</v>
      </c>
      <c r="B1534">
        <v>0.19496247020980501</v>
      </c>
      <c r="C1534">
        <v>9.2301451968518595</v>
      </c>
      <c r="D1534">
        <v>0.50969880104157195</v>
      </c>
      <c r="E1534">
        <v>0.96717042113910401</v>
      </c>
      <c r="F1534">
        <v>58</v>
      </c>
      <c r="G1534">
        <v>54</v>
      </c>
      <c r="H1534" t="s">
        <v>28</v>
      </c>
      <c r="I1534" t="s">
        <v>3438</v>
      </c>
      <c r="J1534" t="s">
        <v>1924</v>
      </c>
    </row>
    <row r="1535" spans="1:10">
      <c r="A1535" t="s">
        <v>6357</v>
      </c>
      <c r="B1535">
        <v>0.15505444086422099</v>
      </c>
      <c r="C1535">
        <v>9.9463574814058298</v>
      </c>
      <c r="D1535">
        <v>0.50907191150252495</v>
      </c>
      <c r="E1535">
        <v>0.96717042113910401</v>
      </c>
      <c r="F1535">
        <v>94</v>
      </c>
      <c r="G1535">
        <v>90</v>
      </c>
      <c r="H1535" t="s">
        <v>6358</v>
      </c>
      <c r="I1535" t="s">
        <v>6359</v>
      </c>
      <c r="J1535" t="s">
        <v>1925</v>
      </c>
    </row>
    <row r="1536" spans="1:10">
      <c r="A1536" t="s">
        <v>6360</v>
      </c>
      <c r="B1536">
        <v>-0.85609944448883102</v>
      </c>
      <c r="C1536">
        <v>5.5926914827685197</v>
      </c>
      <c r="D1536">
        <v>0.50791091043804304</v>
      </c>
      <c r="E1536">
        <v>0.96717042113910401</v>
      </c>
      <c r="F1536">
        <v>3</v>
      </c>
      <c r="G1536">
        <v>6</v>
      </c>
      <c r="H1536" t="s">
        <v>6361</v>
      </c>
      <c r="I1536" t="s">
        <v>6362</v>
      </c>
      <c r="J1536" t="s">
        <v>1926</v>
      </c>
    </row>
    <row r="1537" spans="1:10">
      <c r="A1537" t="s">
        <v>6363</v>
      </c>
      <c r="B1537">
        <v>-0.85609944448883102</v>
      </c>
      <c r="C1537">
        <v>5.5926914827685197</v>
      </c>
      <c r="D1537">
        <v>0.50791091043804304</v>
      </c>
      <c r="E1537">
        <v>0.96717042113910401</v>
      </c>
      <c r="F1537">
        <v>3</v>
      </c>
      <c r="G1537">
        <v>6</v>
      </c>
      <c r="H1537" t="s">
        <v>28</v>
      </c>
      <c r="I1537" t="s">
        <v>3657</v>
      </c>
      <c r="J1537" t="s">
        <v>1927</v>
      </c>
    </row>
    <row r="1538" spans="1:10">
      <c r="A1538" t="s">
        <v>6364</v>
      </c>
      <c r="B1538">
        <v>-0.85609944448883102</v>
      </c>
      <c r="C1538">
        <v>5.5926914827685197</v>
      </c>
      <c r="D1538">
        <v>0.50791091043804304</v>
      </c>
      <c r="E1538">
        <v>0.96717042113910401</v>
      </c>
      <c r="F1538">
        <v>3</v>
      </c>
      <c r="G1538">
        <v>6</v>
      </c>
      <c r="H1538" t="s">
        <v>6365</v>
      </c>
      <c r="I1538" t="s">
        <v>3450</v>
      </c>
      <c r="J1538" t="s">
        <v>1928</v>
      </c>
    </row>
    <row r="1539" spans="1:10">
      <c r="A1539" t="s">
        <v>6366</v>
      </c>
      <c r="B1539">
        <v>-0.85609944448883102</v>
      </c>
      <c r="C1539">
        <v>5.5926914827685197</v>
      </c>
      <c r="D1539">
        <v>0.50791091043804304</v>
      </c>
      <c r="E1539">
        <v>0.96717042113910401</v>
      </c>
      <c r="F1539">
        <v>3</v>
      </c>
      <c r="G1539">
        <v>6</v>
      </c>
      <c r="H1539" t="s">
        <v>28</v>
      </c>
      <c r="I1539" t="s">
        <v>3438</v>
      </c>
      <c r="J1539" t="s">
        <v>1929</v>
      </c>
    </row>
    <row r="1540" spans="1:10">
      <c r="A1540" t="s">
        <v>6367</v>
      </c>
      <c r="B1540">
        <v>1.03073992863811</v>
      </c>
      <c r="C1540">
        <v>5.5927053827552102</v>
      </c>
      <c r="D1540">
        <v>0.50791091043804304</v>
      </c>
      <c r="E1540">
        <v>0.96717042113910401</v>
      </c>
      <c r="F1540">
        <v>6</v>
      </c>
      <c r="G1540">
        <v>3</v>
      </c>
      <c r="H1540" t="s">
        <v>28</v>
      </c>
      <c r="I1540" t="s">
        <v>3438</v>
      </c>
      <c r="J1540" t="s">
        <v>1930</v>
      </c>
    </row>
    <row r="1541" spans="1:10">
      <c r="A1541" t="s">
        <v>6368</v>
      </c>
      <c r="B1541">
        <v>1.03073992863811</v>
      </c>
      <c r="C1541">
        <v>5.5927053827552102</v>
      </c>
      <c r="D1541">
        <v>0.50791091043804304</v>
      </c>
      <c r="E1541">
        <v>0.96717042113910401</v>
      </c>
      <c r="F1541">
        <v>6</v>
      </c>
      <c r="G1541">
        <v>3</v>
      </c>
      <c r="H1541" t="s">
        <v>28</v>
      </c>
      <c r="I1541" t="s">
        <v>3438</v>
      </c>
      <c r="J1541" t="s">
        <v>1931</v>
      </c>
    </row>
    <row r="1542" spans="1:10">
      <c r="A1542" t="s">
        <v>6369</v>
      </c>
      <c r="B1542">
        <v>1.03073992863811</v>
      </c>
      <c r="C1542">
        <v>5.5927053827552102</v>
      </c>
      <c r="D1542">
        <v>0.50791091043804304</v>
      </c>
      <c r="E1542">
        <v>0.96717042113910401</v>
      </c>
      <c r="F1542">
        <v>6</v>
      </c>
      <c r="G1542">
        <v>3</v>
      </c>
      <c r="H1542" t="s">
        <v>6370</v>
      </c>
      <c r="I1542" t="s">
        <v>3438</v>
      </c>
      <c r="J1542" t="s">
        <v>1426</v>
      </c>
    </row>
    <row r="1543" spans="1:10">
      <c r="A1543" t="s">
        <v>6371</v>
      </c>
      <c r="B1543">
        <v>1.03073992863811</v>
      </c>
      <c r="C1543">
        <v>5.5927053827552102</v>
      </c>
      <c r="D1543">
        <v>0.50791091043804304</v>
      </c>
      <c r="E1543">
        <v>0.96717042113910401</v>
      </c>
      <c r="F1543">
        <v>6</v>
      </c>
      <c r="G1543">
        <v>3</v>
      </c>
      <c r="H1543" t="s">
        <v>6372</v>
      </c>
      <c r="I1543" t="s">
        <v>3599</v>
      </c>
      <c r="J1543" t="s">
        <v>1932</v>
      </c>
    </row>
    <row r="1544" spans="1:10">
      <c r="A1544" t="s">
        <v>6373</v>
      </c>
      <c r="B1544">
        <v>1.03073992863811</v>
      </c>
      <c r="C1544">
        <v>5.5927053827552102</v>
      </c>
      <c r="D1544">
        <v>0.50791091043804304</v>
      </c>
      <c r="E1544">
        <v>0.96717042113910401</v>
      </c>
      <c r="F1544">
        <v>6</v>
      </c>
      <c r="G1544">
        <v>3</v>
      </c>
      <c r="H1544" t="s">
        <v>28</v>
      </c>
      <c r="I1544" t="s">
        <v>3438</v>
      </c>
      <c r="J1544" t="s">
        <v>1933</v>
      </c>
    </row>
    <row r="1545" spans="1:10">
      <c r="A1545" t="s">
        <v>6374</v>
      </c>
      <c r="B1545">
        <v>1.03073992863811</v>
      </c>
      <c r="C1545">
        <v>5.5927053827552102</v>
      </c>
      <c r="D1545">
        <v>0.50791091043804304</v>
      </c>
      <c r="E1545">
        <v>0.96717042113910401</v>
      </c>
      <c r="F1545">
        <v>6</v>
      </c>
      <c r="G1545">
        <v>3</v>
      </c>
      <c r="H1545" t="s">
        <v>6375</v>
      </c>
      <c r="I1545" t="s">
        <v>3450</v>
      </c>
      <c r="J1545" t="s">
        <v>1934</v>
      </c>
    </row>
    <row r="1546" spans="1:10">
      <c r="A1546" t="s">
        <v>6376</v>
      </c>
      <c r="B1546">
        <v>1.03073992863811</v>
      </c>
      <c r="C1546">
        <v>5.5927053827552102</v>
      </c>
      <c r="D1546">
        <v>0.50791091043804304</v>
      </c>
      <c r="E1546">
        <v>0.96717042113910401</v>
      </c>
      <c r="F1546">
        <v>6</v>
      </c>
      <c r="G1546">
        <v>3</v>
      </c>
      <c r="H1546" t="s">
        <v>28</v>
      </c>
      <c r="I1546" t="s">
        <v>3438</v>
      </c>
      <c r="J1546" t="s">
        <v>206</v>
      </c>
    </row>
    <row r="1547" spans="1:10">
      <c r="A1547" t="s">
        <v>6377</v>
      </c>
      <c r="B1547">
        <v>1.03073992863811</v>
      </c>
      <c r="C1547">
        <v>5.5927053827552102</v>
      </c>
      <c r="D1547">
        <v>0.50791091043804304</v>
      </c>
      <c r="E1547">
        <v>0.96717042113910401</v>
      </c>
      <c r="F1547">
        <v>6</v>
      </c>
      <c r="G1547">
        <v>3</v>
      </c>
      <c r="H1547" t="s">
        <v>28</v>
      </c>
      <c r="I1547" t="s">
        <v>3878</v>
      </c>
      <c r="J1547" t="s">
        <v>1935</v>
      </c>
    </row>
    <row r="1548" spans="1:10">
      <c r="A1548" t="s">
        <v>6378</v>
      </c>
      <c r="B1548">
        <v>1.03073992863811</v>
      </c>
      <c r="C1548">
        <v>5.5927053827552102</v>
      </c>
      <c r="D1548">
        <v>0.50791091043804304</v>
      </c>
      <c r="E1548">
        <v>0.96717042113910401</v>
      </c>
      <c r="F1548">
        <v>6</v>
      </c>
      <c r="G1548">
        <v>3</v>
      </c>
      <c r="H1548" t="s">
        <v>28</v>
      </c>
      <c r="I1548" t="s">
        <v>4138</v>
      </c>
      <c r="J1548" t="s">
        <v>1936</v>
      </c>
    </row>
    <row r="1549" spans="1:10">
      <c r="A1549" t="s">
        <v>6379</v>
      </c>
      <c r="B1549">
        <v>1.03073992863811</v>
      </c>
      <c r="C1549">
        <v>5.5927053827552102</v>
      </c>
      <c r="D1549">
        <v>0.50791091043804304</v>
      </c>
      <c r="E1549">
        <v>0.96717042113910401</v>
      </c>
      <c r="F1549">
        <v>6</v>
      </c>
      <c r="G1549">
        <v>3</v>
      </c>
      <c r="H1549" t="s">
        <v>28</v>
      </c>
      <c r="I1549" t="s">
        <v>3438</v>
      </c>
      <c r="J1549" t="s">
        <v>1937</v>
      </c>
    </row>
    <row r="1550" spans="1:10">
      <c r="A1550" t="s">
        <v>6380</v>
      </c>
      <c r="B1550">
        <v>1.03073992863811</v>
      </c>
      <c r="C1550">
        <v>5.5927053827552102</v>
      </c>
      <c r="D1550">
        <v>0.50791091043804304</v>
      </c>
      <c r="E1550">
        <v>0.96717042113910401</v>
      </c>
      <c r="F1550">
        <v>6</v>
      </c>
      <c r="G1550">
        <v>3</v>
      </c>
      <c r="H1550" t="s">
        <v>28</v>
      </c>
      <c r="I1550" t="s">
        <v>3438</v>
      </c>
      <c r="J1550" t="s">
        <v>1938</v>
      </c>
    </row>
    <row r="1551" spans="1:10">
      <c r="A1551" t="s">
        <v>6381</v>
      </c>
      <c r="B1551">
        <v>-0.31941154514210801</v>
      </c>
      <c r="C1551">
        <v>8.2301133521923102</v>
      </c>
      <c r="D1551">
        <v>0.50500224490838197</v>
      </c>
      <c r="E1551">
        <v>0.96717042113910401</v>
      </c>
      <c r="F1551">
        <v>24</v>
      </c>
      <c r="G1551">
        <v>32</v>
      </c>
      <c r="H1551" t="s">
        <v>6382</v>
      </c>
      <c r="I1551" t="s">
        <v>6383</v>
      </c>
      <c r="J1551" t="s">
        <v>1939</v>
      </c>
    </row>
    <row r="1552" spans="1:10">
      <c r="A1552" t="s">
        <v>6384</v>
      </c>
      <c r="B1552">
        <v>-0.47992665666250101</v>
      </c>
      <c r="C1552">
        <v>6.7446930826103504</v>
      </c>
      <c r="D1552">
        <v>0.50366077841007795</v>
      </c>
      <c r="E1552">
        <v>0.96717042113910401</v>
      </c>
      <c r="F1552">
        <v>8</v>
      </c>
      <c r="G1552">
        <v>12</v>
      </c>
      <c r="H1552" t="s">
        <v>6385</v>
      </c>
      <c r="I1552" t="s">
        <v>6386</v>
      </c>
      <c r="J1552" t="s">
        <v>1940</v>
      </c>
    </row>
    <row r="1553" spans="1:10">
      <c r="A1553" t="s">
        <v>6387</v>
      </c>
      <c r="B1553">
        <v>-0.47992665666250101</v>
      </c>
      <c r="C1553">
        <v>6.7446930826103504</v>
      </c>
      <c r="D1553">
        <v>0.50366077841007795</v>
      </c>
      <c r="E1553">
        <v>0.96717042113910401</v>
      </c>
      <c r="F1553">
        <v>8</v>
      </c>
      <c r="G1553">
        <v>12</v>
      </c>
      <c r="H1553" t="s">
        <v>28</v>
      </c>
      <c r="I1553" t="s">
        <v>4485</v>
      </c>
      <c r="J1553" t="s">
        <v>1941</v>
      </c>
    </row>
    <row r="1554" spans="1:10">
      <c r="A1554" t="s">
        <v>6388</v>
      </c>
      <c r="B1554">
        <v>-0.47992665666250101</v>
      </c>
      <c r="C1554">
        <v>6.7446930826103504</v>
      </c>
      <c r="D1554">
        <v>0.50366077841007795</v>
      </c>
      <c r="E1554">
        <v>0.96717042113910401</v>
      </c>
      <c r="F1554">
        <v>8</v>
      </c>
      <c r="G1554">
        <v>12</v>
      </c>
      <c r="H1554" t="s">
        <v>28</v>
      </c>
      <c r="I1554" t="s">
        <v>3438</v>
      </c>
      <c r="J1554" t="s">
        <v>1942</v>
      </c>
    </row>
    <row r="1555" spans="1:10">
      <c r="A1555" t="s">
        <v>6389</v>
      </c>
      <c r="B1555">
        <v>-0.47992665666250101</v>
      </c>
      <c r="C1555">
        <v>6.7446930826103504</v>
      </c>
      <c r="D1555">
        <v>0.50366077841007795</v>
      </c>
      <c r="E1555">
        <v>0.96717042113910401</v>
      </c>
      <c r="F1555">
        <v>8</v>
      </c>
      <c r="G1555">
        <v>12</v>
      </c>
      <c r="H1555" t="s">
        <v>28</v>
      </c>
      <c r="I1555" t="s">
        <v>3438</v>
      </c>
      <c r="J1555" t="s">
        <v>1943</v>
      </c>
    </row>
    <row r="1556" spans="1:10">
      <c r="A1556" t="s">
        <v>6390</v>
      </c>
      <c r="B1556">
        <v>-0.47992665666250101</v>
      </c>
      <c r="C1556">
        <v>6.7446930826103504</v>
      </c>
      <c r="D1556">
        <v>0.50366077841007795</v>
      </c>
      <c r="E1556">
        <v>0.96717042113910401</v>
      </c>
      <c r="F1556">
        <v>8</v>
      </c>
      <c r="G1556">
        <v>12</v>
      </c>
      <c r="H1556" t="s">
        <v>28</v>
      </c>
      <c r="I1556" t="s">
        <v>3438</v>
      </c>
      <c r="J1556" t="s">
        <v>1944</v>
      </c>
    </row>
    <row r="1557" spans="1:10">
      <c r="A1557" t="s">
        <v>6391</v>
      </c>
      <c r="B1557">
        <v>-0.47992665666250101</v>
      </c>
      <c r="C1557">
        <v>6.7446930826103504</v>
      </c>
      <c r="D1557">
        <v>0.50366077841007795</v>
      </c>
      <c r="E1557">
        <v>0.96717042113910401</v>
      </c>
      <c r="F1557">
        <v>8</v>
      </c>
      <c r="G1557">
        <v>12</v>
      </c>
      <c r="H1557" t="s">
        <v>6392</v>
      </c>
      <c r="I1557" t="s">
        <v>6393</v>
      </c>
      <c r="J1557" t="s">
        <v>1945</v>
      </c>
    </row>
    <row r="1558" spans="1:10">
      <c r="A1558" t="s">
        <v>6394</v>
      </c>
      <c r="B1558">
        <v>-0.47992665666250101</v>
      </c>
      <c r="C1558">
        <v>6.7446930826103504</v>
      </c>
      <c r="D1558">
        <v>0.50366077841007795</v>
      </c>
      <c r="E1558">
        <v>0.96717042113910401</v>
      </c>
      <c r="F1558">
        <v>8</v>
      </c>
      <c r="G1558">
        <v>12</v>
      </c>
      <c r="H1558" t="s">
        <v>28</v>
      </c>
      <c r="I1558" t="s">
        <v>3438</v>
      </c>
      <c r="J1558" t="s">
        <v>1946</v>
      </c>
    </row>
    <row r="1559" spans="1:10">
      <c r="A1559" t="s">
        <v>6395</v>
      </c>
      <c r="B1559">
        <v>-0.47992665666250101</v>
      </c>
      <c r="C1559">
        <v>6.7446930826103504</v>
      </c>
      <c r="D1559">
        <v>0.50366077841007795</v>
      </c>
      <c r="E1559">
        <v>0.96717042113910401</v>
      </c>
      <c r="F1559">
        <v>8</v>
      </c>
      <c r="G1559">
        <v>12</v>
      </c>
      <c r="H1559" t="s">
        <v>6396</v>
      </c>
      <c r="I1559" t="s">
        <v>6397</v>
      </c>
      <c r="J1559" t="s">
        <v>1947</v>
      </c>
    </row>
    <row r="1560" spans="1:10">
      <c r="A1560" t="s">
        <v>6398</v>
      </c>
      <c r="B1560">
        <v>-0.47992665666250101</v>
      </c>
      <c r="C1560">
        <v>6.7446930826103504</v>
      </c>
      <c r="D1560">
        <v>0.50366077841007795</v>
      </c>
      <c r="E1560">
        <v>0.96717042113910401</v>
      </c>
      <c r="F1560">
        <v>8</v>
      </c>
      <c r="G1560">
        <v>12</v>
      </c>
      <c r="H1560" t="s">
        <v>28</v>
      </c>
      <c r="I1560" t="s">
        <v>6399</v>
      </c>
      <c r="J1560" t="s">
        <v>328</v>
      </c>
    </row>
    <row r="1561" spans="1:10">
      <c r="A1561" t="s">
        <v>6400</v>
      </c>
      <c r="B1561">
        <v>-0.47992665666250101</v>
      </c>
      <c r="C1561">
        <v>6.7446930826103504</v>
      </c>
      <c r="D1561">
        <v>0.50366077841007795</v>
      </c>
      <c r="E1561">
        <v>0.96717042113910401</v>
      </c>
      <c r="F1561">
        <v>8</v>
      </c>
      <c r="G1561">
        <v>12</v>
      </c>
      <c r="H1561" t="s">
        <v>28</v>
      </c>
      <c r="I1561" t="s">
        <v>3438</v>
      </c>
      <c r="J1561" t="s">
        <v>1948</v>
      </c>
    </row>
    <row r="1562" spans="1:10">
      <c r="A1562" t="s">
        <v>6401</v>
      </c>
      <c r="B1562">
        <v>-0.47992665666250101</v>
      </c>
      <c r="C1562">
        <v>6.7446930826103504</v>
      </c>
      <c r="D1562">
        <v>0.50366077841007795</v>
      </c>
      <c r="E1562">
        <v>0.96717042113910401</v>
      </c>
      <c r="F1562">
        <v>8</v>
      </c>
      <c r="G1562">
        <v>12</v>
      </c>
      <c r="H1562" t="s">
        <v>6402</v>
      </c>
      <c r="I1562" t="s">
        <v>6403</v>
      </c>
      <c r="J1562" t="s">
        <v>1949</v>
      </c>
    </row>
    <row r="1563" spans="1:10">
      <c r="A1563" t="s">
        <v>6404</v>
      </c>
      <c r="B1563">
        <v>-0.47992665666250101</v>
      </c>
      <c r="C1563">
        <v>6.7446930826103504</v>
      </c>
      <c r="D1563">
        <v>0.50366077841007795</v>
      </c>
      <c r="E1563">
        <v>0.96717042113910401</v>
      </c>
      <c r="F1563">
        <v>8</v>
      </c>
      <c r="G1563">
        <v>12</v>
      </c>
      <c r="H1563" t="s">
        <v>28</v>
      </c>
      <c r="I1563" t="s">
        <v>3438</v>
      </c>
      <c r="J1563" t="s">
        <v>1950</v>
      </c>
    </row>
    <row r="1564" spans="1:10">
      <c r="A1564" t="s">
        <v>6405</v>
      </c>
      <c r="B1564">
        <v>-0.47992665666250101</v>
      </c>
      <c r="C1564">
        <v>6.7446930826103504</v>
      </c>
      <c r="D1564">
        <v>0.50366077841007795</v>
      </c>
      <c r="E1564">
        <v>0.96717042113910401</v>
      </c>
      <c r="F1564">
        <v>8</v>
      </c>
      <c r="G1564">
        <v>12</v>
      </c>
      <c r="H1564" t="s">
        <v>28</v>
      </c>
      <c r="I1564" t="s">
        <v>3438</v>
      </c>
      <c r="J1564" t="s">
        <v>1951</v>
      </c>
    </row>
    <row r="1565" spans="1:10">
      <c r="A1565" t="s">
        <v>6406</v>
      </c>
      <c r="B1565">
        <v>-0.47992665666250101</v>
      </c>
      <c r="C1565">
        <v>6.7446930826103504</v>
      </c>
      <c r="D1565">
        <v>0.50366077841007795</v>
      </c>
      <c r="E1565">
        <v>0.96717042113910401</v>
      </c>
      <c r="F1565">
        <v>8</v>
      </c>
      <c r="G1565">
        <v>12</v>
      </c>
      <c r="H1565" t="s">
        <v>28</v>
      </c>
      <c r="I1565" t="s">
        <v>4138</v>
      </c>
      <c r="J1565" t="s">
        <v>1952</v>
      </c>
    </row>
    <row r="1566" spans="1:10">
      <c r="A1566" t="s">
        <v>6407</v>
      </c>
      <c r="B1566">
        <v>-0.47992665666250101</v>
      </c>
      <c r="C1566">
        <v>6.7446930826103504</v>
      </c>
      <c r="D1566">
        <v>0.50366077841007795</v>
      </c>
      <c r="E1566">
        <v>0.96717042113910401</v>
      </c>
      <c r="F1566">
        <v>8</v>
      </c>
      <c r="G1566">
        <v>12</v>
      </c>
      <c r="H1566" t="s">
        <v>6408</v>
      </c>
      <c r="I1566" t="s">
        <v>6409</v>
      </c>
      <c r="J1566" t="s">
        <v>1953</v>
      </c>
    </row>
    <row r="1567" spans="1:10">
      <c r="A1567" t="s">
        <v>6410</v>
      </c>
      <c r="B1567">
        <v>0.66070554018680605</v>
      </c>
      <c r="C1567">
        <v>6.7447116057637402</v>
      </c>
      <c r="D1567">
        <v>0.50366077841007795</v>
      </c>
      <c r="E1567">
        <v>0.96717042113910401</v>
      </c>
      <c r="F1567">
        <v>12</v>
      </c>
      <c r="G1567">
        <v>8</v>
      </c>
      <c r="H1567" t="s">
        <v>28</v>
      </c>
      <c r="I1567" t="s">
        <v>3659</v>
      </c>
      <c r="J1567" t="s">
        <v>1954</v>
      </c>
    </row>
    <row r="1568" spans="1:10">
      <c r="A1568" t="s">
        <v>6411</v>
      </c>
      <c r="B1568">
        <v>0.66070554018680605</v>
      </c>
      <c r="C1568">
        <v>6.7447116057637402</v>
      </c>
      <c r="D1568">
        <v>0.50366077841007795</v>
      </c>
      <c r="E1568">
        <v>0.96717042113910401</v>
      </c>
      <c r="F1568">
        <v>12</v>
      </c>
      <c r="G1568">
        <v>8</v>
      </c>
      <c r="H1568" t="s">
        <v>28</v>
      </c>
      <c r="I1568" t="s">
        <v>3438</v>
      </c>
      <c r="J1568" t="s">
        <v>1955</v>
      </c>
    </row>
    <row r="1569" spans="1:10">
      <c r="A1569" t="s">
        <v>6412</v>
      </c>
      <c r="B1569">
        <v>0.66070554018680605</v>
      </c>
      <c r="C1569">
        <v>6.7447116057637402</v>
      </c>
      <c r="D1569">
        <v>0.50366077841007795</v>
      </c>
      <c r="E1569">
        <v>0.96717042113910401</v>
      </c>
      <c r="F1569">
        <v>12</v>
      </c>
      <c r="G1569">
        <v>8</v>
      </c>
      <c r="H1569" t="s">
        <v>28</v>
      </c>
      <c r="I1569" t="s">
        <v>3438</v>
      </c>
      <c r="J1569" t="s">
        <v>1956</v>
      </c>
    </row>
    <row r="1570" spans="1:10">
      <c r="A1570" t="s">
        <v>6413</v>
      </c>
      <c r="B1570">
        <v>-0.48511950640613999</v>
      </c>
      <c r="C1570">
        <v>7.5520421846205501</v>
      </c>
      <c r="D1570">
        <v>0.49993752813445302</v>
      </c>
      <c r="E1570">
        <v>0.96717042113910401</v>
      </c>
      <c r="F1570">
        <v>14</v>
      </c>
      <c r="G1570">
        <v>21</v>
      </c>
      <c r="H1570" t="s">
        <v>28</v>
      </c>
      <c r="I1570" t="s">
        <v>3438</v>
      </c>
      <c r="J1570" t="s">
        <v>1957</v>
      </c>
    </row>
    <row r="1571" spans="1:10">
      <c r="A1571" t="s">
        <v>6414</v>
      </c>
      <c r="B1571">
        <v>-0.48511950640613999</v>
      </c>
      <c r="C1571">
        <v>7.5520421846205501</v>
      </c>
      <c r="D1571">
        <v>0.49993752813445302</v>
      </c>
      <c r="E1571">
        <v>0.96717042113910401</v>
      </c>
      <c r="F1571">
        <v>14</v>
      </c>
      <c r="G1571">
        <v>21</v>
      </c>
      <c r="H1571" t="s">
        <v>6415</v>
      </c>
      <c r="I1571" t="s">
        <v>6416</v>
      </c>
      <c r="J1571" t="s">
        <v>1958</v>
      </c>
    </row>
    <row r="1572" spans="1:10">
      <c r="A1572" t="s">
        <v>6417</v>
      </c>
      <c r="B1572">
        <v>0.33584375091705199</v>
      </c>
      <c r="C1572">
        <v>7.5520653211888398</v>
      </c>
      <c r="D1572">
        <v>0.49993752813445302</v>
      </c>
      <c r="E1572">
        <v>0.96717042113910401</v>
      </c>
      <c r="F1572">
        <v>19</v>
      </c>
      <c r="G1572">
        <v>16</v>
      </c>
      <c r="H1572" t="s">
        <v>28</v>
      </c>
      <c r="I1572" t="s">
        <v>3438</v>
      </c>
      <c r="J1572" t="s">
        <v>1959</v>
      </c>
    </row>
    <row r="1573" spans="1:10">
      <c r="A1573" t="s">
        <v>6418</v>
      </c>
      <c r="B1573">
        <v>0.33584375091705199</v>
      </c>
      <c r="C1573">
        <v>7.5520653211888398</v>
      </c>
      <c r="D1573">
        <v>0.49993752813445302</v>
      </c>
      <c r="E1573">
        <v>0.96717042113910401</v>
      </c>
      <c r="F1573">
        <v>19</v>
      </c>
      <c r="G1573">
        <v>16</v>
      </c>
      <c r="H1573" t="s">
        <v>6419</v>
      </c>
      <c r="I1573" t="s">
        <v>3450</v>
      </c>
      <c r="J1573" t="s">
        <v>1960</v>
      </c>
    </row>
    <row r="1574" spans="1:10">
      <c r="A1574" t="s">
        <v>6420</v>
      </c>
      <c r="B1574">
        <v>-0.17726694593088901</v>
      </c>
      <c r="C1574">
        <v>9.5416941915573208</v>
      </c>
      <c r="D1574">
        <v>0.49905459249501999</v>
      </c>
      <c r="E1574">
        <v>0.96717042113910401</v>
      </c>
      <c r="F1574">
        <v>63</v>
      </c>
      <c r="G1574">
        <v>76</v>
      </c>
      <c r="H1574" t="s">
        <v>6421</v>
      </c>
      <c r="I1574" t="s">
        <v>6422</v>
      </c>
      <c r="J1574" t="s">
        <v>1961</v>
      </c>
    </row>
    <row r="1575" spans="1:10">
      <c r="A1575" t="s">
        <v>6423</v>
      </c>
      <c r="B1575">
        <v>0.19587072033115899</v>
      </c>
      <c r="C1575">
        <v>9.5417356226255006</v>
      </c>
      <c r="D1575">
        <v>0.49905459249501999</v>
      </c>
      <c r="E1575">
        <v>0.96717042113910401</v>
      </c>
      <c r="F1575">
        <v>72</v>
      </c>
      <c r="G1575">
        <v>67</v>
      </c>
      <c r="H1575" t="s">
        <v>28</v>
      </c>
      <c r="I1575" t="s">
        <v>3438</v>
      </c>
      <c r="J1575" t="s">
        <v>1962</v>
      </c>
    </row>
    <row r="1576" spans="1:10">
      <c r="A1576" t="s">
        <v>6424</v>
      </c>
      <c r="B1576">
        <v>-0.33475466205976301</v>
      </c>
      <c r="C1576">
        <v>8.1776457823358193</v>
      </c>
      <c r="D1576">
        <v>0.49720041877075599</v>
      </c>
      <c r="E1576">
        <v>0.96717042113910401</v>
      </c>
      <c r="F1576">
        <v>23</v>
      </c>
      <c r="G1576">
        <v>31</v>
      </c>
      <c r="H1576" t="s">
        <v>6425</v>
      </c>
      <c r="I1576" t="s">
        <v>6426</v>
      </c>
      <c r="J1576" t="s">
        <v>1963</v>
      </c>
    </row>
    <row r="1577" spans="1:10">
      <c r="A1577" t="s">
        <v>6427</v>
      </c>
      <c r="B1577">
        <v>0.304038228977623</v>
      </c>
      <c r="C1577">
        <v>8.1776735199672803</v>
      </c>
      <c r="D1577">
        <v>0.49720041877075599</v>
      </c>
      <c r="E1577">
        <v>0.96717042113910401</v>
      </c>
      <c r="F1577">
        <v>29</v>
      </c>
      <c r="G1577">
        <v>25</v>
      </c>
      <c r="H1577" t="s">
        <v>6428</v>
      </c>
      <c r="I1577" t="s">
        <v>6429</v>
      </c>
      <c r="J1577" t="s">
        <v>1964</v>
      </c>
    </row>
    <row r="1578" spans="1:10">
      <c r="A1578" t="s">
        <v>6430</v>
      </c>
      <c r="B1578">
        <v>0.304038228977623</v>
      </c>
      <c r="C1578">
        <v>8.1776735199672803</v>
      </c>
      <c r="D1578">
        <v>0.49720041877075599</v>
      </c>
      <c r="E1578">
        <v>0.96717042113910401</v>
      </c>
      <c r="F1578">
        <v>29</v>
      </c>
      <c r="G1578">
        <v>25</v>
      </c>
      <c r="H1578" t="s">
        <v>6431</v>
      </c>
      <c r="I1578" t="s">
        <v>6432</v>
      </c>
      <c r="J1578" t="s">
        <v>1965</v>
      </c>
    </row>
    <row r="1579" spans="1:10">
      <c r="A1579" t="s">
        <v>6433</v>
      </c>
      <c r="B1579">
        <v>-0.244462339427343</v>
      </c>
      <c r="C1579">
        <v>8.6895442348303806</v>
      </c>
      <c r="D1579">
        <v>0.49521406508882199</v>
      </c>
      <c r="E1579">
        <v>0.96717042113910401</v>
      </c>
      <c r="F1579">
        <v>34</v>
      </c>
      <c r="G1579">
        <v>43</v>
      </c>
      <c r="H1579" t="s">
        <v>28</v>
      </c>
      <c r="I1579" t="s">
        <v>3438</v>
      </c>
      <c r="J1579" t="s">
        <v>1966</v>
      </c>
    </row>
    <row r="1580" spans="1:10">
      <c r="A1580" t="s">
        <v>6434</v>
      </c>
      <c r="B1580">
        <v>-0.24707631528994201</v>
      </c>
      <c r="C1580">
        <v>9.0951779892891302</v>
      </c>
      <c r="D1580">
        <v>0.489542518786654</v>
      </c>
      <c r="E1580">
        <v>0.96115307717819198</v>
      </c>
      <c r="F1580">
        <v>45</v>
      </c>
      <c r="G1580">
        <v>57</v>
      </c>
      <c r="H1580" t="s">
        <v>6435</v>
      </c>
      <c r="I1580" t="s">
        <v>6436</v>
      </c>
      <c r="J1580" t="s">
        <v>1967</v>
      </c>
    </row>
    <row r="1581" spans="1:10">
      <c r="A1581" t="s">
        <v>6437</v>
      </c>
      <c r="B1581">
        <v>0.28348898221063401</v>
      </c>
      <c r="C1581">
        <v>8.6516085615404297</v>
      </c>
      <c r="D1581">
        <v>0.48949890385827399</v>
      </c>
      <c r="E1581">
        <v>0.96115307717819198</v>
      </c>
      <c r="F1581">
        <v>40</v>
      </c>
      <c r="G1581">
        <v>35</v>
      </c>
      <c r="H1581" t="s">
        <v>28</v>
      </c>
      <c r="I1581" t="s">
        <v>6438</v>
      </c>
      <c r="J1581" t="s">
        <v>1968</v>
      </c>
    </row>
    <row r="1582" spans="1:10">
      <c r="A1582" t="s">
        <v>6439</v>
      </c>
      <c r="B1582">
        <v>-0.189477954225413</v>
      </c>
      <c r="C1582">
        <v>9.4780351046318891</v>
      </c>
      <c r="D1582">
        <v>0.489465623552789</v>
      </c>
      <c r="E1582">
        <v>0.96115307717819198</v>
      </c>
      <c r="F1582">
        <v>60</v>
      </c>
      <c r="G1582">
        <v>73</v>
      </c>
      <c r="H1582" t="s">
        <v>28</v>
      </c>
      <c r="I1582" t="s">
        <v>3438</v>
      </c>
      <c r="J1582" t="s">
        <v>1969</v>
      </c>
    </row>
    <row r="1583" spans="1:10">
      <c r="A1583" t="s">
        <v>6440</v>
      </c>
      <c r="B1583">
        <v>-0.189477954225413</v>
      </c>
      <c r="C1583">
        <v>9.4780351046318891</v>
      </c>
      <c r="D1583">
        <v>0.489465623552789</v>
      </c>
      <c r="E1583">
        <v>0.96115307717819198</v>
      </c>
      <c r="F1583">
        <v>60</v>
      </c>
      <c r="G1583">
        <v>73</v>
      </c>
      <c r="H1583" t="s">
        <v>28</v>
      </c>
      <c r="I1583" t="s">
        <v>3438</v>
      </c>
      <c r="J1583" t="s">
        <v>1970</v>
      </c>
    </row>
    <row r="1584" spans="1:10">
      <c r="A1584" t="s">
        <v>6441</v>
      </c>
      <c r="B1584">
        <v>-0.35129365986157701</v>
      </c>
      <c r="C1584">
        <v>8.1231978483212206</v>
      </c>
      <c r="D1584">
        <v>0.48902280684203597</v>
      </c>
      <c r="E1584">
        <v>0.96115307717819198</v>
      </c>
      <c r="F1584">
        <v>22</v>
      </c>
      <c r="G1584">
        <v>30</v>
      </c>
      <c r="H1584" t="s">
        <v>6442</v>
      </c>
      <c r="I1584" t="s">
        <v>5714</v>
      </c>
      <c r="J1584" t="s">
        <v>1971</v>
      </c>
    </row>
    <row r="1585" spans="1:10">
      <c r="A1585" t="s">
        <v>6443</v>
      </c>
      <c r="B1585">
        <v>-0.41560549321009999</v>
      </c>
      <c r="C1585">
        <v>7.5102242476621397</v>
      </c>
      <c r="D1585">
        <v>0.48721209416436601</v>
      </c>
      <c r="E1585">
        <v>0.95950648795627702</v>
      </c>
      <c r="F1585">
        <v>14</v>
      </c>
      <c r="G1585">
        <v>20</v>
      </c>
      <c r="H1585" t="s">
        <v>28</v>
      </c>
      <c r="I1585" t="s">
        <v>3438</v>
      </c>
      <c r="J1585" t="s">
        <v>1972</v>
      </c>
    </row>
    <row r="1586" spans="1:10">
      <c r="A1586" t="s">
        <v>6444</v>
      </c>
      <c r="B1586">
        <v>-0.41560549321009999</v>
      </c>
      <c r="C1586">
        <v>7.5102242476621397</v>
      </c>
      <c r="D1586">
        <v>0.48721209416436601</v>
      </c>
      <c r="E1586">
        <v>0.95950648795627702</v>
      </c>
      <c r="F1586">
        <v>14</v>
      </c>
      <c r="G1586">
        <v>20</v>
      </c>
      <c r="H1586" t="s">
        <v>6445</v>
      </c>
      <c r="I1586" t="s">
        <v>6446</v>
      </c>
      <c r="J1586" t="s">
        <v>1973</v>
      </c>
    </row>
    <row r="1587" spans="1:10">
      <c r="A1587" t="s">
        <v>6447</v>
      </c>
      <c r="B1587">
        <v>-0.41560549321009999</v>
      </c>
      <c r="C1587">
        <v>7.5102242476621397</v>
      </c>
      <c r="D1587">
        <v>0.48721209416436601</v>
      </c>
      <c r="E1587">
        <v>0.95950648795627702</v>
      </c>
      <c r="F1587">
        <v>14</v>
      </c>
      <c r="G1587">
        <v>20</v>
      </c>
      <c r="H1587" t="s">
        <v>28</v>
      </c>
      <c r="I1587" t="s">
        <v>3438</v>
      </c>
      <c r="J1587" t="s">
        <v>283</v>
      </c>
    </row>
    <row r="1588" spans="1:10">
      <c r="A1588" t="s">
        <v>6448</v>
      </c>
      <c r="B1588">
        <v>-0.41560549321009999</v>
      </c>
      <c r="C1588">
        <v>7.5102242476621397</v>
      </c>
      <c r="D1588">
        <v>0.48721209416436601</v>
      </c>
      <c r="E1588">
        <v>0.95950648795627702</v>
      </c>
      <c r="F1588">
        <v>14</v>
      </c>
      <c r="G1588">
        <v>20</v>
      </c>
      <c r="H1588" t="s">
        <v>28</v>
      </c>
      <c r="I1588" t="s">
        <v>6449</v>
      </c>
      <c r="J1588" t="s">
        <v>1974</v>
      </c>
    </row>
    <row r="1589" spans="1:10">
      <c r="A1589" t="s">
        <v>6450</v>
      </c>
      <c r="B1589">
        <v>0.35043250463742798</v>
      </c>
      <c r="C1589">
        <v>7.4671762758615001</v>
      </c>
      <c r="D1589">
        <v>0.48721209416436601</v>
      </c>
      <c r="E1589">
        <v>0.95950648795627702</v>
      </c>
      <c r="F1589">
        <v>18</v>
      </c>
      <c r="G1589">
        <v>15</v>
      </c>
      <c r="H1589" t="s">
        <v>28</v>
      </c>
      <c r="I1589" t="s">
        <v>3465</v>
      </c>
      <c r="J1589" t="s">
        <v>1975</v>
      </c>
    </row>
    <row r="1590" spans="1:10">
      <c r="A1590" t="s">
        <v>6451</v>
      </c>
      <c r="B1590">
        <v>0.35043250463742798</v>
      </c>
      <c r="C1590">
        <v>7.4671762758615001</v>
      </c>
      <c r="D1590">
        <v>0.48721209416436601</v>
      </c>
      <c r="E1590">
        <v>0.95950648795627702</v>
      </c>
      <c r="F1590">
        <v>18</v>
      </c>
      <c r="G1590">
        <v>15</v>
      </c>
      <c r="H1590" t="s">
        <v>28</v>
      </c>
      <c r="I1590" t="s">
        <v>3465</v>
      </c>
      <c r="J1590" t="s">
        <v>1976</v>
      </c>
    </row>
    <row r="1591" spans="1:10">
      <c r="A1591" t="s">
        <v>6452</v>
      </c>
      <c r="B1591">
        <v>0.35043250463742798</v>
      </c>
      <c r="C1591">
        <v>7.4671762758615001</v>
      </c>
      <c r="D1591">
        <v>0.48721209416436601</v>
      </c>
      <c r="E1591">
        <v>0.95950648795627702</v>
      </c>
      <c r="F1591">
        <v>18</v>
      </c>
      <c r="G1591">
        <v>15</v>
      </c>
      <c r="H1591" t="s">
        <v>6453</v>
      </c>
      <c r="I1591" t="s">
        <v>6454</v>
      </c>
      <c r="J1591" t="s">
        <v>1977</v>
      </c>
    </row>
    <row r="1592" spans="1:10">
      <c r="A1592" t="s">
        <v>6455</v>
      </c>
      <c r="B1592">
        <v>0.44822653055262401</v>
      </c>
      <c r="C1592">
        <v>7.4227843966445404</v>
      </c>
      <c r="D1592">
        <v>0.48721209416436601</v>
      </c>
      <c r="E1592">
        <v>0.95950648795627702</v>
      </c>
      <c r="F1592">
        <v>18</v>
      </c>
      <c r="G1592">
        <v>14</v>
      </c>
      <c r="H1592" t="s">
        <v>6456</v>
      </c>
      <c r="I1592" t="s">
        <v>6457</v>
      </c>
      <c r="J1592" t="s">
        <v>1978</v>
      </c>
    </row>
    <row r="1593" spans="1:10">
      <c r="A1593" t="s">
        <v>6458</v>
      </c>
      <c r="B1593">
        <v>0.44822653055262401</v>
      </c>
      <c r="C1593">
        <v>7.4227843966445404</v>
      </c>
      <c r="D1593">
        <v>0.48721209416436601</v>
      </c>
      <c r="E1593">
        <v>0.95950648795627702</v>
      </c>
      <c r="F1593">
        <v>18</v>
      </c>
      <c r="G1593">
        <v>14</v>
      </c>
      <c r="H1593" t="s">
        <v>28</v>
      </c>
      <c r="I1593" t="s">
        <v>3631</v>
      </c>
      <c r="J1593" t="s">
        <v>1979</v>
      </c>
    </row>
    <row r="1594" spans="1:10">
      <c r="A1594" t="s">
        <v>6459</v>
      </c>
      <c r="B1594">
        <v>0.44822653055262401</v>
      </c>
      <c r="C1594">
        <v>7.4227843966445404</v>
      </c>
      <c r="D1594">
        <v>0.48721209416436601</v>
      </c>
      <c r="E1594">
        <v>0.95950648795627702</v>
      </c>
      <c r="F1594">
        <v>18</v>
      </c>
      <c r="G1594">
        <v>14</v>
      </c>
      <c r="H1594" t="s">
        <v>6460</v>
      </c>
      <c r="I1594" t="s">
        <v>6461</v>
      </c>
      <c r="J1594" t="s">
        <v>1980</v>
      </c>
    </row>
    <row r="1595" spans="1:10">
      <c r="A1595" t="s">
        <v>6462</v>
      </c>
      <c r="B1595">
        <v>0.44822653055262401</v>
      </c>
      <c r="C1595">
        <v>7.4227843966445404</v>
      </c>
      <c r="D1595">
        <v>0.48721209416436601</v>
      </c>
      <c r="E1595">
        <v>0.95950648795627702</v>
      </c>
      <c r="F1595">
        <v>18</v>
      </c>
      <c r="G1595">
        <v>14</v>
      </c>
      <c r="H1595" t="s">
        <v>28</v>
      </c>
      <c r="I1595" t="s">
        <v>3438</v>
      </c>
      <c r="J1595" t="s">
        <v>1981</v>
      </c>
    </row>
    <row r="1596" spans="1:10">
      <c r="A1596" t="s">
        <v>6463</v>
      </c>
      <c r="B1596">
        <v>-0.26299513035322297</v>
      </c>
      <c r="C1596">
        <v>8.6125819532280392</v>
      </c>
      <c r="D1596">
        <v>0.48358837796995602</v>
      </c>
      <c r="E1596">
        <v>0.95882874448297095</v>
      </c>
      <c r="F1596">
        <v>32</v>
      </c>
      <c r="G1596">
        <v>41</v>
      </c>
      <c r="H1596" t="s">
        <v>6464</v>
      </c>
      <c r="I1596" t="s">
        <v>6465</v>
      </c>
      <c r="J1596" t="s">
        <v>1982</v>
      </c>
    </row>
    <row r="1597" spans="1:10">
      <c r="A1597" t="s">
        <v>6466</v>
      </c>
      <c r="B1597">
        <v>-0.14596443391455499</v>
      </c>
      <c r="C1597">
        <v>10.341608004554001</v>
      </c>
      <c r="D1597">
        <v>0.48221760121520602</v>
      </c>
      <c r="E1597">
        <v>0.95670068199142699</v>
      </c>
      <c r="F1597">
        <v>111</v>
      </c>
      <c r="G1597">
        <v>131</v>
      </c>
      <c r="H1597" t="s">
        <v>6467</v>
      </c>
      <c r="I1597" t="s">
        <v>6468</v>
      </c>
      <c r="J1597" t="s">
        <v>1983</v>
      </c>
    </row>
    <row r="1598" spans="1:10">
      <c r="A1598" t="s">
        <v>6469</v>
      </c>
      <c r="B1598">
        <v>-0.173006949763406</v>
      </c>
      <c r="C1598">
        <v>9.7714784712935199</v>
      </c>
      <c r="D1598">
        <v>0.481388278135081</v>
      </c>
      <c r="E1598">
        <v>0.95564487807556797</v>
      </c>
      <c r="F1598">
        <v>74</v>
      </c>
      <c r="G1598">
        <v>89</v>
      </c>
      <c r="H1598" t="s">
        <v>6470</v>
      </c>
      <c r="I1598" t="s">
        <v>6471</v>
      </c>
      <c r="J1598" t="s">
        <v>1984</v>
      </c>
    </row>
    <row r="1599" spans="1:10">
      <c r="A1599" t="s">
        <v>6472</v>
      </c>
      <c r="B1599">
        <v>-0.54376101400855403</v>
      </c>
      <c r="C1599">
        <v>6.5926898395873499</v>
      </c>
      <c r="D1599">
        <v>0.48088257117210798</v>
      </c>
      <c r="E1599">
        <v>0.95523060462600395</v>
      </c>
      <c r="F1599">
        <v>7</v>
      </c>
      <c r="G1599">
        <v>11</v>
      </c>
      <c r="H1599" t="s">
        <v>6473</v>
      </c>
      <c r="I1599" t="s">
        <v>6474</v>
      </c>
      <c r="J1599" t="s">
        <v>1985</v>
      </c>
    </row>
    <row r="1600" spans="1:10">
      <c r="A1600" t="s">
        <v>6475</v>
      </c>
      <c r="B1600">
        <v>-0.54376101400855403</v>
      </c>
      <c r="C1600">
        <v>6.5926898395873499</v>
      </c>
      <c r="D1600">
        <v>0.48088257117210798</v>
      </c>
      <c r="E1600">
        <v>0.95523060462600395</v>
      </c>
      <c r="F1600">
        <v>7</v>
      </c>
      <c r="G1600">
        <v>11</v>
      </c>
      <c r="H1600" t="s">
        <v>6476</v>
      </c>
      <c r="I1600" t="s">
        <v>3687</v>
      </c>
      <c r="J1600" t="s">
        <v>1986</v>
      </c>
    </row>
    <row r="1601" spans="1:10">
      <c r="A1601" t="s">
        <v>6477</v>
      </c>
      <c r="B1601">
        <v>-0.54376101400855403</v>
      </c>
      <c r="C1601">
        <v>6.5926898395873499</v>
      </c>
      <c r="D1601">
        <v>0.48088257117210798</v>
      </c>
      <c r="E1601">
        <v>0.95523060462600395</v>
      </c>
      <c r="F1601">
        <v>7</v>
      </c>
      <c r="G1601">
        <v>11</v>
      </c>
      <c r="H1601" t="s">
        <v>28</v>
      </c>
      <c r="I1601" t="s">
        <v>3438</v>
      </c>
      <c r="J1601" t="s">
        <v>1987</v>
      </c>
    </row>
    <row r="1602" spans="1:10">
      <c r="A1602" t="s">
        <v>6478</v>
      </c>
      <c r="B1602">
        <v>-0.54376101400855403</v>
      </c>
      <c r="C1602">
        <v>6.5926898395873499</v>
      </c>
      <c r="D1602">
        <v>0.48088257117210798</v>
      </c>
      <c r="E1602">
        <v>0.95523060462600395</v>
      </c>
      <c r="F1602">
        <v>7</v>
      </c>
      <c r="G1602">
        <v>11</v>
      </c>
      <c r="H1602" t="s">
        <v>28</v>
      </c>
      <c r="I1602" t="s">
        <v>6479</v>
      </c>
      <c r="J1602" t="s">
        <v>1988</v>
      </c>
    </row>
    <row r="1603" spans="1:10">
      <c r="A1603" t="s">
        <v>6480</v>
      </c>
      <c r="B1603">
        <v>-0.54376101400855403</v>
      </c>
      <c r="C1603">
        <v>6.5926898395873499</v>
      </c>
      <c r="D1603">
        <v>0.48088257117210798</v>
      </c>
      <c r="E1603">
        <v>0.95523060462600395</v>
      </c>
      <c r="F1603">
        <v>7</v>
      </c>
      <c r="G1603">
        <v>11</v>
      </c>
      <c r="H1603" t="s">
        <v>6481</v>
      </c>
      <c r="I1603" t="s">
        <v>6482</v>
      </c>
      <c r="J1603" t="s">
        <v>1989</v>
      </c>
    </row>
    <row r="1604" spans="1:10">
      <c r="A1604" t="s">
        <v>6483</v>
      </c>
      <c r="B1604">
        <v>-0.54376101400855403</v>
      </c>
      <c r="C1604">
        <v>6.5926898395873499</v>
      </c>
      <c r="D1604">
        <v>0.48088257117210798</v>
      </c>
      <c r="E1604">
        <v>0.95523060462600395</v>
      </c>
      <c r="F1604">
        <v>7</v>
      </c>
      <c r="G1604">
        <v>11</v>
      </c>
      <c r="H1604" t="s">
        <v>6484</v>
      </c>
      <c r="I1604" t="s">
        <v>3687</v>
      </c>
      <c r="J1604" t="s">
        <v>1990</v>
      </c>
    </row>
    <row r="1605" spans="1:10">
      <c r="A1605" t="s">
        <v>6485</v>
      </c>
      <c r="B1605">
        <v>-0.54376101400855403</v>
      </c>
      <c r="C1605">
        <v>6.5926898395873499</v>
      </c>
      <c r="D1605">
        <v>0.48088257117210798</v>
      </c>
      <c r="E1605">
        <v>0.95523060462600395</v>
      </c>
      <c r="F1605">
        <v>7</v>
      </c>
      <c r="G1605">
        <v>11</v>
      </c>
      <c r="H1605" t="s">
        <v>28</v>
      </c>
      <c r="I1605" t="s">
        <v>3438</v>
      </c>
      <c r="J1605" t="s">
        <v>1991</v>
      </c>
    </row>
    <row r="1606" spans="1:10">
      <c r="A1606" t="s">
        <v>6486</v>
      </c>
      <c r="B1606">
        <v>0.72398422385426697</v>
      </c>
      <c r="C1606">
        <v>6.5927083645875797</v>
      </c>
      <c r="D1606">
        <v>0.48088257117210798</v>
      </c>
      <c r="E1606">
        <v>0.95523060462600395</v>
      </c>
      <c r="F1606">
        <v>11</v>
      </c>
      <c r="G1606">
        <v>7</v>
      </c>
      <c r="H1606" t="s">
        <v>6487</v>
      </c>
      <c r="I1606" t="s">
        <v>6488</v>
      </c>
      <c r="J1606" t="s">
        <v>1992</v>
      </c>
    </row>
    <row r="1607" spans="1:10">
      <c r="A1607" t="s">
        <v>6489</v>
      </c>
      <c r="B1607">
        <v>0.72398422385426697</v>
      </c>
      <c r="C1607">
        <v>6.5927083645875797</v>
      </c>
      <c r="D1607">
        <v>0.48088257117210798</v>
      </c>
      <c r="E1607">
        <v>0.95523060462600395</v>
      </c>
      <c r="F1607">
        <v>11</v>
      </c>
      <c r="G1607">
        <v>7</v>
      </c>
      <c r="H1607" t="s">
        <v>28</v>
      </c>
      <c r="I1607" t="s">
        <v>3631</v>
      </c>
      <c r="J1607" t="s">
        <v>1993</v>
      </c>
    </row>
    <row r="1608" spans="1:10">
      <c r="A1608" t="s">
        <v>6490</v>
      </c>
      <c r="B1608">
        <v>0.72398422385426697</v>
      </c>
      <c r="C1608">
        <v>6.5927083645875797</v>
      </c>
      <c r="D1608">
        <v>0.48088257117210798</v>
      </c>
      <c r="E1608">
        <v>0.95523060462600395</v>
      </c>
      <c r="F1608">
        <v>11</v>
      </c>
      <c r="G1608">
        <v>7</v>
      </c>
      <c r="H1608" t="s">
        <v>28</v>
      </c>
      <c r="I1608" t="s">
        <v>3438</v>
      </c>
      <c r="J1608" t="s">
        <v>1994</v>
      </c>
    </row>
    <row r="1609" spans="1:10">
      <c r="A1609" t="s">
        <v>6491</v>
      </c>
      <c r="B1609">
        <v>-0.36917524944132102</v>
      </c>
      <c r="C1609">
        <v>8.0666141699327607</v>
      </c>
      <c r="D1609">
        <v>0.48043858759000302</v>
      </c>
      <c r="E1609">
        <v>0.95523060462600395</v>
      </c>
      <c r="F1609">
        <v>21</v>
      </c>
      <c r="G1609">
        <v>29</v>
      </c>
      <c r="H1609" t="s">
        <v>28</v>
      </c>
      <c r="I1609" t="s">
        <v>3438</v>
      </c>
      <c r="J1609" t="s">
        <v>1995</v>
      </c>
    </row>
    <row r="1610" spans="1:10">
      <c r="A1610" t="s">
        <v>6492</v>
      </c>
      <c r="B1610">
        <v>0.32084195285426798</v>
      </c>
      <c r="C1610">
        <v>8.0666419130865208</v>
      </c>
      <c r="D1610">
        <v>0.48043858759000302</v>
      </c>
      <c r="E1610">
        <v>0.95523060462600395</v>
      </c>
      <c r="F1610">
        <v>27</v>
      </c>
      <c r="G1610">
        <v>23</v>
      </c>
      <c r="H1610" t="s">
        <v>28</v>
      </c>
      <c r="I1610" t="s">
        <v>6493</v>
      </c>
      <c r="J1610" t="s">
        <v>1996</v>
      </c>
    </row>
    <row r="1611" spans="1:10">
      <c r="A1611" t="s">
        <v>6494</v>
      </c>
      <c r="B1611">
        <v>-0.27305124493299199</v>
      </c>
      <c r="C1611">
        <v>8.5725043639142395</v>
      </c>
      <c r="D1611">
        <v>0.47747123847515299</v>
      </c>
      <c r="E1611">
        <v>0.95523060462600395</v>
      </c>
      <c r="F1611">
        <v>31</v>
      </c>
      <c r="G1611">
        <v>40</v>
      </c>
      <c r="H1611" t="s">
        <v>28</v>
      </c>
      <c r="I1611" t="s">
        <v>3438</v>
      </c>
      <c r="J1611" t="s">
        <v>1997</v>
      </c>
    </row>
    <row r="1612" spans="1:10">
      <c r="A1612" t="s">
        <v>6495</v>
      </c>
      <c r="B1612">
        <v>0.29419403635178298</v>
      </c>
      <c r="C1612">
        <v>8.5725366971313992</v>
      </c>
      <c r="D1612">
        <v>0.47747123847515299</v>
      </c>
      <c r="E1612">
        <v>0.95523060462600395</v>
      </c>
      <c r="F1612">
        <v>38</v>
      </c>
      <c r="G1612">
        <v>33</v>
      </c>
      <c r="H1612" t="s">
        <v>6496</v>
      </c>
      <c r="I1612" t="s">
        <v>6497</v>
      </c>
      <c r="J1612" t="s">
        <v>1998</v>
      </c>
    </row>
    <row r="1613" spans="1:10">
      <c r="A1613" t="s">
        <v>6498</v>
      </c>
      <c r="B1613">
        <v>-0.447602718738359</v>
      </c>
      <c r="C1613">
        <v>7.4227612565814596</v>
      </c>
      <c r="D1613">
        <v>0.47347509042475999</v>
      </c>
      <c r="E1613">
        <v>0.94872018118755597</v>
      </c>
      <c r="F1613">
        <v>13</v>
      </c>
      <c r="G1613">
        <v>19</v>
      </c>
      <c r="H1613" t="s">
        <v>6499</v>
      </c>
      <c r="I1613" t="s">
        <v>6500</v>
      </c>
      <c r="J1613" t="s">
        <v>1999</v>
      </c>
    </row>
    <row r="1614" spans="1:10">
      <c r="A1614" t="s">
        <v>6501</v>
      </c>
      <c r="B1614">
        <v>-0.447602718738359</v>
      </c>
      <c r="C1614">
        <v>7.4227612565814596</v>
      </c>
      <c r="D1614">
        <v>0.47347509042475999</v>
      </c>
      <c r="E1614">
        <v>0.94872018118755597</v>
      </c>
      <c r="F1614">
        <v>13</v>
      </c>
      <c r="G1614">
        <v>19</v>
      </c>
      <c r="H1614" t="s">
        <v>28</v>
      </c>
      <c r="I1614" t="s">
        <v>3593</v>
      </c>
      <c r="J1614" t="s">
        <v>2000</v>
      </c>
    </row>
    <row r="1615" spans="1:10">
      <c r="A1615" t="s">
        <v>6502</v>
      </c>
      <c r="B1615">
        <v>0.47179782054810698</v>
      </c>
      <c r="C1615">
        <v>7.3296748446986202</v>
      </c>
      <c r="D1615">
        <v>0.47347509042475999</v>
      </c>
      <c r="E1615">
        <v>0.94872018118755597</v>
      </c>
      <c r="F1615">
        <v>17</v>
      </c>
      <c r="G1615">
        <v>13</v>
      </c>
      <c r="H1615" t="s">
        <v>28</v>
      </c>
      <c r="I1615" t="s">
        <v>3438</v>
      </c>
      <c r="J1615" t="s">
        <v>2001</v>
      </c>
    </row>
    <row r="1616" spans="1:10">
      <c r="A1616" t="s">
        <v>6503</v>
      </c>
      <c r="B1616">
        <v>0.185251519620098</v>
      </c>
      <c r="C1616">
        <v>9.6989201202546607</v>
      </c>
      <c r="D1616">
        <v>0.47300987894468699</v>
      </c>
      <c r="E1616">
        <v>0.94872018118755597</v>
      </c>
      <c r="F1616">
        <v>80</v>
      </c>
      <c r="G1616">
        <v>75</v>
      </c>
      <c r="H1616" t="s">
        <v>73</v>
      </c>
      <c r="I1616" t="s">
        <v>4297</v>
      </c>
      <c r="J1616" t="s">
        <v>72</v>
      </c>
    </row>
    <row r="1617" spans="1:10">
      <c r="A1617" t="s">
        <v>6504</v>
      </c>
      <c r="B1617">
        <v>-0.38857138691128101</v>
      </c>
      <c r="C1617">
        <v>8.00772033082721</v>
      </c>
      <c r="D1617">
        <v>0.47141333930155199</v>
      </c>
      <c r="E1617">
        <v>0.94694896889056202</v>
      </c>
      <c r="F1617">
        <v>20</v>
      </c>
      <c r="G1617">
        <v>28</v>
      </c>
      <c r="H1617" t="s">
        <v>28</v>
      </c>
      <c r="I1617" t="s">
        <v>4395</v>
      </c>
      <c r="J1617" t="s">
        <v>2002</v>
      </c>
    </row>
    <row r="1618" spans="1:10">
      <c r="A1618" t="s">
        <v>6505</v>
      </c>
      <c r="B1618">
        <v>0.330289926883096</v>
      </c>
      <c r="C1618">
        <v>8.0077480767429403</v>
      </c>
      <c r="D1618">
        <v>0.47141333930155199</v>
      </c>
      <c r="E1618">
        <v>0.94694896889056202</v>
      </c>
      <c r="F1618">
        <v>26</v>
      </c>
      <c r="G1618">
        <v>22</v>
      </c>
      <c r="H1618" t="s">
        <v>6506</v>
      </c>
      <c r="I1618" t="s">
        <v>6507</v>
      </c>
      <c r="J1618" t="s">
        <v>2003</v>
      </c>
    </row>
    <row r="1619" spans="1:10">
      <c r="A1619" t="s">
        <v>6508</v>
      </c>
      <c r="B1619">
        <v>0.330289926883096</v>
      </c>
      <c r="C1619">
        <v>8.0077480767429403</v>
      </c>
      <c r="D1619">
        <v>0.47141333930155199</v>
      </c>
      <c r="E1619">
        <v>0.94694896889056202</v>
      </c>
      <c r="F1619">
        <v>26</v>
      </c>
      <c r="G1619">
        <v>22</v>
      </c>
      <c r="H1619" t="s">
        <v>6509</v>
      </c>
      <c r="I1619" t="s">
        <v>6510</v>
      </c>
      <c r="J1619" t="s">
        <v>2004</v>
      </c>
    </row>
    <row r="1620" spans="1:10">
      <c r="A1620" t="s">
        <v>6511</v>
      </c>
      <c r="B1620">
        <v>-0.283695759132989</v>
      </c>
      <c r="C1620">
        <v>8.5312815512194202</v>
      </c>
      <c r="D1620">
        <v>0.47113532496383798</v>
      </c>
      <c r="E1620">
        <v>0.94694896889056202</v>
      </c>
      <c r="F1620">
        <v>30</v>
      </c>
      <c r="G1620">
        <v>39</v>
      </c>
      <c r="H1620" t="s">
        <v>6512</v>
      </c>
      <c r="I1620" t="s">
        <v>6513</v>
      </c>
      <c r="J1620" t="s">
        <v>2005</v>
      </c>
    </row>
    <row r="1621" spans="1:10">
      <c r="A1621" t="s">
        <v>6514</v>
      </c>
      <c r="B1621">
        <v>0.30001095471093497</v>
      </c>
      <c r="C1621">
        <v>8.5313138876521695</v>
      </c>
      <c r="D1621">
        <v>0.47113532496383798</v>
      </c>
      <c r="E1621">
        <v>0.94694896889056202</v>
      </c>
      <c r="F1621">
        <v>37</v>
      </c>
      <c r="G1621">
        <v>32</v>
      </c>
      <c r="H1621" t="s">
        <v>28</v>
      </c>
      <c r="I1621" t="s">
        <v>3438</v>
      </c>
      <c r="J1621" t="s">
        <v>2006</v>
      </c>
    </row>
    <row r="1622" spans="1:10">
      <c r="A1622" t="s">
        <v>6515</v>
      </c>
      <c r="B1622">
        <v>0.30001095471093497</v>
      </c>
      <c r="C1622">
        <v>8.5313138876521695</v>
      </c>
      <c r="D1622">
        <v>0.47113532496383798</v>
      </c>
      <c r="E1622">
        <v>0.94694896889056202</v>
      </c>
      <c r="F1622">
        <v>37</v>
      </c>
      <c r="G1622">
        <v>32</v>
      </c>
      <c r="H1622" t="s">
        <v>28</v>
      </c>
      <c r="I1622" t="s">
        <v>6516</v>
      </c>
      <c r="J1622" t="s">
        <v>2007</v>
      </c>
    </row>
    <row r="1623" spans="1:10">
      <c r="A1623" t="s">
        <v>6517</v>
      </c>
      <c r="B1623">
        <v>-0.21755695517377099</v>
      </c>
      <c r="C1623">
        <v>9.3416150061957293</v>
      </c>
      <c r="D1623">
        <v>0.46855206377926201</v>
      </c>
      <c r="E1623">
        <v>0.94474196684270095</v>
      </c>
      <c r="F1623">
        <v>54</v>
      </c>
      <c r="G1623">
        <v>67</v>
      </c>
      <c r="H1623" t="s">
        <v>6518</v>
      </c>
      <c r="I1623" t="s">
        <v>6519</v>
      </c>
      <c r="J1623" t="s">
        <v>2008</v>
      </c>
    </row>
    <row r="1624" spans="1:10">
      <c r="A1624" t="s">
        <v>6520</v>
      </c>
      <c r="B1624">
        <v>-0.29498218864415399</v>
      </c>
      <c r="C1624">
        <v>8.4888461349008804</v>
      </c>
      <c r="D1624">
        <v>0.46456747082938499</v>
      </c>
      <c r="E1624">
        <v>0.93729547439604899</v>
      </c>
      <c r="F1624">
        <v>29</v>
      </c>
      <c r="G1624">
        <v>38</v>
      </c>
      <c r="H1624" t="s">
        <v>28</v>
      </c>
      <c r="I1624" t="s">
        <v>6521</v>
      </c>
      <c r="J1624" t="s">
        <v>2009</v>
      </c>
    </row>
    <row r="1625" spans="1:10">
      <c r="A1625" t="s">
        <v>6522</v>
      </c>
      <c r="B1625">
        <v>-0.29498218864415399</v>
      </c>
      <c r="C1625">
        <v>8.4888461349008804</v>
      </c>
      <c r="D1625">
        <v>0.46456747082938499</v>
      </c>
      <c r="E1625">
        <v>0.93729547439604899</v>
      </c>
      <c r="F1625">
        <v>29</v>
      </c>
      <c r="G1625">
        <v>38</v>
      </c>
      <c r="H1625" t="s">
        <v>28</v>
      </c>
      <c r="I1625" t="s">
        <v>6523</v>
      </c>
      <c r="J1625" t="s">
        <v>2010</v>
      </c>
    </row>
    <row r="1626" spans="1:10">
      <c r="A1626" t="s">
        <v>6524</v>
      </c>
      <c r="B1626">
        <v>0.306174415261729</v>
      </c>
      <c r="C1626">
        <v>8.4888784745498604</v>
      </c>
      <c r="D1626">
        <v>0.46456747082938499</v>
      </c>
      <c r="E1626">
        <v>0.93729547439604899</v>
      </c>
      <c r="F1626">
        <v>36</v>
      </c>
      <c r="G1626">
        <v>31</v>
      </c>
      <c r="H1626" t="s">
        <v>6525</v>
      </c>
      <c r="I1626" t="s">
        <v>6526</v>
      </c>
      <c r="J1626" t="s">
        <v>2011</v>
      </c>
    </row>
    <row r="1627" spans="1:10">
      <c r="A1627" t="s">
        <v>6527</v>
      </c>
      <c r="B1627">
        <v>0.306174415261729</v>
      </c>
      <c r="C1627">
        <v>8.4888784745498604</v>
      </c>
      <c r="D1627">
        <v>0.46456747082938499</v>
      </c>
      <c r="E1627">
        <v>0.93729547439604899</v>
      </c>
      <c r="F1627">
        <v>36</v>
      </c>
      <c r="G1627">
        <v>31</v>
      </c>
      <c r="H1627" t="s">
        <v>6528</v>
      </c>
      <c r="I1627" t="s">
        <v>3450</v>
      </c>
      <c r="J1627" t="s">
        <v>2012</v>
      </c>
    </row>
    <row r="1628" spans="1:10">
      <c r="A1628" t="s">
        <v>6529</v>
      </c>
      <c r="B1628">
        <v>-0.40968500136201202</v>
      </c>
      <c r="C1628">
        <v>7.9463196360811903</v>
      </c>
      <c r="D1628">
        <v>0.461908493598021</v>
      </c>
      <c r="E1628">
        <v>0.93427529271146903</v>
      </c>
      <c r="F1628">
        <v>19</v>
      </c>
      <c r="G1628">
        <v>27</v>
      </c>
      <c r="H1628" t="s">
        <v>28</v>
      </c>
      <c r="I1628" t="s">
        <v>3631</v>
      </c>
      <c r="J1628" t="s">
        <v>2013</v>
      </c>
    </row>
    <row r="1629" spans="1:10">
      <c r="A1629" t="s">
        <v>6530</v>
      </c>
      <c r="B1629">
        <v>0.34055639676194599</v>
      </c>
      <c r="C1629">
        <v>7.9463473847594503</v>
      </c>
      <c r="D1629">
        <v>0.461908493598021</v>
      </c>
      <c r="E1629">
        <v>0.93427529271146903</v>
      </c>
      <c r="F1629">
        <v>25</v>
      </c>
      <c r="G1629">
        <v>21</v>
      </c>
      <c r="H1629" t="s">
        <v>28</v>
      </c>
      <c r="I1629" t="s">
        <v>3438</v>
      </c>
      <c r="J1629" t="s">
        <v>2014</v>
      </c>
    </row>
    <row r="1630" spans="1:10">
      <c r="A1630" t="s">
        <v>6531</v>
      </c>
      <c r="B1630">
        <v>0.28380325967634701</v>
      </c>
      <c r="C1630">
        <v>8.9146463740152608</v>
      </c>
      <c r="D1630">
        <v>0.46180120088138599</v>
      </c>
      <c r="E1630">
        <v>0.93427529271146903</v>
      </c>
      <c r="F1630">
        <v>48</v>
      </c>
      <c r="G1630">
        <v>42</v>
      </c>
      <c r="H1630" t="s">
        <v>6532</v>
      </c>
      <c r="I1630" t="s">
        <v>6533</v>
      </c>
      <c r="J1630" t="s">
        <v>2015</v>
      </c>
    </row>
    <row r="1631" spans="1:10">
      <c r="A1631" t="s">
        <v>6534</v>
      </c>
      <c r="B1631">
        <v>-0.17856896655080501</v>
      </c>
      <c r="C1631">
        <v>9.92259295873939</v>
      </c>
      <c r="D1631">
        <v>0.45942517495313601</v>
      </c>
      <c r="E1631">
        <v>0.93100905018858504</v>
      </c>
      <c r="F1631">
        <v>82</v>
      </c>
      <c r="G1631">
        <v>99</v>
      </c>
      <c r="H1631" t="s">
        <v>28</v>
      </c>
      <c r="I1631" t="s">
        <v>3438</v>
      </c>
      <c r="J1631" t="s">
        <v>2016</v>
      </c>
    </row>
    <row r="1632" spans="1:10">
      <c r="A1632" t="s">
        <v>6535</v>
      </c>
      <c r="B1632">
        <v>-0.48395576105732502</v>
      </c>
      <c r="C1632">
        <v>7.3296517023297598</v>
      </c>
      <c r="D1632">
        <v>0.45858668896760602</v>
      </c>
      <c r="E1632">
        <v>0.929895833366848</v>
      </c>
      <c r="F1632">
        <v>12</v>
      </c>
      <c r="G1632">
        <v>18</v>
      </c>
      <c r="H1632" t="s">
        <v>28</v>
      </c>
      <c r="I1632" t="s">
        <v>3438</v>
      </c>
      <c r="J1632" t="s">
        <v>2017</v>
      </c>
    </row>
    <row r="1633" spans="1:10">
      <c r="A1633" t="s">
        <v>6536</v>
      </c>
      <c r="B1633">
        <v>-0.48395576105732502</v>
      </c>
      <c r="C1633">
        <v>7.3296517023297598</v>
      </c>
      <c r="D1633">
        <v>0.45858668896760602</v>
      </c>
      <c r="E1633">
        <v>0.929895833366848</v>
      </c>
      <c r="F1633">
        <v>12</v>
      </c>
      <c r="G1633">
        <v>18</v>
      </c>
      <c r="H1633" t="s">
        <v>6537</v>
      </c>
      <c r="I1633" t="s">
        <v>6538</v>
      </c>
      <c r="J1633" t="s">
        <v>2018</v>
      </c>
    </row>
    <row r="1634" spans="1:10">
      <c r="A1634" t="s">
        <v>6539</v>
      </c>
      <c r="B1634">
        <v>-0.48395576105732502</v>
      </c>
      <c r="C1634">
        <v>7.3296517023297598</v>
      </c>
      <c r="D1634">
        <v>0.45858668896760602</v>
      </c>
      <c r="E1634">
        <v>0.929895833366848</v>
      </c>
      <c r="F1634">
        <v>12</v>
      </c>
      <c r="G1634">
        <v>18</v>
      </c>
      <c r="H1634" t="s">
        <v>28</v>
      </c>
      <c r="I1634" t="s">
        <v>3438</v>
      </c>
      <c r="J1634" t="s">
        <v>2019</v>
      </c>
    </row>
    <row r="1635" spans="1:10">
      <c r="A1635" t="s">
        <v>6540</v>
      </c>
      <c r="B1635">
        <v>-0.48395576105732502</v>
      </c>
      <c r="C1635">
        <v>7.3296517023297598</v>
      </c>
      <c r="D1635">
        <v>0.45858668896760602</v>
      </c>
      <c r="E1635">
        <v>0.929895833366848</v>
      </c>
      <c r="F1635">
        <v>12</v>
      </c>
      <c r="G1635">
        <v>18</v>
      </c>
      <c r="H1635" t="s">
        <v>28</v>
      </c>
      <c r="I1635" t="s">
        <v>5822</v>
      </c>
      <c r="J1635" t="s">
        <v>2020</v>
      </c>
    </row>
    <row r="1636" spans="1:10">
      <c r="A1636" t="s">
        <v>6541</v>
      </c>
      <c r="B1636">
        <v>-0.48395576105732502</v>
      </c>
      <c r="C1636">
        <v>7.3296517023297598</v>
      </c>
      <c r="D1636">
        <v>0.45858668896760602</v>
      </c>
      <c r="E1636">
        <v>0.929895833366848</v>
      </c>
      <c r="F1636">
        <v>12</v>
      </c>
      <c r="G1636">
        <v>18</v>
      </c>
      <c r="H1636" t="s">
        <v>28</v>
      </c>
      <c r="I1636" t="s">
        <v>3438</v>
      </c>
      <c r="J1636" t="s">
        <v>2021</v>
      </c>
    </row>
    <row r="1637" spans="1:10">
      <c r="A1637" t="s">
        <v>6542</v>
      </c>
      <c r="B1637">
        <v>-0.48395576105732502</v>
      </c>
      <c r="C1637">
        <v>7.3296517023297598</v>
      </c>
      <c r="D1637">
        <v>0.45858668896760602</v>
      </c>
      <c r="E1637">
        <v>0.929895833366848</v>
      </c>
      <c r="F1637">
        <v>12</v>
      </c>
      <c r="G1637">
        <v>18</v>
      </c>
      <c r="H1637" t="s">
        <v>28</v>
      </c>
      <c r="I1637" t="s">
        <v>3438</v>
      </c>
      <c r="J1637" t="s">
        <v>2022</v>
      </c>
    </row>
    <row r="1638" spans="1:10">
      <c r="A1638" t="s">
        <v>6543</v>
      </c>
      <c r="B1638">
        <v>-0.48395576105732502</v>
      </c>
      <c r="C1638">
        <v>7.3296517023297598</v>
      </c>
      <c r="D1638">
        <v>0.45858668896760602</v>
      </c>
      <c r="E1638">
        <v>0.929895833366848</v>
      </c>
      <c r="F1638">
        <v>12</v>
      </c>
      <c r="G1638">
        <v>18</v>
      </c>
      <c r="H1638" t="s">
        <v>6544</v>
      </c>
      <c r="I1638" t="s">
        <v>6545</v>
      </c>
      <c r="J1638" t="s">
        <v>2023</v>
      </c>
    </row>
    <row r="1639" spans="1:10">
      <c r="A1639" t="s">
        <v>6546</v>
      </c>
      <c r="B1639">
        <v>-0.30697078352377799</v>
      </c>
      <c r="C1639">
        <v>8.4451246074435495</v>
      </c>
      <c r="D1639">
        <v>0.45775339667978998</v>
      </c>
      <c r="E1639">
        <v>0.929895833366848</v>
      </c>
      <c r="F1639">
        <v>28</v>
      </c>
      <c r="G1639">
        <v>37</v>
      </c>
      <c r="H1639" t="s">
        <v>28</v>
      </c>
      <c r="I1639" t="s">
        <v>6547</v>
      </c>
      <c r="J1639" t="s">
        <v>2024</v>
      </c>
    </row>
    <row r="1640" spans="1:10">
      <c r="A1640" t="s">
        <v>6548</v>
      </c>
      <c r="B1640">
        <v>0.17287545374768901</v>
      </c>
      <c r="C1640">
        <v>9.9066132364032793</v>
      </c>
      <c r="D1640">
        <v>0.45690526819962302</v>
      </c>
      <c r="E1640">
        <v>0.929895833366848</v>
      </c>
      <c r="F1640">
        <v>92</v>
      </c>
      <c r="G1640">
        <v>87</v>
      </c>
      <c r="H1640" t="s">
        <v>6549</v>
      </c>
      <c r="I1640" t="s">
        <v>6550</v>
      </c>
      <c r="J1640" t="s">
        <v>2025</v>
      </c>
    </row>
    <row r="1641" spans="1:10">
      <c r="A1641" t="s">
        <v>6551</v>
      </c>
      <c r="B1641">
        <v>-0.62394120225810801</v>
      </c>
      <c r="C1641">
        <v>6.4227646885372396</v>
      </c>
      <c r="D1641">
        <v>0.45468149257356599</v>
      </c>
      <c r="E1641">
        <v>0.92723885866619504</v>
      </c>
      <c r="F1641">
        <v>6</v>
      </c>
      <c r="G1641">
        <v>10</v>
      </c>
      <c r="H1641" t="s">
        <v>28</v>
      </c>
      <c r="I1641" t="s">
        <v>3438</v>
      </c>
      <c r="J1641" t="s">
        <v>2026</v>
      </c>
    </row>
    <row r="1642" spans="1:10">
      <c r="A1642" t="s">
        <v>6552</v>
      </c>
      <c r="B1642">
        <v>-0.62394120225810801</v>
      </c>
      <c r="C1642">
        <v>6.4227646885372396</v>
      </c>
      <c r="D1642">
        <v>0.45468149257356599</v>
      </c>
      <c r="E1642">
        <v>0.92723885866619504</v>
      </c>
      <c r="F1642">
        <v>6</v>
      </c>
      <c r="G1642">
        <v>10</v>
      </c>
      <c r="H1642" t="s">
        <v>418</v>
      </c>
      <c r="I1642" t="s">
        <v>6553</v>
      </c>
      <c r="J1642" t="s">
        <v>417</v>
      </c>
    </row>
    <row r="1643" spans="1:10">
      <c r="A1643" t="s">
        <v>6554</v>
      </c>
      <c r="B1643">
        <v>-0.62394120225810801</v>
      </c>
      <c r="C1643">
        <v>6.4227646885372396</v>
      </c>
      <c r="D1643">
        <v>0.45468149257356599</v>
      </c>
      <c r="E1643">
        <v>0.92723885866619504</v>
      </c>
      <c r="F1643">
        <v>6</v>
      </c>
      <c r="G1643">
        <v>10</v>
      </c>
      <c r="H1643" t="s">
        <v>28</v>
      </c>
      <c r="I1643" t="s">
        <v>3438</v>
      </c>
      <c r="J1643" t="s">
        <v>2027</v>
      </c>
    </row>
    <row r="1644" spans="1:10">
      <c r="A1644" t="s">
        <v>6555</v>
      </c>
      <c r="B1644">
        <v>0.80345192441678004</v>
      </c>
      <c r="C1644">
        <v>6.4227832153846798</v>
      </c>
      <c r="D1644">
        <v>0.45468149257356599</v>
      </c>
      <c r="E1644">
        <v>0.92723885866619504</v>
      </c>
      <c r="F1644">
        <v>10</v>
      </c>
      <c r="G1644">
        <v>6</v>
      </c>
      <c r="H1644" t="s">
        <v>28</v>
      </c>
      <c r="I1644" t="s">
        <v>3438</v>
      </c>
      <c r="J1644" t="s">
        <v>2028</v>
      </c>
    </row>
    <row r="1645" spans="1:10">
      <c r="A1645" t="s">
        <v>6556</v>
      </c>
      <c r="B1645">
        <v>0.80345192441678004</v>
      </c>
      <c r="C1645">
        <v>6.4227832153846798</v>
      </c>
      <c r="D1645">
        <v>0.45468149257356599</v>
      </c>
      <c r="E1645">
        <v>0.92723885866619504</v>
      </c>
      <c r="F1645">
        <v>10</v>
      </c>
      <c r="G1645">
        <v>6</v>
      </c>
      <c r="H1645" t="s">
        <v>6557</v>
      </c>
      <c r="I1645" t="s">
        <v>6558</v>
      </c>
      <c r="J1645" t="s">
        <v>2029</v>
      </c>
    </row>
    <row r="1646" spans="1:10">
      <c r="A1646" t="s">
        <v>6559</v>
      </c>
      <c r="B1646">
        <v>0.80345192441678004</v>
      </c>
      <c r="C1646">
        <v>6.4227832153846798</v>
      </c>
      <c r="D1646">
        <v>0.45468149257356599</v>
      </c>
      <c r="E1646">
        <v>0.92723885866619504</v>
      </c>
      <c r="F1646">
        <v>10</v>
      </c>
      <c r="G1646">
        <v>6</v>
      </c>
      <c r="H1646" t="s">
        <v>28</v>
      </c>
      <c r="I1646" t="s">
        <v>5203</v>
      </c>
      <c r="J1646" t="s">
        <v>2030</v>
      </c>
    </row>
    <row r="1647" spans="1:10">
      <c r="A1647" t="s">
        <v>6560</v>
      </c>
      <c r="B1647">
        <v>0.80345192441678004</v>
      </c>
      <c r="C1647">
        <v>6.4227832153846798</v>
      </c>
      <c r="D1647">
        <v>0.45468149257356599</v>
      </c>
      <c r="E1647">
        <v>0.92723885866619504</v>
      </c>
      <c r="F1647">
        <v>10</v>
      </c>
      <c r="G1647">
        <v>6</v>
      </c>
      <c r="H1647" t="s">
        <v>28</v>
      </c>
      <c r="I1647" t="s">
        <v>3438</v>
      </c>
      <c r="J1647" t="s">
        <v>2031</v>
      </c>
    </row>
    <row r="1648" spans="1:10">
      <c r="A1648" t="s">
        <v>6561</v>
      </c>
      <c r="B1648">
        <v>0.80345192441678004</v>
      </c>
      <c r="C1648">
        <v>6.4227832153846798</v>
      </c>
      <c r="D1648">
        <v>0.45468149257356599</v>
      </c>
      <c r="E1648">
        <v>0.92723885866619504</v>
      </c>
      <c r="F1648">
        <v>10</v>
      </c>
      <c r="G1648">
        <v>6</v>
      </c>
      <c r="H1648" t="s">
        <v>28</v>
      </c>
      <c r="I1648" t="s">
        <v>3438</v>
      </c>
      <c r="J1648" t="s">
        <v>2032</v>
      </c>
    </row>
    <row r="1649" spans="1:10">
      <c r="A1649" t="s">
        <v>6562</v>
      </c>
      <c r="B1649">
        <v>0.80345192441678004</v>
      </c>
      <c r="C1649">
        <v>6.4227832153846798</v>
      </c>
      <c r="D1649">
        <v>0.45468149257356599</v>
      </c>
      <c r="E1649">
        <v>0.92723885866619504</v>
      </c>
      <c r="F1649">
        <v>10</v>
      </c>
      <c r="G1649">
        <v>6</v>
      </c>
      <c r="H1649" t="s">
        <v>28</v>
      </c>
      <c r="I1649" t="s">
        <v>3438</v>
      </c>
      <c r="J1649" t="s">
        <v>2033</v>
      </c>
    </row>
    <row r="1650" spans="1:10">
      <c r="A1650" t="s">
        <v>6563</v>
      </c>
      <c r="B1650">
        <v>0.80345192441678004</v>
      </c>
      <c r="C1650">
        <v>6.4227832153846798</v>
      </c>
      <c r="D1650">
        <v>0.45468149257356599</v>
      </c>
      <c r="E1650">
        <v>0.92723885866619504</v>
      </c>
      <c r="F1650">
        <v>10</v>
      </c>
      <c r="G1650">
        <v>6</v>
      </c>
      <c r="H1650" t="s">
        <v>28</v>
      </c>
      <c r="I1650" t="s">
        <v>3522</v>
      </c>
      <c r="J1650" t="s">
        <v>2034</v>
      </c>
    </row>
    <row r="1651" spans="1:10">
      <c r="A1651" t="s">
        <v>6564</v>
      </c>
      <c r="B1651">
        <v>0.80345192441678004</v>
      </c>
      <c r="C1651">
        <v>6.4227832153846798</v>
      </c>
      <c r="D1651">
        <v>0.45468149257356599</v>
      </c>
      <c r="E1651">
        <v>0.92723885866619504</v>
      </c>
      <c r="F1651">
        <v>10</v>
      </c>
      <c r="G1651">
        <v>6</v>
      </c>
      <c r="H1651" t="s">
        <v>28</v>
      </c>
      <c r="I1651" t="s">
        <v>6565</v>
      </c>
      <c r="J1651" t="s">
        <v>2035</v>
      </c>
    </row>
    <row r="1652" spans="1:10">
      <c r="A1652" t="s">
        <v>6566</v>
      </c>
      <c r="B1652">
        <v>-1.13701762911482</v>
      </c>
      <c r="C1652">
        <v>5.2301212538726896</v>
      </c>
      <c r="D1652">
        <v>0.45320701484744003</v>
      </c>
      <c r="E1652">
        <v>0.92723885866619504</v>
      </c>
      <c r="F1652">
        <v>2</v>
      </c>
      <c r="G1652">
        <v>5</v>
      </c>
      <c r="H1652" t="s">
        <v>28</v>
      </c>
      <c r="I1652" t="s">
        <v>6318</v>
      </c>
      <c r="J1652" t="s">
        <v>2036</v>
      </c>
    </row>
    <row r="1653" spans="1:10">
      <c r="A1653" t="s">
        <v>6567</v>
      </c>
      <c r="B1653">
        <v>-1.13701762911482</v>
      </c>
      <c r="C1653">
        <v>5.2301212538726896</v>
      </c>
      <c r="D1653">
        <v>0.45320701484744003</v>
      </c>
      <c r="E1653">
        <v>0.92723885866619504</v>
      </c>
      <c r="F1653">
        <v>2</v>
      </c>
      <c r="G1653">
        <v>5</v>
      </c>
      <c r="H1653" t="s">
        <v>6568</v>
      </c>
      <c r="I1653" t="s">
        <v>6569</v>
      </c>
      <c r="J1653" t="s">
        <v>2037</v>
      </c>
    </row>
    <row r="1654" spans="1:10">
      <c r="A1654" t="s">
        <v>6570</v>
      </c>
      <c r="B1654">
        <v>-1.13701762911482</v>
      </c>
      <c r="C1654">
        <v>5.2301212538726896</v>
      </c>
      <c r="D1654">
        <v>0.45320701484744003</v>
      </c>
      <c r="E1654">
        <v>0.92723885866619504</v>
      </c>
      <c r="F1654">
        <v>2</v>
      </c>
      <c r="G1654">
        <v>5</v>
      </c>
      <c r="H1654" t="s">
        <v>28</v>
      </c>
      <c r="I1654" t="s">
        <v>3438</v>
      </c>
      <c r="J1654" t="s">
        <v>2038</v>
      </c>
    </row>
    <row r="1655" spans="1:10">
      <c r="A1655" t="s">
        <v>6571</v>
      </c>
      <c r="B1655">
        <v>-1.13701762911482</v>
      </c>
      <c r="C1655">
        <v>5.2301212538726896</v>
      </c>
      <c r="D1655">
        <v>0.45320701484744003</v>
      </c>
      <c r="E1655">
        <v>0.92723885866619504</v>
      </c>
      <c r="F1655">
        <v>2</v>
      </c>
      <c r="G1655">
        <v>5</v>
      </c>
      <c r="H1655" t="s">
        <v>28</v>
      </c>
      <c r="I1655" t="s">
        <v>3438</v>
      </c>
      <c r="J1655" t="s">
        <v>2039</v>
      </c>
    </row>
    <row r="1656" spans="1:10">
      <c r="A1656" t="s">
        <v>6572</v>
      </c>
      <c r="B1656">
        <v>-1.13701762911482</v>
      </c>
      <c r="C1656">
        <v>5.2301212538726896</v>
      </c>
      <c r="D1656">
        <v>0.45320701484744003</v>
      </c>
      <c r="E1656">
        <v>0.92723885866619504</v>
      </c>
      <c r="F1656">
        <v>2</v>
      </c>
      <c r="G1656">
        <v>5</v>
      </c>
      <c r="H1656" t="s">
        <v>28</v>
      </c>
      <c r="I1656" t="s">
        <v>3438</v>
      </c>
      <c r="J1656" t="s">
        <v>2040</v>
      </c>
    </row>
    <row r="1657" spans="1:10">
      <c r="A1657" t="s">
        <v>6573</v>
      </c>
      <c r="B1657">
        <v>-1.13701762911482</v>
      </c>
      <c r="C1657">
        <v>5.2301212538726896</v>
      </c>
      <c r="D1657">
        <v>0.45320701484744003</v>
      </c>
      <c r="E1657">
        <v>0.92723885866619504</v>
      </c>
      <c r="F1657">
        <v>2</v>
      </c>
      <c r="G1657">
        <v>5</v>
      </c>
      <c r="H1657" t="s">
        <v>28</v>
      </c>
      <c r="I1657" t="s">
        <v>3438</v>
      </c>
      <c r="J1657" t="s">
        <v>2041</v>
      </c>
    </row>
    <row r="1658" spans="1:10">
      <c r="A1658" t="s">
        <v>6574</v>
      </c>
      <c r="B1658">
        <v>-1.13701762911482</v>
      </c>
      <c r="C1658">
        <v>5.2301212538726896</v>
      </c>
      <c r="D1658">
        <v>0.45320701484744003</v>
      </c>
      <c r="E1658">
        <v>0.92723885866619504</v>
      </c>
      <c r="F1658">
        <v>2</v>
      </c>
      <c r="G1658">
        <v>5</v>
      </c>
      <c r="H1658" t="s">
        <v>28</v>
      </c>
      <c r="I1658" t="s">
        <v>6575</v>
      </c>
      <c r="J1658" t="s">
        <v>2042</v>
      </c>
    </row>
    <row r="1659" spans="1:10">
      <c r="A1659" t="s">
        <v>6576</v>
      </c>
      <c r="B1659">
        <v>-1.13701762911482</v>
      </c>
      <c r="C1659">
        <v>5.2301212538726896</v>
      </c>
      <c r="D1659">
        <v>0.45320701484744003</v>
      </c>
      <c r="E1659">
        <v>0.92723885866619504</v>
      </c>
      <c r="F1659">
        <v>2</v>
      </c>
      <c r="G1659">
        <v>5</v>
      </c>
      <c r="H1659" t="s">
        <v>28</v>
      </c>
      <c r="I1659" t="s">
        <v>3438</v>
      </c>
      <c r="J1659" t="s">
        <v>2043</v>
      </c>
    </row>
    <row r="1660" spans="1:10">
      <c r="A1660" t="s">
        <v>6577</v>
      </c>
      <c r="B1660">
        <v>-1.13701762911482</v>
      </c>
      <c r="C1660">
        <v>5.2301212538726896</v>
      </c>
      <c r="D1660">
        <v>0.45320701484744003</v>
      </c>
      <c r="E1660">
        <v>0.92723885866619504</v>
      </c>
      <c r="F1660">
        <v>2</v>
      </c>
      <c r="G1660">
        <v>5</v>
      </c>
      <c r="H1660" t="s">
        <v>28</v>
      </c>
      <c r="I1660" t="s">
        <v>3438</v>
      </c>
      <c r="J1660" t="s">
        <v>2044</v>
      </c>
    </row>
    <row r="1661" spans="1:10">
      <c r="A1661" t="s">
        <v>6578</v>
      </c>
      <c r="B1661">
        <v>-1.13701762911482</v>
      </c>
      <c r="C1661">
        <v>5.2301212538726896</v>
      </c>
      <c r="D1661">
        <v>0.45320701484744003</v>
      </c>
      <c r="E1661">
        <v>0.92723885866619504</v>
      </c>
      <c r="F1661">
        <v>2</v>
      </c>
      <c r="G1661">
        <v>5</v>
      </c>
      <c r="H1661" t="s">
        <v>28</v>
      </c>
      <c r="I1661" t="s">
        <v>3438</v>
      </c>
      <c r="J1661" t="s">
        <v>2045</v>
      </c>
    </row>
    <row r="1662" spans="1:10">
      <c r="A1662" t="s">
        <v>6579</v>
      </c>
      <c r="B1662">
        <v>-1.13701762911482</v>
      </c>
      <c r="C1662">
        <v>5.2301212538726896</v>
      </c>
      <c r="D1662">
        <v>0.45320701484744003</v>
      </c>
      <c r="E1662">
        <v>0.92723885866619504</v>
      </c>
      <c r="F1662">
        <v>2</v>
      </c>
      <c r="G1662">
        <v>5</v>
      </c>
      <c r="H1662" t="s">
        <v>28</v>
      </c>
      <c r="I1662" t="s">
        <v>3438</v>
      </c>
      <c r="J1662" t="s">
        <v>2046</v>
      </c>
    </row>
    <row r="1663" spans="1:10">
      <c r="A1663" t="s">
        <v>6580</v>
      </c>
      <c r="B1663">
        <v>-1.13701762911482</v>
      </c>
      <c r="C1663">
        <v>5.2301212538726896</v>
      </c>
      <c r="D1663">
        <v>0.45320701484744003</v>
      </c>
      <c r="E1663">
        <v>0.92723885866619504</v>
      </c>
      <c r="F1663">
        <v>2</v>
      </c>
      <c r="G1663">
        <v>5</v>
      </c>
      <c r="H1663" t="s">
        <v>28</v>
      </c>
      <c r="I1663" t="s">
        <v>3438</v>
      </c>
      <c r="J1663" t="s">
        <v>2047</v>
      </c>
    </row>
    <row r="1664" spans="1:10">
      <c r="A1664" t="s">
        <v>6581</v>
      </c>
      <c r="B1664">
        <v>-1.13701762911482</v>
      </c>
      <c r="C1664">
        <v>5.2301212538726896</v>
      </c>
      <c r="D1664">
        <v>0.45320701484744003</v>
      </c>
      <c r="E1664">
        <v>0.92723885866619504</v>
      </c>
      <c r="F1664">
        <v>2</v>
      </c>
      <c r="G1664">
        <v>5</v>
      </c>
      <c r="H1664" t="s">
        <v>28</v>
      </c>
      <c r="I1664" t="s">
        <v>3438</v>
      </c>
      <c r="J1664" t="s">
        <v>2048</v>
      </c>
    </row>
    <row r="1665" spans="1:10">
      <c r="A1665" t="s">
        <v>6582</v>
      </c>
      <c r="B1665">
        <v>-1.13701762911482</v>
      </c>
      <c r="C1665">
        <v>5.2301212538726896</v>
      </c>
      <c r="D1665">
        <v>0.45320701484744003</v>
      </c>
      <c r="E1665">
        <v>0.92723885866619504</v>
      </c>
      <c r="F1665">
        <v>2</v>
      </c>
      <c r="G1665">
        <v>5</v>
      </c>
      <c r="H1665" t="s">
        <v>6583</v>
      </c>
      <c r="I1665" t="s">
        <v>6584</v>
      </c>
      <c r="J1665" t="s">
        <v>2049</v>
      </c>
    </row>
    <row r="1666" spans="1:10">
      <c r="A1666" t="s">
        <v>6585</v>
      </c>
      <c r="B1666">
        <v>-1.13701762911482</v>
      </c>
      <c r="C1666">
        <v>5.2301212538726896</v>
      </c>
      <c r="D1666">
        <v>0.45320701484744003</v>
      </c>
      <c r="E1666">
        <v>0.92723885866619504</v>
      </c>
      <c r="F1666">
        <v>2</v>
      </c>
      <c r="G1666">
        <v>5</v>
      </c>
      <c r="H1666" t="s">
        <v>6586</v>
      </c>
      <c r="I1666" t="s">
        <v>3438</v>
      </c>
      <c r="J1666" t="s">
        <v>2050</v>
      </c>
    </row>
    <row r="1667" spans="1:10">
      <c r="A1667" t="s">
        <v>6587</v>
      </c>
      <c r="B1667">
        <v>1.3077822236674801</v>
      </c>
      <c r="C1667">
        <v>5.2301351552460602</v>
      </c>
      <c r="D1667">
        <v>0.45320701484744003</v>
      </c>
      <c r="E1667">
        <v>0.92723885866619504</v>
      </c>
      <c r="F1667">
        <v>5</v>
      </c>
      <c r="G1667">
        <v>2</v>
      </c>
      <c r="H1667" t="s">
        <v>28</v>
      </c>
      <c r="I1667" t="s">
        <v>3438</v>
      </c>
      <c r="J1667" t="s">
        <v>2051</v>
      </c>
    </row>
    <row r="1668" spans="1:10">
      <c r="A1668" t="s">
        <v>6588</v>
      </c>
      <c r="B1668">
        <v>1.3077822236674801</v>
      </c>
      <c r="C1668">
        <v>5.2301351552460602</v>
      </c>
      <c r="D1668">
        <v>0.45320701484744003</v>
      </c>
      <c r="E1668">
        <v>0.92723885866619504</v>
      </c>
      <c r="F1668">
        <v>5</v>
      </c>
      <c r="G1668">
        <v>2</v>
      </c>
      <c r="H1668" t="s">
        <v>6589</v>
      </c>
      <c r="I1668" t="s">
        <v>3571</v>
      </c>
      <c r="J1668" t="s">
        <v>2052</v>
      </c>
    </row>
    <row r="1669" spans="1:10">
      <c r="A1669" t="s">
        <v>6590</v>
      </c>
      <c r="B1669">
        <v>1.3077822236674801</v>
      </c>
      <c r="C1669">
        <v>5.2301351552460602</v>
      </c>
      <c r="D1669">
        <v>0.45320701484744003</v>
      </c>
      <c r="E1669">
        <v>0.92723885866619504</v>
      </c>
      <c r="F1669">
        <v>5</v>
      </c>
      <c r="G1669">
        <v>2</v>
      </c>
      <c r="H1669" t="s">
        <v>28</v>
      </c>
      <c r="I1669" t="s">
        <v>3438</v>
      </c>
      <c r="J1669" t="s">
        <v>2053</v>
      </c>
    </row>
    <row r="1670" spans="1:10">
      <c r="A1670" t="s">
        <v>6591</v>
      </c>
      <c r="B1670">
        <v>1.3077822236674801</v>
      </c>
      <c r="C1670">
        <v>5.2301351552460602</v>
      </c>
      <c r="D1670">
        <v>0.45320701484744003</v>
      </c>
      <c r="E1670">
        <v>0.92723885866619504</v>
      </c>
      <c r="F1670">
        <v>5</v>
      </c>
      <c r="G1670">
        <v>2</v>
      </c>
      <c r="H1670" t="s">
        <v>6592</v>
      </c>
      <c r="I1670" t="s">
        <v>6593</v>
      </c>
      <c r="J1670" t="s">
        <v>2054</v>
      </c>
    </row>
    <row r="1671" spans="1:10">
      <c r="A1671" t="s">
        <v>6594</v>
      </c>
      <c r="B1671">
        <v>1.3077822236674801</v>
      </c>
      <c r="C1671">
        <v>5.2301351552460602</v>
      </c>
      <c r="D1671">
        <v>0.45320701484744003</v>
      </c>
      <c r="E1671">
        <v>0.92723885866619504</v>
      </c>
      <c r="F1671">
        <v>5</v>
      </c>
      <c r="G1671">
        <v>2</v>
      </c>
      <c r="H1671" t="s">
        <v>28</v>
      </c>
      <c r="I1671" t="s">
        <v>3438</v>
      </c>
      <c r="J1671" t="s">
        <v>2055</v>
      </c>
    </row>
    <row r="1672" spans="1:10">
      <c r="A1672" t="s">
        <v>6595</v>
      </c>
      <c r="B1672">
        <v>1.3077822236674801</v>
      </c>
      <c r="C1672">
        <v>5.2301351552460602</v>
      </c>
      <c r="D1672">
        <v>0.45320701484744003</v>
      </c>
      <c r="E1672">
        <v>0.92723885866619504</v>
      </c>
      <c r="F1672">
        <v>5</v>
      </c>
      <c r="G1672">
        <v>2</v>
      </c>
      <c r="H1672" t="s">
        <v>28</v>
      </c>
      <c r="I1672" t="s">
        <v>6596</v>
      </c>
      <c r="J1672" t="s">
        <v>2056</v>
      </c>
    </row>
    <row r="1673" spans="1:10">
      <c r="A1673" t="s">
        <v>6597</v>
      </c>
      <c r="B1673">
        <v>1.3077822236674801</v>
      </c>
      <c r="C1673">
        <v>5.2301351552460602</v>
      </c>
      <c r="D1673">
        <v>0.45320701484744003</v>
      </c>
      <c r="E1673">
        <v>0.92723885866619504</v>
      </c>
      <c r="F1673">
        <v>5</v>
      </c>
      <c r="G1673">
        <v>2</v>
      </c>
      <c r="H1673" t="s">
        <v>28</v>
      </c>
      <c r="I1673" t="s">
        <v>3438</v>
      </c>
      <c r="J1673" t="s">
        <v>2057</v>
      </c>
    </row>
    <row r="1674" spans="1:10">
      <c r="A1674" t="s">
        <v>6598</v>
      </c>
      <c r="B1674">
        <v>1.3077822236674801</v>
      </c>
      <c r="C1674">
        <v>5.2301351552460602</v>
      </c>
      <c r="D1674">
        <v>0.45320701484744003</v>
      </c>
      <c r="E1674">
        <v>0.92723885866619504</v>
      </c>
      <c r="F1674">
        <v>5</v>
      </c>
      <c r="G1674">
        <v>2</v>
      </c>
      <c r="H1674" t="s">
        <v>28</v>
      </c>
      <c r="I1674" t="s">
        <v>3438</v>
      </c>
      <c r="J1674" t="s">
        <v>2058</v>
      </c>
    </row>
    <row r="1675" spans="1:10">
      <c r="A1675" t="s">
        <v>6599</v>
      </c>
      <c r="B1675">
        <v>1.3077822236674801</v>
      </c>
      <c r="C1675">
        <v>5.2301351552460602</v>
      </c>
      <c r="D1675">
        <v>0.45320701484744003</v>
      </c>
      <c r="E1675">
        <v>0.92723885866619504</v>
      </c>
      <c r="F1675">
        <v>5</v>
      </c>
      <c r="G1675">
        <v>2</v>
      </c>
      <c r="H1675" t="s">
        <v>6600</v>
      </c>
      <c r="I1675" t="s">
        <v>6107</v>
      </c>
      <c r="J1675" t="s">
        <v>1808</v>
      </c>
    </row>
    <row r="1676" spans="1:10">
      <c r="A1676" t="s">
        <v>6601</v>
      </c>
      <c r="B1676">
        <v>1.3077822236674801</v>
      </c>
      <c r="C1676">
        <v>5.2301351552460602</v>
      </c>
      <c r="D1676">
        <v>0.45320701484744003</v>
      </c>
      <c r="E1676">
        <v>0.92723885866619504</v>
      </c>
      <c r="F1676">
        <v>5</v>
      </c>
      <c r="G1676">
        <v>2</v>
      </c>
      <c r="H1676" t="s">
        <v>28</v>
      </c>
      <c r="I1676" t="s">
        <v>3436</v>
      </c>
      <c r="J1676" t="s">
        <v>2059</v>
      </c>
    </row>
    <row r="1677" spans="1:10">
      <c r="A1677" t="s">
        <v>6602</v>
      </c>
      <c r="B1677">
        <v>1.3077822236674801</v>
      </c>
      <c r="C1677">
        <v>5.2301351552460602</v>
      </c>
      <c r="D1677">
        <v>0.45320701484744003</v>
      </c>
      <c r="E1677">
        <v>0.92723885866619504</v>
      </c>
      <c r="F1677">
        <v>5</v>
      </c>
      <c r="G1677">
        <v>2</v>
      </c>
      <c r="H1677" t="s">
        <v>28</v>
      </c>
      <c r="I1677" t="s">
        <v>3438</v>
      </c>
      <c r="J1677" t="s">
        <v>2060</v>
      </c>
    </row>
    <row r="1678" spans="1:10">
      <c r="A1678" t="s">
        <v>6603</v>
      </c>
      <c r="B1678">
        <v>1.3077822236674801</v>
      </c>
      <c r="C1678">
        <v>5.2301351552460602</v>
      </c>
      <c r="D1678">
        <v>0.45320701484744003</v>
      </c>
      <c r="E1678">
        <v>0.92723885866619504</v>
      </c>
      <c r="F1678">
        <v>5</v>
      </c>
      <c r="G1678">
        <v>2</v>
      </c>
      <c r="H1678" t="s">
        <v>28</v>
      </c>
      <c r="I1678" t="s">
        <v>3438</v>
      </c>
      <c r="J1678" t="s">
        <v>2061</v>
      </c>
    </row>
    <row r="1679" spans="1:10">
      <c r="A1679" t="s">
        <v>6604</v>
      </c>
      <c r="B1679">
        <v>1.3077822236674801</v>
      </c>
      <c r="C1679">
        <v>5.2301351552460602</v>
      </c>
      <c r="D1679">
        <v>0.45320701484744003</v>
      </c>
      <c r="E1679">
        <v>0.92723885866619504</v>
      </c>
      <c r="F1679">
        <v>5</v>
      </c>
      <c r="G1679">
        <v>2</v>
      </c>
      <c r="H1679" t="s">
        <v>28</v>
      </c>
      <c r="I1679" t="s">
        <v>3438</v>
      </c>
      <c r="J1679" t="s">
        <v>2062</v>
      </c>
    </row>
    <row r="1680" spans="1:10">
      <c r="A1680" t="s">
        <v>6605</v>
      </c>
      <c r="B1680">
        <v>1.3077822236674801</v>
      </c>
      <c r="C1680">
        <v>5.2301351552460602</v>
      </c>
      <c r="D1680">
        <v>0.45320701484744003</v>
      </c>
      <c r="E1680">
        <v>0.92723885866619504</v>
      </c>
      <c r="F1680">
        <v>5</v>
      </c>
      <c r="G1680">
        <v>2</v>
      </c>
      <c r="H1680" t="s">
        <v>28</v>
      </c>
      <c r="I1680" t="s">
        <v>3438</v>
      </c>
      <c r="J1680" t="s">
        <v>2063</v>
      </c>
    </row>
    <row r="1681" spans="1:10">
      <c r="A1681" t="s">
        <v>6606</v>
      </c>
      <c r="B1681">
        <v>1.3077822236674801</v>
      </c>
      <c r="C1681">
        <v>5.2301351552460602</v>
      </c>
      <c r="D1681">
        <v>0.45320701484744003</v>
      </c>
      <c r="E1681">
        <v>0.92723885866619504</v>
      </c>
      <c r="F1681">
        <v>5</v>
      </c>
      <c r="G1681">
        <v>2</v>
      </c>
      <c r="H1681" t="s">
        <v>28</v>
      </c>
      <c r="I1681" t="s">
        <v>3438</v>
      </c>
      <c r="J1681" t="s">
        <v>2064</v>
      </c>
    </row>
    <row r="1682" spans="1:10">
      <c r="A1682" t="s">
        <v>6607</v>
      </c>
      <c r="B1682">
        <v>1.3077822236674801</v>
      </c>
      <c r="C1682">
        <v>5.2301351552460602</v>
      </c>
      <c r="D1682">
        <v>0.45320701484744003</v>
      </c>
      <c r="E1682">
        <v>0.92723885866619504</v>
      </c>
      <c r="F1682">
        <v>5</v>
      </c>
      <c r="G1682">
        <v>2</v>
      </c>
      <c r="H1682" t="s">
        <v>6608</v>
      </c>
      <c r="I1682" t="s">
        <v>6609</v>
      </c>
      <c r="J1682" t="s">
        <v>2065</v>
      </c>
    </row>
    <row r="1683" spans="1:10">
      <c r="A1683" t="s">
        <v>6610</v>
      </c>
      <c r="B1683">
        <v>1.3077822236674801</v>
      </c>
      <c r="C1683">
        <v>5.2301351552460602</v>
      </c>
      <c r="D1683">
        <v>0.45320701484744003</v>
      </c>
      <c r="E1683">
        <v>0.92723885866619504</v>
      </c>
      <c r="F1683">
        <v>5</v>
      </c>
      <c r="G1683">
        <v>2</v>
      </c>
      <c r="H1683" t="s">
        <v>6611</v>
      </c>
      <c r="I1683" t="s">
        <v>6612</v>
      </c>
      <c r="J1683" t="s">
        <v>2066</v>
      </c>
    </row>
    <row r="1684" spans="1:10">
      <c r="A1684" t="s">
        <v>6613</v>
      </c>
      <c r="B1684">
        <v>1.3077822236674801</v>
      </c>
      <c r="C1684">
        <v>5.2301351552460602</v>
      </c>
      <c r="D1684">
        <v>0.45320701484744003</v>
      </c>
      <c r="E1684">
        <v>0.92723885866619504</v>
      </c>
      <c r="F1684">
        <v>5</v>
      </c>
      <c r="G1684">
        <v>2</v>
      </c>
      <c r="H1684" t="s">
        <v>6614</v>
      </c>
      <c r="I1684" t="s">
        <v>6615</v>
      </c>
      <c r="J1684" t="s">
        <v>2067</v>
      </c>
    </row>
    <row r="1685" spans="1:10">
      <c r="A1685" t="s">
        <v>6616</v>
      </c>
      <c r="B1685">
        <v>1.3077822236674801</v>
      </c>
      <c r="C1685">
        <v>5.2301351552460602</v>
      </c>
      <c r="D1685">
        <v>0.45320701484744003</v>
      </c>
      <c r="E1685">
        <v>0.92723885866619504</v>
      </c>
      <c r="F1685">
        <v>5</v>
      </c>
      <c r="G1685">
        <v>2</v>
      </c>
      <c r="H1685" t="s">
        <v>28</v>
      </c>
      <c r="I1685" t="s">
        <v>3438</v>
      </c>
      <c r="J1685" t="s">
        <v>2068</v>
      </c>
    </row>
    <row r="1686" spans="1:10">
      <c r="A1686" t="s">
        <v>6617</v>
      </c>
      <c r="B1686">
        <v>1.3077822236674801</v>
      </c>
      <c r="C1686">
        <v>5.2301351552460602</v>
      </c>
      <c r="D1686">
        <v>0.45320701484744003</v>
      </c>
      <c r="E1686">
        <v>0.92723885866619504</v>
      </c>
      <c r="F1686">
        <v>5</v>
      </c>
      <c r="G1686">
        <v>2</v>
      </c>
      <c r="H1686" t="s">
        <v>28</v>
      </c>
      <c r="I1686" t="s">
        <v>3438</v>
      </c>
      <c r="J1686" t="s">
        <v>2069</v>
      </c>
    </row>
    <row r="1687" spans="1:10">
      <c r="A1687" t="s">
        <v>6618</v>
      </c>
      <c r="B1687">
        <v>1.3077822236674801</v>
      </c>
      <c r="C1687">
        <v>5.2301351552460602</v>
      </c>
      <c r="D1687">
        <v>0.45320701484744003</v>
      </c>
      <c r="E1687">
        <v>0.92723885866619504</v>
      </c>
      <c r="F1687">
        <v>5</v>
      </c>
      <c r="G1687">
        <v>2</v>
      </c>
      <c r="H1687" t="s">
        <v>6619</v>
      </c>
      <c r="I1687" t="s">
        <v>3571</v>
      </c>
      <c r="J1687" t="s">
        <v>2070</v>
      </c>
    </row>
    <row r="1688" spans="1:10">
      <c r="A1688" t="s">
        <v>6620</v>
      </c>
      <c r="B1688">
        <v>-0.432757372363333</v>
      </c>
      <c r="C1688">
        <v>7.8821891485496902</v>
      </c>
      <c r="D1688">
        <v>0.45188068765830403</v>
      </c>
      <c r="E1688">
        <v>0.92723885866619504</v>
      </c>
      <c r="F1688">
        <v>18</v>
      </c>
      <c r="G1688">
        <v>26</v>
      </c>
      <c r="H1688" t="s">
        <v>28</v>
      </c>
      <c r="I1688" t="s">
        <v>3438</v>
      </c>
      <c r="J1688" t="s">
        <v>2071</v>
      </c>
    </row>
    <row r="1689" spans="1:10">
      <c r="A1689" t="s">
        <v>6621</v>
      </c>
      <c r="B1689">
        <v>-0.432757372363333</v>
      </c>
      <c r="C1689">
        <v>7.8821891485496902</v>
      </c>
      <c r="D1689">
        <v>0.45188068765830403</v>
      </c>
      <c r="E1689">
        <v>0.92723885866619504</v>
      </c>
      <c r="F1689">
        <v>18</v>
      </c>
      <c r="G1689">
        <v>26</v>
      </c>
      <c r="H1689" t="s">
        <v>6622</v>
      </c>
      <c r="I1689" t="s">
        <v>6623</v>
      </c>
      <c r="J1689" t="s">
        <v>2072</v>
      </c>
    </row>
    <row r="1690" spans="1:10">
      <c r="A1690" t="s">
        <v>6624</v>
      </c>
      <c r="B1690">
        <v>-0.432757372363333</v>
      </c>
      <c r="C1690">
        <v>7.8821891485496902</v>
      </c>
      <c r="D1690">
        <v>0.45188068765830403</v>
      </c>
      <c r="E1690">
        <v>0.92723885866619504</v>
      </c>
      <c r="F1690">
        <v>18</v>
      </c>
      <c r="G1690">
        <v>26</v>
      </c>
      <c r="H1690" t="s">
        <v>6625</v>
      </c>
      <c r="I1690" t="s">
        <v>6626</v>
      </c>
      <c r="J1690" t="s">
        <v>2073</v>
      </c>
    </row>
    <row r="1691" spans="1:10">
      <c r="A1691" t="s">
        <v>6627</v>
      </c>
      <c r="B1691">
        <v>0.35175283741374902</v>
      </c>
      <c r="C1691">
        <v>7.88221689999102</v>
      </c>
      <c r="D1691">
        <v>0.45188068765830403</v>
      </c>
      <c r="E1691">
        <v>0.92723885866619504</v>
      </c>
      <c r="F1691">
        <v>24</v>
      </c>
      <c r="G1691">
        <v>20</v>
      </c>
      <c r="H1691" t="s">
        <v>28</v>
      </c>
      <c r="I1691" t="s">
        <v>3438</v>
      </c>
      <c r="J1691" t="s">
        <v>2074</v>
      </c>
    </row>
    <row r="1692" spans="1:10">
      <c r="A1692" t="s">
        <v>6628</v>
      </c>
      <c r="B1692">
        <v>-0.24287223714321701</v>
      </c>
      <c r="C1692">
        <v>8.8490208151565906</v>
      </c>
      <c r="D1692">
        <v>0.45152146074562699</v>
      </c>
      <c r="E1692">
        <v>0.92723885866619504</v>
      </c>
      <c r="F1692">
        <v>38</v>
      </c>
      <c r="G1692">
        <v>48</v>
      </c>
      <c r="H1692" t="s">
        <v>28</v>
      </c>
      <c r="I1692" t="s">
        <v>6629</v>
      </c>
      <c r="J1692" t="s">
        <v>2075</v>
      </c>
    </row>
    <row r="1693" spans="1:10">
      <c r="A1693" t="s">
        <v>6630</v>
      </c>
      <c r="B1693">
        <v>0.29266622691461502</v>
      </c>
      <c r="C1693">
        <v>8.8490577398658008</v>
      </c>
      <c r="D1693">
        <v>0.45152146074562699</v>
      </c>
      <c r="E1693">
        <v>0.92723885866619504</v>
      </c>
      <c r="F1693">
        <v>46</v>
      </c>
      <c r="G1693">
        <v>40</v>
      </c>
      <c r="H1693" t="s">
        <v>28</v>
      </c>
      <c r="I1693" t="s">
        <v>3438</v>
      </c>
      <c r="J1693" t="s">
        <v>2076</v>
      </c>
    </row>
    <row r="1694" spans="1:10">
      <c r="A1694" t="s">
        <v>6631</v>
      </c>
      <c r="B1694">
        <v>0.29266622691461502</v>
      </c>
      <c r="C1694">
        <v>8.8490577398658008</v>
      </c>
      <c r="D1694">
        <v>0.45152146074562699</v>
      </c>
      <c r="E1694">
        <v>0.92723885866619504</v>
      </c>
      <c r="F1694">
        <v>46</v>
      </c>
      <c r="G1694">
        <v>40</v>
      </c>
      <c r="H1694" t="s">
        <v>6632</v>
      </c>
      <c r="I1694" t="s">
        <v>3599</v>
      </c>
      <c r="J1694" t="s">
        <v>2077</v>
      </c>
    </row>
    <row r="1695" spans="1:10">
      <c r="A1695" t="s">
        <v>6633</v>
      </c>
      <c r="B1695">
        <v>0.29266622691461502</v>
      </c>
      <c r="C1695">
        <v>8.8490577398658008</v>
      </c>
      <c r="D1695">
        <v>0.45152146074562699</v>
      </c>
      <c r="E1695">
        <v>0.92723885866619504</v>
      </c>
      <c r="F1695">
        <v>46</v>
      </c>
      <c r="G1695">
        <v>40</v>
      </c>
      <c r="H1695" t="s">
        <v>28</v>
      </c>
      <c r="I1695" t="s">
        <v>3438</v>
      </c>
      <c r="J1695" t="s">
        <v>2078</v>
      </c>
    </row>
    <row r="1696" spans="1:10">
      <c r="A1696" t="s">
        <v>6634</v>
      </c>
      <c r="B1696">
        <v>0.319672952034803</v>
      </c>
      <c r="C1696">
        <v>8.4000689139404994</v>
      </c>
      <c r="D1696">
        <v>0.45067759021166298</v>
      </c>
      <c r="E1696">
        <v>0.92723885866619504</v>
      </c>
      <c r="F1696">
        <v>34</v>
      </c>
      <c r="G1696">
        <v>29</v>
      </c>
      <c r="H1696" t="s">
        <v>28</v>
      </c>
      <c r="I1696" t="s">
        <v>3593</v>
      </c>
      <c r="J1696" t="s">
        <v>2079</v>
      </c>
    </row>
    <row r="1697" spans="1:10">
      <c r="A1697" t="s">
        <v>6635</v>
      </c>
      <c r="B1697">
        <v>0.13204239470340801</v>
      </c>
      <c r="C1697">
        <v>10.612627890301701</v>
      </c>
      <c r="D1697">
        <v>0.450142458056004</v>
      </c>
      <c r="E1697">
        <v>0.92723885866619504</v>
      </c>
      <c r="F1697">
        <v>148</v>
      </c>
      <c r="G1697">
        <v>144</v>
      </c>
      <c r="H1697" t="s">
        <v>28</v>
      </c>
      <c r="I1697" t="s">
        <v>3657</v>
      </c>
      <c r="J1697" t="s">
        <v>2080</v>
      </c>
    </row>
    <row r="1698" spans="1:10">
      <c r="A1698" t="s">
        <v>6636</v>
      </c>
      <c r="B1698">
        <v>-0.24563146693107701</v>
      </c>
      <c r="C1698">
        <v>9.2171668842772601</v>
      </c>
      <c r="D1698">
        <v>0.44906462405083097</v>
      </c>
      <c r="E1698">
        <v>0.92723885866619504</v>
      </c>
      <c r="F1698">
        <v>49</v>
      </c>
      <c r="G1698">
        <v>62</v>
      </c>
      <c r="H1698" t="s">
        <v>28</v>
      </c>
      <c r="I1698" t="s">
        <v>6637</v>
      </c>
      <c r="J1698" t="s">
        <v>2081</v>
      </c>
    </row>
    <row r="1699" spans="1:10">
      <c r="A1699" t="s">
        <v>6638</v>
      </c>
      <c r="B1699">
        <v>0.221800071509688</v>
      </c>
      <c r="C1699">
        <v>9.2172083729107204</v>
      </c>
      <c r="D1699">
        <v>0.44906462405083097</v>
      </c>
      <c r="E1699">
        <v>0.92723885866619504</v>
      </c>
      <c r="F1699">
        <v>58</v>
      </c>
      <c r="G1699">
        <v>53</v>
      </c>
      <c r="H1699" t="s">
        <v>28</v>
      </c>
      <c r="I1699" t="s">
        <v>3438</v>
      </c>
      <c r="J1699" t="s">
        <v>2082</v>
      </c>
    </row>
    <row r="1700" spans="1:10">
      <c r="A1700" t="s">
        <v>6639</v>
      </c>
      <c r="B1700">
        <v>0.297413910538119</v>
      </c>
      <c r="C1700">
        <v>8.8151102616378907</v>
      </c>
      <c r="D1700">
        <v>0.44616077293825601</v>
      </c>
      <c r="E1700">
        <v>0.92723885866619504</v>
      </c>
      <c r="F1700">
        <v>45</v>
      </c>
      <c r="G1700">
        <v>39</v>
      </c>
      <c r="H1700" t="s">
        <v>6640</v>
      </c>
      <c r="I1700" t="s">
        <v>6641</v>
      </c>
      <c r="J1700" t="s">
        <v>2083</v>
      </c>
    </row>
    <row r="1701" spans="1:10">
      <c r="A1701" t="s">
        <v>6642</v>
      </c>
      <c r="B1701">
        <v>0.297413910538119</v>
      </c>
      <c r="C1701">
        <v>8.8151102616378907</v>
      </c>
      <c r="D1701">
        <v>0.44616077293825601</v>
      </c>
      <c r="E1701">
        <v>0.92723885866619504</v>
      </c>
      <c r="F1701">
        <v>45</v>
      </c>
      <c r="G1701">
        <v>39</v>
      </c>
      <c r="H1701" t="s">
        <v>6643</v>
      </c>
      <c r="I1701" t="s">
        <v>6644</v>
      </c>
      <c r="J1701" t="s">
        <v>2084</v>
      </c>
    </row>
    <row r="1702" spans="1:10">
      <c r="A1702" t="s">
        <v>6645</v>
      </c>
      <c r="B1702">
        <v>0.15180625348575799</v>
      </c>
      <c r="C1702">
        <v>10.347614593645201</v>
      </c>
      <c r="D1702">
        <v>0.444239977436439</v>
      </c>
      <c r="E1702">
        <v>0.92723885866619504</v>
      </c>
      <c r="F1702">
        <v>124</v>
      </c>
      <c r="G1702">
        <v>119</v>
      </c>
      <c r="H1702" t="s">
        <v>6646</v>
      </c>
      <c r="I1702" t="s">
        <v>6647</v>
      </c>
      <c r="J1702" t="s">
        <v>2085</v>
      </c>
    </row>
    <row r="1703" spans="1:10">
      <c r="A1703" t="s">
        <v>6648</v>
      </c>
      <c r="B1703">
        <v>-0.333335971004454</v>
      </c>
      <c r="C1703">
        <v>8.3534938318323704</v>
      </c>
      <c r="D1703">
        <v>0.44332317061337201</v>
      </c>
      <c r="E1703">
        <v>0.92723885866619504</v>
      </c>
      <c r="F1703">
        <v>26</v>
      </c>
      <c r="G1703">
        <v>35</v>
      </c>
      <c r="H1703" t="s">
        <v>6649</v>
      </c>
      <c r="I1703" t="s">
        <v>6650</v>
      </c>
      <c r="J1703" t="s">
        <v>2086</v>
      </c>
    </row>
    <row r="1704" spans="1:10">
      <c r="A1704" t="s">
        <v>6651</v>
      </c>
      <c r="B1704">
        <v>-0.333335971004454</v>
      </c>
      <c r="C1704">
        <v>8.3534938318323704</v>
      </c>
      <c r="D1704">
        <v>0.44332317061337201</v>
      </c>
      <c r="E1704">
        <v>0.92723885866619504</v>
      </c>
      <c r="F1704">
        <v>26</v>
      </c>
      <c r="G1704">
        <v>35</v>
      </c>
      <c r="H1704" t="s">
        <v>6652</v>
      </c>
      <c r="I1704" t="s">
        <v>6653</v>
      </c>
      <c r="J1704" t="s">
        <v>2087</v>
      </c>
    </row>
    <row r="1705" spans="1:10">
      <c r="A1705" t="s">
        <v>6654</v>
      </c>
      <c r="B1705">
        <v>0.32708486288304001</v>
      </c>
      <c r="C1705">
        <v>8.3535261811338692</v>
      </c>
      <c r="D1705">
        <v>0.44332317061337201</v>
      </c>
      <c r="E1705">
        <v>0.92723885866619504</v>
      </c>
      <c r="F1705">
        <v>33</v>
      </c>
      <c r="G1705">
        <v>28</v>
      </c>
      <c r="H1705" t="s">
        <v>28</v>
      </c>
      <c r="I1705" t="s">
        <v>3438</v>
      </c>
      <c r="J1705" t="s">
        <v>2088</v>
      </c>
    </row>
    <row r="1706" spans="1:10">
      <c r="A1706" t="s">
        <v>6655</v>
      </c>
      <c r="B1706">
        <v>-0.43951802550692398</v>
      </c>
      <c r="C1706">
        <v>7.1776506986045296</v>
      </c>
      <c r="D1706">
        <v>0.44237893757426799</v>
      </c>
      <c r="E1706">
        <v>0.92723885866619504</v>
      </c>
      <c r="F1706">
        <v>11</v>
      </c>
      <c r="G1706">
        <v>16</v>
      </c>
      <c r="H1706" t="s">
        <v>357</v>
      </c>
      <c r="I1706" t="s">
        <v>6656</v>
      </c>
      <c r="J1706" t="s">
        <v>356</v>
      </c>
    </row>
    <row r="1707" spans="1:10">
      <c r="A1707" t="s">
        <v>6657</v>
      </c>
      <c r="B1707">
        <v>-0.43951802550692398</v>
      </c>
      <c r="C1707">
        <v>7.1776506986045296</v>
      </c>
      <c r="D1707">
        <v>0.44237893757426799</v>
      </c>
      <c r="E1707">
        <v>0.92723885866619504</v>
      </c>
      <c r="F1707">
        <v>11</v>
      </c>
      <c r="G1707">
        <v>16</v>
      </c>
      <c r="H1707" t="s">
        <v>6658</v>
      </c>
      <c r="I1707" t="s">
        <v>4758</v>
      </c>
      <c r="J1707" t="s">
        <v>2089</v>
      </c>
    </row>
    <row r="1708" spans="1:10">
      <c r="A1708" t="s">
        <v>6659</v>
      </c>
      <c r="B1708">
        <v>-0.43951802550692398</v>
      </c>
      <c r="C1708">
        <v>7.1776506986045296</v>
      </c>
      <c r="D1708">
        <v>0.44237893757426799</v>
      </c>
      <c r="E1708">
        <v>0.92723885866619504</v>
      </c>
      <c r="F1708">
        <v>11</v>
      </c>
      <c r="G1708">
        <v>16</v>
      </c>
      <c r="H1708" t="s">
        <v>28</v>
      </c>
      <c r="I1708" t="s">
        <v>3438</v>
      </c>
      <c r="J1708" t="s">
        <v>2090</v>
      </c>
    </row>
    <row r="1709" spans="1:10">
      <c r="A1709" t="s">
        <v>6660</v>
      </c>
      <c r="B1709">
        <v>-0.43951802550692398</v>
      </c>
      <c r="C1709">
        <v>7.1776506986045296</v>
      </c>
      <c r="D1709">
        <v>0.44237893757426799</v>
      </c>
      <c r="E1709">
        <v>0.92723885866619504</v>
      </c>
      <c r="F1709">
        <v>11</v>
      </c>
      <c r="G1709">
        <v>16</v>
      </c>
      <c r="H1709" t="s">
        <v>28</v>
      </c>
      <c r="I1709" t="s">
        <v>3438</v>
      </c>
      <c r="J1709" t="s">
        <v>2091</v>
      </c>
    </row>
    <row r="1710" spans="1:10">
      <c r="A1710" t="s">
        <v>6661</v>
      </c>
      <c r="B1710">
        <v>-0.43951802550692398</v>
      </c>
      <c r="C1710">
        <v>7.1776506986045296</v>
      </c>
      <c r="D1710">
        <v>0.44237893757426799</v>
      </c>
      <c r="E1710">
        <v>0.92723885866619504</v>
      </c>
      <c r="F1710">
        <v>11</v>
      </c>
      <c r="G1710">
        <v>16</v>
      </c>
      <c r="H1710" t="s">
        <v>6662</v>
      </c>
      <c r="I1710" t="s">
        <v>6663</v>
      </c>
      <c r="J1710" t="s">
        <v>2092</v>
      </c>
    </row>
    <row r="1711" spans="1:10">
      <c r="A1711" t="s">
        <v>6664</v>
      </c>
      <c r="B1711">
        <v>0.62151179086772401</v>
      </c>
      <c r="C1711">
        <v>7.1776738444699602</v>
      </c>
      <c r="D1711">
        <v>0.44237893757426799</v>
      </c>
      <c r="E1711">
        <v>0.92723885866619504</v>
      </c>
      <c r="F1711">
        <v>16</v>
      </c>
      <c r="G1711">
        <v>11</v>
      </c>
      <c r="H1711" t="s">
        <v>6665</v>
      </c>
      <c r="I1711" t="s">
        <v>6666</v>
      </c>
      <c r="J1711" t="s">
        <v>2093</v>
      </c>
    </row>
    <row r="1712" spans="1:10">
      <c r="A1712" t="s">
        <v>6667</v>
      </c>
      <c r="B1712">
        <v>0.62151179086772401</v>
      </c>
      <c r="C1712">
        <v>7.1776738444699602</v>
      </c>
      <c r="D1712">
        <v>0.44237893757426799</v>
      </c>
      <c r="E1712">
        <v>0.92723885866619504</v>
      </c>
      <c r="F1712">
        <v>16</v>
      </c>
      <c r="G1712">
        <v>11</v>
      </c>
      <c r="H1712" t="s">
        <v>28</v>
      </c>
      <c r="I1712" t="s">
        <v>3465</v>
      </c>
      <c r="J1712" t="s">
        <v>2094</v>
      </c>
    </row>
    <row r="1713" spans="1:10">
      <c r="A1713" t="s">
        <v>6668</v>
      </c>
      <c r="B1713">
        <v>0.62151179086772401</v>
      </c>
      <c r="C1713">
        <v>7.1776738444699602</v>
      </c>
      <c r="D1713">
        <v>0.44237893757426799</v>
      </c>
      <c r="E1713">
        <v>0.92723885866619504</v>
      </c>
      <c r="F1713">
        <v>16</v>
      </c>
      <c r="G1713">
        <v>11</v>
      </c>
      <c r="H1713" t="s">
        <v>28</v>
      </c>
      <c r="I1713" t="s">
        <v>3438</v>
      </c>
      <c r="J1713" t="s">
        <v>2095</v>
      </c>
    </row>
    <row r="1714" spans="1:10">
      <c r="A1714" t="s">
        <v>6669</v>
      </c>
      <c r="B1714">
        <v>-0.45807774551632602</v>
      </c>
      <c r="C1714">
        <v>7.8150748025494599</v>
      </c>
      <c r="D1714">
        <v>0.44128099349119798</v>
      </c>
      <c r="E1714">
        <v>0.92723885866619504</v>
      </c>
      <c r="F1714">
        <v>17</v>
      </c>
      <c r="G1714">
        <v>25</v>
      </c>
      <c r="H1714" t="s">
        <v>28</v>
      </c>
      <c r="I1714" t="s">
        <v>3438</v>
      </c>
      <c r="J1714" t="s">
        <v>2096</v>
      </c>
    </row>
    <row r="1715" spans="1:10">
      <c r="A1715" t="s">
        <v>6670</v>
      </c>
      <c r="B1715">
        <v>-0.45807774551632602</v>
      </c>
      <c r="C1715">
        <v>7.8150748025494599</v>
      </c>
      <c r="D1715">
        <v>0.44128099349119798</v>
      </c>
      <c r="E1715">
        <v>0.92723885866619504</v>
      </c>
      <c r="F1715">
        <v>17</v>
      </c>
      <c r="G1715">
        <v>25</v>
      </c>
      <c r="H1715" t="s">
        <v>6671</v>
      </c>
      <c r="I1715" t="s">
        <v>6672</v>
      </c>
      <c r="J1715" t="s">
        <v>2097</v>
      </c>
    </row>
    <row r="1716" spans="1:10">
      <c r="A1716" t="s">
        <v>6673</v>
      </c>
      <c r="B1716">
        <v>-0.45807774551632602</v>
      </c>
      <c r="C1716">
        <v>7.8150748025494599</v>
      </c>
      <c r="D1716">
        <v>0.44128099349119798</v>
      </c>
      <c r="E1716">
        <v>0.92723885866619504</v>
      </c>
      <c r="F1716">
        <v>17</v>
      </c>
      <c r="G1716">
        <v>25</v>
      </c>
      <c r="H1716" t="s">
        <v>345</v>
      </c>
      <c r="I1716" t="s">
        <v>6674</v>
      </c>
      <c r="J1716" t="s">
        <v>346</v>
      </c>
    </row>
    <row r="1717" spans="1:10">
      <c r="A1717" t="s">
        <v>6675</v>
      </c>
      <c r="B1717">
        <v>0.36401199134322698</v>
      </c>
      <c r="C1717">
        <v>7.8151025567544101</v>
      </c>
      <c r="D1717">
        <v>0.44128099349119798</v>
      </c>
      <c r="E1717">
        <v>0.92723885866619504</v>
      </c>
      <c r="F1717">
        <v>23</v>
      </c>
      <c r="G1717">
        <v>19</v>
      </c>
      <c r="H1717" t="s">
        <v>6676</v>
      </c>
      <c r="I1717" t="s">
        <v>6677</v>
      </c>
      <c r="J1717" t="s">
        <v>2098</v>
      </c>
    </row>
    <row r="1718" spans="1:10">
      <c r="A1718" t="s">
        <v>6678</v>
      </c>
      <c r="B1718">
        <v>0.36401199134322698</v>
      </c>
      <c r="C1718">
        <v>7.8151025567544101</v>
      </c>
      <c r="D1718">
        <v>0.44128099349119798</v>
      </c>
      <c r="E1718">
        <v>0.92723885866619504</v>
      </c>
      <c r="F1718">
        <v>23</v>
      </c>
      <c r="G1718">
        <v>19</v>
      </c>
      <c r="H1718" t="s">
        <v>6679</v>
      </c>
      <c r="I1718" t="s">
        <v>6680</v>
      </c>
      <c r="J1718" t="s">
        <v>2099</v>
      </c>
    </row>
    <row r="1719" spans="1:10">
      <c r="A1719" t="s">
        <v>6681</v>
      </c>
      <c r="B1719">
        <v>0.30239297379904201</v>
      </c>
      <c r="C1719">
        <v>8.7803446971435406</v>
      </c>
      <c r="D1719">
        <v>0.44064350142180397</v>
      </c>
      <c r="E1719">
        <v>0.92723885866619504</v>
      </c>
      <c r="F1719">
        <v>44</v>
      </c>
      <c r="G1719">
        <v>38</v>
      </c>
      <c r="H1719" t="s">
        <v>6682</v>
      </c>
      <c r="I1719" t="s">
        <v>3438</v>
      </c>
      <c r="J1719" t="s">
        <v>2100</v>
      </c>
    </row>
    <row r="1720" spans="1:10">
      <c r="A1720" t="s">
        <v>6683</v>
      </c>
      <c r="B1720">
        <v>-0.34787782219584701</v>
      </c>
      <c r="C1720">
        <v>8.3053993935136994</v>
      </c>
      <c r="D1720">
        <v>0.43567173528305703</v>
      </c>
      <c r="E1720">
        <v>0.92723885866619504</v>
      </c>
      <c r="F1720">
        <v>25</v>
      </c>
      <c r="G1720">
        <v>34</v>
      </c>
      <c r="H1720" t="s">
        <v>6684</v>
      </c>
      <c r="I1720" t="s">
        <v>6685</v>
      </c>
      <c r="J1720" t="s">
        <v>2101</v>
      </c>
    </row>
    <row r="1721" spans="1:10">
      <c r="A1721" t="s">
        <v>6686</v>
      </c>
      <c r="B1721">
        <v>-0.34787782219584701</v>
      </c>
      <c r="C1721">
        <v>8.3053993935136994</v>
      </c>
      <c r="D1721">
        <v>0.43567173528305703</v>
      </c>
      <c r="E1721">
        <v>0.92723885866619504</v>
      </c>
      <c r="F1721">
        <v>25</v>
      </c>
      <c r="G1721">
        <v>34</v>
      </c>
      <c r="H1721" t="s">
        <v>28</v>
      </c>
      <c r="I1721" t="s">
        <v>3465</v>
      </c>
      <c r="J1721" t="s">
        <v>2102</v>
      </c>
    </row>
    <row r="1722" spans="1:10">
      <c r="A1722" t="s">
        <v>6687</v>
      </c>
      <c r="B1722">
        <v>-0.34787782219584701</v>
      </c>
      <c r="C1722">
        <v>8.3053993935136994</v>
      </c>
      <c r="D1722">
        <v>0.43567173528305703</v>
      </c>
      <c r="E1722">
        <v>0.92723885866619504</v>
      </c>
      <c r="F1722">
        <v>25</v>
      </c>
      <c r="G1722">
        <v>34</v>
      </c>
      <c r="H1722" t="s">
        <v>28</v>
      </c>
      <c r="I1722" t="s">
        <v>3438</v>
      </c>
      <c r="J1722" t="s">
        <v>351</v>
      </c>
    </row>
    <row r="1723" spans="1:10">
      <c r="A1723" t="s">
        <v>6688</v>
      </c>
      <c r="B1723">
        <v>-0.26813928798107201</v>
      </c>
      <c r="C1723">
        <v>8.7446837053301607</v>
      </c>
      <c r="D1723">
        <v>0.43496203601738698</v>
      </c>
      <c r="E1723">
        <v>0.92723885866619504</v>
      </c>
      <c r="F1723">
        <v>35</v>
      </c>
      <c r="G1723">
        <v>45</v>
      </c>
      <c r="H1723" t="s">
        <v>6689</v>
      </c>
      <c r="I1723" t="s">
        <v>6690</v>
      </c>
      <c r="J1723" t="s">
        <v>2103</v>
      </c>
    </row>
    <row r="1724" spans="1:10">
      <c r="A1724" t="s">
        <v>6691</v>
      </c>
      <c r="B1724">
        <v>-0.192571347082515</v>
      </c>
      <c r="C1724">
        <v>9.7625979459013799</v>
      </c>
      <c r="D1724">
        <v>0.43257366908828598</v>
      </c>
      <c r="E1724">
        <v>0.92723885866619504</v>
      </c>
      <c r="F1724">
        <v>73</v>
      </c>
      <c r="G1724">
        <v>89</v>
      </c>
      <c r="H1724" t="s">
        <v>6692</v>
      </c>
      <c r="I1724" t="s">
        <v>6693</v>
      </c>
      <c r="J1724" t="s">
        <v>2104</v>
      </c>
    </row>
    <row r="1725" spans="1:10">
      <c r="A1725" t="s">
        <v>6694</v>
      </c>
      <c r="B1725">
        <v>-0.48599602968953398</v>
      </c>
      <c r="C1725">
        <v>7.7446853244864498</v>
      </c>
      <c r="D1725">
        <v>0.43005399766374802</v>
      </c>
      <c r="E1725">
        <v>0.92635877862465599</v>
      </c>
      <c r="F1725">
        <v>16</v>
      </c>
      <c r="G1725">
        <v>24</v>
      </c>
      <c r="H1725" t="s">
        <v>28</v>
      </c>
      <c r="I1725" t="s">
        <v>6695</v>
      </c>
      <c r="J1725" t="s">
        <v>2105</v>
      </c>
    </row>
    <row r="1726" spans="1:10">
      <c r="A1726" t="s">
        <v>6696</v>
      </c>
      <c r="B1726">
        <v>-0.48599602968953398</v>
      </c>
      <c r="C1726">
        <v>7.7446853244864498</v>
      </c>
      <c r="D1726">
        <v>0.43005399766374802</v>
      </c>
      <c r="E1726">
        <v>0.92635877862465599</v>
      </c>
      <c r="F1726">
        <v>16</v>
      </c>
      <c r="G1726">
        <v>24</v>
      </c>
      <c r="H1726" t="s">
        <v>28</v>
      </c>
      <c r="I1726" t="s">
        <v>3438</v>
      </c>
      <c r="J1726" t="s">
        <v>2106</v>
      </c>
    </row>
    <row r="1727" spans="1:10">
      <c r="A1727" t="s">
        <v>6697</v>
      </c>
      <c r="B1727">
        <v>0.37749321146682402</v>
      </c>
      <c r="C1727">
        <v>7.7447130814555702</v>
      </c>
      <c r="D1727">
        <v>0.43005399766374802</v>
      </c>
      <c r="E1727">
        <v>0.92635877862465599</v>
      </c>
      <c r="F1727">
        <v>22</v>
      </c>
      <c r="G1727">
        <v>18</v>
      </c>
      <c r="H1727" t="s">
        <v>6698</v>
      </c>
      <c r="I1727" t="s">
        <v>6699</v>
      </c>
      <c r="J1727" t="s">
        <v>2107</v>
      </c>
    </row>
    <row r="1728" spans="1:10">
      <c r="A1728" t="s">
        <v>6700</v>
      </c>
      <c r="B1728">
        <v>0.37749321146682402</v>
      </c>
      <c r="C1728">
        <v>7.7447130814555702</v>
      </c>
      <c r="D1728">
        <v>0.43005399766374802</v>
      </c>
      <c r="E1728">
        <v>0.92635877862465599</v>
      </c>
      <c r="F1728">
        <v>22</v>
      </c>
      <c r="G1728">
        <v>18</v>
      </c>
      <c r="H1728" t="s">
        <v>28</v>
      </c>
      <c r="I1728" t="s">
        <v>3438</v>
      </c>
      <c r="J1728" t="s">
        <v>2108</v>
      </c>
    </row>
    <row r="1729" spans="1:10">
      <c r="A1729" t="s">
        <v>6701</v>
      </c>
      <c r="B1729">
        <v>0.20172558172653099</v>
      </c>
      <c r="C1729">
        <v>9.7265789809993493</v>
      </c>
      <c r="D1729">
        <v>0.42967029919393002</v>
      </c>
      <c r="E1729">
        <v>0.92635877862465599</v>
      </c>
      <c r="F1729">
        <v>82</v>
      </c>
      <c r="G1729">
        <v>76</v>
      </c>
      <c r="H1729" t="s">
        <v>28</v>
      </c>
      <c r="I1729" t="s">
        <v>3438</v>
      </c>
      <c r="J1729" t="s">
        <v>2109</v>
      </c>
    </row>
    <row r="1730" spans="1:10">
      <c r="A1730" t="s">
        <v>6702</v>
      </c>
      <c r="B1730">
        <v>-0.27743360778189902</v>
      </c>
      <c r="C1730">
        <v>8.7081576792414808</v>
      </c>
      <c r="D1730">
        <v>0.429108255316208</v>
      </c>
      <c r="E1730">
        <v>0.92635877862465599</v>
      </c>
      <c r="F1730">
        <v>34</v>
      </c>
      <c r="G1730">
        <v>44</v>
      </c>
      <c r="H1730" t="s">
        <v>28</v>
      </c>
      <c r="I1730" t="s">
        <v>6703</v>
      </c>
      <c r="J1730" t="s">
        <v>2110</v>
      </c>
    </row>
    <row r="1731" spans="1:10">
      <c r="A1731" t="s">
        <v>6704</v>
      </c>
      <c r="B1731">
        <v>-0.27743360778189902</v>
      </c>
      <c r="C1731">
        <v>8.7081576792414808</v>
      </c>
      <c r="D1731">
        <v>0.429108255316208</v>
      </c>
      <c r="E1731">
        <v>0.92635877862465599</v>
      </c>
      <c r="F1731">
        <v>34</v>
      </c>
      <c r="G1731">
        <v>44</v>
      </c>
      <c r="H1731" t="s">
        <v>28</v>
      </c>
      <c r="I1731" t="s">
        <v>3438</v>
      </c>
      <c r="J1731" t="s">
        <v>189</v>
      </c>
    </row>
    <row r="1732" spans="1:10">
      <c r="A1732" t="s">
        <v>6705</v>
      </c>
      <c r="B1732">
        <v>-0.22323927770456101</v>
      </c>
      <c r="C1732">
        <v>9.4227499912267607</v>
      </c>
      <c r="D1732">
        <v>0.427916616489457</v>
      </c>
      <c r="E1732">
        <v>0.926096795847976</v>
      </c>
      <c r="F1732">
        <v>57</v>
      </c>
      <c r="G1732">
        <v>71</v>
      </c>
      <c r="H1732" t="s">
        <v>28</v>
      </c>
      <c r="I1732" t="s">
        <v>3438</v>
      </c>
      <c r="J1732" t="s">
        <v>2111</v>
      </c>
    </row>
    <row r="1733" spans="1:10">
      <c r="A1733" t="s">
        <v>6706</v>
      </c>
      <c r="B1733">
        <v>-0.36345592083075601</v>
      </c>
      <c r="C1733">
        <v>8.2556462081690896</v>
      </c>
      <c r="D1733">
        <v>0.42770318633606902</v>
      </c>
      <c r="E1733">
        <v>0.926096795847976</v>
      </c>
      <c r="F1733">
        <v>24</v>
      </c>
      <c r="G1733">
        <v>33</v>
      </c>
      <c r="H1733" t="s">
        <v>28</v>
      </c>
      <c r="I1733" t="s">
        <v>3438</v>
      </c>
      <c r="J1733" t="s">
        <v>2112</v>
      </c>
    </row>
    <row r="1734" spans="1:10">
      <c r="A1734" t="s">
        <v>6707</v>
      </c>
      <c r="B1734">
        <v>-0.36345592083075601</v>
      </c>
      <c r="C1734">
        <v>8.2556462081690896</v>
      </c>
      <c r="D1734">
        <v>0.42770318633606902</v>
      </c>
      <c r="E1734">
        <v>0.926096795847976</v>
      </c>
      <c r="F1734">
        <v>24</v>
      </c>
      <c r="G1734">
        <v>33</v>
      </c>
      <c r="H1734" t="s">
        <v>6708</v>
      </c>
      <c r="I1734" t="s">
        <v>6709</v>
      </c>
      <c r="J1734" t="s">
        <v>2113</v>
      </c>
    </row>
    <row r="1735" spans="1:10">
      <c r="A1735" t="s">
        <v>6710</v>
      </c>
      <c r="B1735">
        <v>0.343466600380957</v>
      </c>
      <c r="C1735">
        <v>8.2556785639087895</v>
      </c>
      <c r="D1735">
        <v>0.42770318633606902</v>
      </c>
      <c r="E1735">
        <v>0.926096795847976</v>
      </c>
      <c r="F1735">
        <v>31</v>
      </c>
      <c r="G1735">
        <v>26</v>
      </c>
      <c r="H1735" t="s">
        <v>28</v>
      </c>
      <c r="I1735" t="s">
        <v>3438</v>
      </c>
      <c r="J1735" t="s">
        <v>2114</v>
      </c>
    </row>
    <row r="1736" spans="1:10">
      <c r="A1736" t="s">
        <v>6711</v>
      </c>
      <c r="B1736">
        <v>0.343466600380957</v>
      </c>
      <c r="C1736">
        <v>8.2556785639087895</v>
      </c>
      <c r="D1736">
        <v>0.42770318633606902</v>
      </c>
      <c r="E1736">
        <v>0.926096795847976</v>
      </c>
      <c r="F1736">
        <v>31</v>
      </c>
      <c r="G1736">
        <v>26</v>
      </c>
      <c r="H1736" t="s">
        <v>28</v>
      </c>
      <c r="I1736" t="s">
        <v>3438</v>
      </c>
      <c r="J1736" t="s">
        <v>2115</v>
      </c>
    </row>
    <row r="1737" spans="1:10">
      <c r="A1737" t="s">
        <v>6712</v>
      </c>
      <c r="B1737">
        <v>0.18340504050362799</v>
      </c>
      <c r="C1737">
        <v>9.99265616144997</v>
      </c>
      <c r="D1737">
        <v>0.42712186919735101</v>
      </c>
      <c r="E1737">
        <v>0.926096795847976</v>
      </c>
      <c r="F1737">
        <v>98</v>
      </c>
      <c r="G1737">
        <v>92</v>
      </c>
      <c r="H1737" t="s">
        <v>28</v>
      </c>
      <c r="I1737" t="s">
        <v>6713</v>
      </c>
      <c r="J1737" t="s">
        <v>2116</v>
      </c>
    </row>
    <row r="1738" spans="1:10">
      <c r="A1738" t="s">
        <v>6714</v>
      </c>
      <c r="B1738">
        <v>-0.48233595316261901</v>
      </c>
      <c r="C1738">
        <v>7.0666192365115297</v>
      </c>
      <c r="D1738">
        <v>0.42464826035742398</v>
      </c>
      <c r="E1738">
        <v>0.922749192776672</v>
      </c>
      <c r="F1738">
        <v>10</v>
      </c>
      <c r="G1738">
        <v>15</v>
      </c>
      <c r="H1738" t="s">
        <v>6715</v>
      </c>
      <c r="I1738" t="s">
        <v>3571</v>
      </c>
      <c r="J1738" t="s">
        <v>2117</v>
      </c>
    </row>
    <row r="1739" spans="1:10">
      <c r="A1739" t="s">
        <v>6716</v>
      </c>
      <c r="B1739">
        <v>-0.48233595316261901</v>
      </c>
      <c r="C1739">
        <v>7.0666192365115297</v>
      </c>
      <c r="D1739">
        <v>0.42464826035742398</v>
      </c>
      <c r="E1739">
        <v>0.922749192776672</v>
      </c>
      <c r="F1739">
        <v>10</v>
      </c>
      <c r="G1739">
        <v>15</v>
      </c>
      <c r="H1739" t="s">
        <v>6717</v>
      </c>
      <c r="I1739" t="s">
        <v>3571</v>
      </c>
      <c r="J1739" t="s">
        <v>2118</v>
      </c>
    </row>
    <row r="1740" spans="1:10">
      <c r="A1740" t="s">
        <v>6718</v>
      </c>
      <c r="B1740">
        <v>-0.48233595316261901</v>
      </c>
      <c r="C1740">
        <v>7.0666192365115297</v>
      </c>
      <c r="D1740">
        <v>0.42464826035742398</v>
      </c>
      <c r="E1740">
        <v>0.922749192776672</v>
      </c>
      <c r="F1740">
        <v>10</v>
      </c>
      <c r="G1740">
        <v>15</v>
      </c>
      <c r="H1740" t="s">
        <v>28</v>
      </c>
      <c r="I1740" t="s">
        <v>4485</v>
      </c>
      <c r="J1740" t="s">
        <v>2119</v>
      </c>
    </row>
    <row r="1741" spans="1:10">
      <c r="A1741" t="s">
        <v>6719</v>
      </c>
      <c r="B1741">
        <v>-0.48233595316261901</v>
      </c>
      <c r="C1741">
        <v>7.0666192365115297</v>
      </c>
      <c r="D1741">
        <v>0.42464826035742398</v>
      </c>
      <c r="E1741">
        <v>0.922749192776672</v>
      </c>
      <c r="F1741">
        <v>10</v>
      </c>
      <c r="G1741">
        <v>15</v>
      </c>
      <c r="H1741" t="s">
        <v>6720</v>
      </c>
      <c r="I1741" t="s">
        <v>3734</v>
      </c>
      <c r="J1741" t="s">
        <v>2120</v>
      </c>
    </row>
    <row r="1742" spans="1:10">
      <c r="A1742" t="s">
        <v>6721</v>
      </c>
      <c r="B1742">
        <v>-0.48233595316261901</v>
      </c>
      <c r="C1742">
        <v>7.0666192365115297</v>
      </c>
      <c r="D1742">
        <v>0.42464826035742398</v>
      </c>
      <c r="E1742">
        <v>0.922749192776672</v>
      </c>
      <c r="F1742">
        <v>10</v>
      </c>
      <c r="G1742">
        <v>15</v>
      </c>
      <c r="H1742" t="s">
        <v>28</v>
      </c>
      <c r="I1742" t="s">
        <v>3438</v>
      </c>
      <c r="J1742" t="s">
        <v>2121</v>
      </c>
    </row>
    <row r="1743" spans="1:10">
      <c r="A1743" t="s">
        <v>6722</v>
      </c>
      <c r="B1743">
        <v>-0.48233595316261901</v>
      </c>
      <c r="C1743">
        <v>7.0666192365115297</v>
      </c>
      <c r="D1743">
        <v>0.42464826035742398</v>
      </c>
      <c r="E1743">
        <v>0.922749192776672</v>
      </c>
      <c r="F1743">
        <v>10</v>
      </c>
      <c r="G1743">
        <v>15</v>
      </c>
      <c r="H1743" t="s">
        <v>6723</v>
      </c>
      <c r="I1743" t="s">
        <v>4426</v>
      </c>
      <c r="J1743" t="s">
        <v>2122</v>
      </c>
    </row>
    <row r="1744" spans="1:10">
      <c r="A1744" t="s">
        <v>6724</v>
      </c>
      <c r="B1744">
        <v>-0.48233595316261901</v>
      </c>
      <c r="C1744">
        <v>7.0666192365115297</v>
      </c>
      <c r="D1744">
        <v>0.42464826035742398</v>
      </c>
      <c r="E1744">
        <v>0.922749192776672</v>
      </c>
      <c r="F1744">
        <v>10</v>
      </c>
      <c r="G1744">
        <v>15</v>
      </c>
      <c r="H1744" t="s">
        <v>6725</v>
      </c>
      <c r="I1744" t="s">
        <v>3599</v>
      </c>
      <c r="J1744" t="s">
        <v>2123</v>
      </c>
    </row>
    <row r="1745" spans="1:10">
      <c r="A1745" t="s">
        <v>6726</v>
      </c>
      <c r="B1745">
        <v>-0.48233595316261901</v>
      </c>
      <c r="C1745">
        <v>7.0666192365115297</v>
      </c>
      <c r="D1745">
        <v>0.42464826035742398</v>
      </c>
      <c r="E1745">
        <v>0.922749192776672</v>
      </c>
      <c r="F1745">
        <v>10</v>
      </c>
      <c r="G1745">
        <v>15</v>
      </c>
      <c r="H1745" t="s">
        <v>6727</v>
      </c>
      <c r="I1745" t="s">
        <v>6728</v>
      </c>
      <c r="J1745" t="s">
        <v>2124</v>
      </c>
    </row>
    <row r="1746" spans="1:10">
      <c r="A1746" t="s">
        <v>6729</v>
      </c>
      <c r="B1746">
        <v>-0.48233595316261901</v>
      </c>
      <c r="C1746">
        <v>7.0666192365115297</v>
      </c>
      <c r="D1746">
        <v>0.42464826035742398</v>
      </c>
      <c r="E1746">
        <v>0.922749192776672</v>
      </c>
      <c r="F1746">
        <v>10</v>
      </c>
      <c r="G1746">
        <v>15</v>
      </c>
      <c r="H1746" t="s">
        <v>28</v>
      </c>
      <c r="I1746" t="s">
        <v>3438</v>
      </c>
      <c r="J1746" t="s">
        <v>2125</v>
      </c>
    </row>
    <row r="1747" spans="1:10">
      <c r="A1747" t="s">
        <v>6730</v>
      </c>
      <c r="B1747">
        <v>0.66403519846787995</v>
      </c>
      <c r="C1747">
        <v>7.0666423846838997</v>
      </c>
      <c r="D1747">
        <v>0.42464826035742398</v>
      </c>
      <c r="E1747">
        <v>0.922749192776672</v>
      </c>
      <c r="F1747">
        <v>15</v>
      </c>
      <c r="G1747">
        <v>10</v>
      </c>
      <c r="H1747" t="s">
        <v>6731</v>
      </c>
      <c r="I1747" t="s">
        <v>6732</v>
      </c>
      <c r="J1747" t="s">
        <v>2126</v>
      </c>
    </row>
    <row r="1748" spans="1:10">
      <c r="A1748" t="s">
        <v>6733</v>
      </c>
      <c r="B1748">
        <v>0.66403519846787995</v>
      </c>
      <c r="C1748">
        <v>7.0666423846838997</v>
      </c>
      <c r="D1748">
        <v>0.42464826035742398</v>
      </c>
      <c r="E1748">
        <v>0.922749192776672</v>
      </c>
      <c r="F1748">
        <v>15</v>
      </c>
      <c r="G1748">
        <v>10</v>
      </c>
      <c r="H1748" t="s">
        <v>28</v>
      </c>
      <c r="I1748" t="s">
        <v>3438</v>
      </c>
      <c r="J1748" t="s">
        <v>2127</v>
      </c>
    </row>
    <row r="1749" spans="1:10">
      <c r="A1749" t="s">
        <v>6734</v>
      </c>
      <c r="B1749">
        <v>0.66403519846787995</v>
      </c>
      <c r="C1749">
        <v>7.0666423846838997</v>
      </c>
      <c r="D1749">
        <v>0.42464826035742398</v>
      </c>
      <c r="E1749">
        <v>0.922749192776672</v>
      </c>
      <c r="F1749">
        <v>15</v>
      </c>
      <c r="G1749">
        <v>10</v>
      </c>
      <c r="H1749" t="s">
        <v>28</v>
      </c>
      <c r="I1749" t="s">
        <v>4697</v>
      </c>
      <c r="J1749" t="s">
        <v>2128</v>
      </c>
    </row>
    <row r="1750" spans="1:10">
      <c r="A1750" t="s">
        <v>6735</v>
      </c>
      <c r="B1750">
        <v>-0.228275999815996</v>
      </c>
      <c r="C1750">
        <v>9.4000297644633903</v>
      </c>
      <c r="D1750">
        <v>0.42424946290586402</v>
      </c>
      <c r="E1750">
        <v>0.922749192776672</v>
      </c>
      <c r="F1750">
        <v>56</v>
      </c>
      <c r="G1750">
        <v>70</v>
      </c>
      <c r="H1750" t="s">
        <v>6736</v>
      </c>
      <c r="I1750" t="s">
        <v>5153</v>
      </c>
      <c r="J1750" t="s">
        <v>2129</v>
      </c>
    </row>
    <row r="1751" spans="1:10">
      <c r="A1751" t="s">
        <v>6737</v>
      </c>
      <c r="B1751">
        <v>-0.72785712698161897</v>
      </c>
      <c r="C1751">
        <v>6.2301194609571899</v>
      </c>
      <c r="D1751">
        <v>0.42411508907454398</v>
      </c>
      <c r="E1751">
        <v>0.922749192776672</v>
      </c>
      <c r="F1751">
        <v>5</v>
      </c>
      <c r="G1751">
        <v>9</v>
      </c>
      <c r="H1751" t="s">
        <v>28</v>
      </c>
      <c r="I1751" t="s">
        <v>3438</v>
      </c>
      <c r="J1751" t="s">
        <v>2130</v>
      </c>
    </row>
    <row r="1752" spans="1:10">
      <c r="A1752" t="s">
        <v>6738</v>
      </c>
      <c r="B1752">
        <v>-0.72785712698161897</v>
      </c>
      <c r="C1752">
        <v>6.2301194609571899</v>
      </c>
      <c r="D1752">
        <v>0.42411508907454398</v>
      </c>
      <c r="E1752">
        <v>0.922749192776672</v>
      </c>
      <c r="F1752">
        <v>5</v>
      </c>
      <c r="G1752">
        <v>9</v>
      </c>
      <c r="H1752" t="s">
        <v>6739</v>
      </c>
      <c r="I1752" t="s">
        <v>6740</v>
      </c>
      <c r="J1752" t="s">
        <v>2131</v>
      </c>
    </row>
    <row r="1753" spans="1:10">
      <c r="A1753" t="s">
        <v>6741</v>
      </c>
      <c r="B1753">
        <v>-0.72785712698161897</v>
      </c>
      <c r="C1753">
        <v>6.2301194609571899</v>
      </c>
      <c r="D1753">
        <v>0.42411508907454398</v>
      </c>
      <c r="E1753">
        <v>0.922749192776672</v>
      </c>
      <c r="F1753">
        <v>5</v>
      </c>
      <c r="G1753">
        <v>9</v>
      </c>
      <c r="H1753" t="s">
        <v>28</v>
      </c>
      <c r="I1753" t="s">
        <v>3438</v>
      </c>
      <c r="J1753" t="s">
        <v>2132</v>
      </c>
    </row>
    <row r="1754" spans="1:10">
      <c r="A1754" t="s">
        <v>6742</v>
      </c>
      <c r="B1754">
        <v>-0.72785712698161897</v>
      </c>
      <c r="C1754">
        <v>6.2301194609571899</v>
      </c>
      <c r="D1754">
        <v>0.42411508907454398</v>
      </c>
      <c r="E1754">
        <v>0.922749192776672</v>
      </c>
      <c r="F1754">
        <v>5</v>
      </c>
      <c r="G1754">
        <v>9</v>
      </c>
      <c r="H1754" t="s">
        <v>372</v>
      </c>
      <c r="I1754" t="s">
        <v>6743</v>
      </c>
      <c r="J1754" t="s">
        <v>282</v>
      </c>
    </row>
    <row r="1755" spans="1:10">
      <c r="A1755" t="s">
        <v>6744</v>
      </c>
      <c r="B1755">
        <v>-0.72785712698161897</v>
      </c>
      <c r="C1755">
        <v>6.2301194609571899</v>
      </c>
      <c r="D1755">
        <v>0.42411508907454398</v>
      </c>
      <c r="E1755">
        <v>0.922749192776672</v>
      </c>
      <c r="F1755">
        <v>5</v>
      </c>
      <c r="G1755">
        <v>9</v>
      </c>
      <c r="H1755" t="s">
        <v>28</v>
      </c>
      <c r="I1755" t="s">
        <v>3438</v>
      </c>
      <c r="J1755" t="s">
        <v>2133</v>
      </c>
    </row>
    <row r="1756" spans="1:10">
      <c r="A1756" t="s">
        <v>6745</v>
      </c>
      <c r="B1756">
        <v>0.90641704804823797</v>
      </c>
      <c r="C1756">
        <v>6.23013798965221</v>
      </c>
      <c r="D1756">
        <v>0.42411508907454398</v>
      </c>
      <c r="E1756">
        <v>0.922749192776672</v>
      </c>
      <c r="F1756">
        <v>9</v>
      </c>
      <c r="G1756">
        <v>5</v>
      </c>
      <c r="H1756" t="s">
        <v>28</v>
      </c>
      <c r="I1756" t="s">
        <v>3465</v>
      </c>
      <c r="J1756" t="s">
        <v>2134</v>
      </c>
    </row>
    <row r="1757" spans="1:10">
      <c r="A1757" t="s">
        <v>6746</v>
      </c>
      <c r="B1757">
        <v>0.90641704804823797</v>
      </c>
      <c r="C1757">
        <v>6.23013798965221</v>
      </c>
      <c r="D1757">
        <v>0.42411508907454398</v>
      </c>
      <c r="E1757">
        <v>0.922749192776672</v>
      </c>
      <c r="F1757">
        <v>9</v>
      </c>
      <c r="G1757">
        <v>5</v>
      </c>
      <c r="H1757" t="s">
        <v>6747</v>
      </c>
      <c r="I1757" t="s">
        <v>6748</v>
      </c>
      <c r="J1757" t="s">
        <v>2135</v>
      </c>
    </row>
    <row r="1758" spans="1:10">
      <c r="A1758" t="s">
        <v>6749</v>
      </c>
      <c r="B1758">
        <v>0.90641704804823797</v>
      </c>
      <c r="C1758">
        <v>6.23013798965221</v>
      </c>
      <c r="D1758">
        <v>0.42411508907454398</v>
      </c>
      <c r="E1758">
        <v>0.922749192776672</v>
      </c>
      <c r="F1758">
        <v>9</v>
      </c>
      <c r="G1758">
        <v>5</v>
      </c>
      <c r="H1758" t="s">
        <v>28</v>
      </c>
      <c r="I1758" t="s">
        <v>3438</v>
      </c>
      <c r="J1758" t="s">
        <v>2136</v>
      </c>
    </row>
    <row r="1759" spans="1:10">
      <c r="A1759" t="s">
        <v>6750</v>
      </c>
      <c r="B1759">
        <v>0.90641704804823797</v>
      </c>
      <c r="C1759">
        <v>6.23013798965221</v>
      </c>
      <c r="D1759">
        <v>0.42411508907454398</v>
      </c>
      <c r="E1759">
        <v>0.922749192776672</v>
      </c>
      <c r="F1759">
        <v>9</v>
      </c>
      <c r="G1759">
        <v>5</v>
      </c>
      <c r="H1759" t="s">
        <v>28</v>
      </c>
      <c r="I1759" t="s">
        <v>3438</v>
      </c>
      <c r="J1759" t="s">
        <v>2137</v>
      </c>
    </row>
    <row r="1760" spans="1:10">
      <c r="A1760" t="s">
        <v>6751</v>
      </c>
      <c r="B1760">
        <v>0.90641704804823797</v>
      </c>
      <c r="C1760">
        <v>6.23013798965221</v>
      </c>
      <c r="D1760">
        <v>0.42411508907454398</v>
      </c>
      <c r="E1760">
        <v>0.922749192776672</v>
      </c>
      <c r="F1760">
        <v>9</v>
      </c>
      <c r="G1760">
        <v>5</v>
      </c>
      <c r="H1760" t="s">
        <v>6752</v>
      </c>
      <c r="I1760" t="s">
        <v>6753</v>
      </c>
      <c r="J1760" t="s">
        <v>2138</v>
      </c>
    </row>
    <row r="1761" spans="1:10">
      <c r="A1761" t="s">
        <v>6754</v>
      </c>
      <c r="B1761">
        <v>0.90641704804823797</v>
      </c>
      <c r="C1761">
        <v>6.23013798965221</v>
      </c>
      <c r="D1761">
        <v>0.42411508907454398</v>
      </c>
      <c r="E1761">
        <v>0.922749192776672</v>
      </c>
      <c r="F1761">
        <v>9</v>
      </c>
      <c r="G1761">
        <v>5</v>
      </c>
      <c r="H1761" t="s">
        <v>28</v>
      </c>
      <c r="I1761" t="s">
        <v>3438</v>
      </c>
      <c r="J1761" t="s">
        <v>2139</v>
      </c>
    </row>
    <row r="1762" spans="1:10">
      <c r="A1762" t="s">
        <v>6755</v>
      </c>
      <c r="B1762">
        <v>0.90641704804823797</v>
      </c>
      <c r="C1762">
        <v>6.23013798965221</v>
      </c>
      <c r="D1762">
        <v>0.42411508907454398</v>
      </c>
      <c r="E1762">
        <v>0.922749192776672</v>
      </c>
      <c r="F1762">
        <v>9</v>
      </c>
      <c r="G1762">
        <v>5</v>
      </c>
      <c r="H1762" t="s">
        <v>6756</v>
      </c>
      <c r="I1762" t="s">
        <v>6757</v>
      </c>
      <c r="J1762" t="s">
        <v>2140</v>
      </c>
    </row>
    <row r="1763" spans="1:10">
      <c r="A1763" t="s">
        <v>6758</v>
      </c>
      <c r="B1763">
        <v>0.90641704804823797</v>
      </c>
      <c r="C1763">
        <v>6.23013798965221</v>
      </c>
      <c r="D1763">
        <v>0.42411508907454398</v>
      </c>
      <c r="E1763">
        <v>0.922749192776672</v>
      </c>
      <c r="F1763">
        <v>9</v>
      </c>
      <c r="G1763">
        <v>5</v>
      </c>
      <c r="H1763" t="s">
        <v>6759</v>
      </c>
      <c r="I1763" t="s">
        <v>6760</v>
      </c>
      <c r="J1763" t="s">
        <v>2141</v>
      </c>
    </row>
    <row r="1764" spans="1:10">
      <c r="A1764" t="s">
        <v>6761</v>
      </c>
      <c r="B1764">
        <v>-0.28722216528154698</v>
      </c>
      <c r="C1764">
        <v>8.6706828237293898</v>
      </c>
      <c r="D1764">
        <v>0.423073483879154</v>
      </c>
      <c r="E1764">
        <v>0.922749192776672</v>
      </c>
      <c r="F1764">
        <v>33</v>
      </c>
      <c r="G1764">
        <v>43</v>
      </c>
      <c r="H1764" t="s">
        <v>6762</v>
      </c>
      <c r="I1764" t="s">
        <v>6763</v>
      </c>
      <c r="J1764" t="s">
        <v>2142</v>
      </c>
    </row>
    <row r="1765" spans="1:10">
      <c r="A1765" t="s">
        <v>6764</v>
      </c>
      <c r="B1765">
        <v>-0.14882807339578399</v>
      </c>
      <c r="C1765">
        <v>10.646739284391501</v>
      </c>
      <c r="D1765">
        <v>0.42164357850087703</v>
      </c>
      <c r="E1765">
        <v>0.922749192776672</v>
      </c>
      <c r="F1765">
        <v>137</v>
      </c>
      <c r="G1765">
        <v>162</v>
      </c>
      <c r="H1765" t="s">
        <v>6765</v>
      </c>
      <c r="I1765" t="s">
        <v>6766</v>
      </c>
      <c r="J1765" t="s">
        <v>2143</v>
      </c>
    </row>
    <row r="1766" spans="1:10">
      <c r="A1766" t="s">
        <v>6767</v>
      </c>
      <c r="B1766">
        <v>0.35254984735919398</v>
      </c>
      <c r="C1766">
        <v>8.2041481163113499</v>
      </c>
      <c r="D1766">
        <v>0.41939553404177299</v>
      </c>
      <c r="E1766">
        <v>0.922749192776672</v>
      </c>
      <c r="F1766">
        <v>30</v>
      </c>
      <c r="G1766">
        <v>25</v>
      </c>
      <c r="H1766" t="s">
        <v>28</v>
      </c>
      <c r="I1766" t="s">
        <v>3438</v>
      </c>
      <c r="J1766" t="s">
        <v>2144</v>
      </c>
    </row>
    <row r="1767" spans="1:10">
      <c r="A1767" t="s">
        <v>6768</v>
      </c>
      <c r="B1767">
        <v>-0.51693980814521401</v>
      </c>
      <c r="C1767">
        <v>7.6706845928411296</v>
      </c>
      <c r="D1767">
        <v>0.41813669898029698</v>
      </c>
      <c r="E1767">
        <v>0.922749192776672</v>
      </c>
      <c r="F1767">
        <v>15</v>
      </c>
      <c r="G1767">
        <v>23</v>
      </c>
      <c r="H1767" t="s">
        <v>28</v>
      </c>
      <c r="I1767" t="s">
        <v>3438</v>
      </c>
      <c r="J1767" t="s">
        <v>2145</v>
      </c>
    </row>
    <row r="1768" spans="1:10">
      <c r="A1768" t="s">
        <v>6769</v>
      </c>
      <c r="B1768">
        <v>-0.51693980814521401</v>
      </c>
      <c r="C1768">
        <v>7.6706845928411296</v>
      </c>
      <c r="D1768">
        <v>0.41813669898029698</v>
      </c>
      <c r="E1768">
        <v>0.922749192776672</v>
      </c>
      <c r="F1768">
        <v>15</v>
      </c>
      <c r="G1768">
        <v>23</v>
      </c>
      <c r="H1768" t="s">
        <v>6770</v>
      </c>
      <c r="I1768" t="s">
        <v>3687</v>
      </c>
      <c r="J1768" t="s">
        <v>2146</v>
      </c>
    </row>
    <row r="1769" spans="1:10">
      <c r="A1769" t="s">
        <v>6771</v>
      </c>
      <c r="B1769">
        <v>-0.51693980814521401</v>
      </c>
      <c r="C1769">
        <v>7.6706845928411296</v>
      </c>
      <c r="D1769">
        <v>0.41813669898029698</v>
      </c>
      <c r="E1769">
        <v>0.922749192776672</v>
      </c>
      <c r="F1769">
        <v>15</v>
      </c>
      <c r="G1769">
        <v>23</v>
      </c>
      <c r="H1769" t="s">
        <v>28</v>
      </c>
      <c r="I1769" t="s">
        <v>3438</v>
      </c>
      <c r="J1769" t="s">
        <v>2147</v>
      </c>
    </row>
    <row r="1770" spans="1:10">
      <c r="A1770" t="s">
        <v>6772</v>
      </c>
      <c r="B1770">
        <v>0.39238950570144099</v>
      </c>
      <c r="C1770">
        <v>7.6707123525749701</v>
      </c>
      <c r="D1770">
        <v>0.41813669898029698</v>
      </c>
      <c r="E1770">
        <v>0.922749192776672</v>
      </c>
      <c r="F1770">
        <v>21</v>
      </c>
      <c r="G1770">
        <v>17</v>
      </c>
      <c r="H1770" t="s">
        <v>28</v>
      </c>
      <c r="I1770" t="s">
        <v>3657</v>
      </c>
      <c r="J1770" t="s">
        <v>2148</v>
      </c>
    </row>
    <row r="1771" spans="1:10">
      <c r="A1771" t="s">
        <v>6773</v>
      </c>
      <c r="B1771">
        <v>0.39238950570144099</v>
      </c>
      <c r="C1771">
        <v>7.6707123525749701</v>
      </c>
      <c r="D1771">
        <v>0.41813669898029698</v>
      </c>
      <c r="E1771">
        <v>0.922749192776672</v>
      </c>
      <c r="F1771">
        <v>21</v>
      </c>
      <c r="G1771">
        <v>17</v>
      </c>
      <c r="H1771" t="s">
        <v>6774</v>
      </c>
      <c r="I1771" t="s">
        <v>6775</v>
      </c>
      <c r="J1771" t="s">
        <v>2149</v>
      </c>
    </row>
    <row r="1772" spans="1:10">
      <c r="A1772" t="s">
        <v>6776</v>
      </c>
      <c r="B1772">
        <v>0.39238950570144099</v>
      </c>
      <c r="C1772">
        <v>7.6707123525749701</v>
      </c>
      <c r="D1772">
        <v>0.41813669898029698</v>
      </c>
      <c r="E1772">
        <v>0.922749192776672</v>
      </c>
      <c r="F1772">
        <v>21</v>
      </c>
      <c r="G1772">
        <v>17</v>
      </c>
      <c r="H1772" t="s">
        <v>28</v>
      </c>
      <c r="I1772" t="s">
        <v>6777</v>
      </c>
      <c r="J1772" t="s">
        <v>2150</v>
      </c>
    </row>
    <row r="1773" spans="1:10">
      <c r="A1773" t="s">
        <v>6778</v>
      </c>
      <c r="B1773">
        <v>0.39238950570144099</v>
      </c>
      <c r="C1773">
        <v>7.6707123525749701</v>
      </c>
      <c r="D1773">
        <v>0.41813669898029698</v>
      </c>
      <c r="E1773">
        <v>0.922749192776672</v>
      </c>
      <c r="F1773">
        <v>21</v>
      </c>
      <c r="G1773">
        <v>17</v>
      </c>
      <c r="H1773" t="s">
        <v>28</v>
      </c>
      <c r="I1773" t="s">
        <v>3438</v>
      </c>
      <c r="J1773" t="s">
        <v>2151</v>
      </c>
    </row>
    <row r="1774" spans="1:10">
      <c r="A1774" t="s">
        <v>6779</v>
      </c>
      <c r="B1774">
        <v>-0.29754570434542399</v>
      </c>
      <c r="C1774">
        <v>8.6322085257914694</v>
      </c>
      <c r="D1774">
        <v>0.41684844535144799</v>
      </c>
      <c r="E1774">
        <v>0.922749192776672</v>
      </c>
      <c r="F1774">
        <v>32</v>
      </c>
      <c r="G1774">
        <v>42</v>
      </c>
      <c r="H1774" t="s">
        <v>28</v>
      </c>
      <c r="I1774" t="s">
        <v>6780</v>
      </c>
      <c r="J1774" t="s">
        <v>2152</v>
      </c>
    </row>
    <row r="1775" spans="1:10">
      <c r="A1775" t="s">
        <v>6781</v>
      </c>
      <c r="B1775">
        <v>0.32499865525583499</v>
      </c>
      <c r="C1775">
        <v>8.6322454725285809</v>
      </c>
      <c r="D1775">
        <v>0.41684844535144799</v>
      </c>
      <c r="E1775">
        <v>0.922749192776672</v>
      </c>
      <c r="F1775">
        <v>40</v>
      </c>
      <c r="G1775">
        <v>34</v>
      </c>
      <c r="H1775" t="s">
        <v>28</v>
      </c>
      <c r="I1775" t="s">
        <v>3438</v>
      </c>
      <c r="J1775" t="s">
        <v>2153</v>
      </c>
    </row>
    <row r="1776" spans="1:10">
      <c r="A1776" t="s">
        <v>6782</v>
      </c>
      <c r="B1776">
        <v>0.22763011121073601</v>
      </c>
      <c r="C1776">
        <v>9.6419683999989498</v>
      </c>
      <c r="D1776">
        <v>0.41447829782102102</v>
      </c>
      <c r="E1776">
        <v>0.922749192776672</v>
      </c>
      <c r="F1776">
        <v>78</v>
      </c>
      <c r="G1776">
        <v>71</v>
      </c>
      <c r="H1776" t="s">
        <v>28</v>
      </c>
      <c r="I1776" t="s">
        <v>4748</v>
      </c>
      <c r="J1776" t="s">
        <v>2154</v>
      </c>
    </row>
    <row r="1777" spans="1:10">
      <c r="A1777" t="s">
        <v>6783</v>
      </c>
      <c r="B1777">
        <v>0.16223437875414501</v>
      </c>
      <c r="C1777">
        <v>10.377001050378301</v>
      </c>
      <c r="D1777">
        <v>0.41202466113942399</v>
      </c>
      <c r="E1777">
        <v>0.91954983360470999</v>
      </c>
      <c r="F1777">
        <v>127</v>
      </c>
      <c r="G1777">
        <v>121</v>
      </c>
      <c r="H1777" t="s">
        <v>6784</v>
      </c>
      <c r="I1777" t="s">
        <v>6785</v>
      </c>
      <c r="J1777" t="s">
        <v>2155</v>
      </c>
    </row>
    <row r="1778" spans="1:10">
      <c r="A1778" t="s">
        <v>6786</v>
      </c>
      <c r="B1778">
        <v>-0.14801014676610899</v>
      </c>
      <c r="C1778">
        <v>10.5926640698646</v>
      </c>
      <c r="D1778">
        <v>0.41196174578452699</v>
      </c>
      <c r="E1778">
        <v>0.91954983360470999</v>
      </c>
      <c r="F1778">
        <v>132</v>
      </c>
      <c r="G1778">
        <v>156</v>
      </c>
      <c r="H1778" t="s">
        <v>6787</v>
      </c>
      <c r="I1778" t="s">
        <v>6788</v>
      </c>
      <c r="J1778" t="s">
        <v>2156</v>
      </c>
    </row>
    <row r="1779" spans="1:10">
      <c r="A1779" t="s">
        <v>6789</v>
      </c>
      <c r="B1779">
        <v>-0.39820245151694</v>
      </c>
      <c r="C1779">
        <v>8.1506763481828006</v>
      </c>
      <c r="D1779">
        <v>0.41072467398296802</v>
      </c>
      <c r="E1779">
        <v>0.91792255144490997</v>
      </c>
      <c r="F1779">
        <v>22</v>
      </c>
      <c r="G1779">
        <v>31</v>
      </c>
      <c r="H1779" t="s">
        <v>28</v>
      </c>
      <c r="I1779" t="s">
        <v>3438</v>
      </c>
      <c r="J1779" t="s">
        <v>2157</v>
      </c>
    </row>
    <row r="1780" spans="1:10">
      <c r="A1780" t="s">
        <v>6790</v>
      </c>
      <c r="B1780">
        <v>-0.39820245151694</v>
      </c>
      <c r="C1780">
        <v>8.1506763481828006</v>
      </c>
      <c r="D1780">
        <v>0.41072467398296802</v>
      </c>
      <c r="E1780">
        <v>0.91792255144490997</v>
      </c>
      <c r="F1780">
        <v>22</v>
      </c>
      <c r="G1780">
        <v>31</v>
      </c>
      <c r="H1780" t="s">
        <v>28</v>
      </c>
      <c r="I1780" t="s">
        <v>6791</v>
      </c>
      <c r="J1780" t="s">
        <v>2158</v>
      </c>
    </row>
    <row r="1781" spans="1:10">
      <c r="A1781" t="s">
        <v>6792</v>
      </c>
      <c r="B1781">
        <v>-0.39820245151694</v>
      </c>
      <c r="C1781">
        <v>8.1506763481828006</v>
      </c>
      <c r="D1781">
        <v>0.41072467398296802</v>
      </c>
      <c r="E1781">
        <v>0.91792255144490997</v>
      </c>
      <c r="F1781">
        <v>22</v>
      </c>
      <c r="G1781">
        <v>31</v>
      </c>
      <c r="H1781" t="s">
        <v>6793</v>
      </c>
      <c r="I1781" t="s">
        <v>6794</v>
      </c>
      <c r="J1781" t="s">
        <v>2159</v>
      </c>
    </row>
    <row r="1782" spans="1:10">
      <c r="A1782" t="s">
        <v>6795</v>
      </c>
      <c r="B1782">
        <v>0.36231794985240401</v>
      </c>
      <c r="C1782">
        <v>8.1507087103632703</v>
      </c>
      <c r="D1782">
        <v>0.41072467398296802</v>
      </c>
      <c r="E1782">
        <v>0.91792255144490997</v>
      </c>
      <c r="F1782">
        <v>29</v>
      </c>
      <c r="G1782">
        <v>24</v>
      </c>
      <c r="H1782" t="s">
        <v>6796</v>
      </c>
      <c r="I1782" t="s">
        <v>6797</v>
      </c>
      <c r="J1782" t="s">
        <v>2160</v>
      </c>
    </row>
    <row r="1783" spans="1:10">
      <c r="A1783" t="s">
        <v>6798</v>
      </c>
      <c r="B1783">
        <v>-0.30844960271538202</v>
      </c>
      <c r="C1783">
        <v>8.5926800114516695</v>
      </c>
      <c r="D1783">
        <v>0.41042321110546798</v>
      </c>
      <c r="E1783">
        <v>0.91792255144490997</v>
      </c>
      <c r="F1783">
        <v>31</v>
      </c>
      <c r="G1783">
        <v>41</v>
      </c>
      <c r="H1783" t="s">
        <v>6799</v>
      </c>
      <c r="I1783" t="s">
        <v>5965</v>
      </c>
      <c r="J1783" t="s">
        <v>2161</v>
      </c>
    </row>
    <row r="1784" spans="1:10">
      <c r="A1784" t="s">
        <v>6800</v>
      </c>
      <c r="B1784">
        <v>-0.25014602099719901</v>
      </c>
      <c r="C1784">
        <v>9.3053922889738701</v>
      </c>
      <c r="D1784">
        <v>0.40886690443234602</v>
      </c>
      <c r="E1784">
        <v>0.91695673964743696</v>
      </c>
      <c r="F1784">
        <v>52</v>
      </c>
      <c r="G1784">
        <v>66</v>
      </c>
      <c r="H1784" t="s">
        <v>6801</v>
      </c>
      <c r="I1784" t="s">
        <v>6802</v>
      </c>
      <c r="J1784" t="s">
        <v>2162</v>
      </c>
    </row>
    <row r="1785" spans="1:10">
      <c r="A1785" t="s">
        <v>6803</v>
      </c>
      <c r="B1785">
        <v>-0.206224173761797</v>
      </c>
      <c r="C1785">
        <v>9.8656877441302608</v>
      </c>
      <c r="D1785">
        <v>0.40643989089983501</v>
      </c>
      <c r="E1785">
        <v>0.91214981795803796</v>
      </c>
      <c r="F1785">
        <v>78</v>
      </c>
      <c r="G1785">
        <v>96</v>
      </c>
      <c r="H1785" t="s">
        <v>6804</v>
      </c>
      <c r="I1785" t="s">
        <v>6805</v>
      </c>
      <c r="J1785" t="s">
        <v>2163</v>
      </c>
    </row>
    <row r="1786" spans="1:10">
      <c r="A1786" t="s">
        <v>6806</v>
      </c>
      <c r="B1786">
        <v>-0.55143750052158602</v>
      </c>
      <c r="C1786">
        <v>7.5926819306083697</v>
      </c>
      <c r="D1786">
        <v>0.40545718475736803</v>
      </c>
      <c r="E1786">
        <v>0.91057982275118399</v>
      </c>
      <c r="F1786">
        <v>14</v>
      </c>
      <c r="G1786">
        <v>22</v>
      </c>
      <c r="H1786" t="s">
        <v>28</v>
      </c>
      <c r="I1786" t="s">
        <v>3438</v>
      </c>
      <c r="J1786" t="s">
        <v>2164</v>
      </c>
    </row>
    <row r="1787" spans="1:10">
      <c r="A1787" t="s">
        <v>6807</v>
      </c>
      <c r="B1787">
        <v>-0.55143750052158602</v>
      </c>
      <c r="C1787">
        <v>7.5926819306083697</v>
      </c>
      <c r="D1787">
        <v>0.40545718475736803</v>
      </c>
      <c r="E1787">
        <v>0.91057982275118399</v>
      </c>
      <c r="F1787">
        <v>14</v>
      </c>
      <c r="G1787">
        <v>22</v>
      </c>
      <c r="H1787" t="s">
        <v>6808</v>
      </c>
      <c r="I1787" t="s">
        <v>6809</v>
      </c>
      <c r="J1787" t="s">
        <v>2165</v>
      </c>
    </row>
    <row r="1788" spans="1:10">
      <c r="A1788" t="s">
        <v>6810</v>
      </c>
      <c r="B1788">
        <v>0.40893695366687899</v>
      </c>
      <c r="C1788">
        <v>7.59270969310748</v>
      </c>
      <c r="D1788">
        <v>0.40545718475736803</v>
      </c>
      <c r="E1788">
        <v>0.91057982275118399</v>
      </c>
      <c r="F1788">
        <v>20</v>
      </c>
      <c r="G1788">
        <v>16</v>
      </c>
      <c r="H1788" t="s">
        <v>28</v>
      </c>
      <c r="I1788" t="s">
        <v>3438</v>
      </c>
      <c r="J1788" t="s">
        <v>2166</v>
      </c>
    </row>
    <row r="1789" spans="1:10">
      <c r="A1789" t="s">
        <v>6811</v>
      </c>
      <c r="B1789">
        <v>0.40893695366687899</v>
      </c>
      <c r="C1789">
        <v>7.59270969310748</v>
      </c>
      <c r="D1789">
        <v>0.40545718475736803</v>
      </c>
      <c r="E1789">
        <v>0.91057982275118399</v>
      </c>
      <c r="F1789">
        <v>20</v>
      </c>
      <c r="G1789">
        <v>16</v>
      </c>
      <c r="H1789" t="s">
        <v>6812</v>
      </c>
      <c r="I1789" t="s">
        <v>6813</v>
      </c>
      <c r="J1789" t="s">
        <v>2167</v>
      </c>
    </row>
    <row r="1790" spans="1:10">
      <c r="A1790" t="s">
        <v>6814</v>
      </c>
      <c r="B1790">
        <v>-0.53276289297905799</v>
      </c>
      <c r="C1790">
        <v>6.9463248530596999</v>
      </c>
      <c r="D1790">
        <v>0.40514548370433301</v>
      </c>
      <c r="E1790">
        <v>0.91057982275118399</v>
      </c>
      <c r="F1790">
        <v>9</v>
      </c>
      <c r="G1790">
        <v>14</v>
      </c>
      <c r="H1790" t="s">
        <v>6815</v>
      </c>
      <c r="I1790" t="s">
        <v>6816</v>
      </c>
      <c r="J1790" t="s">
        <v>2168</v>
      </c>
    </row>
    <row r="1791" spans="1:10">
      <c r="A1791" t="s">
        <v>6817</v>
      </c>
      <c r="B1791">
        <v>-0.53276289297905799</v>
      </c>
      <c r="C1791">
        <v>6.9463248530596999</v>
      </c>
      <c r="D1791">
        <v>0.40514548370433301</v>
      </c>
      <c r="E1791">
        <v>0.91057982275118399</v>
      </c>
      <c r="F1791">
        <v>9</v>
      </c>
      <c r="G1791">
        <v>14</v>
      </c>
      <c r="H1791" t="s">
        <v>28</v>
      </c>
      <c r="I1791" t="s">
        <v>3438</v>
      </c>
      <c r="J1791" t="s">
        <v>120</v>
      </c>
    </row>
    <row r="1792" spans="1:10">
      <c r="A1792" t="s">
        <v>6818</v>
      </c>
      <c r="B1792">
        <v>-0.53276289297905799</v>
      </c>
      <c r="C1792">
        <v>6.9463248530596999</v>
      </c>
      <c r="D1792">
        <v>0.40514548370433301</v>
      </c>
      <c r="E1792">
        <v>0.91057982275118399</v>
      </c>
      <c r="F1792">
        <v>9</v>
      </c>
      <c r="G1792">
        <v>14</v>
      </c>
      <c r="H1792" t="s">
        <v>28</v>
      </c>
      <c r="I1792" t="s">
        <v>3438</v>
      </c>
      <c r="J1792" t="s">
        <v>2169</v>
      </c>
    </row>
    <row r="1793" spans="1:10">
      <c r="A1793" t="s">
        <v>6819</v>
      </c>
      <c r="B1793">
        <v>-0.53276289297905799</v>
      </c>
      <c r="C1793">
        <v>6.9463248530596999</v>
      </c>
      <c r="D1793">
        <v>0.40514548370433301</v>
      </c>
      <c r="E1793">
        <v>0.91057982275118399</v>
      </c>
      <c r="F1793">
        <v>9</v>
      </c>
      <c r="G1793">
        <v>14</v>
      </c>
      <c r="H1793" t="s">
        <v>6820</v>
      </c>
      <c r="I1793" t="s">
        <v>6821</v>
      </c>
      <c r="J1793" t="s">
        <v>2170</v>
      </c>
    </row>
    <row r="1794" spans="1:10">
      <c r="A1794" t="s">
        <v>6822</v>
      </c>
      <c r="B1794">
        <v>-0.53276289297905799</v>
      </c>
      <c r="C1794">
        <v>6.9463248530596999</v>
      </c>
      <c r="D1794">
        <v>0.40514548370433301</v>
      </c>
      <c r="E1794">
        <v>0.91057982275118399</v>
      </c>
      <c r="F1794">
        <v>9</v>
      </c>
      <c r="G1794">
        <v>14</v>
      </c>
      <c r="H1794" t="s">
        <v>28</v>
      </c>
      <c r="I1794" t="s">
        <v>3438</v>
      </c>
      <c r="J1794" t="s">
        <v>2171</v>
      </c>
    </row>
    <row r="1795" spans="1:10">
      <c r="A1795" t="s">
        <v>6823</v>
      </c>
      <c r="B1795">
        <v>-0.53276289297905799</v>
      </c>
      <c r="C1795">
        <v>6.9463248530596999</v>
      </c>
      <c r="D1795">
        <v>0.40514548370433301</v>
      </c>
      <c r="E1795">
        <v>0.91057982275118399</v>
      </c>
      <c r="F1795">
        <v>9</v>
      </c>
      <c r="G1795">
        <v>14</v>
      </c>
      <c r="H1795" t="s">
        <v>28</v>
      </c>
      <c r="I1795" t="s">
        <v>3438</v>
      </c>
      <c r="J1795" t="s">
        <v>2172</v>
      </c>
    </row>
    <row r="1796" spans="1:10">
      <c r="A1796" t="s">
        <v>6824</v>
      </c>
      <c r="B1796">
        <v>-0.53276289297905799</v>
      </c>
      <c r="C1796">
        <v>6.9463248530596999</v>
      </c>
      <c r="D1796">
        <v>0.40514548370433301</v>
      </c>
      <c r="E1796">
        <v>0.91057982275118399</v>
      </c>
      <c r="F1796">
        <v>9</v>
      </c>
      <c r="G1796">
        <v>14</v>
      </c>
      <c r="H1796" t="s">
        <v>28</v>
      </c>
      <c r="I1796" t="s">
        <v>6825</v>
      </c>
      <c r="J1796" t="s">
        <v>2173</v>
      </c>
    </row>
    <row r="1797" spans="1:10">
      <c r="A1797" t="s">
        <v>6826</v>
      </c>
      <c r="B1797">
        <v>-0.53276289297905799</v>
      </c>
      <c r="C1797">
        <v>6.9463248530596999</v>
      </c>
      <c r="D1797">
        <v>0.40514548370433301</v>
      </c>
      <c r="E1797">
        <v>0.91057982275118399</v>
      </c>
      <c r="F1797">
        <v>9</v>
      </c>
      <c r="G1797">
        <v>14</v>
      </c>
      <c r="H1797" t="s">
        <v>28</v>
      </c>
      <c r="I1797" t="s">
        <v>3438</v>
      </c>
      <c r="J1797" t="s">
        <v>2174</v>
      </c>
    </row>
    <row r="1798" spans="1:10">
      <c r="A1798" t="s">
        <v>6827</v>
      </c>
      <c r="B1798">
        <v>-0.53276289297905799</v>
      </c>
      <c r="C1798">
        <v>6.9463248530596999</v>
      </c>
      <c r="D1798">
        <v>0.40514548370433301</v>
      </c>
      <c r="E1798">
        <v>0.91057982275118399</v>
      </c>
      <c r="F1798">
        <v>9</v>
      </c>
      <c r="G1798">
        <v>14</v>
      </c>
      <c r="H1798" t="s">
        <v>28</v>
      </c>
      <c r="I1798" t="s">
        <v>3438</v>
      </c>
      <c r="J1798" t="s">
        <v>2175</v>
      </c>
    </row>
    <row r="1799" spans="1:10">
      <c r="A1799" t="s">
        <v>6828</v>
      </c>
      <c r="B1799">
        <v>0.71411103360829198</v>
      </c>
      <c r="C1799">
        <v>6.9463480035394802</v>
      </c>
      <c r="D1799">
        <v>0.40514548370433301</v>
      </c>
      <c r="E1799">
        <v>0.91057982275118399</v>
      </c>
      <c r="F1799">
        <v>14</v>
      </c>
      <c r="G1799">
        <v>9</v>
      </c>
      <c r="H1799" t="s">
        <v>6829</v>
      </c>
      <c r="I1799" t="s">
        <v>6830</v>
      </c>
      <c r="J1799" t="s">
        <v>2176</v>
      </c>
    </row>
    <row r="1800" spans="1:10">
      <c r="A1800" t="s">
        <v>6831</v>
      </c>
      <c r="B1800">
        <v>0.71411103360829198</v>
      </c>
      <c r="C1800">
        <v>6.9463480035394802</v>
      </c>
      <c r="D1800">
        <v>0.40514548370433301</v>
      </c>
      <c r="E1800">
        <v>0.91057982275118399</v>
      </c>
      <c r="F1800">
        <v>14</v>
      </c>
      <c r="G1800">
        <v>9</v>
      </c>
      <c r="H1800" t="s">
        <v>28</v>
      </c>
      <c r="I1800" t="s">
        <v>3438</v>
      </c>
      <c r="J1800" t="s">
        <v>2177</v>
      </c>
    </row>
    <row r="1801" spans="1:10">
      <c r="A1801" t="s">
        <v>6832</v>
      </c>
      <c r="B1801">
        <v>0.71411103360829198</v>
      </c>
      <c r="C1801">
        <v>6.9463480035394802</v>
      </c>
      <c r="D1801">
        <v>0.40514548370433301</v>
      </c>
      <c r="E1801">
        <v>0.91057982275118399</v>
      </c>
      <c r="F1801">
        <v>14</v>
      </c>
      <c r="G1801">
        <v>9</v>
      </c>
      <c r="H1801" t="s">
        <v>28</v>
      </c>
      <c r="I1801" t="s">
        <v>3438</v>
      </c>
      <c r="J1801" t="s">
        <v>2178</v>
      </c>
    </row>
    <row r="1802" spans="1:10">
      <c r="A1802" t="s">
        <v>6833</v>
      </c>
      <c r="B1802">
        <v>0.233278855937361</v>
      </c>
      <c r="C1802">
        <v>9.5826707807353593</v>
      </c>
      <c r="D1802">
        <v>0.40478100607254303</v>
      </c>
      <c r="E1802">
        <v>0.91057982275118399</v>
      </c>
      <c r="F1802">
        <v>75</v>
      </c>
      <c r="G1802">
        <v>68</v>
      </c>
      <c r="H1802" t="s">
        <v>6834</v>
      </c>
      <c r="I1802" t="s">
        <v>6835</v>
      </c>
      <c r="J1802" t="s">
        <v>2179</v>
      </c>
    </row>
    <row r="1803" spans="1:10">
      <c r="A1803" t="s">
        <v>6836</v>
      </c>
      <c r="B1803">
        <v>0.33823841204043098</v>
      </c>
      <c r="C1803">
        <v>8.5520748308568706</v>
      </c>
      <c r="D1803">
        <v>0.40378714400542198</v>
      </c>
      <c r="E1803">
        <v>0.91057982275118399</v>
      </c>
      <c r="F1803">
        <v>38</v>
      </c>
      <c r="G1803">
        <v>32</v>
      </c>
      <c r="H1803" t="s">
        <v>6837</v>
      </c>
      <c r="I1803" t="s">
        <v>4426</v>
      </c>
      <c r="J1803" t="s">
        <v>2180</v>
      </c>
    </row>
    <row r="1804" spans="1:10">
      <c r="A1804" t="s">
        <v>6838</v>
      </c>
      <c r="B1804">
        <v>0.37285164854945302</v>
      </c>
      <c r="C1804">
        <v>8.0952134507556703</v>
      </c>
      <c r="D1804">
        <v>0.40166413439902099</v>
      </c>
      <c r="E1804">
        <v>0.91057982275118399</v>
      </c>
      <c r="F1804">
        <v>28</v>
      </c>
      <c r="G1804">
        <v>23</v>
      </c>
      <c r="H1804" t="s">
        <v>28</v>
      </c>
      <c r="I1804" t="s">
        <v>3438</v>
      </c>
      <c r="J1804" t="s">
        <v>2181</v>
      </c>
    </row>
    <row r="1805" spans="1:10">
      <c r="A1805" t="s">
        <v>6839</v>
      </c>
      <c r="B1805">
        <v>0.37285164854945302</v>
      </c>
      <c r="C1805">
        <v>8.0952134507556703</v>
      </c>
      <c r="D1805">
        <v>0.40166413439902099</v>
      </c>
      <c r="E1805">
        <v>0.91057982275118399</v>
      </c>
      <c r="F1805">
        <v>28</v>
      </c>
      <c r="G1805">
        <v>23</v>
      </c>
      <c r="H1805" t="s">
        <v>28</v>
      </c>
      <c r="I1805" t="s">
        <v>3438</v>
      </c>
      <c r="J1805" t="s">
        <v>2182</v>
      </c>
    </row>
    <row r="1806" spans="1:10">
      <c r="A1806" t="s">
        <v>6840</v>
      </c>
      <c r="B1806">
        <v>0.37285164854945302</v>
      </c>
      <c r="C1806">
        <v>8.0952134507556703</v>
      </c>
      <c r="D1806">
        <v>0.40166413439902099</v>
      </c>
      <c r="E1806">
        <v>0.91057982275118399</v>
      </c>
      <c r="F1806">
        <v>28</v>
      </c>
      <c r="G1806">
        <v>23</v>
      </c>
      <c r="H1806" t="s">
        <v>6841</v>
      </c>
      <c r="I1806" t="s">
        <v>6842</v>
      </c>
      <c r="J1806" t="s">
        <v>2183</v>
      </c>
    </row>
    <row r="1807" spans="1:10">
      <c r="A1807" t="s">
        <v>6843</v>
      </c>
      <c r="B1807">
        <v>0.37285164854945302</v>
      </c>
      <c r="C1807">
        <v>8.0952134507556703</v>
      </c>
      <c r="D1807">
        <v>0.40166413439902099</v>
      </c>
      <c r="E1807">
        <v>0.91057982275118399</v>
      </c>
      <c r="F1807">
        <v>28</v>
      </c>
      <c r="G1807">
        <v>23</v>
      </c>
      <c r="H1807" t="s">
        <v>28</v>
      </c>
      <c r="I1807" t="s">
        <v>3438</v>
      </c>
      <c r="J1807" t="s">
        <v>2184</v>
      </c>
    </row>
    <row r="1808" spans="1:10">
      <c r="A1808" t="s">
        <v>6844</v>
      </c>
      <c r="B1808">
        <v>-0.26862016667669503</v>
      </c>
      <c r="C1808">
        <v>9.2301037103425898</v>
      </c>
      <c r="D1808">
        <v>0.39651500399218598</v>
      </c>
      <c r="E1808">
        <v>0.90439166868005005</v>
      </c>
      <c r="F1808">
        <v>49</v>
      </c>
      <c r="G1808">
        <v>63</v>
      </c>
      <c r="H1808" t="s">
        <v>28</v>
      </c>
      <c r="I1808" t="s">
        <v>6845</v>
      </c>
      <c r="J1808" t="s">
        <v>2185</v>
      </c>
    </row>
    <row r="1809" spans="1:10">
      <c r="A1809" t="s">
        <v>6846</v>
      </c>
      <c r="B1809">
        <v>-0.15116656142142501</v>
      </c>
      <c r="C1809">
        <v>10.689522543960701</v>
      </c>
      <c r="D1809">
        <v>0.39636518138319898</v>
      </c>
      <c r="E1809">
        <v>0.90439166868005005</v>
      </c>
      <c r="F1809">
        <v>141</v>
      </c>
      <c r="G1809">
        <v>167</v>
      </c>
      <c r="H1809" t="s">
        <v>6847</v>
      </c>
      <c r="I1809" t="s">
        <v>6848</v>
      </c>
      <c r="J1809" t="s">
        <v>2186</v>
      </c>
    </row>
    <row r="1810" spans="1:10">
      <c r="A1810" t="s">
        <v>6849</v>
      </c>
      <c r="B1810">
        <v>-0.27523112660662102</v>
      </c>
      <c r="C1810">
        <v>9.2041083513075392</v>
      </c>
      <c r="D1810">
        <v>0.39222878902570701</v>
      </c>
      <c r="E1810">
        <v>0.89588621129735402</v>
      </c>
      <c r="F1810">
        <v>48</v>
      </c>
      <c r="G1810">
        <v>62</v>
      </c>
      <c r="H1810" t="s">
        <v>6850</v>
      </c>
      <c r="I1810" t="s">
        <v>6851</v>
      </c>
      <c r="J1810" t="s">
        <v>2187</v>
      </c>
    </row>
    <row r="1811" spans="1:10">
      <c r="A1811" t="s">
        <v>6852</v>
      </c>
      <c r="B1811">
        <v>-0.30145733334340602</v>
      </c>
      <c r="C1811">
        <v>8.8821832139718406</v>
      </c>
      <c r="D1811">
        <v>0.39222124656812801</v>
      </c>
      <c r="E1811">
        <v>0.89588621129735402</v>
      </c>
      <c r="F1811">
        <v>38</v>
      </c>
      <c r="G1811">
        <v>50</v>
      </c>
      <c r="H1811" t="s">
        <v>6853</v>
      </c>
      <c r="I1811" t="s">
        <v>6854</v>
      </c>
      <c r="J1811" t="s">
        <v>2188</v>
      </c>
    </row>
    <row r="1812" spans="1:10">
      <c r="A1812" t="s">
        <v>6855</v>
      </c>
      <c r="B1812">
        <v>-0.43874312361372098</v>
      </c>
      <c r="C1812">
        <v>8.0374654372304004</v>
      </c>
      <c r="D1812">
        <v>0.392184789902081</v>
      </c>
      <c r="E1812">
        <v>0.89588621129735402</v>
      </c>
      <c r="F1812">
        <v>20</v>
      </c>
      <c r="G1812">
        <v>29</v>
      </c>
      <c r="H1812" t="s">
        <v>28</v>
      </c>
      <c r="I1812" t="s">
        <v>3438</v>
      </c>
      <c r="J1812" t="s">
        <v>2182</v>
      </c>
    </row>
    <row r="1813" spans="1:10">
      <c r="A1813" t="s">
        <v>6856</v>
      </c>
      <c r="B1813">
        <v>-0.43874312361372098</v>
      </c>
      <c r="C1813">
        <v>8.0374654372304004</v>
      </c>
      <c r="D1813">
        <v>0.392184789902081</v>
      </c>
      <c r="E1813">
        <v>0.89588621129735402</v>
      </c>
      <c r="F1813">
        <v>20</v>
      </c>
      <c r="G1813">
        <v>29</v>
      </c>
      <c r="H1813" t="s">
        <v>28</v>
      </c>
      <c r="I1813" t="s">
        <v>6857</v>
      </c>
      <c r="J1813" t="s">
        <v>2189</v>
      </c>
    </row>
    <row r="1814" spans="1:10">
      <c r="A1814" t="s">
        <v>6858</v>
      </c>
      <c r="B1814">
        <v>0.384244939506942</v>
      </c>
      <c r="C1814">
        <v>8.0374978058541906</v>
      </c>
      <c r="D1814">
        <v>0.392184789902081</v>
      </c>
      <c r="E1814">
        <v>0.89588621129735402</v>
      </c>
      <c r="F1814">
        <v>27</v>
      </c>
      <c r="G1814">
        <v>22</v>
      </c>
      <c r="H1814" t="s">
        <v>28</v>
      </c>
      <c r="I1814" t="s">
        <v>3438</v>
      </c>
      <c r="J1814" t="s">
        <v>2190</v>
      </c>
    </row>
    <row r="1815" spans="1:10">
      <c r="A1815" t="s">
        <v>6859</v>
      </c>
      <c r="B1815">
        <v>0.42742748696944799</v>
      </c>
      <c r="C1815">
        <v>7.5102473854199001</v>
      </c>
      <c r="D1815">
        <v>0.39193303889346498</v>
      </c>
      <c r="E1815">
        <v>0.89588621129735402</v>
      </c>
      <c r="F1815">
        <v>19</v>
      </c>
      <c r="G1815">
        <v>15</v>
      </c>
      <c r="H1815" t="s">
        <v>28</v>
      </c>
      <c r="I1815" t="s">
        <v>4348</v>
      </c>
      <c r="J1815" t="s">
        <v>2191</v>
      </c>
    </row>
    <row r="1816" spans="1:10">
      <c r="A1816" t="s">
        <v>6860</v>
      </c>
      <c r="B1816">
        <v>0.42742748696944799</v>
      </c>
      <c r="C1816">
        <v>7.5102473854199001</v>
      </c>
      <c r="D1816">
        <v>0.39193303889346498</v>
      </c>
      <c r="E1816">
        <v>0.89588621129735402</v>
      </c>
      <c r="F1816">
        <v>19</v>
      </c>
      <c r="G1816">
        <v>15</v>
      </c>
      <c r="H1816" t="s">
        <v>28</v>
      </c>
      <c r="I1816" t="s">
        <v>3438</v>
      </c>
      <c r="J1816" t="s">
        <v>2192</v>
      </c>
    </row>
    <row r="1817" spans="1:10">
      <c r="A1817" t="s">
        <v>6861</v>
      </c>
      <c r="B1817">
        <v>0.52522151288464403</v>
      </c>
      <c r="C1817">
        <v>7.4671809036805596</v>
      </c>
      <c r="D1817">
        <v>0.39193303889346498</v>
      </c>
      <c r="E1817">
        <v>0.89588621129735402</v>
      </c>
      <c r="F1817">
        <v>19</v>
      </c>
      <c r="G1817">
        <v>14</v>
      </c>
      <c r="H1817" t="s">
        <v>28</v>
      </c>
      <c r="I1817" t="s">
        <v>3465</v>
      </c>
      <c r="J1817" t="s">
        <v>2193</v>
      </c>
    </row>
    <row r="1818" spans="1:10">
      <c r="A1818" t="s">
        <v>6862</v>
      </c>
      <c r="B1818">
        <v>-0.22833657223093601</v>
      </c>
      <c r="C1818">
        <v>9.4995638118201207</v>
      </c>
      <c r="D1818">
        <v>0.39109928054583798</v>
      </c>
      <c r="E1818">
        <v>0.89588621129735402</v>
      </c>
      <c r="F1818">
        <v>60</v>
      </c>
      <c r="G1818">
        <v>75</v>
      </c>
      <c r="H1818" t="s">
        <v>6863</v>
      </c>
      <c r="I1818" t="s">
        <v>6864</v>
      </c>
      <c r="J1818" t="s">
        <v>2194</v>
      </c>
    </row>
    <row r="1819" spans="1:10">
      <c r="A1819" t="s">
        <v>6865</v>
      </c>
      <c r="B1819">
        <v>0.24159066374882701</v>
      </c>
      <c r="C1819">
        <v>9.4996144598314896</v>
      </c>
      <c r="D1819">
        <v>0.39109928054583798</v>
      </c>
      <c r="E1819">
        <v>0.89588621129735402</v>
      </c>
      <c r="F1819">
        <v>71</v>
      </c>
      <c r="G1819">
        <v>64</v>
      </c>
      <c r="H1819" t="s">
        <v>6866</v>
      </c>
      <c r="I1819" t="s">
        <v>6867</v>
      </c>
      <c r="J1819" t="s">
        <v>2195</v>
      </c>
    </row>
    <row r="1820" spans="1:10">
      <c r="A1820" t="s">
        <v>6868</v>
      </c>
      <c r="B1820">
        <v>0.353083206917092</v>
      </c>
      <c r="C1820">
        <v>8.4671856401659902</v>
      </c>
      <c r="D1820">
        <v>0.38983604525635102</v>
      </c>
      <c r="E1820">
        <v>0.89588621129735402</v>
      </c>
      <c r="F1820">
        <v>36</v>
      </c>
      <c r="G1820">
        <v>30</v>
      </c>
      <c r="H1820" t="s">
        <v>28</v>
      </c>
      <c r="I1820" t="s">
        <v>4596</v>
      </c>
      <c r="J1820" t="s">
        <v>2196</v>
      </c>
    </row>
    <row r="1821" spans="1:10">
      <c r="A1821" t="s">
        <v>6869</v>
      </c>
      <c r="B1821">
        <v>-0.86832444196092196</v>
      </c>
      <c r="C1821">
        <v>6.0077268899532204</v>
      </c>
      <c r="D1821">
        <v>0.38784028491668798</v>
      </c>
      <c r="E1821">
        <v>0.89283776398859604</v>
      </c>
      <c r="F1821">
        <v>4</v>
      </c>
      <c r="G1821">
        <v>8</v>
      </c>
      <c r="H1821" t="s">
        <v>28</v>
      </c>
      <c r="I1821" t="s">
        <v>3438</v>
      </c>
      <c r="J1821" t="s">
        <v>2197</v>
      </c>
    </row>
    <row r="1822" spans="1:10">
      <c r="A1822" t="s">
        <v>6870</v>
      </c>
      <c r="B1822">
        <v>-0.86832444196092196</v>
      </c>
      <c r="C1822">
        <v>6.0077268899532204</v>
      </c>
      <c r="D1822">
        <v>0.38784028491668798</v>
      </c>
      <c r="E1822">
        <v>0.89283776398859604</v>
      </c>
      <c r="F1822">
        <v>4</v>
      </c>
      <c r="G1822">
        <v>8</v>
      </c>
      <c r="H1822" t="s">
        <v>6871</v>
      </c>
      <c r="I1822" t="s">
        <v>6872</v>
      </c>
      <c r="J1822" t="s">
        <v>2198</v>
      </c>
    </row>
    <row r="1823" spans="1:10">
      <c r="A1823" t="s">
        <v>6873</v>
      </c>
      <c r="B1823">
        <v>-0.86832444196092196</v>
      </c>
      <c r="C1823">
        <v>6.0077268899532204</v>
      </c>
      <c r="D1823">
        <v>0.38784028491668798</v>
      </c>
      <c r="E1823">
        <v>0.89283776398859604</v>
      </c>
      <c r="F1823">
        <v>4</v>
      </c>
      <c r="G1823">
        <v>8</v>
      </c>
      <c r="H1823" t="s">
        <v>6874</v>
      </c>
      <c r="I1823" t="s">
        <v>6875</v>
      </c>
      <c r="J1823" t="s">
        <v>2199</v>
      </c>
    </row>
    <row r="1824" spans="1:10">
      <c r="A1824" t="s">
        <v>6876</v>
      </c>
      <c r="B1824">
        <v>-0.86832444196092196</v>
      </c>
      <c r="C1824">
        <v>6.0077268899532204</v>
      </c>
      <c r="D1824">
        <v>0.38784028491668798</v>
      </c>
      <c r="E1824">
        <v>0.89283776398859604</v>
      </c>
      <c r="F1824">
        <v>4</v>
      </c>
      <c r="G1824">
        <v>8</v>
      </c>
      <c r="H1824" t="s">
        <v>28</v>
      </c>
      <c r="I1824" t="s">
        <v>3438</v>
      </c>
      <c r="J1824" t="s">
        <v>2200</v>
      </c>
    </row>
    <row r="1825" spans="1:10">
      <c r="A1825" t="s">
        <v>6877</v>
      </c>
      <c r="B1825">
        <v>-0.86832444196092196</v>
      </c>
      <c r="C1825">
        <v>6.0077268899532204</v>
      </c>
      <c r="D1825">
        <v>0.38784028491668798</v>
      </c>
      <c r="E1825">
        <v>0.89283776398859604</v>
      </c>
      <c r="F1825">
        <v>4</v>
      </c>
      <c r="G1825">
        <v>8</v>
      </c>
      <c r="H1825" t="s">
        <v>28</v>
      </c>
      <c r="I1825" t="s">
        <v>3438</v>
      </c>
      <c r="J1825" t="s">
        <v>2201</v>
      </c>
    </row>
    <row r="1826" spans="1:10">
      <c r="A1826" t="s">
        <v>6878</v>
      </c>
      <c r="B1826">
        <v>-0.86832444196092196</v>
      </c>
      <c r="C1826">
        <v>6.0077268899532204</v>
      </c>
      <c r="D1826">
        <v>0.38784028491668798</v>
      </c>
      <c r="E1826">
        <v>0.89283776398859604</v>
      </c>
      <c r="F1826">
        <v>4</v>
      </c>
      <c r="G1826">
        <v>8</v>
      </c>
      <c r="H1826" t="s">
        <v>28</v>
      </c>
      <c r="I1826" t="s">
        <v>3438</v>
      </c>
      <c r="J1826" t="s">
        <v>2202</v>
      </c>
    </row>
    <row r="1827" spans="1:10">
      <c r="A1827" t="s">
        <v>6879</v>
      </c>
      <c r="B1827">
        <v>-0.86832444196092196</v>
      </c>
      <c r="C1827">
        <v>6.0077268899532204</v>
      </c>
      <c r="D1827">
        <v>0.38784028491668798</v>
      </c>
      <c r="E1827">
        <v>0.89283776398859604</v>
      </c>
      <c r="F1827">
        <v>4</v>
      </c>
      <c r="G1827">
        <v>8</v>
      </c>
      <c r="H1827" t="s">
        <v>28</v>
      </c>
      <c r="I1827" t="s">
        <v>3438</v>
      </c>
      <c r="J1827" t="s">
        <v>2203</v>
      </c>
    </row>
    <row r="1828" spans="1:10">
      <c r="A1828" t="s">
        <v>6880</v>
      </c>
      <c r="B1828">
        <v>-0.86832444196092196</v>
      </c>
      <c r="C1828">
        <v>6.0077268899532204</v>
      </c>
      <c r="D1828">
        <v>0.38784028491668798</v>
      </c>
      <c r="E1828">
        <v>0.89283776398859604</v>
      </c>
      <c r="F1828">
        <v>4</v>
      </c>
      <c r="G1828">
        <v>8</v>
      </c>
      <c r="H1828" t="s">
        <v>28</v>
      </c>
      <c r="I1828" t="s">
        <v>3438</v>
      </c>
      <c r="J1828" t="s">
        <v>2204</v>
      </c>
    </row>
    <row r="1829" spans="1:10">
      <c r="A1829" t="s">
        <v>6881</v>
      </c>
      <c r="B1829">
        <v>-0.86832444196092196</v>
      </c>
      <c r="C1829">
        <v>6.0077268899532204</v>
      </c>
      <c r="D1829">
        <v>0.38784028491668798</v>
      </c>
      <c r="E1829">
        <v>0.89283776398859604</v>
      </c>
      <c r="F1829">
        <v>4</v>
      </c>
      <c r="G1829">
        <v>8</v>
      </c>
      <c r="H1829" t="s">
        <v>28</v>
      </c>
      <c r="I1829" t="s">
        <v>3438</v>
      </c>
      <c r="J1829" t="s">
        <v>2205</v>
      </c>
    </row>
    <row r="1830" spans="1:10">
      <c r="A1830" t="s">
        <v>6882</v>
      </c>
      <c r="B1830">
        <v>-0.86832444196092196</v>
      </c>
      <c r="C1830">
        <v>6.0077268899532204</v>
      </c>
      <c r="D1830">
        <v>0.38784028491668798</v>
      </c>
      <c r="E1830">
        <v>0.89283776398859604</v>
      </c>
      <c r="F1830">
        <v>4</v>
      </c>
      <c r="G1830">
        <v>8</v>
      </c>
      <c r="H1830" t="s">
        <v>6883</v>
      </c>
      <c r="I1830" t="s">
        <v>6884</v>
      </c>
      <c r="J1830" t="s">
        <v>2206</v>
      </c>
    </row>
    <row r="1831" spans="1:10">
      <c r="A1831" t="s">
        <v>6885</v>
      </c>
      <c r="B1831">
        <v>-0.86832444196092196</v>
      </c>
      <c r="C1831">
        <v>6.0077268899532204</v>
      </c>
      <c r="D1831">
        <v>0.38784028491668798</v>
      </c>
      <c r="E1831">
        <v>0.89283776398859604</v>
      </c>
      <c r="F1831">
        <v>4</v>
      </c>
      <c r="G1831">
        <v>8</v>
      </c>
      <c r="H1831" t="s">
        <v>28</v>
      </c>
      <c r="I1831" t="s">
        <v>6886</v>
      </c>
      <c r="J1831" t="s">
        <v>2207</v>
      </c>
    </row>
    <row r="1832" spans="1:10">
      <c r="A1832" t="s">
        <v>6887</v>
      </c>
      <c r="B1832">
        <v>-0.86832444196092196</v>
      </c>
      <c r="C1832">
        <v>6.0077268899532204</v>
      </c>
      <c r="D1832">
        <v>0.38784028491668798</v>
      </c>
      <c r="E1832">
        <v>0.89283776398859604</v>
      </c>
      <c r="F1832">
        <v>4</v>
      </c>
      <c r="G1832">
        <v>8</v>
      </c>
      <c r="H1832" t="s">
        <v>28</v>
      </c>
      <c r="I1832" t="s">
        <v>3438</v>
      </c>
      <c r="J1832" t="s">
        <v>2091</v>
      </c>
    </row>
    <row r="1833" spans="1:10">
      <c r="A1833" t="s">
        <v>6888</v>
      </c>
      <c r="B1833">
        <v>1.0455419001360999</v>
      </c>
      <c r="C1833">
        <v>6.0077454204962004</v>
      </c>
      <c r="D1833">
        <v>0.38784028491668798</v>
      </c>
      <c r="E1833">
        <v>0.89283776398859604</v>
      </c>
      <c r="F1833">
        <v>8</v>
      </c>
      <c r="G1833">
        <v>4</v>
      </c>
      <c r="H1833" t="s">
        <v>28</v>
      </c>
      <c r="I1833" t="s">
        <v>3438</v>
      </c>
      <c r="J1833" t="s">
        <v>2208</v>
      </c>
    </row>
    <row r="1834" spans="1:10">
      <c r="A1834" t="s">
        <v>6889</v>
      </c>
      <c r="B1834">
        <v>1.0455419001360999</v>
      </c>
      <c r="C1834">
        <v>6.0077454204962004</v>
      </c>
      <c r="D1834">
        <v>0.38784028491668798</v>
      </c>
      <c r="E1834">
        <v>0.89283776398859604</v>
      </c>
      <c r="F1834">
        <v>8</v>
      </c>
      <c r="G1834">
        <v>4</v>
      </c>
      <c r="H1834" t="s">
        <v>28</v>
      </c>
      <c r="I1834" t="s">
        <v>3438</v>
      </c>
      <c r="J1834" t="s">
        <v>29</v>
      </c>
    </row>
    <row r="1835" spans="1:10">
      <c r="A1835" t="s">
        <v>6890</v>
      </c>
      <c r="B1835">
        <v>1.0455419001360999</v>
      </c>
      <c r="C1835">
        <v>6.0077454204962004</v>
      </c>
      <c r="D1835">
        <v>0.38784028491668798</v>
      </c>
      <c r="E1835">
        <v>0.89283776398859604</v>
      </c>
      <c r="F1835">
        <v>8</v>
      </c>
      <c r="G1835">
        <v>4</v>
      </c>
      <c r="H1835" t="s">
        <v>6891</v>
      </c>
      <c r="I1835" t="s">
        <v>6892</v>
      </c>
      <c r="J1835" t="s">
        <v>2209</v>
      </c>
    </row>
    <row r="1836" spans="1:10">
      <c r="A1836" t="s">
        <v>6893</v>
      </c>
      <c r="B1836">
        <v>1.0455419001360999</v>
      </c>
      <c r="C1836">
        <v>6.0077454204962004</v>
      </c>
      <c r="D1836">
        <v>0.38784028491668798</v>
      </c>
      <c r="E1836">
        <v>0.89283776398859604</v>
      </c>
      <c r="F1836">
        <v>8</v>
      </c>
      <c r="G1836">
        <v>4</v>
      </c>
      <c r="H1836" t="s">
        <v>28</v>
      </c>
      <c r="I1836" t="s">
        <v>3438</v>
      </c>
      <c r="J1836" t="s">
        <v>2210</v>
      </c>
    </row>
    <row r="1837" spans="1:10">
      <c r="A1837" t="s">
        <v>6894</v>
      </c>
      <c r="B1837">
        <v>1.0455419001360999</v>
      </c>
      <c r="C1837">
        <v>6.0077454204962004</v>
      </c>
      <c r="D1837">
        <v>0.38784028491668798</v>
      </c>
      <c r="E1837">
        <v>0.89283776398859604</v>
      </c>
      <c r="F1837">
        <v>8</v>
      </c>
      <c r="G1837">
        <v>4</v>
      </c>
      <c r="H1837" t="s">
        <v>28</v>
      </c>
      <c r="I1837" t="s">
        <v>3438</v>
      </c>
      <c r="J1837" t="s">
        <v>2211</v>
      </c>
    </row>
    <row r="1838" spans="1:10">
      <c r="A1838" t="s">
        <v>6895</v>
      </c>
      <c r="B1838">
        <v>1.0455419001360999</v>
      </c>
      <c r="C1838">
        <v>6.0077454204962004</v>
      </c>
      <c r="D1838">
        <v>0.38784028491668798</v>
      </c>
      <c r="E1838">
        <v>0.89283776398859604</v>
      </c>
      <c r="F1838">
        <v>8</v>
      </c>
      <c r="G1838">
        <v>4</v>
      </c>
      <c r="H1838" t="s">
        <v>28</v>
      </c>
      <c r="I1838" t="s">
        <v>3438</v>
      </c>
      <c r="J1838" t="s">
        <v>2212</v>
      </c>
    </row>
    <row r="1839" spans="1:10">
      <c r="A1839" t="s">
        <v>6896</v>
      </c>
      <c r="B1839">
        <v>1.0455419001360999</v>
      </c>
      <c r="C1839">
        <v>6.0077454204962004</v>
      </c>
      <c r="D1839">
        <v>0.38784028491668798</v>
      </c>
      <c r="E1839">
        <v>0.89283776398859604</v>
      </c>
      <c r="F1839">
        <v>8</v>
      </c>
      <c r="G1839">
        <v>4</v>
      </c>
      <c r="H1839" t="s">
        <v>28</v>
      </c>
      <c r="I1839" t="s">
        <v>3438</v>
      </c>
      <c r="J1839" t="s">
        <v>2213</v>
      </c>
    </row>
    <row r="1840" spans="1:10">
      <c r="A1840" t="s">
        <v>6897</v>
      </c>
      <c r="B1840">
        <v>1.0455419001360999</v>
      </c>
      <c r="C1840">
        <v>6.0077454204962004</v>
      </c>
      <c r="D1840">
        <v>0.38784028491668798</v>
      </c>
      <c r="E1840">
        <v>0.89283776398859604</v>
      </c>
      <c r="F1840">
        <v>8</v>
      </c>
      <c r="G1840">
        <v>4</v>
      </c>
      <c r="H1840" t="s">
        <v>6898</v>
      </c>
      <c r="I1840" t="s">
        <v>6899</v>
      </c>
      <c r="J1840" t="s">
        <v>2214</v>
      </c>
    </row>
    <row r="1841" spans="1:10">
      <c r="A1841" t="s">
        <v>6900</v>
      </c>
      <c r="B1841">
        <v>1.0455419001360999</v>
      </c>
      <c r="C1841">
        <v>6.0077454204962004</v>
      </c>
      <c r="D1841">
        <v>0.38784028491668798</v>
      </c>
      <c r="E1841">
        <v>0.89283776398859604</v>
      </c>
      <c r="F1841">
        <v>8</v>
      </c>
      <c r="G1841">
        <v>4</v>
      </c>
      <c r="H1841" t="s">
        <v>28</v>
      </c>
      <c r="I1841" t="s">
        <v>6901</v>
      </c>
      <c r="J1841" t="s">
        <v>2215</v>
      </c>
    </row>
    <row r="1842" spans="1:10">
      <c r="A1842" t="s">
        <v>6902</v>
      </c>
      <c r="B1842">
        <v>1.0455419001360999</v>
      </c>
      <c r="C1842">
        <v>6.0077454204962004</v>
      </c>
      <c r="D1842">
        <v>0.38784028491668798</v>
      </c>
      <c r="E1842">
        <v>0.89283776398859604</v>
      </c>
      <c r="F1842">
        <v>8</v>
      </c>
      <c r="G1842">
        <v>4</v>
      </c>
      <c r="H1842" t="s">
        <v>28</v>
      </c>
      <c r="I1842" t="s">
        <v>3438</v>
      </c>
      <c r="J1842" t="s">
        <v>2216</v>
      </c>
    </row>
    <row r="1843" spans="1:10">
      <c r="A1843" t="s">
        <v>6903</v>
      </c>
      <c r="B1843">
        <v>1.0455419001360999</v>
      </c>
      <c r="C1843">
        <v>6.0077454204962004</v>
      </c>
      <c r="D1843">
        <v>0.38784028491668798</v>
      </c>
      <c r="E1843">
        <v>0.89283776398859604</v>
      </c>
      <c r="F1843">
        <v>8</v>
      </c>
      <c r="G1843">
        <v>4</v>
      </c>
      <c r="H1843" t="s">
        <v>28</v>
      </c>
      <c r="I1843" t="s">
        <v>4950</v>
      </c>
      <c r="J1843" t="s">
        <v>2217</v>
      </c>
    </row>
    <row r="1844" spans="1:10">
      <c r="A1844" t="s">
        <v>6904</v>
      </c>
      <c r="B1844">
        <v>1.0455419001360999</v>
      </c>
      <c r="C1844">
        <v>6.0077454204962004</v>
      </c>
      <c r="D1844">
        <v>0.38784028491668798</v>
      </c>
      <c r="E1844">
        <v>0.89283776398859604</v>
      </c>
      <c r="F1844">
        <v>8</v>
      </c>
      <c r="G1844">
        <v>4</v>
      </c>
      <c r="H1844" t="s">
        <v>28</v>
      </c>
      <c r="I1844" t="s">
        <v>3438</v>
      </c>
      <c r="J1844" t="s">
        <v>2218</v>
      </c>
    </row>
    <row r="1845" spans="1:10">
      <c r="A1845" t="s">
        <v>6905</v>
      </c>
      <c r="B1845">
        <v>-0.167889405746563</v>
      </c>
      <c r="C1845">
        <v>10.417092312455701</v>
      </c>
      <c r="D1845">
        <v>0.383696343066041</v>
      </c>
      <c r="E1845">
        <v>0.89283776398859604</v>
      </c>
      <c r="F1845">
        <v>116</v>
      </c>
      <c r="G1845">
        <v>139</v>
      </c>
      <c r="H1845" t="s">
        <v>6906</v>
      </c>
      <c r="I1845" t="s">
        <v>6907</v>
      </c>
      <c r="J1845" t="s">
        <v>2219</v>
      </c>
    </row>
    <row r="1846" spans="1:10">
      <c r="A1846" t="s">
        <v>6908</v>
      </c>
      <c r="B1846">
        <v>-0.59306591575735501</v>
      </c>
      <c r="C1846">
        <v>6.8150801700174597</v>
      </c>
      <c r="D1846">
        <v>0.38356245516372001</v>
      </c>
      <c r="E1846">
        <v>0.89283776398859604</v>
      </c>
      <c r="F1846">
        <v>8</v>
      </c>
      <c r="G1846">
        <v>13</v>
      </c>
      <c r="H1846" t="s">
        <v>28</v>
      </c>
      <c r="I1846" t="s">
        <v>3438</v>
      </c>
      <c r="J1846" t="s">
        <v>2220</v>
      </c>
    </row>
    <row r="1847" spans="1:10">
      <c r="A1847" t="s">
        <v>6909</v>
      </c>
      <c r="B1847">
        <v>-0.59306591575735501</v>
      </c>
      <c r="C1847">
        <v>6.8150801700174597</v>
      </c>
      <c r="D1847">
        <v>0.38356245516372001</v>
      </c>
      <c r="E1847">
        <v>0.89283776398859604</v>
      </c>
      <c r="F1847">
        <v>8</v>
      </c>
      <c r="G1847">
        <v>13</v>
      </c>
      <c r="H1847" t="s">
        <v>6910</v>
      </c>
      <c r="I1847" t="s">
        <v>3687</v>
      </c>
      <c r="J1847" t="s">
        <v>2221</v>
      </c>
    </row>
    <row r="1848" spans="1:10">
      <c r="A1848" t="s">
        <v>6911</v>
      </c>
      <c r="B1848">
        <v>-0.59306591575735501</v>
      </c>
      <c r="C1848">
        <v>6.8150801700174597</v>
      </c>
      <c r="D1848">
        <v>0.38356245516372001</v>
      </c>
      <c r="E1848">
        <v>0.89283776398859604</v>
      </c>
      <c r="F1848">
        <v>8</v>
      </c>
      <c r="G1848">
        <v>13</v>
      </c>
      <c r="H1848" t="s">
        <v>6912</v>
      </c>
      <c r="I1848" t="s">
        <v>6913</v>
      </c>
      <c r="J1848" t="s">
        <v>2222</v>
      </c>
    </row>
    <row r="1849" spans="1:10">
      <c r="A1849" t="s">
        <v>6914</v>
      </c>
      <c r="B1849">
        <v>-0.59306591575735501</v>
      </c>
      <c r="C1849">
        <v>6.8150801700174597</v>
      </c>
      <c r="D1849">
        <v>0.38356245516372001</v>
      </c>
      <c r="E1849">
        <v>0.89283776398859604</v>
      </c>
      <c r="F1849">
        <v>8</v>
      </c>
      <c r="G1849">
        <v>13</v>
      </c>
      <c r="H1849" t="s">
        <v>28</v>
      </c>
      <c r="I1849" t="s">
        <v>3438</v>
      </c>
      <c r="J1849" t="s">
        <v>2223</v>
      </c>
    </row>
    <row r="1850" spans="1:10">
      <c r="A1850" t="s">
        <v>6915</v>
      </c>
      <c r="B1850">
        <v>-0.59306591575735501</v>
      </c>
      <c r="C1850">
        <v>6.8150801700174597</v>
      </c>
      <c r="D1850">
        <v>0.38356245516372001</v>
      </c>
      <c r="E1850">
        <v>0.89283776398859604</v>
      </c>
      <c r="F1850">
        <v>8</v>
      </c>
      <c r="G1850">
        <v>13</v>
      </c>
      <c r="H1850" t="s">
        <v>6916</v>
      </c>
      <c r="I1850" t="s">
        <v>6917</v>
      </c>
      <c r="J1850" t="s">
        <v>2224</v>
      </c>
    </row>
    <row r="1851" spans="1:10">
      <c r="A1851" t="s">
        <v>6918</v>
      </c>
      <c r="B1851">
        <v>-0.59306591575735501</v>
      </c>
      <c r="C1851">
        <v>6.8150801700174597</v>
      </c>
      <c r="D1851">
        <v>0.38356245516372001</v>
      </c>
      <c r="E1851">
        <v>0.89283776398859604</v>
      </c>
      <c r="F1851">
        <v>8</v>
      </c>
      <c r="G1851">
        <v>13</v>
      </c>
      <c r="H1851" t="s">
        <v>28</v>
      </c>
      <c r="I1851" t="s">
        <v>3438</v>
      </c>
      <c r="J1851" t="s">
        <v>2225</v>
      </c>
    </row>
    <row r="1852" spans="1:10">
      <c r="A1852" t="s">
        <v>6919</v>
      </c>
      <c r="B1852">
        <v>-0.59306591575735501</v>
      </c>
      <c r="C1852">
        <v>6.8150801700174597</v>
      </c>
      <c r="D1852">
        <v>0.38356245516372001</v>
      </c>
      <c r="E1852">
        <v>0.89283776398859604</v>
      </c>
      <c r="F1852">
        <v>8</v>
      </c>
      <c r="G1852">
        <v>13</v>
      </c>
      <c r="H1852" t="s">
        <v>6920</v>
      </c>
      <c r="I1852" t="s">
        <v>6921</v>
      </c>
      <c r="J1852" t="s">
        <v>2226</v>
      </c>
    </row>
    <row r="1853" spans="1:10">
      <c r="A1853" t="s">
        <v>6922</v>
      </c>
      <c r="B1853">
        <v>-0.59306591575735501</v>
      </c>
      <c r="C1853">
        <v>6.8150801700174597</v>
      </c>
      <c r="D1853">
        <v>0.38356245516372001</v>
      </c>
      <c r="E1853">
        <v>0.89283776398859604</v>
      </c>
      <c r="F1853">
        <v>8</v>
      </c>
      <c r="G1853">
        <v>13</v>
      </c>
      <c r="H1853" t="s">
        <v>6923</v>
      </c>
      <c r="I1853" t="s">
        <v>6924</v>
      </c>
      <c r="J1853" t="s">
        <v>2227</v>
      </c>
    </row>
    <row r="1854" spans="1:10">
      <c r="A1854" t="s">
        <v>6925</v>
      </c>
      <c r="B1854">
        <v>-0.59306591575735501</v>
      </c>
      <c r="C1854">
        <v>6.8150801700174597</v>
      </c>
      <c r="D1854">
        <v>0.38356245516372001</v>
      </c>
      <c r="E1854">
        <v>0.89283776398859604</v>
      </c>
      <c r="F1854">
        <v>8</v>
      </c>
      <c r="G1854">
        <v>13</v>
      </c>
      <c r="H1854" t="s">
        <v>28</v>
      </c>
      <c r="I1854" t="s">
        <v>3438</v>
      </c>
      <c r="J1854" t="s">
        <v>2228</v>
      </c>
    </row>
    <row r="1855" spans="1:10">
      <c r="A1855" t="s">
        <v>6926</v>
      </c>
      <c r="B1855">
        <v>0.77398759208654799</v>
      </c>
      <c r="C1855">
        <v>6.8151033228051103</v>
      </c>
      <c r="D1855">
        <v>0.38356245516372001</v>
      </c>
      <c r="E1855">
        <v>0.89283776398859604</v>
      </c>
      <c r="F1855">
        <v>13</v>
      </c>
      <c r="G1855">
        <v>8</v>
      </c>
      <c r="H1855" t="s">
        <v>28</v>
      </c>
      <c r="I1855" t="s">
        <v>6927</v>
      </c>
      <c r="J1855" t="s">
        <v>2229</v>
      </c>
    </row>
    <row r="1856" spans="1:10">
      <c r="A1856" t="s">
        <v>6928</v>
      </c>
      <c r="B1856">
        <v>0.77398759208654799</v>
      </c>
      <c r="C1856">
        <v>6.8151033228051103</v>
      </c>
      <c r="D1856">
        <v>0.38356245516372001</v>
      </c>
      <c r="E1856">
        <v>0.89283776398859604</v>
      </c>
      <c r="F1856">
        <v>13</v>
      </c>
      <c r="G1856">
        <v>8</v>
      </c>
      <c r="H1856" t="s">
        <v>6929</v>
      </c>
      <c r="I1856" t="s">
        <v>6930</v>
      </c>
      <c r="J1856" t="s">
        <v>2230</v>
      </c>
    </row>
    <row r="1857" spans="1:10">
      <c r="A1857" t="s">
        <v>6931</v>
      </c>
      <c r="B1857">
        <v>0.184576927999132</v>
      </c>
      <c r="C1857">
        <v>10.1975920018293</v>
      </c>
      <c r="D1857">
        <v>0.38342906731867599</v>
      </c>
      <c r="E1857">
        <v>0.89283776398859604</v>
      </c>
      <c r="F1857">
        <v>113</v>
      </c>
      <c r="G1857">
        <v>106</v>
      </c>
      <c r="H1857" t="s">
        <v>6932</v>
      </c>
      <c r="I1857" t="s">
        <v>6933</v>
      </c>
      <c r="J1857" t="s">
        <v>429</v>
      </c>
    </row>
    <row r="1858" spans="1:10">
      <c r="A1858" t="s">
        <v>6934</v>
      </c>
      <c r="B1858">
        <v>-0.28921067411346402</v>
      </c>
      <c r="C1858">
        <v>9.1506687912521993</v>
      </c>
      <c r="D1858">
        <v>0.383385874163574</v>
      </c>
      <c r="E1858">
        <v>0.89283776398859604</v>
      </c>
      <c r="F1858">
        <v>46</v>
      </c>
      <c r="G1858">
        <v>60</v>
      </c>
      <c r="H1858" t="s">
        <v>28</v>
      </c>
      <c r="I1858" t="s">
        <v>6935</v>
      </c>
      <c r="J1858" t="s">
        <v>2231</v>
      </c>
    </row>
    <row r="1859" spans="1:10">
      <c r="A1859" t="s">
        <v>6936</v>
      </c>
      <c r="B1859">
        <v>0.25503298202897701</v>
      </c>
      <c r="C1859">
        <v>9.1507149011741706</v>
      </c>
      <c r="D1859">
        <v>0.383385874163574</v>
      </c>
      <c r="E1859">
        <v>0.89283776398859604</v>
      </c>
      <c r="F1859">
        <v>56</v>
      </c>
      <c r="G1859">
        <v>50</v>
      </c>
      <c r="H1859" t="s">
        <v>6937</v>
      </c>
      <c r="I1859" t="s">
        <v>3599</v>
      </c>
      <c r="J1859" t="s">
        <v>2232</v>
      </c>
    </row>
    <row r="1860" spans="1:10">
      <c r="A1860" t="s">
        <v>6938</v>
      </c>
      <c r="B1860">
        <v>-0.46166458966110702</v>
      </c>
      <c r="C1860">
        <v>7.9773442944957198</v>
      </c>
      <c r="D1860">
        <v>0.38225453762727701</v>
      </c>
      <c r="E1860">
        <v>0.89283776398859604</v>
      </c>
      <c r="F1860">
        <v>19</v>
      </c>
      <c r="G1860">
        <v>28</v>
      </c>
      <c r="H1860" t="s">
        <v>28</v>
      </c>
      <c r="I1860" t="s">
        <v>3438</v>
      </c>
      <c r="J1860" t="s">
        <v>2233</v>
      </c>
    </row>
    <row r="1861" spans="1:10">
      <c r="A1861" t="s">
        <v>6939</v>
      </c>
      <c r="B1861">
        <v>-0.46166458966110702</v>
      </c>
      <c r="C1861">
        <v>7.9773442944957198</v>
      </c>
      <c r="D1861">
        <v>0.38225453762727701</v>
      </c>
      <c r="E1861">
        <v>0.89283776398859604</v>
      </c>
      <c r="F1861">
        <v>19</v>
      </c>
      <c r="G1861">
        <v>28</v>
      </c>
      <c r="H1861" t="s">
        <v>6940</v>
      </c>
      <c r="I1861" t="s">
        <v>6941</v>
      </c>
      <c r="J1861" t="s">
        <v>2234</v>
      </c>
    </row>
    <row r="1862" spans="1:10">
      <c r="A1862" t="s">
        <v>6942</v>
      </c>
      <c r="B1862">
        <v>-0.46166458966110702</v>
      </c>
      <c r="C1862">
        <v>7.9773442944957198</v>
      </c>
      <c r="D1862">
        <v>0.38225453762727701</v>
      </c>
      <c r="E1862">
        <v>0.89283776398859604</v>
      </c>
      <c r="F1862">
        <v>19</v>
      </c>
      <c r="G1862">
        <v>28</v>
      </c>
      <c r="H1862" t="s">
        <v>28</v>
      </c>
      <c r="I1862" t="s">
        <v>3555</v>
      </c>
      <c r="J1862" t="s">
        <v>2235</v>
      </c>
    </row>
    <row r="1863" spans="1:10">
      <c r="A1863" t="s">
        <v>6943</v>
      </c>
      <c r="B1863">
        <v>0.39660792099854097</v>
      </c>
      <c r="C1863">
        <v>7.9773766663421402</v>
      </c>
      <c r="D1863">
        <v>0.38225453762727701</v>
      </c>
      <c r="E1863">
        <v>0.89283776398859604</v>
      </c>
      <c r="F1863">
        <v>26</v>
      </c>
      <c r="G1863">
        <v>21</v>
      </c>
      <c r="H1863" t="s">
        <v>28</v>
      </c>
      <c r="I1863" t="s">
        <v>3438</v>
      </c>
      <c r="J1863" t="s">
        <v>2061</v>
      </c>
    </row>
    <row r="1864" spans="1:10">
      <c r="A1864" t="s">
        <v>6944</v>
      </c>
      <c r="B1864">
        <v>0.39660792099854097</v>
      </c>
      <c r="C1864">
        <v>7.9773766663421402</v>
      </c>
      <c r="D1864">
        <v>0.38225453762727701</v>
      </c>
      <c r="E1864">
        <v>0.89283776398859604</v>
      </c>
      <c r="F1864">
        <v>26</v>
      </c>
      <c r="G1864">
        <v>21</v>
      </c>
      <c r="H1864" t="s">
        <v>6945</v>
      </c>
      <c r="I1864" t="s">
        <v>3450</v>
      </c>
      <c r="J1864" t="s">
        <v>2236</v>
      </c>
    </row>
    <row r="1865" spans="1:10">
      <c r="A1865" t="s">
        <v>6946</v>
      </c>
      <c r="B1865">
        <v>0.39660792099854097</v>
      </c>
      <c r="C1865">
        <v>7.9773766663421402</v>
      </c>
      <c r="D1865">
        <v>0.38225453762727701</v>
      </c>
      <c r="E1865">
        <v>0.89283776398859604</v>
      </c>
      <c r="F1865">
        <v>26</v>
      </c>
      <c r="G1865">
        <v>21</v>
      </c>
      <c r="H1865" t="s">
        <v>28</v>
      </c>
      <c r="I1865" t="s">
        <v>3474</v>
      </c>
      <c r="J1865" t="s">
        <v>2237</v>
      </c>
    </row>
    <row r="1866" spans="1:10">
      <c r="A1866" t="s">
        <v>6947</v>
      </c>
      <c r="B1866">
        <v>-0.16995699114909901</v>
      </c>
      <c r="C1866">
        <v>10.4057322998737</v>
      </c>
      <c r="D1866">
        <v>0.38179887211406799</v>
      </c>
      <c r="E1866">
        <v>0.89283776398859604</v>
      </c>
      <c r="F1866">
        <v>115</v>
      </c>
      <c r="G1866">
        <v>138</v>
      </c>
      <c r="H1866" t="s">
        <v>28</v>
      </c>
      <c r="I1866" t="s">
        <v>3438</v>
      </c>
      <c r="J1866" t="s">
        <v>2238</v>
      </c>
    </row>
    <row r="1867" spans="1:10">
      <c r="A1867" t="s">
        <v>6948</v>
      </c>
      <c r="B1867">
        <v>0.33463909940852499</v>
      </c>
      <c r="C1867">
        <v>8.7978345052123395</v>
      </c>
      <c r="D1867">
        <v>0.38098824254386199</v>
      </c>
      <c r="E1867">
        <v>0.89283776398859604</v>
      </c>
      <c r="F1867">
        <v>45</v>
      </c>
      <c r="G1867">
        <v>38</v>
      </c>
      <c r="H1867" t="s">
        <v>28</v>
      </c>
      <c r="I1867" t="s">
        <v>3657</v>
      </c>
      <c r="J1867" t="s">
        <v>312</v>
      </c>
    </row>
    <row r="1868" spans="1:10">
      <c r="A1868" t="s">
        <v>6949</v>
      </c>
      <c r="B1868">
        <v>0.25814581072163401</v>
      </c>
      <c r="C1868">
        <v>9.1232340187379908</v>
      </c>
      <c r="D1868">
        <v>0.37882302186397698</v>
      </c>
      <c r="E1868">
        <v>0.89283776398859604</v>
      </c>
      <c r="F1868">
        <v>55</v>
      </c>
      <c r="G1868">
        <v>49</v>
      </c>
      <c r="H1868" t="s">
        <v>6950</v>
      </c>
      <c r="I1868" t="s">
        <v>6951</v>
      </c>
      <c r="J1868" t="s">
        <v>2239</v>
      </c>
    </row>
    <row r="1869" spans="1:10">
      <c r="A1869" t="s">
        <v>6952</v>
      </c>
      <c r="B1869">
        <v>0.25814581072163401</v>
      </c>
      <c r="C1869">
        <v>9.1232340187379908</v>
      </c>
      <c r="D1869">
        <v>0.37882302186397698</v>
      </c>
      <c r="E1869">
        <v>0.89283776398859604</v>
      </c>
      <c r="F1869">
        <v>55</v>
      </c>
      <c r="G1869">
        <v>49</v>
      </c>
      <c r="H1869" t="s">
        <v>28</v>
      </c>
      <c r="I1869" t="s">
        <v>3438</v>
      </c>
      <c r="J1869" t="s">
        <v>370</v>
      </c>
    </row>
    <row r="1870" spans="1:10">
      <c r="A1870" t="s">
        <v>6953</v>
      </c>
      <c r="B1870">
        <v>-0.52063646456530499</v>
      </c>
      <c r="C1870">
        <v>7.4671531369881299</v>
      </c>
      <c r="D1870">
        <v>0.37746942792559002</v>
      </c>
      <c r="E1870">
        <v>0.89283776398859604</v>
      </c>
      <c r="F1870">
        <v>13</v>
      </c>
      <c r="G1870">
        <v>20</v>
      </c>
      <c r="H1870" t="s">
        <v>6954</v>
      </c>
      <c r="I1870" t="s">
        <v>6955</v>
      </c>
      <c r="J1870" t="s">
        <v>2240</v>
      </c>
    </row>
    <row r="1871" spans="1:10">
      <c r="A1871" t="s">
        <v>6956</v>
      </c>
      <c r="B1871">
        <v>0.55313475020523895</v>
      </c>
      <c r="C1871">
        <v>7.3769829473998199</v>
      </c>
      <c r="D1871">
        <v>0.37746942792559002</v>
      </c>
      <c r="E1871">
        <v>0.89283776398859604</v>
      </c>
      <c r="F1871">
        <v>18</v>
      </c>
      <c r="G1871">
        <v>13</v>
      </c>
      <c r="H1871" t="s">
        <v>6957</v>
      </c>
      <c r="I1871" t="s">
        <v>6958</v>
      </c>
      <c r="J1871" t="s">
        <v>2241</v>
      </c>
    </row>
    <row r="1872" spans="1:10">
      <c r="A1872" t="s">
        <v>6959</v>
      </c>
      <c r="B1872">
        <v>0.55313475020523895</v>
      </c>
      <c r="C1872">
        <v>7.3769829473998199</v>
      </c>
      <c r="D1872">
        <v>0.37746942792559002</v>
      </c>
      <c r="E1872">
        <v>0.89283776398859604</v>
      </c>
      <c r="F1872">
        <v>18</v>
      </c>
      <c r="G1872">
        <v>13</v>
      </c>
      <c r="H1872" t="s">
        <v>6960</v>
      </c>
      <c r="I1872" t="s">
        <v>6961</v>
      </c>
      <c r="J1872" t="s">
        <v>2242</v>
      </c>
    </row>
    <row r="1873" spans="1:10">
      <c r="A1873" t="s">
        <v>6962</v>
      </c>
      <c r="B1873">
        <v>0.55313475020523895</v>
      </c>
      <c r="C1873">
        <v>7.3769829473998199</v>
      </c>
      <c r="D1873">
        <v>0.37746942792559002</v>
      </c>
      <c r="E1873">
        <v>0.89283776398859604</v>
      </c>
      <c r="F1873">
        <v>18</v>
      </c>
      <c r="G1873">
        <v>13</v>
      </c>
      <c r="H1873" t="s">
        <v>6963</v>
      </c>
      <c r="I1873" t="s">
        <v>6964</v>
      </c>
      <c r="J1873" t="s">
        <v>2243</v>
      </c>
    </row>
    <row r="1874" spans="1:10">
      <c r="A1874" t="s">
        <v>6965</v>
      </c>
      <c r="B1874">
        <v>-0.29966932508953498</v>
      </c>
      <c r="C1874">
        <v>8.7626033800113898</v>
      </c>
      <c r="D1874">
        <v>0.37514212372002098</v>
      </c>
      <c r="E1874">
        <v>0.89283776398859604</v>
      </c>
      <c r="F1874">
        <v>35</v>
      </c>
      <c r="G1874">
        <v>46</v>
      </c>
      <c r="H1874" t="s">
        <v>28</v>
      </c>
      <c r="I1874" t="s">
        <v>4697</v>
      </c>
      <c r="J1874" t="s">
        <v>2244</v>
      </c>
    </row>
    <row r="1875" spans="1:10">
      <c r="A1875" t="s">
        <v>6966</v>
      </c>
      <c r="B1875">
        <v>-0.37368464162505199</v>
      </c>
      <c r="C1875">
        <v>8.3769505691820996</v>
      </c>
      <c r="D1875">
        <v>0.374893397747392</v>
      </c>
      <c r="E1875">
        <v>0.89283776398859604</v>
      </c>
      <c r="F1875">
        <v>26</v>
      </c>
      <c r="G1875">
        <v>36</v>
      </c>
      <c r="H1875" t="s">
        <v>6967</v>
      </c>
      <c r="I1875" t="s">
        <v>6968</v>
      </c>
      <c r="J1875" t="s">
        <v>2245</v>
      </c>
    </row>
    <row r="1876" spans="1:10">
      <c r="A1876" t="s">
        <v>6969</v>
      </c>
      <c r="B1876">
        <v>-0.30430132292492801</v>
      </c>
      <c r="C1876">
        <v>9.0951733774469705</v>
      </c>
      <c r="D1876">
        <v>0.37416157367949598</v>
      </c>
      <c r="E1876">
        <v>0.89283776398859604</v>
      </c>
      <c r="F1876">
        <v>44</v>
      </c>
      <c r="G1876">
        <v>58</v>
      </c>
      <c r="H1876" t="s">
        <v>28</v>
      </c>
      <c r="I1876" t="s">
        <v>6970</v>
      </c>
      <c r="J1876" t="s">
        <v>2246</v>
      </c>
    </row>
    <row r="1877" spans="1:10">
      <c r="A1877" t="s">
        <v>6971</v>
      </c>
      <c r="B1877">
        <v>-0.25415836101524403</v>
      </c>
      <c r="C1877">
        <v>9.3885317471969305</v>
      </c>
      <c r="D1877">
        <v>0.37265286788753998</v>
      </c>
      <c r="E1877">
        <v>0.89283776398859604</v>
      </c>
      <c r="F1877">
        <v>55</v>
      </c>
      <c r="G1877">
        <v>70</v>
      </c>
      <c r="H1877" t="s">
        <v>6972</v>
      </c>
      <c r="I1877" t="s">
        <v>6973</v>
      </c>
      <c r="J1877" t="s">
        <v>2247</v>
      </c>
    </row>
    <row r="1878" spans="1:10">
      <c r="A1878" t="s">
        <v>6974</v>
      </c>
      <c r="B1878">
        <v>-0.25415836101524403</v>
      </c>
      <c r="C1878">
        <v>9.3885317471969305</v>
      </c>
      <c r="D1878">
        <v>0.37265286788753998</v>
      </c>
      <c r="E1878">
        <v>0.89283776398859604</v>
      </c>
      <c r="F1878">
        <v>55</v>
      </c>
      <c r="G1878">
        <v>70</v>
      </c>
      <c r="H1878" t="s">
        <v>6975</v>
      </c>
      <c r="I1878" t="s">
        <v>6976</v>
      </c>
      <c r="J1878" t="s">
        <v>2248</v>
      </c>
    </row>
    <row r="1879" spans="1:10">
      <c r="A1879" t="s">
        <v>6977</v>
      </c>
      <c r="B1879">
        <v>0.205060749947228</v>
      </c>
      <c r="C1879">
        <v>9.9066178308204798</v>
      </c>
      <c r="D1879">
        <v>0.37193957922110898</v>
      </c>
      <c r="E1879">
        <v>0.89283776398859604</v>
      </c>
      <c r="F1879">
        <v>93</v>
      </c>
      <c r="G1879">
        <v>86</v>
      </c>
      <c r="H1879" t="s">
        <v>6978</v>
      </c>
      <c r="I1879" t="s">
        <v>6979</v>
      </c>
      <c r="J1879" t="s">
        <v>2249</v>
      </c>
    </row>
    <row r="1880" spans="1:10">
      <c r="A1880" t="s">
        <v>6980</v>
      </c>
      <c r="B1880">
        <v>-0.48667998369403198</v>
      </c>
      <c r="C1880">
        <v>7.9146083888207102</v>
      </c>
      <c r="D1880">
        <v>0.37183793203392301</v>
      </c>
      <c r="E1880">
        <v>0.89283776398859604</v>
      </c>
      <c r="F1880">
        <v>18</v>
      </c>
      <c r="G1880">
        <v>27</v>
      </c>
      <c r="H1880" t="s">
        <v>6981</v>
      </c>
      <c r="I1880" t="s">
        <v>6982</v>
      </c>
      <c r="J1880" t="s">
        <v>2250</v>
      </c>
    </row>
    <row r="1881" spans="1:10">
      <c r="A1881" t="s">
        <v>6983</v>
      </c>
      <c r="B1881">
        <v>-0.48667998369403198</v>
      </c>
      <c r="C1881">
        <v>7.9146083888207102</v>
      </c>
      <c r="D1881">
        <v>0.37183793203392301</v>
      </c>
      <c r="E1881">
        <v>0.89283776398859604</v>
      </c>
      <c r="F1881">
        <v>18</v>
      </c>
      <c r="G1881">
        <v>27</v>
      </c>
      <c r="H1881" t="s">
        <v>28</v>
      </c>
      <c r="I1881" t="s">
        <v>3438</v>
      </c>
      <c r="J1881" t="s">
        <v>2251</v>
      </c>
    </row>
    <row r="1882" spans="1:10">
      <c r="A1882" t="s">
        <v>6984</v>
      </c>
      <c r="B1882">
        <v>0.41007040995798599</v>
      </c>
      <c r="C1882">
        <v>7.9146407638903904</v>
      </c>
      <c r="D1882">
        <v>0.37183793203392301</v>
      </c>
      <c r="E1882">
        <v>0.89283776398859604</v>
      </c>
      <c r="F1882">
        <v>25</v>
      </c>
      <c r="G1882">
        <v>20</v>
      </c>
      <c r="H1882" t="s">
        <v>6985</v>
      </c>
      <c r="I1882" t="s">
        <v>6986</v>
      </c>
      <c r="J1882" t="s">
        <v>2252</v>
      </c>
    </row>
    <row r="1883" spans="1:10">
      <c r="A1883" t="s">
        <v>6987</v>
      </c>
      <c r="B1883">
        <v>0.41007040995798599</v>
      </c>
      <c r="C1883">
        <v>7.9146407638903904</v>
      </c>
      <c r="D1883">
        <v>0.37183793203392301</v>
      </c>
      <c r="E1883">
        <v>0.89283776398859604</v>
      </c>
      <c r="F1883">
        <v>25</v>
      </c>
      <c r="G1883">
        <v>20</v>
      </c>
      <c r="H1883" t="s">
        <v>6988</v>
      </c>
      <c r="I1883" t="s">
        <v>6989</v>
      </c>
      <c r="J1883" t="s">
        <v>2253</v>
      </c>
    </row>
    <row r="1884" spans="1:10">
      <c r="A1884" t="s">
        <v>6990</v>
      </c>
      <c r="B1884">
        <v>0.41007040995798599</v>
      </c>
      <c r="C1884">
        <v>7.9146407638903904</v>
      </c>
      <c r="D1884">
        <v>0.37183793203392301</v>
      </c>
      <c r="E1884">
        <v>0.89283776398859604</v>
      </c>
      <c r="F1884">
        <v>25</v>
      </c>
      <c r="G1884">
        <v>20</v>
      </c>
      <c r="H1884" t="s">
        <v>28</v>
      </c>
      <c r="I1884" t="s">
        <v>3438</v>
      </c>
      <c r="J1884" t="s">
        <v>2254</v>
      </c>
    </row>
    <row r="1885" spans="1:10">
      <c r="A1885" t="s">
        <v>6991</v>
      </c>
      <c r="B1885">
        <v>0.41007040995798599</v>
      </c>
      <c r="C1885">
        <v>7.9146407638903904</v>
      </c>
      <c r="D1885">
        <v>0.37183793203392301</v>
      </c>
      <c r="E1885">
        <v>0.89283776398859604</v>
      </c>
      <c r="F1885">
        <v>25</v>
      </c>
      <c r="G1885">
        <v>20</v>
      </c>
      <c r="H1885" t="s">
        <v>6992</v>
      </c>
      <c r="I1885" t="s">
        <v>6993</v>
      </c>
      <c r="J1885" t="s">
        <v>2255</v>
      </c>
    </row>
    <row r="1886" spans="1:10">
      <c r="A1886" t="s">
        <v>6994</v>
      </c>
      <c r="B1886">
        <v>-0.232712177797646</v>
      </c>
      <c r="C1886">
        <v>9.6611495554894802</v>
      </c>
      <c r="D1886">
        <v>0.37095185067076702</v>
      </c>
      <c r="E1886">
        <v>0.89283776398859604</v>
      </c>
      <c r="F1886">
        <v>67</v>
      </c>
      <c r="G1886">
        <v>84</v>
      </c>
      <c r="H1886" t="s">
        <v>28</v>
      </c>
      <c r="I1886" t="s">
        <v>3438</v>
      </c>
      <c r="J1886" t="s">
        <v>2256</v>
      </c>
    </row>
    <row r="1887" spans="1:10">
      <c r="A1887" t="s">
        <v>6995</v>
      </c>
      <c r="B1887">
        <v>-0.25983178249952099</v>
      </c>
      <c r="C1887">
        <v>9.3652618173376201</v>
      </c>
      <c r="D1887">
        <v>0.36876745796778398</v>
      </c>
      <c r="E1887">
        <v>0.891026404826742</v>
      </c>
      <c r="F1887">
        <v>54</v>
      </c>
      <c r="G1887">
        <v>69</v>
      </c>
      <c r="H1887" t="s">
        <v>28</v>
      </c>
      <c r="I1887" t="s">
        <v>3438</v>
      </c>
      <c r="J1887" t="s">
        <v>2257</v>
      </c>
    </row>
    <row r="1888" spans="1:10">
      <c r="A1888" t="s">
        <v>6996</v>
      </c>
      <c r="B1888">
        <v>-0.38938749524104899</v>
      </c>
      <c r="C1888">
        <v>8.3296447040711801</v>
      </c>
      <c r="D1888">
        <v>0.36701417392444602</v>
      </c>
      <c r="E1888">
        <v>0.88745682957971395</v>
      </c>
      <c r="F1888">
        <v>25</v>
      </c>
      <c r="G1888">
        <v>35</v>
      </c>
      <c r="H1888" t="s">
        <v>6997</v>
      </c>
      <c r="I1888" t="s">
        <v>6998</v>
      </c>
      <c r="J1888" t="s">
        <v>2258</v>
      </c>
    </row>
    <row r="1889" spans="1:10">
      <c r="A1889" t="s">
        <v>6999</v>
      </c>
      <c r="B1889">
        <v>-0.38938749524104899</v>
      </c>
      <c r="C1889">
        <v>8.3296447040711801</v>
      </c>
      <c r="D1889">
        <v>0.36701417392444602</v>
      </c>
      <c r="E1889">
        <v>0.88745682957971395</v>
      </c>
      <c r="F1889">
        <v>25</v>
      </c>
      <c r="G1889">
        <v>35</v>
      </c>
      <c r="H1889" t="s">
        <v>7000</v>
      </c>
      <c r="I1889" t="s">
        <v>7001</v>
      </c>
      <c r="J1889" t="s">
        <v>2259</v>
      </c>
    </row>
    <row r="1890" spans="1:10">
      <c r="A1890" t="s">
        <v>7002</v>
      </c>
      <c r="B1890">
        <v>-0.38938749524104899</v>
      </c>
      <c r="C1890">
        <v>8.3296447040711801</v>
      </c>
      <c r="D1890">
        <v>0.36701417392444602</v>
      </c>
      <c r="E1890">
        <v>0.88745682957971395</v>
      </c>
      <c r="F1890">
        <v>25</v>
      </c>
      <c r="G1890">
        <v>35</v>
      </c>
      <c r="H1890" t="s">
        <v>7003</v>
      </c>
      <c r="I1890" t="s">
        <v>7004</v>
      </c>
      <c r="J1890" t="s">
        <v>2260</v>
      </c>
    </row>
    <row r="1891" spans="1:10">
      <c r="A1891" t="s">
        <v>7005</v>
      </c>
      <c r="B1891">
        <v>0.379064451182135</v>
      </c>
      <c r="C1891">
        <v>8.3296816765406696</v>
      </c>
      <c r="D1891">
        <v>0.36701417392444602</v>
      </c>
      <c r="E1891">
        <v>0.88745682957971395</v>
      </c>
      <c r="F1891">
        <v>33</v>
      </c>
      <c r="G1891">
        <v>27</v>
      </c>
      <c r="H1891" t="s">
        <v>7006</v>
      </c>
      <c r="I1891" t="s">
        <v>7007</v>
      </c>
      <c r="J1891" t="s">
        <v>2261</v>
      </c>
    </row>
    <row r="1892" spans="1:10">
      <c r="A1892" t="s">
        <v>7008</v>
      </c>
      <c r="B1892">
        <v>0.268245437525793</v>
      </c>
      <c r="C1892">
        <v>9.0375037064957908</v>
      </c>
      <c r="D1892">
        <v>0.36452900025051699</v>
      </c>
      <c r="E1892">
        <v>0.88410653454424104</v>
      </c>
      <c r="F1892">
        <v>52</v>
      </c>
      <c r="G1892">
        <v>46</v>
      </c>
      <c r="H1892" t="s">
        <v>28</v>
      </c>
      <c r="I1892" t="s">
        <v>3438</v>
      </c>
      <c r="J1892" t="s">
        <v>2262</v>
      </c>
    </row>
    <row r="1893" spans="1:10">
      <c r="A1893" t="s">
        <v>7009</v>
      </c>
      <c r="B1893">
        <v>0.268245437525793</v>
      </c>
      <c r="C1893">
        <v>9.0375037064957908</v>
      </c>
      <c r="D1893">
        <v>0.36452900025051699</v>
      </c>
      <c r="E1893">
        <v>0.88410653454424104</v>
      </c>
      <c r="F1893">
        <v>52</v>
      </c>
      <c r="G1893">
        <v>46</v>
      </c>
      <c r="H1893" t="s">
        <v>7010</v>
      </c>
      <c r="I1893" t="s">
        <v>7011</v>
      </c>
      <c r="J1893" t="s">
        <v>2263</v>
      </c>
    </row>
    <row r="1894" spans="1:10">
      <c r="A1894" t="s">
        <v>7012</v>
      </c>
      <c r="B1894">
        <v>-0.32019343363610298</v>
      </c>
      <c r="C1894">
        <v>8.6895396172355905</v>
      </c>
      <c r="D1894">
        <v>0.36295633287110002</v>
      </c>
      <c r="E1894">
        <v>0.88162202908871501</v>
      </c>
      <c r="F1894">
        <v>33</v>
      </c>
      <c r="G1894">
        <v>44</v>
      </c>
      <c r="H1894" t="s">
        <v>7013</v>
      </c>
      <c r="I1894" t="s">
        <v>7014</v>
      </c>
      <c r="J1894" t="s">
        <v>2264</v>
      </c>
    </row>
    <row r="1895" spans="1:10">
      <c r="A1895" t="s">
        <v>7015</v>
      </c>
      <c r="B1895">
        <v>-0.56088477063810005</v>
      </c>
      <c r="C1895">
        <v>7.3769551779407196</v>
      </c>
      <c r="D1895">
        <v>0.36195680722719198</v>
      </c>
      <c r="E1895">
        <v>0.87985872414410404</v>
      </c>
      <c r="F1895">
        <v>12</v>
      </c>
      <c r="G1895">
        <v>19</v>
      </c>
      <c r="H1895" t="s">
        <v>7016</v>
      </c>
      <c r="I1895" t="s">
        <v>7017</v>
      </c>
      <c r="J1895" t="s">
        <v>2265</v>
      </c>
    </row>
    <row r="1896" spans="1:10">
      <c r="A1896" t="s">
        <v>7018</v>
      </c>
      <c r="B1896">
        <v>-0.56088477063810005</v>
      </c>
      <c r="C1896">
        <v>7.3769551779407196</v>
      </c>
      <c r="D1896">
        <v>0.36195680722719198</v>
      </c>
      <c r="E1896">
        <v>0.87985872414410404</v>
      </c>
      <c r="F1896">
        <v>12</v>
      </c>
      <c r="G1896">
        <v>19</v>
      </c>
      <c r="H1896" t="s">
        <v>7019</v>
      </c>
      <c r="I1896" t="s">
        <v>3599</v>
      </c>
      <c r="J1896" t="s">
        <v>2266</v>
      </c>
    </row>
    <row r="1897" spans="1:10">
      <c r="A1897" t="s">
        <v>7020</v>
      </c>
      <c r="B1897">
        <v>-0.56088477063810005</v>
      </c>
      <c r="C1897">
        <v>7.3769551779407196</v>
      </c>
      <c r="D1897">
        <v>0.36195680722719198</v>
      </c>
      <c r="E1897">
        <v>0.87985872414410404</v>
      </c>
      <c r="F1897">
        <v>12</v>
      </c>
      <c r="G1897">
        <v>19</v>
      </c>
      <c r="H1897" t="s">
        <v>7021</v>
      </c>
      <c r="I1897" t="s">
        <v>7022</v>
      </c>
      <c r="J1897" t="s">
        <v>2267</v>
      </c>
    </row>
    <row r="1898" spans="1:10">
      <c r="A1898" t="s">
        <v>7023</v>
      </c>
      <c r="B1898">
        <v>-0.56088477063810005</v>
      </c>
      <c r="C1898">
        <v>7.3769551779407196</v>
      </c>
      <c r="D1898">
        <v>0.36195680722719198</v>
      </c>
      <c r="E1898">
        <v>0.87985872414410404</v>
      </c>
      <c r="F1898">
        <v>12</v>
      </c>
      <c r="G1898">
        <v>19</v>
      </c>
      <c r="H1898" t="s">
        <v>7024</v>
      </c>
      <c r="I1898" t="s">
        <v>7025</v>
      </c>
      <c r="J1898" t="s">
        <v>2268</v>
      </c>
    </row>
    <row r="1899" spans="1:10">
      <c r="A1899" t="s">
        <v>7026</v>
      </c>
      <c r="B1899">
        <v>0.58493707964296104</v>
      </c>
      <c r="C1899">
        <v>7.2807674848019799</v>
      </c>
      <c r="D1899">
        <v>0.36195680722719198</v>
      </c>
      <c r="E1899">
        <v>0.87985872414410404</v>
      </c>
      <c r="F1899">
        <v>17</v>
      </c>
      <c r="G1899">
        <v>12</v>
      </c>
      <c r="H1899" t="s">
        <v>28</v>
      </c>
      <c r="I1899" t="s">
        <v>3438</v>
      </c>
      <c r="J1899" t="s">
        <v>2269</v>
      </c>
    </row>
    <row r="1900" spans="1:10">
      <c r="A1900" t="s">
        <v>7027</v>
      </c>
      <c r="B1900">
        <v>0.58493707964296104</v>
      </c>
      <c r="C1900">
        <v>7.2807674848019799</v>
      </c>
      <c r="D1900">
        <v>0.36195680722719198</v>
      </c>
      <c r="E1900">
        <v>0.87985872414410404</v>
      </c>
      <c r="F1900">
        <v>17</v>
      </c>
      <c r="G1900">
        <v>12</v>
      </c>
      <c r="H1900" t="s">
        <v>28</v>
      </c>
      <c r="I1900" t="s">
        <v>3438</v>
      </c>
      <c r="J1900" t="s">
        <v>2270</v>
      </c>
    </row>
    <row r="1901" spans="1:10">
      <c r="A1901" t="s">
        <v>7028</v>
      </c>
      <c r="B1901">
        <v>0.42478658324069501</v>
      </c>
      <c r="C1901">
        <v>7.8490522751297096</v>
      </c>
      <c r="D1901">
        <v>0.36089577525692301</v>
      </c>
      <c r="E1901">
        <v>0.87985872414410404</v>
      </c>
      <c r="F1901">
        <v>24</v>
      </c>
      <c r="G1901">
        <v>19</v>
      </c>
      <c r="H1901" t="s">
        <v>28</v>
      </c>
      <c r="I1901" t="s">
        <v>3657</v>
      </c>
      <c r="J1901" t="s">
        <v>2271</v>
      </c>
    </row>
    <row r="1902" spans="1:10">
      <c r="A1902" t="s">
        <v>7029</v>
      </c>
      <c r="B1902">
        <v>0.42478658324069501</v>
      </c>
      <c r="C1902">
        <v>7.8490522751297096</v>
      </c>
      <c r="D1902">
        <v>0.36089577525692301</v>
      </c>
      <c r="E1902">
        <v>0.87985872414410404</v>
      </c>
      <c r="F1902">
        <v>24</v>
      </c>
      <c r="G1902">
        <v>19</v>
      </c>
      <c r="H1902" t="s">
        <v>28</v>
      </c>
      <c r="I1902" t="s">
        <v>3438</v>
      </c>
      <c r="J1902" t="s">
        <v>2272</v>
      </c>
    </row>
    <row r="1903" spans="1:10">
      <c r="A1903" t="s">
        <v>7030</v>
      </c>
      <c r="B1903">
        <v>0.42478658324069501</v>
      </c>
      <c r="C1903">
        <v>7.8490522751297096</v>
      </c>
      <c r="D1903">
        <v>0.36089577525692301</v>
      </c>
      <c r="E1903">
        <v>0.87985872414410404</v>
      </c>
      <c r="F1903">
        <v>24</v>
      </c>
      <c r="G1903">
        <v>19</v>
      </c>
      <c r="H1903" t="s">
        <v>7031</v>
      </c>
      <c r="I1903" t="s">
        <v>7032</v>
      </c>
      <c r="J1903" t="s">
        <v>2273</v>
      </c>
    </row>
    <row r="1904" spans="1:10">
      <c r="A1904" t="s">
        <v>7033</v>
      </c>
      <c r="B1904">
        <v>0.42478658324069501</v>
      </c>
      <c r="C1904">
        <v>7.8490522751297096</v>
      </c>
      <c r="D1904">
        <v>0.36089577525692301</v>
      </c>
      <c r="E1904">
        <v>0.87985872414410404</v>
      </c>
      <c r="F1904">
        <v>24</v>
      </c>
      <c r="G1904">
        <v>19</v>
      </c>
      <c r="H1904" t="s">
        <v>28</v>
      </c>
      <c r="I1904" t="s">
        <v>3465</v>
      </c>
      <c r="J1904" t="s">
        <v>2274</v>
      </c>
    </row>
    <row r="1905" spans="1:10">
      <c r="A1905" t="s">
        <v>7034</v>
      </c>
      <c r="B1905">
        <v>0.42478658324069501</v>
      </c>
      <c r="C1905">
        <v>7.8490522751297096</v>
      </c>
      <c r="D1905">
        <v>0.36089577525692301</v>
      </c>
      <c r="E1905">
        <v>0.87985872414410404</v>
      </c>
      <c r="F1905">
        <v>24</v>
      </c>
      <c r="G1905">
        <v>19</v>
      </c>
      <c r="H1905" t="s">
        <v>28</v>
      </c>
      <c r="I1905" t="s">
        <v>3438</v>
      </c>
      <c r="J1905" t="s">
        <v>2275</v>
      </c>
    </row>
    <row r="1906" spans="1:10">
      <c r="A1906" t="s">
        <v>7035</v>
      </c>
      <c r="B1906">
        <v>0.26156326444447098</v>
      </c>
      <c r="C1906">
        <v>9.3176154623514709</v>
      </c>
      <c r="D1906">
        <v>0.36078548381032199</v>
      </c>
      <c r="E1906">
        <v>0.87985872414410404</v>
      </c>
      <c r="F1906">
        <v>63</v>
      </c>
      <c r="G1906">
        <v>56</v>
      </c>
      <c r="H1906" t="s">
        <v>7036</v>
      </c>
      <c r="I1906" t="s">
        <v>7037</v>
      </c>
      <c r="J1906" t="s">
        <v>2276</v>
      </c>
    </row>
    <row r="1907" spans="1:10">
      <c r="A1907" t="s">
        <v>7038</v>
      </c>
      <c r="B1907">
        <v>-0.19627322271445199</v>
      </c>
      <c r="C1907">
        <v>10.066597802236901</v>
      </c>
      <c r="D1907">
        <v>0.36039605628857602</v>
      </c>
      <c r="E1907">
        <v>0.87985872414410404</v>
      </c>
      <c r="F1907">
        <v>90</v>
      </c>
      <c r="G1907">
        <v>110</v>
      </c>
      <c r="H1907" t="s">
        <v>28</v>
      </c>
      <c r="I1907" t="s">
        <v>3438</v>
      </c>
      <c r="J1907" t="s">
        <v>2277</v>
      </c>
    </row>
    <row r="1908" spans="1:10">
      <c r="A1908" t="s">
        <v>7039</v>
      </c>
      <c r="B1908">
        <v>-0.19627322271445199</v>
      </c>
      <c r="C1908">
        <v>10.066597802236901</v>
      </c>
      <c r="D1908">
        <v>0.36039605628857602</v>
      </c>
      <c r="E1908">
        <v>0.87985872414410404</v>
      </c>
      <c r="F1908">
        <v>90</v>
      </c>
      <c r="G1908">
        <v>110</v>
      </c>
      <c r="H1908" t="s">
        <v>28</v>
      </c>
      <c r="I1908" t="s">
        <v>7040</v>
      </c>
      <c r="J1908" t="s">
        <v>2278</v>
      </c>
    </row>
    <row r="1909" spans="1:10">
      <c r="A1909" t="s">
        <v>7041</v>
      </c>
      <c r="B1909">
        <v>-0.29476705170342299</v>
      </c>
      <c r="C1909">
        <v>9.0226628074691</v>
      </c>
      <c r="D1909">
        <v>0.35955053258242903</v>
      </c>
      <c r="E1909">
        <v>0.87985872414410404</v>
      </c>
      <c r="F1909">
        <v>42</v>
      </c>
      <c r="G1909">
        <v>55</v>
      </c>
      <c r="H1909" t="s">
        <v>7042</v>
      </c>
      <c r="I1909" t="s">
        <v>7043</v>
      </c>
      <c r="J1909" t="s">
        <v>2279</v>
      </c>
    </row>
    <row r="1910" spans="1:10">
      <c r="A1910" t="s">
        <v>7044</v>
      </c>
      <c r="B1910">
        <v>-0.29476705170342299</v>
      </c>
      <c r="C1910">
        <v>9.0226628074691</v>
      </c>
      <c r="D1910">
        <v>0.35955053258242903</v>
      </c>
      <c r="E1910">
        <v>0.87985872414410404</v>
      </c>
      <c r="F1910">
        <v>42</v>
      </c>
      <c r="G1910">
        <v>55</v>
      </c>
      <c r="H1910" t="s">
        <v>28</v>
      </c>
      <c r="I1910" t="s">
        <v>3631</v>
      </c>
      <c r="J1910" t="s">
        <v>2280</v>
      </c>
    </row>
    <row r="1911" spans="1:10">
      <c r="A1911" t="s">
        <v>7045</v>
      </c>
      <c r="B1911">
        <v>-0.66653373028130702</v>
      </c>
      <c r="C1911">
        <v>6.6706901108884296</v>
      </c>
      <c r="D1911">
        <v>0.35951398995731199</v>
      </c>
      <c r="E1911">
        <v>0.87985872414410404</v>
      </c>
      <c r="F1911">
        <v>7</v>
      </c>
      <c r="G1911">
        <v>12</v>
      </c>
      <c r="H1911" t="s">
        <v>28</v>
      </c>
      <c r="I1911" t="s">
        <v>3631</v>
      </c>
      <c r="J1911" t="s">
        <v>2281</v>
      </c>
    </row>
    <row r="1912" spans="1:10">
      <c r="A1912" t="s">
        <v>7046</v>
      </c>
      <c r="B1912">
        <v>-0.66653373028130702</v>
      </c>
      <c r="C1912">
        <v>6.6706901108884296</v>
      </c>
      <c r="D1912">
        <v>0.35951398995731199</v>
      </c>
      <c r="E1912">
        <v>0.87985872414410404</v>
      </c>
      <c r="F1912">
        <v>7</v>
      </c>
      <c r="G1912">
        <v>12</v>
      </c>
      <c r="H1912" t="s">
        <v>28</v>
      </c>
      <c r="I1912" t="s">
        <v>3465</v>
      </c>
      <c r="J1912" t="s">
        <v>2282</v>
      </c>
    </row>
    <row r="1913" spans="1:10">
      <c r="A1913" t="s">
        <v>7047</v>
      </c>
      <c r="B1913">
        <v>-0.66653373028130702</v>
      </c>
      <c r="C1913">
        <v>6.6706901108884296</v>
      </c>
      <c r="D1913">
        <v>0.35951398995731199</v>
      </c>
      <c r="E1913">
        <v>0.87985872414410404</v>
      </c>
      <c r="F1913">
        <v>7</v>
      </c>
      <c r="G1913">
        <v>12</v>
      </c>
      <c r="H1913" t="s">
        <v>7048</v>
      </c>
      <c r="I1913" t="s">
        <v>7049</v>
      </c>
      <c r="J1913" t="s">
        <v>2283</v>
      </c>
    </row>
    <row r="1914" spans="1:10">
      <c r="A1914" t="s">
        <v>7050</v>
      </c>
      <c r="B1914">
        <v>-0.66653373028130702</v>
      </c>
      <c r="C1914">
        <v>6.6706901108884296</v>
      </c>
      <c r="D1914">
        <v>0.35951398995731199</v>
      </c>
      <c r="E1914">
        <v>0.87985872414410404</v>
      </c>
      <c r="F1914">
        <v>7</v>
      </c>
      <c r="G1914">
        <v>12</v>
      </c>
      <c r="H1914" t="s">
        <v>7051</v>
      </c>
      <c r="I1914" t="s">
        <v>7052</v>
      </c>
      <c r="J1914" t="s">
        <v>2284</v>
      </c>
    </row>
    <row r="1915" spans="1:10">
      <c r="A1915" t="s">
        <v>7053</v>
      </c>
      <c r="B1915">
        <v>-0.66653373028130702</v>
      </c>
      <c r="C1915">
        <v>6.6706901108884296</v>
      </c>
      <c r="D1915">
        <v>0.35951398995731199</v>
      </c>
      <c r="E1915">
        <v>0.87985872414410404</v>
      </c>
      <c r="F1915">
        <v>7</v>
      </c>
      <c r="G1915">
        <v>12</v>
      </c>
      <c r="H1915" t="s">
        <v>7054</v>
      </c>
      <c r="I1915" t="s">
        <v>3687</v>
      </c>
      <c r="J1915" t="s">
        <v>2285</v>
      </c>
    </row>
    <row r="1916" spans="1:10">
      <c r="A1916" t="s">
        <v>7055</v>
      </c>
      <c r="B1916">
        <v>-0.66653373028130702</v>
      </c>
      <c r="C1916">
        <v>6.6706901108884296</v>
      </c>
      <c r="D1916">
        <v>0.35951398995731199</v>
      </c>
      <c r="E1916">
        <v>0.87985872414410404</v>
      </c>
      <c r="F1916">
        <v>7</v>
      </c>
      <c r="G1916">
        <v>12</v>
      </c>
      <c r="H1916" t="s">
        <v>28</v>
      </c>
      <c r="I1916" t="s">
        <v>7056</v>
      </c>
      <c r="J1916" t="s">
        <v>2286</v>
      </c>
    </row>
    <row r="1917" spans="1:10">
      <c r="A1917" t="s">
        <v>7057</v>
      </c>
      <c r="B1917">
        <v>-0.66653373028130702</v>
      </c>
      <c r="C1917">
        <v>6.6706901108884296</v>
      </c>
      <c r="D1917">
        <v>0.35951398995731199</v>
      </c>
      <c r="E1917">
        <v>0.87985872414410404</v>
      </c>
      <c r="F1917">
        <v>7</v>
      </c>
      <c r="G1917">
        <v>12</v>
      </c>
      <c r="H1917" t="s">
        <v>28</v>
      </c>
      <c r="I1917" t="s">
        <v>3438</v>
      </c>
      <c r="J1917" t="s">
        <v>2287</v>
      </c>
    </row>
    <row r="1918" spans="1:10">
      <c r="A1918" t="s">
        <v>7058</v>
      </c>
      <c r="B1918">
        <v>0.84692511833138195</v>
      </c>
      <c r="C1918">
        <v>6.6707132659843902</v>
      </c>
      <c r="D1918">
        <v>0.35951398995731199</v>
      </c>
      <c r="E1918">
        <v>0.87985872414410404</v>
      </c>
      <c r="F1918">
        <v>12</v>
      </c>
      <c r="G1918">
        <v>7</v>
      </c>
      <c r="H1918" t="s">
        <v>28</v>
      </c>
      <c r="I1918" t="s">
        <v>3438</v>
      </c>
      <c r="J1918" t="s">
        <v>2288</v>
      </c>
    </row>
    <row r="1919" spans="1:10">
      <c r="A1919" t="s">
        <v>7059</v>
      </c>
      <c r="B1919">
        <v>0.84692511833138195</v>
      </c>
      <c r="C1919">
        <v>6.6707132659843902</v>
      </c>
      <c r="D1919">
        <v>0.35951398995731199</v>
      </c>
      <c r="E1919">
        <v>0.87985872414410404</v>
      </c>
      <c r="F1919">
        <v>12</v>
      </c>
      <c r="G1919">
        <v>7</v>
      </c>
      <c r="H1919" t="s">
        <v>28</v>
      </c>
      <c r="I1919" t="s">
        <v>3438</v>
      </c>
      <c r="J1919" t="s">
        <v>2289</v>
      </c>
    </row>
    <row r="1920" spans="1:10">
      <c r="A1920" t="s">
        <v>7060</v>
      </c>
      <c r="B1920">
        <v>0.84692511833138195</v>
      </c>
      <c r="C1920">
        <v>6.6707132659843902</v>
      </c>
      <c r="D1920">
        <v>0.35951398995731199</v>
      </c>
      <c r="E1920">
        <v>0.87985872414410404</v>
      </c>
      <c r="F1920">
        <v>12</v>
      </c>
      <c r="G1920">
        <v>7</v>
      </c>
      <c r="H1920" t="s">
        <v>28</v>
      </c>
      <c r="I1920" t="s">
        <v>3438</v>
      </c>
      <c r="J1920" t="s">
        <v>2290</v>
      </c>
    </row>
    <row r="1921" spans="1:10">
      <c r="A1921" t="s">
        <v>7061</v>
      </c>
      <c r="B1921">
        <v>0.38892107274311599</v>
      </c>
      <c r="C1921">
        <v>8.2807719293762094</v>
      </c>
      <c r="D1921">
        <v>0.35884155008889002</v>
      </c>
      <c r="E1921">
        <v>0.87985872414410404</v>
      </c>
      <c r="F1921">
        <v>32</v>
      </c>
      <c r="G1921">
        <v>26</v>
      </c>
      <c r="H1921" t="s">
        <v>7062</v>
      </c>
      <c r="I1921" t="s">
        <v>7063</v>
      </c>
      <c r="J1921" t="s">
        <v>2291</v>
      </c>
    </row>
    <row r="1922" spans="1:10">
      <c r="A1922" t="s">
        <v>7064</v>
      </c>
      <c r="B1922">
        <v>-0.232337881101876</v>
      </c>
      <c r="C1922">
        <v>9.8236210100277201</v>
      </c>
      <c r="D1922">
        <v>0.35802951467178601</v>
      </c>
      <c r="E1922">
        <v>0.87985872414410404</v>
      </c>
      <c r="F1922">
        <v>75</v>
      </c>
      <c r="G1922">
        <v>94</v>
      </c>
      <c r="H1922" t="s">
        <v>7065</v>
      </c>
      <c r="I1922" t="s">
        <v>7066</v>
      </c>
      <c r="J1922" t="s">
        <v>2292</v>
      </c>
    </row>
    <row r="1923" spans="1:10">
      <c r="A1923" t="s">
        <v>7067</v>
      </c>
      <c r="B1923">
        <v>0.30866502371148702</v>
      </c>
      <c r="C1923">
        <v>8.9619546151317699</v>
      </c>
      <c r="D1923">
        <v>0.35445876844678798</v>
      </c>
      <c r="E1923">
        <v>0.87985872414410404</v>
      </c>
      <c r="F1923">
        <v>50</v>
      </c>
      <c r="G1923">
        <v>43</v>
      </c>
      <c r="H1923" t="s">
        <v>7068</v>
      </c>
      <c r="I1923" t="s">
        <v>7069</v>
      </c>
      <c r="J1923" t="s">
        <v>2293</v>
      </c>
    </row>
    <row r="1924" spans="1:10">
      <c r="A1924" t="s">
        <v>7070</v>
      </c>
      <c r="B1924">
        <v>0.30866502371148702</v>
      </c>
      <c r="C1924">
        <v>8.9619546151317699</v>
      </c>
      <c r="D1924">
        <v>0.35445876844678798</v>
      </c>
      <c r="E1924">
        <v>0.87985872414410404</v>
      </c>
      <c r="F1924">
        <v>50</v>
      </c>
      <c r="G1924">
        <v>43</v>
      </c>
      <c r="H1924" t="s">
        <v>28</v>
      </c>
      <c r="I1924" t="s">
        <v>3438</v>
      </c>
      <c r="J1924" t="s">
        <v>2294</v>
      </c>
    </row>
    <row r="1925" spans="1:10">
      <c r="A1925" t="s">
        <v>7071</v>
      </c>
      <c r="B1925">
        <v>0.30866502371148702</v>
      </c>
      <c r="C1925">
        <v>8.9619546151317699</v>
      </c>
      <c r="D1925">
        <v>0.35445876844678798</v>
      </c>
      <c r="E1925">
        <v>0.87985872414410404</v>
      </c>
      <c r="F1925">
        <v>50</v>
      </c>
      <c r="G1925">
        <v>43</v>
      </c>
      <c r="H1925" t="s">
        <v>7072</v>
      </c>
      <c r="I1925" t="s">
        <v>7073</v>
      </c>
      <c r="J1925" t="s">
        <v>2295</v>
      </c>
    </row>
    <row r="1926" spans="1:10">
      <c r="A1926" t="s">
        <v>7074</v>
      </c>
      <c r="B1926">
        <v>0.212480317994722</v>
      </c>
      <c r="C1926">
        <v>10.007767790087099</v>
      </c>
      <c r="D1926">
        <v>0.350475589535161</v>
      </c>
      <c r="E1926">
        <v>0.87239125073148505</v>
      </c>
      <c r="F1926">
        <v>100</v>
      </c>
      <c r="G1926">
        <v>92</v>
      </c>
      <c r="H1926" t="s">
        <v>28</v>
      </c>
      <c r="I1926" t="s">
        <v>3438</v>
      </c>
      <c r="J1926" t="s">
        <v>2296</v>
      </c>
    </row>
    <row r="1927" spans="1:10">
      <c r="A1927" t="s">
        <v>7075</v>
      </c>
      <c r="B1927">
        <v>0.399483156885096</v>
      </c>
      <c r="C1927">
        <v>8.2301457095935096</v>
      </c>
      <c r="D1927">
        <v>0.35035786398806501</v>
      </c>
      <c r="E1927">
        <v>0.87239125073148505</v>
      </c>
      <c r="F1927">
        <v>31</v>
      </c>
      <c r="G1927">
        <v>25</v>
      </c>
      <c r="H1927" t="s">
        <v>28</v>
      </c>
      <c r="I1927" t="s">
        <v>3438</v>
      </c>
      <c r="J1927" t="s">
        <v>212</v>
      </c>
    </row>
    <row r="1928" spans="1:10">
      <c r="A1928" t="s">
        <v>7076</v>
      </c>
      <c r="B1928">
        <v>0.399483156885096</v>
      </c>
      <c r="C1928">
        <v>8.2301457095935096</v>
      </c>
      <c r="D1928">
        <v>0.35035786398806501</v>
      </c>
      <c r="E1928">
        <v>0.87239125073148505</v>
      </c>
      <c r="F1928">
        <v>31</v>
      </c>
      <c r="G1928">
        <v>25</v>
      </c>
      <c r="H1928" t="s">
        <v>28</v>
      </c>
      <c r="I1928" t="s">
        <v>6449</v>
      </c>
      <c r="J1928" t="s">
        <v>2297</v>
      </c>
    </row>
    <row r="1929" spans="1:10">
      <c r="A1929" t="s">
        <v>7077</v>
      </c>
      <c r="B1929">
        <v>0.36773812916516402</v>
      </c>
      <c r="C1929">
        <v>8.61261890186071</v>
      </c>
      <c r="D1929">
        <v>0.35006194844226901</v>
      </c>
      <c r="E1929">
        <v>0.87239125073148505</v>
      </c>
      <c r="F1929">
        <v>40</v>
      </c>
      <c r="G1929">
        <v>33</v>
      </c>
      <c r="H1929" t="s">
        <v>7078</v>
      </c>
      <c r="I1929" t="s">
        <v>7079</v>
      </c>
      <c r="J1929" t="s">
        <v>2298</v>
      </c>
    </row>
    <row r="1930" spans="1:10">
      <c r="A1930" t="s">
        <v>7080</v>
      </c>
      <c r="B1930">
        <v>-0.54427575056431599</v>
      </c>
      <c r="C1930">
        <v>7.7803069963651401</v>
      </c>
      <c r="D1930">
        <v>0.349384661525797</v>
      </c>
      <c r="E1930">
        <v>0.87237660828180497</v>
      </c>
      <c r="F1930">
        <v>16</v>
      </c>
      <c r="G1930">
        <v>25</v>
      </c>
      <c r="H1930" t="s">
        <v>28</v>
      </c>
      <c r="I1930" t="s">
        <v>3438</v>
      </c>
      <c r="J1930" t="s">
        <v>2299</v>
      </c>
    </row>
    <row r="1931" spans="1:10">
      <c r="A1931" t="s">
        <v>7081</v>
      </c>
      <c r="B1931">
        <v>0.44094100092400101</v>
      </c>
      <c r="C1931">
        <v>7.7803393778832701</v>
      </c>
      <c r="D1931">
        <v>0.349384661525797</v>
      </c>
      <c r="E1931">
        <v>0.87237660828180497</v>
      </c>
      <c r="F1931">
        <v>23</v>
      </c>
      <c r="G1931">
        <v>18</v>
      </c>
      <c r="H1931" t="s">
        <v>28</v>
      </c>
      <c r="I1931" t="s">
        <v>3438</v>
      </c>
      <c r="J1931" t="s">
        <v>2300</v>
      </c>
    </row>
    <row r="1932" spans="1:10">
      <c r="A1932" t="s">
        <v>7082</v>
      </c>
      <c r="B1932">
        <v>0.44094100092400101</v>
      </c>
      <c r="C1932">
        <v>7.7803393778832701</v>
      </c>
      <c r="D1932">
        <v>0.349384661525797</v>
      </c>
      <c r="E1932">
        <v>0.87237660828180497</v>
      </c>
      <c r="F1932">
        <v>23</v>
      </c>
      <c r="G1932">
        <v>18</v>
      </c>
      <c r="H1932" t="s">
        <v>7083</v>
      </c>
      <c r="I1932" t="s">
        <v>7084</v>
      </c>
      <c r="J1932" t="s">
        <v>2301</v>
      </c>
    </row>
    <row r="1933" spans="1:10">
      <c r="A1933" t="s">
        <v>7085</v>
      </c>
      <c r="B1933">
        <v>-0.16816446969979601</v>
      </c>
      <c r="C1933">
        <v>10.592659500301099</v>
      </c>
      <c r="D1933">
        <v>0.34839310940511697</v>
      </c>
      <c r="E1933">
        <v>0.87193170416097698</v>
      </c>
      <c r="F1933">
        <v>131</v>
      </c>
      <c r="G1933">
        <v>157</v>
      </c>
      <c r="H1933" t="s">
        <v>7086</v>
      </c>
      <c r="I1933" t="s">
        <v>7087</v>
      </c>
      <c r="J1933" t="s">
        <v>2302</v>
      </c>
    </row>
    <row r="1934" spans="1:10">
      <c r="A1934" t="s">
        <v>7088</v>
      </c>
      <c r="B1934">
        <v>0.217594305885388</v>
      </c>
      <c r="C1934">
        <v>9.7537176280344209</v>
      </c>
      <c r="D1934">
        <v>0.346249586559085</v>
      </c>
      <c r="E1934">
        <v>0.86724195511995195</v>
      </c>
      <c r="F1934">
        <v>84</v>
      </c>
      <c r="G1934">
        <v>77</v>
      </c>
      <c r="H1934" t="s">
        <v>28</v>
      </c>
      <c r="I1934" t="s">
        <v>3436</v>
      </c>
      <c r="J1934" t="s">
        <v>2303</v>
      </c>
    </row>
    <row r="1935" spans="1:10">
      <c r="A1935" t="s">
        <v>7089</v>
      </c>
      <c r="B1935">
        <v>-0.60689665553444005</v>
      </c>
      <c r="C1935">
        <v>7.2807397125756701</v>
      </c>
      <c r="D1935">
        <v>0.34526819418397398</v>
      </c>
      <c r="E1935">
        <v>0.86545792088516005</v>
      </c>
      <c r="F1935">
        <v>11</v>
      </c>
      <c r="G1935">
        <v>18</v>
      </c>
      <c r="H1935" t="s">
        <v>28</v>
      </c>
      <c r="I1935" t="s">
        <v>3438</v>
      </c>
      <c r="J1935" t="s">
        <v>2304</v>
      </c>
    </row>
    <row r="1936" spans="1:10">
      <c r="A1936" t="s">
        <v>7090</v>
      </c>
      <c r="B1936">
        <v>-0.52563334764476199</v>
      </c>
      <c r="C1936">
        <v>7.2301158788887498</v>
      </c>
      <c r="D1936">
        <v>0.34526819418397398</v>
      </c>
      <c r="E1936">
        <v>0.86545792088516005</v>
      </c>
      <c r="F1936">
        <v>11</v>
      </c>
      <c r="G1936">
        <v>17</v>
      </c>
      <c r="H1936" t="s">
        <v>28</v>
      </c>
      <c r="I1936" t="s">
        <v>3438</v>
      </c>
      <c r="J1936" t="s">
        <v>2305</v>
      </c>
    </row>
    <row r="1937" spans="1:10">
      <c r="A1937" t="s">
        <v>7091</v>
      </c>
      <c r="B1937">
        <v>-0.52563334764476199</v>
      </c>
      <c r="C1937">
        <v>7.2301158788887498</v>
      </c>
      <c r="D1937">
        <v>0.34526819418397398</v>
      </c>
      <c r="E1937">
        <v>0.86545792088516005</v>
      </c>
      <c r="F1937">
        <v>11</v>
      </c>
      <c r="G1937">
        <v>17</v>
      </c>
      <c r="H1937" t="s">
        <v>28</v>
      </c>
      <c r="I1937" t="s">
        <v>3438</v>
      </c>
      <c r="J1937" t="s">
        <v>2306</v>
      </c>
    </row>
    <row r="1938" spans="1:10">
      <c r="A1938" t="s">
        <v>7092</v>
      </c>
      <c r="B1938">
        <v>0.70770979591571403</v>
      </c>
      <c r="C1938">
        <v>7.23014365254331</v>
      </c>
      <c r="D1938">
        <v>0.34526819418397398</v>
      </c>
      <c r="E1938">
        <v>0.86545792088516005</v>
      </c>
      <c r="F1938">
        <v>17</v>
      </c>
      <c r="G1938">
        <v>11</v>
      </c>
      <c r="H1938" t="s">
        <v>7093</v>
      </c>
      <c r="I1938" t="s">
        <v>7094</v>
      </c>
      <c r="J1938" t="s">
        <v>2307</v>
      </c>
    </row>
    <row r="1939" spans="1:10">
      <c r="A1939" t="s">
        <v>7095</v>
      </c>
      <c r="B1939">
        <v>0.70770979591571403</v>
      </c>
      <c r="C1939">
        <v>7.23014365254331</v>
      </c>
      <c r="D1939">
        <v>0.34526819418397398</v>
      </c>
      <c r="E1939">
        <v>0.86545792088516005</v>
      </c>
      <c r="F1939">
        <v>17</v>
      </c>
      <c r="G1939">
        <v>11</v>
      </c>
      <c r="H1939" t="s">
        <v>7096</v>
      </c>
      <c r="I1939" t="s">
        <v>7097</v>
      </c>
      <c r="J1939" t="s">
        <v>2308</v>
      </c>
    </row>
    <row r="1940" spans="1:10">
      <c r="A1940" t="s">
        <v>7098</v>
      </c>
      <c r="B1940">
        <v>0.70770979591571403</v>
      </c>
      <c r="C1940">
        <v>7.23014365254331</v>
      </c>
      <c r="D1940">
        <v>0.34526819418397398</v>
      </c>
      <c r="E1940">
        <v>0.86545792088516005</v>
      </c>
      <c r="F1940">
        <v>17</v>
      </c>
      <c r="G1940">
        <v>11</v>
      </c>
      <c r="H1940" t="s">
        <v>28</v>
      </c>
      <c r="I1940" t="s">
        <v>4138</v>
      </c>
      <c r="J1940" t="s">
        <v>2309</v>
      </c>
    </row>
    <row r="1941" spans="1:10">
      <c r="A1941" t="s">
        <v>7099</v>
      </c>
      <c r="B1941">
        <v>-1.0699688087594399</v>
      </c>
      <c r="C1941">
        <v>5.7446923344220204</v>
      </c>
      <c r="D1941">
        <v>0.343873016121582</v>
      </c>
      <c r="E1941">
        <v>0.86545792088516005</v>
      </c>
      <c r="F1941">
        <v>3</v>
      </c>
      <c r="G1941">
        <v>7</v>
      </c>
      <c r="H1941" t="s">
        <v>28</v>
      </c>
      <c r="I1941" t="s">
        <v>3438</v>
      </c>
      <c r="J1941" t="s">
        <v>107</v>
      </c>
    </row>
    <row r="1942" spans="1:10">
      <c r="A1942" t="s">
        <v>7100</v>
      </c>
      <c r="B1942">
        <v>-1.0699688087594399</v>
      </c>
      <c r="C1942">
        <v>5.7446923344220204</v>
      </c>
      <c r="D1942">
        <v>0.343873016121582</v>
      </c>
      <c r="E1942">
        <v>0.86545792088516005</v>
      </c>
      <c r="F1942">
        <v>3</v>
      </c>
      <c r="G1942">
        <v>7</v>
      </c>
      <c r="H1942" t="s">
        <v>7101</v>
      </c>
      <c r="I1942" t="s">
        <v>7102</v>
      </c>
      <c r="J1942" t="s">
        <v>2310</v>
      </c>
    </row>
    <row r="1943" spans="1:10">
      <c r="A1943" t="s">
        <v>7103</v>
      </c>
      <c r="B1943">
        <v>-1.0699688087594399</v>
      </c>
      <c r="C1943">
        <v>5.7446923344220204</v>
      </c>
      <c r="D1943">
        <v>0.343873016121582</v>
      </c>
      <c r="E1943">
        <v>0.86545792088516005</v>
      </c>
      <c r="F1943">
        <v>3</v>
      </c>
      <c r="G1943">
        <v>7</v>
      </c>
      <c r="H1943" t="s">
        <v>28</v>
      </c>
      <c r="I1943" t="s">
        <v>3438</v>
      </c>
      <c r="J1943" t="s">
        <v>2311</v>
      </c>
    </row>
    <row r="1944" spans="1:10">
      <c r="A1944" t="s">
        <v>7104</v>
      </c>
      <c r="B1944">
        <v>-1.0699688087594399</v>
      </c>
      <c r="C1944">
        <v>5.7446923344220204</v>
      </c>
      <c r="D1944">
        <v>0.343873016121582</v>
      </c>
      <c r="E1944">
        <v>0.86545792088516005</v>
      </c>
      <c r="F1944">
        <v>3</v>
      </c>
      <c r="G1944">
        <v>7</v>
      </c>
      <c r="H1944" t="s">
        <v>28</v>
      </c>
      <c r="I1944" t="s">
        <v>3471</v>
      </c>
      <c r="J1944" t="s">
        <v>2312</v>
      </c>
    </row>
    <row r="1945" spans="1:10">
      <c r="A1945" t="s">
        <v>7105</v>
      </c>
      <c r="B1945">
        <v>-1.0699688087594399</v>
      </c>
      <c r="C1945">
        <v>5.7446923344220204</v>
      </c>
      <c r="D1945">
        <v>0.343873016121582</v>
      </c>
      <c r="E1945">
        <v>0.86545792088516005</v>
      </c>
      <c r="F1945">
        <v>3</v>
      </c>
      <c r="G1945">
        <v>7</v>
      </c>
      <c r="H1945" t="s">
        <v>28</v>
      </c>
      <c r="I1945" t="s">
        <v>3438</v>
      </c>
      <c r="J1945" t="s">
        <v>2313</v>
      </c>
    </row>
    <row r="1946" spans="1:10">
      <c r="A1946" t="s">
        <v>7106</v>
      </c>
      <c r="B1946">
        <v>-1.0699688087594399</v>
      </c>
      <c r="C1946">
        <v>5.7446923344220204</v>
      </c>
      <c r="D1946">
        <v>0.343873016121582</v>
      </c>
      <c r="E1946">
        <v>0.86545792088516005</v>
      </c>
      <c r="F1946">
        <v>3</v>
      </c>
      <c r="G1946">
        <v>7</v>
      </c>
      <c r="H1946" t="s">
        <v>7107</v>
      </c>
      <c r="I1946" t="s">
        <v>7108</v>
      </c>
      <c r="J1946" t="s">
        <v>2314</v>
      </c>
    </row>
    <row r="1947" spans="1:10">
      <c r="A1947" t="s">
        <v>7109</v>
      </c>
      <c r="B1947">
        <v>-1.0699688087594399</v>
      </c>
      <c r="C1947">
        <v>5.7446923344220204</v>
      </c>
      <c r="D1947">
        <v>0.343873016121582</v>
      </c>
      <c r="E1947">
        <v>0.86545792088516005</v>
      </c>
      <c r="F1947">
        <v>3</v>
      </c>
      <c r="G1947">
        <v>7</v>
      </c>
      <c r="H1947" t="s">
        <v>28</v>
      </c>
      <c r="I1947" t="s">
        <v>3438</v>
      </c>
      <c r="J1947" t="s">
        <v>2315</v>
      </c>
    </row>
    <row r="1948" spans="1:10">
      <c r="A1948" t="s">
        <v>7110</v>
      </c>
      <c r="B1948">
        <v>-1.0699688087594399</v>
      </c>
      <c r="C1948">
        <v>5.7446923344220204</v>
      </c>
      <c r="D1948">
        <v>0.343873016121582</v>
      </c>
      <c r="E1948">
        <v>0.86545792088516005</v>
      </c>
      <c r="F1948">
        <v>3</v>
      </c>
      <c r="G1948">
        <v>7</v>
      </c>
      <c r="H1948" t="s">
        <v>28</v>
      </c>
      <c r="I1948" t="s">
        <v>3438</v>
      </c>
      <c r="J1948" t="s">
        <v>2316</v>
      </c>
    </row>
    <row r="1949" spans="1:10">
      <c r="A1949" t="s">
        <v>7111</v>
      </c>
      <c r="B1949">
        <v>1.2451207871135499</v>
      </c>
      <c r="C1949">
        <v>5.7447108668133504</v>
      </c>
      <c r="D1949">
        <v>0.343873016121582</v>
      </c>
      <c r="E1949">
        <v>0.86545792088516005</v>
      </c>
      <c r="F1949">
        <v>7</v>
      </c>
      <c r="G1949">
        <v>3</v>
      </c>
      <c r="H1949" t="s">
        <v>28</v>
      </c>
      <c r="I1949" t="s">
        <v>3631</v>
      </c>
      <c r="J1949" t="s">
        <v>2317</v>
      </c>
    </row>
    <row r="1950" spans="1:10">
      <c r="A1950" t="s">
        <v>7112</v>
      </c>
      <c r="B1950">
        <v>1.2451207871135499</v>
      </c>
      <c r="C1950">
        <v>5.7447108668133504</v>
      </c>
      <c r="D1950">
        <v>0.343873016121582</v>
      </c>
      <c r="E1950">
        <v>0.86545792088516005</v>
      </c>
      <c r="F1950">
        <v>7</v>
      </c>
      <c r="G1950">
        <v>3</v>
      </c>
      <c r="H1950" t="s">
        <v>7113</v>
      </c>
      <c r="I1950" t="s">
        <v>3687</v>
      </c>
      <c r="J1950" t="s">
        <v>2318</v>
      </c>
    </row>
    <row r="1951" spans="1:10">
      <c r="A1951" t="s">
        <v>7114</v>
      </c>
      <c r="B1951">
        <v>1.2451207871135499</v>
      </c>
      <c r="C1951">
        <v>5.7447108668133504</v>
      </c>
      <c r="D1951">
        <v>0.343873016121582</v>
      </c>
      <c r="E1951">
        <v>0.86545792088516005</v>
      </c>
      <c r="F1951">
        <v>7</v>
      </c>
      <c r="G1951">
        <v>3</v>
      </c>
      <c r="H1951" t="s">
        <v>28</v>
      </c>
      <c r="I1951" t="s">
        <v>3438</v>
      </c>
      <c r="J1951" t="s">
        <v>2319</v>
      </c>
    </row>
    <row r="1952" spans="1:10">
      <c r="A1952" t="s">
        <v>7115</v>
      </c>
      <c r="B1952">
        <v>1.2451207871135499</v>
      </c>
      <c r="C1952">
        <v>5.7447108668133504</v>
      </c>
      <c r="D1952">
        <v>0.343873016121582</v>
      </c>
      <c r="E1952">
        <v>0.86545792088516005</v>
      </c>
      <c r="F1952">
        <v>7</v>
      </c>
      <c r="G1952">
        <v>3</v>
      </c>
      <c r="H1952" t="s">
        <v>28</v>
      </c>
      <c r="I1952" t="s">
        <v>3438</v>
      </c>
      <c r="J1952" t="s">
        <v>2320</v>
      </c>
    </row>
    <row r="1953" spans="1:10">
      <c r="A1953" t="s">
        <v>7116</v>
      </c>
      <c r="B1953">
        <v>1.2451207871135499</v>
      </c>
      <c r="C1953">
        <v>5.7447108668133504</v>
      </c>
      <c r="D1953">
        <v>0.343873016121582</v>
      </c>
      <c r="E1953">
        <v>0.86545792088516005</v>
      </c>
      <c r="F1953">
        <v>7</v>
      </c>
      <c r="G1953">
        <v>3</v>
      </c>
      <c r="H1953" t="s">
        <v>28</v>
      </c>
      <c r="I1953" t="s">
        <v>3770</v>
      </c>
      <c r="J1953" t="s">
        <v>2321</v>
      </c>
    </row>
    <row r="1954" spans="1:10">
      <c r="A1954" t="s">
        <v>7117</v>
      </c>
      <c r="B1954">
        <v>1.2451207871135499</v>
      </c>
      <c r="C1954">
        <v>5.7447108668133504</v>
      </c>
      <c r="D1954">
        <v>0.343873016121582</v>
      </c>
      <c r="E1954">
        <v>0.86545792088516005</v>
      </c>
      <c r="F1954">
        <v>7</v>
      </c>
      <c r="G1954">
        <v>3</v>
      </c>
      <c r="H1954" t="s">
        <v>28</v>
      </c>
      <c r="I1954" t="s">
        <v>3657</v>
      </c>
      <c r="J1954" t="s">
        <v>2322</v>
      </c>
    </row>
    <row r="1955" spans="1:10">
      <c r="A1955" t="s">
        <v>7118</v>
      </c>
      <c r="B1955">
        <v>1.2451207871135499</v>
      </c>
      <c r="C1955">
        <v>5.7447108668133504</v>
      </c>
      <c r="D1955">
        <v>0.343873016121582</v>
      </c>
      <c r="E1955">
        <v>0.86545792088516005</v>
      </c>
      <c r="F1955">
        <v>7</v>
      </c>
      <c r="G1955">
        <v>3</v>
      </c>
      <c r="H1955" t="s">
        <v>7119</v>
      </c>
      <c r="I1955" t="s">
        <v>7120</v>
      </c>
      <c r="J1955" t="s">
        <v>2323</v>
      </c>
    </row>
    <row r="1956" spans="1:10">
      <c r="A1956" t="s">
        <v>7121</v>
      </c>
      <c r="B1956">
        <v>1.2451207871135499</v>
      </c>
      <c r="C1956">
        <v>5.7447108668133504</v>
      </c>
      <c r="D1956">
        <v>0.343873016121582</v>
      </c>
      <c r="E1956">
        <v>0.86545792088516005</v>
      </c>
      <c r="F1956">
        <v>7</v>
      </c>
      <c r="G1956">
        <v>3</v>
      </c>
      <c r="H1956" t="s">
        <v>28</v>
      </c>
      <c r="I1956" t="s">
        <v>3438</v>
      </c>
      <c r="J1956" t="s">
        <v>1839</v>
      </c>
    </row>
    <row r="1957" spans="1:10">
      <c r="A1957" t="s">
        <v>7122</v>
      </c>
      <c r="B1957">
        <v>1.2451207871135499</v>
      </c>
      <c r="C1957">
        <v>5.7447108668133504</v>
      </c>
      <c r="D1957">
        <v>0.343873016121582</v>
      </c>
      <c r="E1957">
        <v>0.86545792088516005</v>
      </c>
      <c r="F1957">
        <v>7</v>
      </c>
      <c r="G1957">
        <v>3</v>
      </c>
      <c r="H1957" t="s">
        <v>28</v>
      </c>
      <c r="I1957" t="s">
        <v>3438</v>
      </c>
      <c r="J1957" t="s">
        <v>2324</v>
      </c>
    </row>
    <row r="1958" spans="1:10">
      <c r="A1958" t="s">
        <v>7123</v>
      </c>
      <c r="B1958">
        <v>1.2451207871135499</v>
      </c>
      <c r="C1958">
        <v>5.7447108668133504</v>
      </c>
      <c r="D1958">
        <v>0.343873016121582</v>
      </c>
      <c r="E1958">
        <v>0.86545792088516005</v>
      </c>
      <c r="F1958">
        <v>7</v>
      </c>
      <c r="G1958">
        <v>3</v>
      </c>
      <c r="H1958" t="s">
        <v>28</v>
      </c>
      <c r="I1958" t="s">
        <v>3438</v>
      </c>
      <c r="J1958" t="s">
        <v>2325</v>
      </c>
    </row>
    <row r="1959" spans="1:10">
      <c r="A1959" t="s">
        <v>7124</v>
      </c>
      <c r="B1959">
        <v>1.2451207871135499</v>
      </c>
      <c r="C1959">
        <v>5.7447108668133504</v>
      </c>
      <c r="D1959">
        <v>0.343873016121582</v>
      </c>
      <c r="E1959">
        <v>0.86545792088516005</v>
      </c>
      <c r="F1959">
        <v>7</v>
      </c>
      <c r="G1959">
        <v>3</v>
      </c>
      <c r="H1959" t="s">
        <v>7125</v>
      </c>
      <c r="I1959" t="s">
        <v>7126</v>
      </c>
      <c r="J1959" t="s">
        <v>2326</v>
      </c>
    </row>
    <row r="1960" spans="1:10">
      <c r="A1960" t="s">
        <v>7127</v>
      </c>
      <c r="B1960">
        <v>1.2451207871135499</v>
      </c>
      <c r="C1960">
        <v>5.7447108668133504</v>
      </c>
      <c r="D1960">
        <v>0.343873016121582</v>
      </c>
      <c r="E1960">
        <v>0.86545792088516005</v>
      </c>
      <c r="F1960">
        <v>7</v>
      </c>
      <c r="G1960">
        <v>3</v>
      </c>
      <c r="H1960" t="s">
        <v>7128</v>
      </c>
      <c r="I1960" t="s">
        <v>7129</v>
      </c>
      <c r="J1960" t="s">
        <v>2327</v>
      </c>
    </row>
    <row r="1961" spans="1:10">
      <c r="A1961" t="s">
        <v>7130</v>
      </c>
      <c r="B1961">
        <v>1.2451207871135499</v>
      </c>
      <c r="C1961">
        <v>5.7447108668133504</v>
      </c>
      <c r="D1961">
        <v>0.343873016121582</v>
      </c>
      <c r="E1961">
        <v>0.86545792088516005</v>
      </c>
      <c r="F1961">
        <v>7</v>
      </c>
      <c r="G1961">
        <v>3</v>
      </c>
      <c r="H1961" t="s">
        <v>28</v>
      </c>
      <c r="I1961" t="s">
        <v>3438</v>
      </c>
      <c r="J1961" t="s">
        <v>2328</v>
      </c>
    </row>
    <row r="1962" spans="1:10">
      <c r="A1962" t="s">
        <v>7131</v>
      </c>
      <c r="B1962">
        <v>1.2451207871135499</v>
      </c>
      <c r="C1962">
        <v>5.7447108668133504</v>
      </c>
      <c r="D1962">
        <v>0.343873016121582</v>
      </c>
      <c r="E1962">
        <v>0.86545792088516005</v>
      </c>
      <c r="F1962">
        <v>7</v>
      </c>
      <c r="G1962">
        <v>3</v>
      </c>
      <c r="H1962" t="s">
        <v>28</v>
      </c>
      <c r="I1962" t="s">
        <v>3438</v>
      </c>
      <c r="J1962" t="s">
        <v>2329</v>
      </c>
    </row>
    <row r="1963" spans="1:10">
      <c r="A1963" t="s">
        <v>7132</v>
      </c>
      <c r="B1963">
        <v>1.2451207871135499</v>
      </c>
      <c r="C1963">
        <v>5.7447108668133504</v>
      </c>
      <c r="D1963">
        <v>0.343873016121582</v>
      </c>
      <c r="E1963">
        <v>0.86545792088516005</v>
      </c>
      <c r="F1963">
        <v>7</v>
      </c>
      <c r="G1963">
        <v>3</v>
      </c>
      <c r="H1963" t="s">
        <v>28</v>
      </c>
      <c r="I1963" t="s">
        <v>7133</v>
      </c>
      <c r="J1963" t="s">
        <v>2330</v>
      </c>
    </row>
    <row r="1964" spans="1:10">
      <c r="A1964" t="s">
        <v>7134</v>
      </c>
      <c r="B1964">
        <v>0.37547903876864902</v>
      </c>
      <c r="C1964">
        <v>8.5725413162211606</v>
      </c>
      <c r="D1964">
        <v>0.34332839982513202</v>
      </c>
      <c r="E1964">
        <v>0.86545792088516005</v>
      </c>
      <c r="F1964">
        <v>39</v>
      </c>
      <c r="G1964">
        <v>32</v>
      </c>
      <c r="H1964" t="s">
        <v>28</v>
      </c>
      <c r="I1964" t="s">
        <v>3770</v>
      </c>
      <c r="J1964" t="s">
        <v>2331</v>
      </c>
    </row>
    <row r="1965" spans="1:10">
      <c r="A1965" t="s">
        <v>7135</v>
      </c>
      <c r="B1965">
        <v>0.21633719014005501</v>
      </c>
      <c r="C1965">
        <v>9.9619636674259695</v>
      </c>
      <c r="D1965">
        <v>0.34274359590595499</v>
      </c>
      <c r="E1965">
        <v>0.86545792088516005</v>
      </c>
      <c r="F1965">
        <v>97</v>
      </c>
      <c r="G1965">
        <v>89</v>
      </c>
      <c r="H1965" t="s">
        <v>7136</v>
      </c>
      <c r="I1965" t="s">
        <v>7137</v>
      </c>
      <c r="J1965" t="s">
        <v>2332</v>
      </c>
    </row>
    <row r="1966" spans="1:10">
      <c r="A1966" t="s">
        <v>7138</v>
      </c>
      <c r="B1966">
        <v>0.41082956823397498</v>
      </c>
      <c r="C1966">
        <v>8.1776781429574292</v>
      </c>
      <c r="D1966">
        <v>0.34154407815273802</v>
      </c>
      <c r="E1966">
        <v>0.86545792088516005</v>
      </c>
      <c r="F1966">
        <v>30</v>
      </c>
      <c r="G1966">
        <v>24</v>
      </c>
      <c r="H1966" t="s">
        <v>7139</v>
      </c>
      <c r="I1966" t="s">
        <v>7140</v>
      </c>
      <c r="J1966" t="s">
        <v>2333</v>
      </c>
    </row>
    <row r="1967" spans="1:10">
      <c r="A1967" t="s">
        <v>7141</v>
      </c>
      <c r="B1967">
        <v>-0.23665421855281299</v>
      </c>
      <c r="C1967">
        <v>9.7265237917102301</v>
      </c>
      <c r="D1967">
        <v>0.34012583731767698</v>
      </c>
      <c r="E1967">
        <v>0.86545792088516005</v>
      </c>
      <c r="F1967">
        <v>70</v>
      </c>
      <c r="G1967">
        <v>88</v>
      </c>
      <c r="H1967" t="s">
        <v>7142</v>
      </c>
      <c r="I1967" t="s">
        <v>4945</v>
      </c>
      <c r="J1967" t="s">
        <v>2334</v>
      </c>
    </row>
    <row r="1968" spans="1:10">
      <c r="A1968" t="s">
        <v>7143</v>
      </c>
      <c r="B1968">
        <v>-0.30545082361291498</v>
      </c>
      <c r="C1968">
        <v>9.1909305821829506</v>
      </c>
      <c r="D1968">
        <v>0.33950024921556399</v>
      </c>
      <c r="E1968">
        <v>0.86545792088516005</v>
      </c>
      <c r="F1968">
        <v>47</v>
      </c>
      <c r="G1968">
        <v>62</v>
      </c>
      <c r="H1968" t="s">
        <v>28</v>
      </c>
      <c r="I1968" t="s">
        <v>7144</v>
      </c>
      <c r="J1968" t="s">
        <v>2335</v>
      </c>
    </row>
    <row r="1969" spans="1:10">
      <c r="A1969" t="s">
        <v>7145</v>
      </c>
      <c r="B1969">
        <v>7.5084742640451202E-2</v>
      </c>
      <c r="C1969">
        <v>12.947397223172</v>
      </c>
      <c r="D1969">
        <v>0.33930524016281199</v>
      </c>
      <c r="E1969">
        <v>0.86545792088516005</v>
      </c>
      <c r="F1969">
        <v>732</v>
      </c>
      <c r="G1969">
        <v>741</v>
      </c>
      <c r="H1969" t="s">
        <v>7146</v>
      </c>
      <c r="I1969" t="s">
        <v>7147</v>
      </c>
      <c r="J1969" t="s">
        <v>2336</v>
      </c>
    </row>
    <row r="1970" spans="1:10">
      <c r="A1970" t="s">
        <v>7148</v>
      </c>
      <c r="B1970">
        <v>-0.57767329231526099</v>
      </c>
      <c r="C1970">
        <v>7.7081570601923701</v>
      </c>
      <c r="D1970">
        <v>0.33725647741641002</v>
      </c>
      <c r="E1970">
        <v>0.86545792088516005</v>
      </c>
      <c r="F1970">
        <v>15</v>
      </c>
      <c r="G1970">
        <v>24</v>
      </c>
      <c r="H1970" t="s">
        <v>7149</v>
      </c>
      <c r="I1970" t="s">
        <v>7150</v>
      </c>
      <c r="J1970" t="s">
        <v>2337</v>
      </c>
    </row>
    <row r="1971" spans="1:10">
      <c r="A1971" t="s">
        <v>7151</v>
      </c>
      <c r="B1971">
        <v>-0.57767329231526099</v>
      </c>
      <c r="C1971">
        <v>7.7081570601923701</v>
      </c>
      <c r="D1971">
        <v>0.33725647741641002</v>
      </c>
      <c r="E1971">
        <v>0.86545792088516005</v>
      </c>
      <c r="F1971">
        <v>15</v>
      </c>
      <c r="G1971">
        <v>24</v>
      </c>
      <c r="H1971" t="s">
        <v>28</v>
      </c>
      <c r="I1971" t="s">
        <v>7152</v>
      </c>
      <c r="J1971" t="s">
        <v>2338</v>
      </c>
    </row>
    <row r="1972" spans="1:10">
      <c r="A1972" t="s">
        <v>7153</v>
      </c>
      <c r="B1972">
        <v>0.45875651935650302</v>
      </c>
      <c r="C1972">
        <v>7.7081894449356803</v>
      </c>
      <c r="D1972">
        <v>0.33725647741641002</v>
      </c>
      <c r="E1972">
        <v>0.86545792088516005</v>
      </c>
      <c r="F1972">
        <v>22</v>
      </c>
      <c r="G1972">
        <v>17</v>
      </c>
      <c r="H1972" t="s">
        <v>28</v>
      </c>
      <c r="I1972" t="s">
        <v>3438</v>
      </c>
      <c r="J1972" t="s">
        <v>2339</v>
      </c>
    </row>
    <row r="1973" spans="1:10">
      <c r="A1973" t="s">
        <v>7154</v>
      </c>
      <c r="B1973">
        <v>0.45875651935650302</v>
      </c>
      <c r="C1973">
        <v>7.7081894449356803</v>
      </c>
      <c r="D1973">
        <v>0.33725647741641002</v>
      </c>
      <c r="E1973">
        <v>0.86545792088516005</v>
      </c>
      <c r="F1973">
        <v>22</v>
      </c>
      <c r="G1973">
        <v>17</v>
      </c>
      <c r="H1973" t="s">
        <v>7155</v>
      </c>
      <c r="I1973" t="s">
        <v>7156</v>
      </c>
      <c r="J1973" t="s">
        <v>2340</v>
      </c>
    </row>
    <row r="1974" spans="1:10">
      <c r="A1974" t="s">
        <v>7157</v>
      </c>
      <c r="B1974">
        <v>-0.36849617284046599</v>
      </c>
      <c r="C1974">
        <v>8.5312769317877901</v>
      </c>
      <c r="D1974">
        <v>0.33639196501424001</v>
      </c>
      <c r="E1974">
        <v>0.86545792088516005</v>
      </c>
      <c r="F1974">
        <v>29</v>
      </c>
      <c r="G1974">
        <v>40</v>
      </c>
      <c r="H1974" t="s">
        <v>7158</v>
      </c>
      <c r="I1974" t="s">
        <v>3438</v>
      </c>
      <c r="J1974" t="s">
        <v>2341</v>
      </c>
    </row>
    <row r="1975" spans="1:10">
      <c r="A1975" t="s">
        <v>7159</v>
      </c>
      <c r="B1975">
        <v>-0.36849617284046599</v>
      </c>
      <c r="C1975">
        <v>8.5312769317877901</v>
      </c>
      <c r="D1975">
        <v>0.33639196501424001</v>
      </c>
      <c r="E1975">
        <v>0.86545792088516005</v>
      </c>
      <c r="F1975">
        <v>29</v>
      </c>
      <c r="G1975">
        <v>40</v>
      </c>
      <c r="H1975" t="s">
        <v>28</v>
      </c>
      <c r="I1975" t="s">
        <v>7160</v>
      </c>
      <c r="J1975" t="s">
        <v>2342</v>
      </c>
    </row>
    <row r="1976" spans="1:10">
      <c r="A1976" t="s">
        <v>7161</v>
      </c>
      <c r="B1976">
        <v>-0.36849617284046599</v>
      </c>
      <c r="C1976">
        <v>8.5312769317877901</v>
      </c>
      <c r="D1976">
        <v>0.33639196501424001</v>
      </c>
      <c r="E1976">
        <v>0.86545792088516005</v>
      </c>
      <c r="F1976">
        <v>29</v>
      </c>
      <c r="G1976">
        <v>40</v>
      </c>
      <c r="H1976" t="s">
        <v>28</v>
      </c>
      <c r="I1976" t="s">
        <v>3438</v>
      </c>
      <c r="J1976" t="s">
        <v>2343</v>
      </c>
    </row>
    <row r="1977" spans="1:10">
      <c r="A1977" t="s">
        <v>7162</v>
      </c>
      <c r="B1977">
        <v>0.38366988702024502</v>
      </c>
      <c r="C1977">
        <v>8.5313185072013304</v>
      </c>
      <c r="D1977">
        <v>0.33639196501424001</v>
      </c>
      <c r="E1977">
        <v>0.86545792088516005</v>
      </c>
      <c r="F1977">
        <v>38</v>
      </c>
      <c r="G1977">
        <v>31</v>
      </c>
      <c r="H1977" t="s">
        <v>28</v>
      </c>
      <c r="I1977" t="s">
        <v>3438</v>
      </c>
      <c r="J1977" t="s">
        <v>2344</v>
      </c>
    </row>
    <row r="1978" spans="1:10">
      <c r="A1978" t="s">
        <v>7163</v>
      </c>
      <c r="B1978">
        <v>-0.26317358272340702</v>
      </c>
      <c r="C1978">
        <v>9.4451133490625203</v>
      </c>
      <c r="D1978">
        <v>0.336255503818289</v>
      </c>
      <c r="E1978">
        <v>0.86545792088516005</v>
      </c>
      <c r="F1978">
        <v>57</v>
      </c>
      <c r="G1978">
        <v>73</v>
      </c>
      <c r="H1978" t="s">
        <v>7164</v>
      </c>
      <c r="I1978" t="s">
        <v>7165</v>
      </c>
      <c r="J1978" t="s">
        <v>2345</v>
      </c>
    </row>
    <row r="1979" spans="1:10">
      <c r="A1979" t="s">
        <v>7166</v>
      </c>
      <c r="B1979">
        <v>-0.31295613704580599</v>
      </c>
      <c r="C1979">
        <v>9.1642130930314298</v>
      </c>
      <c r="D1979">
        <v>0.334996817846068</v>
      </c>
      <c r="E1979">
        <v>0.86545792088516005</v>
      </c>
      <c r="F1979">
        <v>46</v>
      </c>
      <c r="G1979">
        <v>61</v>
      </c>
      <c r="H1979" t="s">
        <v>234</v>
      </c>
      <c r="I1979" t="s">
        <v>7167</v>
      </c>
      <c r="J1979" t="s">
        <v>235</v>
      </c>
    </row>
    <row r="1980" spans="1:10">
      <c r="A1980" t="s">
        <v>7168</v>
      </c>
      <c r="B1980">
        <v>0.35982128977055</v>
      </c>
      <c r="C1980">
        <v>8.8490623555203296</v>
      </c>
      <c r="D1980">
        <v>0.33287377651719102</v>
      </c>
      <c r="E1980">
        <v>0.86471895418359301</v>
      </c>
      <c r="F1980">
        <v>47</v>
      </c>
      <c r="G1980">
        <v>39</v>
      </c>
      <c r="H1980" t="s">
        <v>28</v>
      </c>
      <c r="I1980" t="s">
        <v>3465</v>
      </c>
      <c r="J1980" t="s">
        <v>2346</v>
      </c>
    </row>
    <row r="1981" spans="1:10">
      <c r="A1981" t="s">
        <v>7169</v>
      </c>
      <c r="B1981">
        <v>0.35982128977055</v>
      </c>
      <c r="C1981">
        <v>8.8490623555203296</v>
      </c>
      <c r="D1981">
        <v>0.33287377651719102</v>
      </c>
      <c r="E1981">
        <v>0.86471895418359301</v>
      </c>
      <c r="F1981">
        <v>47</v>
      </c>
      <c r="G1981">
        <v>39</v>
      </c>
      <c r="H1981" t="s">
        <v>7170</v>
      </c>
      <c r="I1981" t="s">
        <v>7171</v>
      </c>
      <c r="J1981" t="s">
        <v>2347</v>
      </c>
    </row>
    <row r="1982" spans="1:10">
      <c r="A1982" t="s">
        <v>7172</v>
      </c>
      <c r="B1982">
        <v>-0.75814187248399101</v>
      </c>
      <c r="C1982">
        <v>6.51022528887143</v>
      </c>
      <c r="D1982">
        <v>0.33251354700937302</v>
      </c>
      <c r="E1982">
        <v>0.86471895418359301</v>
      </c>
      <c r="F1982">
        <v>6</v>
      </c>
      <c r="G1982">
        <v>11</v>
      </c>
      <c r="H1982" t="s">
        <v>28</v>
      </c>
      <c r="I1982" t="s">
        <v>3438</v>
      </c>
      <c r="J1982" t="s">
        <v>2348</v>
      </c>
    </row>
    <row r="1983" spans="1:10">
      <c r="A1983" t="s">
        <v>7173</v>
      </c>
      <c r="B1983">
        <v>-0.75814187248399101</v>
      </c>
      <c r="C1983">
        <v>6.51022528887143</v>
      </c>
      <c r="D1983">
        <v>0.33251354700937302</v>
      </c>
      <c r="E1983">
        <v>0.86471895418359301</v>
      </c>
      <c r="F1983">
        <v>6</v>
      </c>
      <c r="G1983">
        <v>11</v>
      </c>
      <c r="H1983" t="s">
        <v>28</v>
      </c>
      <c r="I1983" t="s">
        <v>3438</v>
      </c>
      <c r="J1983" t="s">
        <v>293</v>
      </c>
    </row>
    <row r="1984" spans="1:10">
      <c r="A1984" t="s">
        <v>7174</v>
      </c>
      <c r="B1984">
        <v>-0.75814187248399101</v>
      </c>
      <c r="C1984">
        <v>6.51022528887143</v>
      </c>
      <c r="D1984">
        <v>0.33251354700937302</v>
      </c>
      <c r="E1984">
        <v>0.86471895418359301</v>
      </c>
      <c r="F1984">
        <v>6</v>
      </c>
      <c r="G1984">
        <v>11</v>
      </c>
      <c r="H1984" t="s">
        <v>28</v>
      </c>
      <c r="I1984" t="s">
        <v>3438</v>
      </c>
      <c r="J1984" t="s">
        <v>2349</v>
      </c>
    </row>
    <row r="1985" spans="1:10">
      <c r="A1985" t="s">
        <v>7175</v>
      </c>
      <c r="B1985">
        <v>-0.75814187248399101</v>
      </c>
      <c r="C1985">
        <v>6.51022528887143</v>
      </c>
      <c r="D1985">
        <v>0.33251354700937302</v>
      </c>
      <c r="E1985">
        <v>0.86471895418359301</v>
      </c>
      <c r="F1985">
        <v>6</v>
      </c>
      <c r="G1985">
        <v>11</v>
      </c>
      <c r="H1985" t="s">
        <v>28</v>
      </c>
      <c r="I1985" t="s">
        <v>3438</v>
      </c>
      <c r="J1985" t="s">
        <v>2350</v>
      </c>
    </row>
    <row r="1986" spans="1:10">
      <c r="A1986" t="s">
        <v>7176</v>
      </c>
      <c r="B1986">
        <v>-0.75814187248399101</v>
      </c>
      <c r="C1986">
        <v>6.51022528887143</v>
      </c>
      <c r="D1986">
        <v>0.33251354700937302</v>
      </c>
      <c r="E1986">
        <v>0.86471895418359301</v>
      </c>
      <c r="F1986">
        <v>6</v>
      </c>
      <c r="G1986">
        <v>11</v>
      </c>
      <c r="H1986" t="s">
        <v>7177</v>
      </c>
      <c r="I1986" t="s">
        <v>7178</v>
      </c>
      <c r="J1986" t="s">
        <v>2351</v>
      </c>
    </row>
    <row r="1987" spans="1:10">
      <c r="A1987" t="s">
        <v>7179</v>
      </c>
      <c r="B1987">
        <v>-0.75814187248399101</v>
      </c>
      <c r="C1987">
        <v>6.51022528887143</v>
      </c>
      <c r="D1987">
        <v>0.33251354700937302</v>
      </c>
      <c r="E1987">
        <v>0.86471895418359301</v>
      </c>
      <c r="F1987">
        <v>6</v>
      </c>
      <c r="G1987">
        <v>11</v>
      </c>
      <c r="H1987" t="s">
        <v>7180</v>
      </c>
      <c r="I1987" t="s">
        <v>7181</v>
      </c>
      <c r="J1987" t="s">
        <v>2352</v>
      </c>
    </row>
    <row r="1988" spans="1:10">
      <c r="A1988" t="s">
        <v>7182</v>
      </c>
      <c r="B1988">
        <v>0.93785358812487096</v>
      </c>
      <c r="C1988">
        <v>6.5102484462761803</v>
      </c>
      <c r="D1988">
        <v>0.33251354700937302</v>
      </c>
      <c r="E1988">
        <v>0.86471895418359301</v>
      </c>
      <c r="F1988">
        <v>11</v>
      </c>
      <c r="G1988">
        <v>6</v>
      </c>
      <c r="H1988" t="s">
        <v>275</v>
      </c>
      <c r="I1988" t="s">
        <v>7183</v>
      </c>
      <c r="J1988" t="s">
        <v>274</v>
      </c>
    </row>
    <row r="1989" spans="1:10">
      <c r="A1989" t="s">
        <v>7184</v>
      </c>
      <c r="B1989">
        <v>0.93785358812487096</v>
      </c>
      <c r="C1989">
        <v>6.5102484462761803</v>
      </c>
      <c r="D1989">
        <v>0.33251354700937302</v>
      </c>
      <c r="E1989">
        <v>0.86471895418359301</v>
      </c>
      <c r="F1989">
        <v>11</v>
      </c>
      <c r="G1989">
        <v>6</v>
      </c>
      <c r="H1989" t="s">
        <v>7185</v>
      </c>
      <c r="I1989" t="s">
        <v>7186</v>
      </c>
      <c r="J1989" t="s">
        <v>2353</v>
      </c>
    </row>
    <row r="1990" spans="1:10">
      <c r="A1990" t="s">
        <v>7187</v>
      </c>
      <c r="B1990">
        <v>0.93785358812487096</v>
      </c>
      <c r="C1990">
        <v>6.5102484462761803</v>
      </c>
      <c r="D1990">
        <v>0.33251354700937302</v>
      </c>
      <c r="E1990">
        <v>0.86471895418359301</v>
      </c>
      <c r="F1990">
        <v>11</v>
      </c>
      <c r="G1990">
        <v>6</v>
      </c>
      <c r="H1990" t="s">
        <v>28</v>
      </c>
      <c r="I1990" t="s">
        <v>3657</v>
      </c>
      <c r="J1990" t="s">
        <v>2354</v>
      </c>
    </row>
    <row r="1991" spans="1:10">
      <c r="A1991" t="s">
        <v>7188</v>
      </c>
      <c r="B1991">
        <v>0.93785358812487096</v>
      </c>
      <c r="C1991">
        <v>6.5102484462761803</v>
      </c>
      <c r="D1991">
        <v>0.33251354700937302</v>
      </c>
      <c r="E1991">
        <v>0.86471895418359301</v>
      </c>
      <c r="F1991">
        <v>11</v>
      </c>
      <c r="G1991">
        <v>6</v>
      </c>
      <c r="H1991" t="s">
        <v>28</v>
      </c>
      <c r="I1991" t="s">
        <v>3438</v>
      </c>
      <c r="J1991" t="s">
        <v>2355</v>
      </c>
    </row>
    <row r="1992" spans="1:10">
      <c r="A1992" t="s">
        <v>7189</v>
      </c>
      <c r="B1992">
        <v>0.93785358812487096</v>
      </c>
      <c r="C1992">
        <v>6.5102484462761803</v>
      </c>
      <c r="D1992">
        <v>0.33251354700937302</v>
      </c>
      <c r="E1992">
        <v>0.86471895418359301</v>
      </c>
      <c r="F1992">
        <v>11</v>
      </c>
      <c r="G1992">
        <v>6</v>
      </c>
      <c r="H1992" t="s">
        <v>28</v>
      </c>
      <c r="I1992" t="s">
        <v>3438</v>
      </c>
      <c r="J1992" t="s">
        <v>2356</v>
      </c>
    </row>
    <row r="1993" spans="1:10">
      <c r="A1993" t="s">
        <v>7190</v>
      </c>
      <c r="B1993">
        <v>-0.46456946517200198</v>
      </c>
      <c r="C1993">
        <v>8.1231932249740897</v>
      </c>
      <c r="D1993">
        <v>0.332379670047667</v>
      </c>
      <c r="E1993">
        <v>0.86471895418359301</v>
      </c>
      <c r="F1993">
        <v>21</v>
      </c>
      <c r="G1993">
        <v>31</v>
      </c>
      <c r="H1993" t="s">
        <v>7191</v>
      </c>
      <c r="I1993" t="s">
        <v>7192</v>
      </c>
      <c r="J1993" t="s">
        <v>2357</v>
      </c>
    </row>
    <row r="1994" spans="1:10">
      <c r="A1994" t="s">
        <v>7193</v>
      </c>
      <c r="B1994">
        <v>-0.46456946517200198</v>
      </c>
      <c r="C1994">
        <v>8.1231932249740897</v>
      </c>
      <c r="D1994">
        <v>0.332379670047667</v>
      </c>
      <c r="E1994">
        <v>0.86471895418359301</v>
      </c>
      <c r="F1994">
        <v>21</v>
      </c>
      <c r="G1994">
        <v>31</v>
      </c>
      <c r="H1994" t="s">
        <v>28</v>
      </c>
      <c r="I1994" t="s">
        <v>3438</v>
      </c>
      <c r="J1994" t="s">
        <v>2358</v>
      </c>
    </row>
    <row r="1995" spans="1:10">
      <c r="A1995" t="s">
        <v>7194</v>
      </c>
      <c r="B1995">
        <v>0.42305143402245099</v>
      </c>
      <c r="C1995">
        <v>8.1232302121638806</v>
      </c>
      <c r="D1995">
        <v>0.332379670047667</v>
      </c>
      <c r="E1995">
        <v>0.86471895418359301</v>
      </c>
      <c r="F1995">
        <v>29</v>
      </c>
      <c r="G1995">
        <v>23</v>
      </c>
      <c r="H1995" t="s">
        <v>7195</v>
      </c>
      <c r="I1995" t="s">
        <v>7196</v>
      </c>
      <c r="J1995" t="s">
        <v>2359</v>
      </c>
    </row>
    <row r="1996" spans="1:10">
      <c r="A1996" t="s">
        <v>7197</v>
      </c>
      <c r="B1996">
        <v>0.42305143402245099</v>
      </c>
      <c r="C1996">
        <v>8.1232302121638806</v>
      </c>
      <c r="D1996">
        <v>0.332379670047667</v>
      </c>
      <c r="E1996">
        <v>0.86471895418359301</v>
      </c>
      <c r="F1996">
        <v>29</v>
      </c>
      <c r="G1996">
        <v>23</v>
      </c>
      <c r="H1996" t="s">
        <v>7198</v>
      </c>
      <c r="I1996" t="s">
        <v>7199</v>
      </c>
      <c r="J1996" t="s">
        <v>2360</v>
      </c>
    </row>
    <row r="1997" spans="1:10">
      <c r="A1997" t="s">
        <v>7200</v>
      </c>
      <c r="B1997">
        <v>0.42305143402245099</v>
      </c>
      <c r="C1997">
        <v>8.1232302121638806</v>
      </c>
      <c r="D1997">
        <v>0.332379670047667</v>
      </c>
      <c r="E1997">
        <v>0.86471895418359301</v>
      </c>
      <c r="F1997">
        <v>29</v>
      </c>
      <c r="G1997">
        <v>23</v>
      </c>
      <c r="H1997" t="s">
        <v>7201</v>
      </c>
      <c r="I1997" t="s">
        <v>7202</v>
      </c>
      <c r="J1997" t="s">
        <v>2361</v>
      </c>
    </row>
    <row r="1998" spans="1:10">
      <c r="A1998" t="s">
        <v>7203</v>
      </c>
      <c r="B1998">
        <v>0.22188379666937599</v>
      </c>
      <c r="C1998">
        <v>9.8985377094869094</v>
      </c>
      <c r="D1998">
        <v>0.33201995958365199</v>
      </c>
      <c r="E1998">
        <v>0.86471895418359301</v>
      </c>
      <c r="F1998">
        <v>93</v>
      </c>
      <c r="G1998">
        <v>85</v>
      </c>
      <c r="H1998" t="s">
        <v>7204</v>
      </c>
      <c r="I1998" t="s">
        <v>7205</v>
      </c>
      <c r="J1998" t="s">
        <v>2362</v>
      </c>
    </row>
    <row r="1999" spans="1:10">
      <c r="A1999" t="s">
        <v>7206</v>
      </c>
      <c r="B1999">
        <v>-0.57391968921501502</v>
      </c>
      <c r="C1999">
        <v>7.1232005250522397</v>
      </c>
      <c r="D1999">
        <v>0.32725598124830502</v>
      </c>
      <c r="E1999">
        <v>0.86337591115221302</v>
      </c>
      <c r="F1999">
        <v>10</v>
      </c>
      <c r="G1999">
        <v>16</v>
      </c>
      <c r="H1999" t="s">
        <v>7207</v>
      </c>
      <c r="I1999" t="s">
        <v>7208</v>
      </c>
      <c r="J1999" t="s">
        <v>2363</v>
      </c>
    </row>
    <row r="2000" spans="1:10">
      <c r="A2000" t="s">
        <v>7209</v>
      </c>
      <c r="B2000">
        <v>-0.57391968921501502</v>
      </c>
      <c r="C2000">
        <v>7.1232005250522397</v>
      </c>
      <c r="D2000">
        <v>0.32725598124830502</v>
      </c>
      <c r="E2000">
        <v>0.86337591115221302</v>
      </c>
      <c r="F2000">
        <v>10</v>
      </c>
      <c r="G2000">
        <v>16</v>
      </c>
      <c r="H2000" t="s">
        <v>28</v>
      </c>
      <c r="I2000" t="s">
        <v>3438</v>
      </c>
      <c r="J2000" t="s">
        <v>2364</v>
      </c>
    </row>
    <row r="2001" spans="1:10">
      <c r="A2001" t="s">
        <v>7210</v>
      </c>
      <c r="B2001">
        <v>0.75571246109360701</v>
      </c>
      <c r="C2001">
        <v>7.1232283014748603</v>
      </c>
      <c r="D2001">
        <v>0.32725598124830502</v>
      </c>
      <c r="E2001">
        <v>0.86337591115221302</v>
      </c>
      <c r="F2001">
        <v>16</v>
      </c>
      <c r="G2001">
        <v>10</v>
      </c>
      <c r="H2001" t="s">
        <v>28</v>
      </c>
      <c r="I2001" t="s">
        <v>3438</v>
      </c>
      <c r="J2001" t="s">
        <v>2365</v>
      </c>
    </row>
    <row r="2002" spans="1:10">
      <c r="A2002" t="s">
        <v>7211</v>
      </c>
      <c r="B2002">
        <v>0.75571246109360701</v>
      </c>
      <c r="C2002">
        <v>7.1232283014748603</v>
      </c>
      <c r="D2002">
        <v>0.32725598124830502</v>
      </c>
      <c r="E2002">
        <v>0.86337591115221302</v>
      </c>
      <c r="F2002">
        <v>16</v>
      </c>
      <c r="G2002">
        <v>10</v>
      </c>
      <c r="H2002" t="s">
        <v>7212</v>
      </c>
      <c r="I2002" t="s">
        <v>3571</v>
      </c>
      <c r="J2002" t="s">
        <v>2366</v>
      </c>
    </row>
    <row r="2003" spans="1:10">
      <c r="A2003" t="s">
        <v>7213</v>
      </c>
      <c r="B2003">
        <v>0.75571246109360701</v>
      </c>
      <c r="C2003">
        <v>7.1232283014748603</v>
      </c>
      <c r="D2003">
        <v>0.32725598124830502</v>
      </c>
      <c r="E2003">
        <v>0.86337591115221302</v>
      </c>
      <c r="F2003">
        <v>16</v>
      </c>
      <c r="G2003">
        <v>10</v>
      </c>
      <c r="H2003" t="s">
        <v>28</v>
      </c>
      <c r="I2003" t="s">
        <v>3438</v>
      </c>
      <c r="J2003" t="s">
        <v>2367</v>
      </c>
    </row>
    <row r="2004" spans="1:10">
      <c r="A2004" t="s">
        <v>7214</v>
      </c>
      <c r="B2004">
        <v>0.75571246109360701</v>
      </c>
      <c r="C2004">
        <v>7.1232283014748603</v>
      </c>
      <c r="D2004">
        <v>0.32725598124830502</v>
      </c>
      <c r="E2004">
        <v>0.86337591115221302</v>
      </c>
      <c r="F2004">
        <v>16</v>
      </c>
      <c r="G2004">
        <v>10</v>
      </c>
      <c r="H2004" t="s">
        <v>7215</v>
      </c>
      <c r="I2004" t="s">
        <v>3436</v>
      </c>
      <c r="J2004" t="s">
        <v>2368</v>
      </c>
    </row>
    <row r="2005" spans="1:10">
      <c r="A2005" t="s">
        <v>7216</v>
      </c>
      <c r="B2005">
        <v>0.75571246109360701</v>
      </c>
      <c r="C2005">
        <v>7.1232283014748603</v>
      </c>
      <c r="D2005">
        <v>0.32725598124830502</v>
      </c>
      <c r="E2005">
        <v>0.86337591115221302</v>
      </c>
      <c r="F2005">
        <v>16</v>
      </c>
      <c r="G2005">
        <v>10</v>
      </c>
      <c r="H2005" t="s">
        <v>7217</v>
      </c>
      <c r="I2005" t="s">
        <v>7218</v>
      </c>
      <c r="J2005" t="s">
        <v>2369</v>
      </c>
    </row>
    <row r="2006" spans="1:10">
      <c r="A2006" t="s">
        <v>7219</v>
      </c>
      <c r="B2006">
        <v>0.75571246109360701</v>
      </c>
      <c r="C2006">
        <v>7.1232283014748603</v>
      </c>
      <c r="D2006">
        <v>0.32725598124830502</v>
      </c>
      <c r="E2006">
        <v>0.86337591115221302</v>
      </c>
      <c r="F2006">
        <v>16</v>
      </c>
      <c r="G2006">
        <v>10</v>
      </c>
      <c r="H2006" t="s">
        <v>7220</v>
      </c>
      <c r="I2006" t="s">
        <v>7221</v>
      </c>
      <c r="J2006" t="s">
        <v>2370</v>
      </c>
    </row>
    <row r="2007" spans="1:10">
      <c r="A2007" t="s">
        <v>7222</v>
      </c>
      <c r="B2007">
        <v>0.75571246109360701</v>
      </c>
      <c r="C2007">
        <v>7.1232283014748603</v>
      </c>
      <c r="D2007">
        <v>0.32725598124830502</v>
      </c>
      <c r="E2007">
        <v>0.86337591115221302</v>
      </c>
      <c r="F2007">
        <v>16</v>
      </c>
      <c r="G2007">
        <v>10</v>
      </c>
      <c r="H2007" t="s">
        <v>28</v>
      </c>
      <c r="I2007" t="s">
        <v>3438</v>
      </c>
      <c r="J2007" t="s">
        <v>2371</v>
      </c>
    </row>
    <row r="2008" spans="1:10">
      <c r="A2008" t="s">
        <v>7223</v>
      </c>
      <c r="B2008">
        <v>-0.32885506991289898</v>
      </c>
      <c r="C2008">
        <v>9.10924633217215</v>
      </c>
      <c r="D2008">
        <v>0.32572351497223601</v>
      </c>
      <c r="E2008">
        <v>0.86337591115221302</v>
      </c>
      <c r="F2008">
        <v>44</v>
      </c>
      <c r="G2008">
        <v>59</v>
      </c>
      <c r="H2008" t="s">
        <v>7224</v>
      </c>
      <c r="I2008" t="s">
        <v>7225</v>
      </c>
      <c r="J2008" t="s">
        <v>2372</v>
      </c>
    </row>
    <row r="2009" spans="1:10">
      <c r="A2009" t="s">
        <v>7226</v>
      </c>
      <c r="B2009">
        <v>-0.28051355483444901</v>
      </c>
      <c r="C2009">
        <v>9.3769413942608306</v>
      </c>
      <c r="D2009">
        <v>0.32474504206660798</v>
      </c>
      <c r="E2009">
        <v>0.86337591115221302</v>
      </c>
      <c r="F2009">
        <v>54</v>
      </c>
      <c r="G2009">
        <v>70</v>
      </c>
      <c r="H2009" t="s">
        <v>28</v>
      </c>
      <c r="I2009" t="s">
        <v>7227</v>
      </c>
      <c r="J2009" t="s">
        <v>2373</v>
      </c>
    </row>
    <row r="2010" spans="1:10">
      <c r="A2010" t="s">
        <v>7228</v>
      </c>
      <c r="B2010">
        <v>-0.28051355483444901</v>
      </c>
      <c r="C2010">
        <v>9.3769413942608306</v>
      </c>
      <c r="D2010">
        <v>0.32474504206660798</v>
      </c>
      <c r="E2010">
        <v>0.86337591115221302</v>
      </c>
      <c r="F2010">
        <v>54</v>
      </c>
      <c r="G2010">
        <v>70</v>
      </c>
      <c r="H2010" t="s">
        <v>7229</v>
      </c>
      <c r="I2010" t="s">
        <v>3734</v>
      </c>
      <c r="J2010" t="s">
        <v>2374</v>
      </c>
    </row>
    <row r="2011" spans="1:10">
      <c r="A2011" t="s">
        <v>7230</v>
      </c>
      <c r="B2011">
        <v>0.278028656040894</v>
      </c>
      <c r="C2011">
        <v>9.3769966767766793</v>
      </c>
      <c r="D2011">
        <v>0.32474504206660798</v>
      </c>
      <c r="E2011">
        <v>0.86337591115221302</v>
      </c>
      <c r="F2011">
        <v>66</v>
      </c>
      <c r="G2011">
        <v>58</v>
      </c>
      <c r="H2011" t="s">
        <v>7231</v>
      </c>
      <c r="I2011" t="s">
        <v>7232</v>
      </c>
      <c r="J2011" t="s">
        <v>2375</v>
      </c>
    </row>
    <row r="2012" spans="1:10">
      <c r="A2012" t="s">
        <v>7233</v>
      </c>
      <c r="B2012">
        <v>-0.61484048717425999</v>
      </c>
      <c r="C2012">
        <v>7.63220805651215</v>
      </c>
      <c r="D2012">
        <v>0.32445786576254898</v>
      </c>
      <c r="E2012">
        <v>0.86337591115221302</v>
      </c>
      <c r="F2012">
        <v>14</v>
      </c>
      <c r="G2012">
        <v>23</v>
      </c>
      <c r="H2012" t="s">
        <v>28</v>
      </c>
      <c r="I2012" t="s">
        <v>3438</v>
      </c>
      <c r="J2012" t="s">
        <v>2376</v>
      </c>
    </row>
    <row r="2013" spans="1:10">
      <c r="A2013" t="s">
        <v>7234</v>
      </c>
      <c r="B2013">
        <v>-0.61484048717425999</v>
      </c>
      <c r="C2013">
        <v>7.63220805651215</v>
      </c>
      <c r="D2013">
        <v>0.32445786576254898</v>
      </c>
      <c r="E2013">
        <v>0.86337591115221302</v>
      </c>
      <c r="F2013">
        <v>14</v>
      </c>
      <c r="G2013">
        <v>23</v>
      </c>
      <c r="H2013" t="s">
        <v>28</v>
      </c>
      <c r="I2013" t="s">
        <v>3465</v>
      </c>
      <c r="J2013" t="s">
        <v>2377</v>
      </c>
    </row>
    <row r="2014" spans="1:10">
      <c r="A2014" t="s">
        <v>7235</v>
      </c>
      <c r="B2014">
        <v>-0.61484048717425999</v>
      </c>
      <c r="C2014">
        <v>7.63220805651215</v>
      </c>
      <c r="D2014">
        <v>0.32445786576254898</v>
      </c>
      <c r="E2014">
        <v>0.86337591115221302</v>
      </c>
      <c r="F2014">
        <v>14</v>
      </c>
      <c r="G2014">
        <v>23</v>
      </c>
      <c r="H2014" t="s">
        <v>28</v>
      </c>
      <c r="I2014" t="s">
        <v>7236</v>
      </c>
      <c r="J2014" t="s">
        <v>2378</v>
      </c>
    </row>
    <row r="2015" spans="1:10">
      <c r="A2015" t="s">
        <v>7237</v>
      </c>
      <c r="B2015">
        <v>-0.61484048717425999</v>
      </c>
      <c r="C2015">
        <v>7.63220805651215</v>
      </c>
      <c r="D2015">
        <v>0.32445786576254898</v>
      </c>
      <c r="E2015">
        <v>0.86337591115221302</v>
      </c>
      <c r="F2015">
        <v>14</v>
      </c>
      <c r="G2015">
        <v>23</v>
      </c>
      <c r="H2015" t="s">
        <v>7238</v>
      </c>
      <c r="I2015" t="s">
        <v>7239</v>
      </c>
      <c r="J2015" t="s">
        <v>2379</v>
      </c>
    </row>
    <row r="2016" spans="1:10">
      <c r="A2016" t="s">
        <v>7240</v>
      </c>
      <c r="B2016">
        <v>-0.61484048717425999</v>
      </c>
      <c r="C2016">
        <v>7.63220805651215</v>
      </c>
      <c r="D2016">
        <v>0.32445786576254898</v>
      </c>
      <c r="E2016">
        <v>0.86337591115221302</v>
      </c>
      <c r="F2016">
        <v>14</v>
      </c>
      <c r="G2016">
        <v>23</v>
      </c>
      <c r="H2016" t="s">
        <v>28</v>
      </c>
      <c r="I2016" t="s">
        <v>3438</v>
      </c>
      <c r="J2016" t="s">
        <v>2380</v>
      </c>
    </row>
    <row r="2017" spans="1:10">
      <c r="A2017" t="s">
        <v>7241</v>
      </c>
      <c r="B2017">
        <v>-0.61484048717425999</v>
      </c>
      <c r="C2017">
        <v>7.63220805651215</v>
      </c>
      <c r="D2017">
        <v>0.32445786576254898</v>
      </c>
      <c r="E2017">
        <v>0.86337591115221302</v>
      </c>
      <c r="F2017">
        <v>14</v>
      </c>
      <c r="G2017">
        <v>23</v>
      </c>
      <c r="H2017" t="s">
        <v>7242</v>
      </c>
      <c r="I2017" t="s">
        <v>7243</v>
      </c>
      <c r="J2017" t="s">
        <v>2381</v>
      </c>
    </row>
    <row r="2018" spans="1:10">
      <c r="A2018" t="s">
        <v>7244</v>
      </c>
      <c r="B2018">
        <v>-0.61484048717425999</v>
      </c>
      <c r="C2018">
        <v>7.63220805651215</v>
      </c>
      <c r="D2018">
        <v>0.32445786576254898</v>
      </c>
      <c r="E2018">
        <v>0.86337591115221302</v>
      </c>
      <c r="F2018">
        <v>14</v>
      </c>
      <c r="G2018">
        <v>23</v>
      </c>
      <c r="H2018" t="s">
        <v>28</v>
      </c>
      <c r="I2018" t="s">
        <v>3465</v>
      </c>
      <c r="J2018" t="s">
        <v>2382</v>
      </c>
    </row>
    <row r="2019" spans="1:10">
      <c r="A2019" t="s">
        <v>7245</v>
      </c>
      <c r="B2019">
        <v>0.478504827839279</v>
      </c>
      <c r="C2019">
        <v>7.6322404444812904</v>
      </c>
      <c r="D2019">
        <v>0.32445786576254898</v>
      </c>
      <c r="E2019">
        <v>0.86337591115221302</v>
      </c>
      <c r="F2019">
        <v>21</v>
      </c>
      <c r="G2019">
        <v>16</v>
      </c>
      <c r="H2019" t="s">
        <v>28</v>
      </c>
      <c r="I2019" t="s">
        <v>3438</v>
      </c>
      <c r="J2019" t="s">
        <v>2383</v>
      </c>
    </row>
    <row r="2020" spans="1:10">
      <c r="A2020" t="s">
        <v>7246</v>
      </c>
      <c r="B2020">
        <v>0.478504827839279</v>
      </c>
      <c r="C2020">
        <v>7.6322404444812904</v>
      </c>
      <c r="D2020">
        <v>0.32445786576254898</v>
      </c>
      <c r="E2020">
        <v>0.86337591115221302</v>
      </c>
      <c r="F2020">
        <v>21</v>
      </c>
      <c r="G2020">
        <v>16</v>
      </c>
      <c r="H2020" t="s">
        <v>28</v>
      </c>
      <c r="I2020" t="s">
        <v>7247</v>
      </c>
      <c r="J2020" t="s">
        <v>2384</v>
      </c>
    </row>
    <row r="2021" spans="1:10">
      <c r="A2021" t="s">
        <v>7248</v>
      </c>
      <c r="B2021">
        <v>-0.24358147313744399</v>
      </c>
      <c r="C2021">
        <v>9.8490042566659497</v>
      </c>
      <c r="D2021">
        <v>0.32364781733755499</v>
      </c>
      <c r="E2021">
        <v>0.86337591115221302</v>
      </c>
      <c r="F2021">
        <v>76</v>
      </c>
      <c r="G2021">
        <v>96</v>
      </c>
      <c r="H2021" t="s">
        <v>7249</v>
      </c>
      <c r="I2021" t="s">
        <v>7250</v>
      </c>
      <c r="J2021" t="s">
        <v>329</v>
      </c>
    </row>
    <row r="2022" spans="1:10">
      <c r="A2022" t="s">
        <v>7251</v>
      </c>
      <c r="B2022">
        <v>-0.487228547689039</v>
      </c>
      <c r="C2022">
        <v>8.0666095461254095</v>
      </c>
      <c r="D2022">
        <v>0.322842520290132</v>
      </c>
      <c r="E2022">
        <v>0.86337591115221302</v>
      </c>
      <c r="F2022">
        <v>20</v>
      </c>
      <c r="G2022">
        <v>30</v>
      </c>
      <c r="H2022" t="s">
        <v>7252</v>
      </c>
      <c r="I2022" t="s">
        <v>7253</v>
      </c>
      <c r="J2022" t="s">
        <v>2385</v>
      </c>
    </row>
    <row r="2023" spans="1:10">
      <c r="A2023" t="s">
        <v>7254</v>
      </c>
      <c r="B2023">
        <v>0.43625463520212698</v>
      </c>
      <c r="C2023">
        <v>8.0666465369970908</v>
      </c>
      <c r="D2023">
        <v>0.322842520290132</v>
      </c>
      <c r="E2023">
        <v>0.86337591115221302</v>
      </c>
      <c r="F2023">
        <v>28</v>
      </c>
      <c r="G2023">
        <v>22</v>
      </c>
      <c r="H2023" t="s">
        <v>7255</v>
      </c>
      <c r="I2023" t="s">
        <v>7256</v>
      </c>
      <c r="J2023" t="s">
        <v>2386</v>
      </c>
    </row>
    <row r="2024" spans="1:10">
      <c r="A2024" t="s">
        <v>7257</v>
      </c>
      <c r="B2024">
        <v>0.40156863099241003</v>
      </c>
      <c r="C2024">
        <v>8.4451615707776195</v>
      </c>
      <c r="D2024">
        <v>0.32187128916046498</v>
      </c>
      <c r="E2024">
        <v>0.86337591115221302</v>
      </c>
      <c r="F2024">
        <v>36</v>
      </c>
      <c r="G2024">
        <v>29</v>
      </c>
      <c r="H2024" t="s">
        <v>7258</v>
      </c>
      <c r="I2024" t="s">
        <v>7259</v>
      </c>
      <c r="J2024" t="s">
        <v>2387</v>
      </c>
    </row>
    <row r="2025" spans="1:10">
      <c r="A2025" t="s">
        <v>7260</v>
      </c>
      <c r="B2025">
        <v>0.194489847924912</v>
      </c>
      <c r="C2025">
        <v>10.2429867008742</v>
      </c>
      <c r="D2025">
        <v>0.32110628567648303</v>
      </c>
      <c r="E2025">
        <v>0.86337591115221302</v>
      </c>
      <c r="F2025">
        <v>117</v>
      </c>
      <c r="G2025">
        <v>109</v>
      </c>
      <c r="H2025" t="s">
        <v>7261</v>
      </c>
      <c r="I2025" t="s">
        <v>7262</v>
      </c>
      <c r="J2025" t="s">
        <v>2388</v>
      </c>
    </row>
    <row r="2026" spans="1:10">
      <c r="A2026" t="s">
        <v>7263</v>
      </c>
      <c r="B2026">
        <v>0.15773493105533301</v>
      </c>
      <c r="C2026">
        <v>10.8904224353796</v>
      </c>
      <c r="D2026">
        <v>0.31681806865043899</v>
      </c>
      <c r="E2026">
        <v>0.85477089662735894</v>
      </c>
      <c r="F2026">
        <v>181</v>
      </c>
      <c r="G2026">
        <v>173</v>
      </c>
      <c r="H2026" t="s">
        <v>7264</v>
      </c>
      <c r="I2026" t="s">
        <v>7265</v>
      </c>
      <c r="J2026" t="s">
        <v>2389</v>
      </c>
    </row>
    <row r="2027" spans="1:10">
      <c r="A2027" t="s">
        <v>7266</v>
      </c>
      <c r="B2027">
        <v>-0.41293549184280998</v>
      </c>
      <c r="C2027">
        <v>8.40003194704693</v>
      </c>
      <c r="D2027">
        <v>0.314266043775976</v>
      </c>
      <c r="E2027">
        <v>0.84859747840767397</v>
      </c>
      <c r="F2027">
        <v>26</v>
      </c>
      <c r="G2027">
        <v>37</v>
      </c>
      <c r="H2027" t="s">
        <v>7267</v>
      </c>
      <c r="I2027" t="s">
        <v>4748</v>
      </c>
      <c r="J2027" t="s">
        <v>2390</v>
      </c>
    </row>
    <row r="2028" spans="1:10">
      <c r="A2028" t="s">
        <v>7268</v>
      </c>
      <c r="B2028">
        <v>0.41137355900698303</v>
      </c>
      <c r="C2028">
        <v>8.4000735348683797</v>
      </c>
      <c r="D2028">
        <v>0.314266043775976</v>
      </c>
      <c r="E2028">
        <v>0.84859747840767397</v>
      </c>
      <c r="F2028">
        <v>35</v>
      </c>
      <c r="G2028">
        <v>28</v>
      </c>
      <c r="H2028" t="s">
        <v>28</v>
      </c>
      <c r="I2028" t="s">
        <v>3438</v>
      </c>
      <c r="J2028" t="s">
        <v>2391</v>
      </c>
    </row>
    <row r="2029" spans="1:10">
      <c r="A2029" t="s">
        <v>7269</v>
      </c>
      <c r="B2029">
        <v>0.41137355900698303</v>
      </c>
      <c r="C2029">
        <v>8.4000735348683797</v>
      </c>
      <c r="D2029">
        <v>0.314266043775976</v>
      </c>
      <c r="E2029">
        <v>0.84859747840767397</v>
      </c>
      <c r="F2029">
        <v>35</v>
      </c>
      <c r="G2029">
        <v>28</v>
      </c>
      <c r="H2029" t="s">
        <v>7270</v>
      </c>
      <c r="I2029" t="s">
        <v>7271</v>
      </c>
      <c r="J2029" t="s">
        <v>2392</v>
      </c>
    </row>
    <row r="2030" spans="1:10">
      <c r="A2030" t="s">
        <v>7272</v>
      </c>
      <c r="B2030">
        <v>0.41137355900698303</v>
      </c>
      <c r="C2030">
        <v>8.4000735348683797</v>
      </c>
      <c r="D2030">
        <v>0.314266043775976</v>
      </c>
      <c r="E2030">
        <v>0.84859747840767397</v>
      </c>
      <c r="F2030">
        <v>35</v>
      </c>
      <c r="G2030">
        <v>28</v>
      </c>
      <c r="H2030" t="s">
        <v>28</v>
      </c>
      <c r="I2030" t="s">
        <v>3438</v>
      </c>
      <c r="J2030" t="s">
        <v>2393</v>
      </c>
    </row>
    <row r="2031" spans="1:10">
      <c r="A2031" t="s">
        <v>7273</v>
      </c>
      <c r="B2031">
        <v>-0.22519599464095999</v>
      </c>
      <c r="C2031">
        <v>10.000167467009801</v>
      </c>
      <c r="D2031">
        <v>0.313355523638008</v>
      </c>
      <c r="E2031">
        <v>0.84859747840767397</v>
      </c>
      <c r="F2031">
        <v>85</v>
      </c>
      <c r="G2031">
        <v>106</v>
      </c>
      <c r="H2031" t="s">
        <v>28</v>
      </c>
      <c r="I2031" t="s">
        <v>4699</v>
      </c>
      <c r="J2031" t="s">
        <v>2394</v>
      </c>
    </row>
    <row r="2032" spans="1:10">
      <c r="A2032" t="s">
        <v>7274</v>
      </c>
      <c r="B2032">
        <v>-0.51183632636354703</v>
      </c>
      <c r="C2032">
        <v>8.0077157065595497</v>
      </c>
      <c r="D2032">
        <v>0.31290880299174001</v>
      </c>
      <c r="E2032">
        <v>0.84849469681402701</v>
      </c>
      <c r="F2032">
        <v>19</v>
      </c>
      <c r="G2032">
        <v>29</v>
      </c>
      <c r="H2032" t="s">
        <v>7275</v>
      </c>
      <c r="I2032" t="s">
        <v>7276</v>
      </c>
      <c r="J2032" t="s">
        <v>2395</v>
      </c>
    </row>
    <row r="2033" spans="1:10">
      <c r="A2033" t="s">
        <v>7277</v>
      </c>
      <c r="B2033">
        <v>-0.51183632636354703</v>
      </c>
      <c r="C2033">
        <v>8.0077157065595497</v>
      </c>
      <c r="D2033">
        <v>0.31290880299174001</v>
      </c>
      <c r="E2033">
        <v>0.84849469681402701</v>
      </c>
      <c r="F2033">
        <v>19</v>
      </c>
      <c r="G2033">
        <v>29</v>
      </c>
      <c r="H2033" t="s">
        <v>7278</v>
      </c>
      <c r="I2033" t="s">
        <v>3450</v>
      </c>
      <c r="J2033" t="s">
        <v>2396</v>
      </c>
    </row>
    <row r="2034" spans="1:10">
      <c r="A2034" t="s">
        <v>7279</v>
      </c>
      <c r="B2034">
        <v>-0.51183632636354703</v>
      </c>
      <c r="C2034">
        <v>8.0077157065595497</v>
      </c>
      <c r="D2034">
        <v>0.31290880299174001</v>
      </c>
      <c r="E2034">
        <v>0.84849469681402701</v>
      </c>
      <c r="F2034">
        <v>19</v>
      </c>
      <c r="G2034">
        <v>29</v>
      </c>
      <c r="H2034" t="s">
        <v>28</v>
      </c>
      <c r="I2034" t="s">
        <v>3438</v>
      </c>
      <c r="J2034" t="s">
        <v>425</v>
      </c>
    </row>
    <row r="2035" spans="1:10">
      <c r="A2035" t="s">
        <v>7280</v>
      </c>
      <c r="B2035">
        <v>0.45056293362238697</v>
      </c>
      <c r="C2035">
        <v>8.0077527011138692</v>
      </c>
      <c r="D2035">
        <v>0.31290880299174001</v>
      </c>
      <c r="E2035">
        <v>0.84849469681402701</v>
      </c>
      <c r="F2035">
        <v>27</v>
      </c>
      <c r="G2035">
        <v>21</v>
      </c>
      <c r="H2035" t="s">
        <v>7281</v>
      </c>
      <c r="I2035" t="s">
        <v>7282</v>
      </c>
      <c r="J2035" t="s">
        <v>2397</v>
      </c>
    </row>
    <row r="2036" spans="1:10">
      <c r="A2036" t="s">
        <v>7283</v>
      </c>
      <c r="B2036">
        <v>0.45056293362238697</v>
      </c>
      <c r="C2036">
        <v>8.0077527011138692</v>
      </c>
      <c r="D2036">
        <v>0.31290880299174001</v>
      </c>
      <c r="E2036">
        <v>0.84849469681402701</v>
      </c>
      <c r="F2036">
        <v>27</v>
      </c>
      <c r="G2036">
        <v>21</v>
      </c>
      <c r="H2036" t="s">
        <v>28</v>
      </c>
      <c r="I2036" t="s">
        <v>3438</v>
      </c>
      <c r="J2036" t="s">
        <v>2398</v>
      </c>
    </row>
    <row r="2037" spans="1:10">
      <c r="A2037" t="s">
        <v>7284</v>
      </c>
      <c r="B2037">
        <v>0.45056293362238697</v>
      </c>
      <c r="C2037">
        <v>8.0077527011138692</v>
      </c>
      <c r="D2037">
        <v>0.31290880299174001</v>
      </c>
      <c r="E2037">
        <v>0.84849469681402701</v>
      </c>
      <c r="F2037">
        <v>27</v>
      </c>
      <c r="G2037">
        <v>21</v>
      </c>
      <c r="H2037" t="s">
        <v>28</v>
      </c>
      <c r="I2037" t="s">
        <v>6355</v>
      </c>
      <c r="J2037" t="s">
        <v>2399</v>
      </c>
    </row>
    <row r="2038" spans="1:10">
      <c r="A2038" t="s">
        <v>7285</v>
      </c>
      <c r="B2038">
        <v>0.29977547463425602</v>
      </c>
      <c r="C2038">
        <v>9.0227089380710392</v>
      </c>
      <c r="D2038">
        <v>0.31110600397740101</v>
      </c>
      <c r="E2038">
        <v>0.84789568541637494</v>
      </c>
      <c r="F2038">
        <v>52</v>
      </c>
      <c r="G2038">
        <v>45</v>
      </c>
      <c r="H2038" t="s">
        <v>7286</v>
      </c>
      <c r="I2038" t="s">
        <v>5024</v>
      </c>
      <c r="J2038" t="s">
        <v>2400</v>
      </c>
    </row>
    <row r="2039" spans="1:10">
      <c r="A2039" t="s">
        <v>7287</v>
      </c>
      <c r="B2039">
        <v>0.50052068971927399</v>
      </c>
      <c r="C2039">
        <v>7.5520699485468699</v>
      </c>
      <c r="D2039">
        <v>0.31092967196271498</v>
      </c>
      <c r="E2039">
        <v>0.84789568541637494</v>
      </c>
      <c r="F2039">
        <v>20</v>
      </c>
      <c r="G2039">
        <v>15</v>
      </c>
      <c r="H2039" t="s">
        <v>28</v>
      </c>
      <c r="I2039" t="s">
        <v>3438</v>
      </c>
      <c r="J2039" t="s">
        <v>2401</v>
      </c>
    </row>
    <row r="2040" spans="1:10">
      <c r="A2040" t="s">
        <v>7288</v>
      </c>
      <c r="B2040">
        <v>0.50052068971927399</v>
      </c>
      <c r="C2040">
        <v>7.5520699485468699</v>
      </c>
      <c r="D2040">
        <v>0.31092967196271498</v>
      </c>
      <c r="E2040">
        <v>0.84789568541637494</v>
      </c>
      <c r="F2040">
        <v>20</v>
      </c>
      <c r="G2040">
        <v>15</v>
      </c>
      <c r="H2040" t="s">
        <v>28</v>
      </c>
      <c r="I2040" t="s">
        <v>3770</v>
      </c>
      <c r="J2040" t="s">
        <v>2402</v>
      </c>
    </row>
    <row r="2041" spans="1:10">
      <c r="A2041" t="s">
        <v>7289</v>
      </c>
      <c r="B2041">
        <v>0.59831471563447003</v>
      </c>
      <c r="C2041">
        <v>7.5102520130158297</v>
      </c>
      <c r="D2041">
        <v>0.31092967196271498</v>
      </c>
      <c r="E2041">
        <v>0.84789568541637494</v>
      </c>
      <c r="F2041">
        <v>20</v>
      </c>
      <c r="G2041">
        <v>14</v>
      </c>
      <c r="H2041" t="s">
        <v>28</v>
      </c>
      <c r="I2041" t="s">
        <v>3438</v>
      </c>
      <c r="J2041" t="s">
        <v>2403</v>
      </c>
    </row>
    <row r="2042" spans="1:10">
      <c r="A2042" t="s">
        <v>7290</v>
      </c>
      <c r="B2042">
        <v>0.59831471563447003</v>
      </c>
      <c r="C2042">
        <v>7.5102520130158297</v>
      </c>
      <c r="D2042">
        <v>0.31092967196271498</v>
      </c>
      <c r="E2042">
        <v>0.84789568541637494</v>
      </c>
      <c r="F2042">
        <v>20</v>
      </c>
      <c r="G2042">
        <v>14</v>
      </c>
      <c r="H2042" t="s">
        <v>28</v>
      </c>
      <c r="I2042" t="s">
        <v>7291</v>
      </c>
      <c r="J2042" t="s">
        <v>2404</v>
      </c>
    </row>
    <row r="2043" spans="1:10">
      <c r="A2043" t="s">
        <v>7292</v>
      </c>
      <c r="B2043">
        <v>-0.35242798410501502</v>
      </c>
      <c r="C2043">
        <v>8.7081530618835199</v>
      </c>
      <c r="D2043">
        <v>0.30911174483439002</v>
      </c>
      <c r="E2043">
        <v>0.84604542245736003</v>
      </c>
      <c r="F2043">
        <v>33</v>
      </c>
      <c r="G2043">
        <v>45</v>
      </c>
      <c r="H2043" t="s">
        <v>7293</v>
      </c>
      <c r="I2043" t="s">
        <v>7294</v>
      </c>
      <c r="J2043" t="s">
        <v>2405</v>
      </c>
    </row>
    <row r="2044" spans="1:10">
      <c r="A2044" t="s">
        <v>7295</v>
      </c>
      <c r="B2044">
        <v>-0.63055691889425403</v>
      </c>
      <c r="C2044">
        <v>7.0077231576824097</v>
      </c>
      <c r="D2044">
        <v>0.30774833693125703</v>
      </c>
      <c r="E2044">
        <v>0.843031219396015</v>
      </c>
      <c r="F2044">
        <v>9</v>
      </c>
      <c r="G2044">
        <v>15</v>
      </c>
      <c r="H2044" t="s">
        <v>28</v>
      </c>
      <c r="I2044" t="s">
        <v>7296</v>
      </c>
      <c r="J2044" t="s">
        <v>2406</v>
      </c>
    </row>
    <row r="2045" spans="1:10">
      <c r="A2045" t="s">
        <v>7297</v>
      </c>
      <c r="B2045">
        <v>-0.63055691889425403</v>
      </c>
      <c r="C2045">
        <v>7.0077231576824097</v>
      </c>
      <c r="D2045">
        <v>0.30774833693125703</v>
      </c>
      <c r="E2045">
        <v>0.843031219396015</v>
      </c>
      <c r="F2045">
        <v>9</v>
      </c>
      <c r="G2045">
        <v>15</v>
      </c>
      <c r="H2045" t="s">
        <v>7298</v>
      </c>
      <c r="I2045" t="s">
        <v>7299</v>
      </c>
      <c r="J2045" t="s">
        <v>2407</v>
      </c>
    </row>
    <row r="2046" spans="1:10">
      <c r="A2046" t="s">
        <v>7300</v>
      </c>
      <c r="B2046">
        <v>-0.63055691889425403</v>
      </c>
      <c r="C2046">
        <v>7.0077231576824097</v>
      </c>
      <c r="D2046">
        <v>0.30774833693125703</v>
      </c>
      <c r="E2046">
        <v>0.843031219396015</v>
      </c>
      <c r="F2046">
        <v>9</v>
      </c>
      <c r="G2046">
        <v>15</v>
      </c>
      <c r="H2046" t="s">
        <v>7301</v>
      </c>
      <c r="I2046" t="s">
        <v>7302</v>
      </c>
      <c r="J2046" t="s">
        <v>2408</v>
      </c>
    </row>
    <row r="2047" spans="1:10">
      <c r="A2047" t="s">
        <v>7303</v>
      </c>
      <c r="B2047">
        <v>-0.63055691889425403</v>
      </c>
      <c r="C2047">
        <v>7.0077231576824097</v>
      </c>
      <c r="D2047">
        <v>0.30774833693125703</v>
      </c>
      <c r="E2047">
        <v>0.843031219396015</v>
      </c>
      <c r="F2047">
        <v>9</v>
      </c>
      <c r="G2047">
        <v>15</v>
      </c>
      <c r="H2047" t="s">
        <v>28</v>
      </c>
      <c r="I2047" t="s">
        <v>3438</v>
      </c>
      <c r="J2047" t="s">
        <v>2409</v>
      </c>
    </row>
    <row r="2048" spans="1:10">
      <c r="A2048" t="s">
        <v>7304</v>
      </c>
      <c r="B2048">
        <v>0.81201171263733796</v>
      </c>
      <c r="C2048">
        <v>7.0077509368736504</v>
      </c>
      <c r="D2048">
        <v>0.30774833693125703</v>
      </c>
      <c r="E2048">
        <v>0.843031219396015</v>
      </c>
      <c r="F2048">
        <v>15</v>
      </c>
      <c r="G2048">
        <v>9</v>
      </c>
      <c r="H2048" t="s">
        <v>28</v>
      </c>
      <c r="I2048" t="s">
        <v>3438</v>
      </c>
      <c r="J2048" t="s">
        <v>2410</v>
      </c>
    </row>
    <row r="2049" spans="1:10">
      <c r="A2049" t="s">
        <v>7305</v>
      </c>
      <c r="B2049">
        <v>0.81201171263733796</v>
      </c>
      <c r="C2049">
        <v>7.0077509368736504</v>
      </c>
      <c r="D2049">
        <v>0.30774833693125703</v>
      </c>
      <c r="E2049">
        <v>0.843031219396015</v>
      </c>
      <c r="F2049">
        <v>15</v>
      </c>
      <c r="G2049">
        <v>9</v>
      </c>
      <c r="H2049" t="s">
        <v>28</v>
      </c>
      <c r="I2049" t="s">
        <v>4085</v>
      </c>
      <c r="J2049" t="s">
        <v>2411</v>
      </c>
    </row>
    <row r="2050" spans="1:10">
      <c r="A2050" t="s">
        <v>7306</v>
      </c>
      <c r="B2050">
        <v>0.81201171263733796</v>
      </c>
      <c r="C2050">
        <v>7.0077509368736504</v>
      </c>
      <c r="D2050">
        <v>0.30774833693125703</v>
      </c>
      <c r="E2050">
        <v>0.843031219396015</v>
      </c>
      <c r="F2050">
        <v>15</v>
      </c>
      <c r="G2050">
        <v>9</v>
      </c>
      <c r="H2050" t="s">
        <v>7307</v>
      </c>
      <c r="I2050" t="s">
        <v>7308</v>
      </c>
      <c r="J2050" t="s">
        <v>2412</v>
      </c>
    </row>
    <row r="2051" spans="1:10">
      <c r="A2051" t="s">
        <v>7309</v>
      </c>
      <c r="B2051">
        <v>0.81201171263733796</v>
      </c>
      <c r="C2051">
        <v>7.0077509368736504</v>
      </c>
      <c r="D2051">
        <v>0.30774833693125703</v>
      </c>
      <c r="E2051">
        <v>0.843031219396015</v>
      </c>
      <c r="F2051">
        <v>15</v>
      </c>
      <c r="G2051">
        <v>9</v>
      </c>
      <c r="H2051" t="s">
        <v>28</v>
      </c>
      <c r="I2051" t="s">
        <v>3438</v>
      </c>
      <c r="J2051" t="s">
        <v>2413</v>
      </c>
    </row>
    <row r="2052" spans="1:10">
      <c r="A2052" t="s">
        <v>7310</v>
      </c>
      <c r="B2052">
        <v>0.81201171263733796</v>
      </c>
      <c r="C2052">
        <v>7.0077509368736504</v>
      </c>
      <c r="D2052">
        <v>0.30774833693125703</v>
      </c>
      <c r="E2052">
        <v>0.843031219396015</v>
      </c>
      <c r="F2052">
        <v>15</v>
      </c>
      <c r="G2052">
        <v>9</v>
      </c>
      <c r="H2052" t="s">
        <v>7311</v>
      </c>
      <c r="I2052" t="s">
        <v>7312</v>
      </c>
      <c r="J2052" t="s">
        <v>2414</v>
      </c>
    </row>
    <row r="2053" spans="1:10">
      <c r="A2053" t="s">
        <v>7313</v>
      </c>
      <c r="B2053">
        <v>0.81201171263733796</v>
      </c>
      <c r="C2053">
        <v>7.0077509368736504</v>
      </c>
      <c r="D2053">
        <v>0.30774833693125703</v>
      </c>
      <c r="E2053">
        <v>0.843031219396015</v>
      </c>
      <c r="F2053">
        <v>15</v>
      </c>
      <c r="G2053">
        <v>9</v>
      </c>
      <c r="H2053" t="s">
        <v>28</v>
      </c>
      <c r="I2053" t="s">
        <v>3438</v>
      </c>
      <c r="J2053" t="s">
        <v>2415</v>
      </c>
    </row>
    <row r="2054" spans="1:10">
      <c r="A2054" t="s">
        <v>7314</v>
      </c>
      <c r="B2054">
        <v>0.81201171263733796</v>
      </c>
      <c r="C2054">
        <v>7.0077509368736504</v>
      </c>
      <c r="D2054">
        <v>0.30774833693125703</v>
      </c>
      <c r="E2054">
        <v>0.843031219396015</v>
      </c>
      <c r="F2054">
        <v>15</v>
      </c>
      <c r="G2054">
        <v>9</v>
      </c>
      <c r="H2054" t="s">
        <v>7315</v>
      </c>
      <c r="I2054" t="s">
        <v>4945</v>
      </c>
      <c r="J2054" t="s">
        <v>2416</v>
      </c>
    </row>
    <row r="2055" spans="1:10">
      <c r="A2055" t="s">
        <v>7316</v>
      </c>
      <c r="B2055">
        <v>0.81201171263733796</v>
      </c>
      <c r="C2055">
        <v>7.0077509368736504</v>
      </c>
      <c r="D2055">
        <v>0.30774833693125703</v>
      </c>
      <c r="E2055">
        <v>0.843031219396015</v>
      </c>
      <c r="F2055">
        <v>15</v>
      </c>
      <c r="G2055">
        <v>9</v>
      </c>
      <c r="H2055" t="s">
        <v>7317</v>
      </c>
      <c r="I2055" t="s">
        <v>3450</v>
      </c>
      <c r="J2055" t="s">
        <v>2417</v>
      </c>
    </row>
    <row r="2056" spans="1:10">
      <c r="A2056" t="s">
        <v>7318</v>
      </c>
      <c r="B2056">
        <v>-0.42973616586164698</v>
      </c>
      <c r="C2056">
        <v>8.3534892105624401</v>
      </c>
      <c r="D2056">
        <v>0.30641585302441898</v>
      </c>
      <c r="E2056">
        <v>0.843031219396015</v>
      </c>
      <c r="F2056">
        <v>25</v>
      </c>
      <c r="G2056">
        <v>36</v>
      </c>
      <c r="H2056" t="s">
        <v>28</v>
      </c>
      <c r="I2056" t="s">
        <v>3438</v>
      </c>
      <c r="J2056" t="s">
        <v>2418</v>
      </c>
    </row>
    <row r="2057" spans="1:10">
      <c r="A2057" t="s">
        <v>7319</v>
      </c>
      <c r="B2057">
        <v>0.42182427703633901</v>
      </c>
      <c r="C2057">
        <v>8.3535308025215098</v>
      </c>
      <c r="D2057">
        <v>0.30641585302441898</v>
      </c>
      <c r="E2057">
        <v>0.843031219396015</v>
      </c>
      <c r="F2057">
        <v>34</v>
      </c>
      <c r="G2057">
        <v>27</v>
      </c>
      <c r="H2057" t="s">
        <v>28</v>
      </c>
      <c r="I2057" t="s">
        <v>3436</v>
      </c>
      <c r="J2057" t="s">
        <v>2419</v>
      </c>
    </row>
    <row r="2058" spans="1:10">
      <c r="A2058" t="s">
        <v>7320</v>
      </c>
      <c r="B2058">
        <v>0.42182427703633901</v>
      </c>
      <c r="C2058">
        <v>8.3535308025215098</v>
      </c>
      <c r="D2058">
        <v>0.30641585302441898</v>
      </c>
      <c r="E2058">
        <v>0.843031219396015</v>
      </c>
      <c r="F2058">
        <v>34</v>
      </c>
      <c r="G2058">
        <v>27</v>
      </c>
      <c r="H2058" t="s">
        <v>7321</v>
      </c>
      <c r="I2058" t="s">
        <v>7322</v>
      </c>
      <c r="J2058" t="s">
        <v>2420</v>
      </c>
    </row>
    <row r="2059" spans="1:10">
      <c r="A2059" t="s">
        <v>7323</v>
      </c>
      <c r="B2059">
        <v>0.16253072383181499</v>
      </c>
      <c r="C2059">
        <v>10.958095743705</v>
      </c>
      <c r="D2059">
        <v>0.30354416608026302</v>
      </c>
      <c r="E2059">
        <v>0.84227613297163495</v>
      </c>
      <c r="F2059">
        <v>190</v>
      </c>
      <c r="G2059">
        <v>181</v>
      </c>
      <c r="H2059" t="s">
        <v>7324</v>
      </c>
      <c r="I2059" t="s">
        <v>7325</v>
      </c>
      <c r="J2059" t="s">
        <v>2421</v>
      </c>
    </row>
    <row r="2060" spans="1:10">
      <c r="A2060" t="s">
        <v>7326</v>
      </c>
      <c r="B2060">
        <v>-0.36425942340582101</v>
      </c>
      <c r="C2060">
        <v>8.6706782059124006</v>
      </c>
      <c r="D2060">
        <v>0.30279125110680899</v>
      </c>
      <c r="E2060">
        <v>0.84091249012046498</v>
      </c>
      <c r="F2060">
        <v>32</v>
      </c>
      <c r="G2060">
        <v>44</v>
      </c>
      <c r="H2060" t="s">
        <v>7327</v>
      </c>
      <c r="I2060" t="s">
        <v>7328</v>
      </c>
      <c r="J2060" t="s">
        <v>2422</v>
      </c>
    </row>
    <row r="2061" spans="1:10">
      <c r="A2061" t="s">
        <v>7329</v>
      </c>
      <c r="B2061">
        <v>-0.87583364115107698</v>
      </c>
      <c r="C2061">
        <v>6.3296528933759602</v>
      </c>
      <c r="D2061">
        <v>0.30194103694611701</v>
      </c>
      <c r="E2061">
        <v>0.83927603700839304</v>
      </c>
      <c r="F2061">
        <v>5</v>
      </c>
      <c r="G2061">
        <v>10</v>
      </c>
      <c r="H2061" t="s">
        <v>28</v>
      </c>
      <c r="I2061" t="s">
        <v>3438</v>
      </c>
      <c r="J2061" t="s">
        <v>2423</v>
      </c>
    </row>
    <row r="2062" spans="1:10">
      <c r="A2062" t="s">
        <v>7330</v>
      </c>
      <c r="B2062">
        <v>-0.87583364115107698</v>
      </c>
      <c r="C2062">
        <v>6.3296528933759602</v>
      </c>
      <c r="D2062">
        <v>0.30194103694611701</v>
      </c>
      <c r="E2062">
        <v>0.83927603700839304</v>
      </c>
      <c r="F2062">
        <v>5</v>
      </c>
      <c r="G2062">
        <v>10</v>
      </c>
      <c r="H2062" t="s">
        <v>28</v>
      </c>
      <c r="I2062" t="s">
        <v>3438</v>
      </c>
      <c r="J2062" t="s">
        <v>2424</v>
      </c>
    </row>
    <row r="2063" spans="1:10">
      <c r="A2063" t="s">
        <v>7331</v>
      </c>
      <c r="B2063">
        <v>-0.87583364115107698</v>
      </c>
      <c r="C2063">
        <v>6.3296528933759602</v>
      </c>
      <c r="D2063">
        <v>0.30194103694611701</v>
      </c>
      <c r="E2063">
        <v>0.83927603700839304</v>
      </c>
      <c r="F2063">
        <v>5</v>
      </c>
      <c r="G2063">
        <v>10</v>
      </c>
      <c r="H2063" t="s">
        <v>28</v>
      </c>
      <c r="I2063" t="s">
        <v>3438</v>
      </c>
      <c r="J2063" t="s">
        <v>2425</v>
      </c>
    </row>
    <row r="2064" spans="1:10">
      <c r="A2064" t="s">
        <v>7332</v>
      </c>
      <c r="B2064">
        <v>-0.87583364115107698</v>
      </c>
      <c r="C2064">
        <v>6.3296528933759602</v>
      </c>
      <c r="D2064">
        <v>0.30194103694611701</v>
      </c>
      <c r="E2064">
        <v>0.83927603700839304</v>
      </c>
      <c r="F2064">
        <v>5</v>
      </c>
      <c r="G2064">
        <v>10</v>
      </c>
      <c r="H2064" t="s">
        <v>28</v>
      </c>
      <c r="I2064" t="s">
        <v>3631</v>
      </c>
      <c r="J2064" t="s">
        <v>1782</v>
      </c>
    </row>
    <row r="2065" spans="1:10">
      <c r="A2065" t="s">
        <v>7333</v>
      </c>
      <c r="B2065">
        <v>-0.87583364115107698</v>
      </c>
      <c r="C2065">
        <v>6.3296528933759602</v>
      </c>
      <c r="D2065">
        <v>0.30194103694611701</v>
      </c>
      <c r="E2065">
        <v>0.83927603700839304</v>
      </c>
      <c r="F2065">
        <v>5</v>
      </c>
      <c r="G2065">
        <v>10</v>
      </c>
      <c r="H2065" t="s">
        <v>28</v>
      </c>
      <c r="I2065" t="s">
        <v>3438</v>
      </c>
      <c r="J2065" t="s">
        <v>2426</v>
      </c>
    </row>
    <row r="2066" spans="1:10">
      <c r="A2066" t="s">
        <v>7334</v>
      </c>
      <c r="B2066">
        <v>-0.87583364115107698</v>
      </c>
      <c r="C2066">
        <v>6.3296528933759602</v>
      </c>
      <c r="D2066">
        <v>0.30194103694611701</v>
      </c>
      <c r="E2066">
        <v>0.83927603700839304</v>
      </c>
      <c r="F2066">
        <v>5</v>
      </c>
      <c r="G2066">
        <v>10</v>
      </c>
      <c r="H2066" t="s">
        <v>28</v>
      </c>
      <c r="I2066" t="s">
        <v>3438</v>
      </c>
      <c r="J2066" t="s">
        <v>2427</v>
      </c>
    </row>
    <row r="2067" spans="1:10">
      <c r="A2067" t="s">
        <v>7335</v>
      </c>
      <c r="B2067">
        <v>-0.87583364115107698</v>
      </c>
      <c r="C2067">
        <v>6.3296528933759602</v>
      </c>
      <c r="D2067">
        <v>0.30194103694611701</v>
      </c>
      <c r="E2067">
        <v>0.83927603700839304</v>
      </c>
      <c r="F2067">
        <v>5</v>
      </c>
      <c r="G2067">
        <v>10</v>
      </c>
      <c r="H2067" t="s">
        <v>28</v>
      </c>
      <c r="I2067" t="s">
        <v>3438</v>
      </c>
      <c r="J2067" t="s">
        <v>2428</v>
      </c>
    </row>
    <row r="2068" spans="1:10">
      <c r="A2068" t="s">
        <v>7336</v>
      </c>
      <c r="B2068">
        <v>-0.87583364115107698</v>
      </c>
      <c r="C2068">
        <v>6.3296528933759602</v>
      </c>
      <c r="D2068">
        <v>0.30194103694611701</v>
      </c>
      <c r="E2068">
        <v>0.83927603700839304</v>
      </c>
      <c r="F2068">
        <v>5</v>
      </c>
      <c r="G2068">
        <v>10</v>
      </c>
      <c r="H2068" t="s">
        <v>7337</v>
      </c>
      <c r="I2068" t="s">
        <v>5254</v>
      </c>
      <c r="J2068" t="s">
        <v>2429</v>
      </c>
    </row>
    <row r="2069" spans="1:10">
      <c r="A2069" t="s">
        <v>7338</v>
      </c>
      <c r="B2069">
        <v>1.0546380137798701</v>
      </c>
      <c r="C2069">
        <v>6.3296760530899698</v>
      </c>
      <c r="D2069">
        <v>0.30194103694611701</v>
      </c>
      <c r="E2069">
        <v>0.83927603700839304</v>
      </c>
      <c r="F2069">
        <v>10</v>
      </c>
      <c r="G2069">
        <v>5</v>
      </c>
      <c r="H2069" t="s">
        <v>28</v>
      </c>
      <c r="I2069" t="s">
        <v>3438</v>
      </c>
      <c r="J2069" t="s">
        <v>2430</v>
      </c>
    </row>
    <row r="2070" spans="1:10">
      <c r="A2070" t="s">
        <v>7339</v>
      </c>
      <c r="B2070">
        <v>1.0546380137798701</v>
      </c>
      <c r="C2070">
        <v>6.3296760530899698</v>
      </c>
      <c r="D2070">
        <v>0.30194103694611701</v>
      </c>
      <c r="E2070">
        <v>0.83927603700839304</v>
      </c>
      <c r="F2070">
        <v>10</v>
      </c>
      <c r="G2070">
        <v>5</v>
      </c>
      <c r="H2070" t="s">
        <v>7340</v>
      </c>
      <c r="I2070" t="s">
        <v>7341</v>
      </c>
      <c r="J2070" t="s">
        <v>2431</v>
      </c>
    </row>
    <row r="2071" spans="1:10">
      <c r="A2071" t="s">
        <v>7342</v>
      </c>
      <c r="B2071">
        <v>1.0546380137798701</v>
      </c>
      <c r="C2071">
        <v>6.3296760530899698</v>
      </c>
      <c r="D2071">
        <v>0.30194103694611701</v>
      </c>
      <c r="E2071">
        <v>0.83927603700839304</v>
      </c>
      <c r="F2071">
        <v>10</v>
      </c>
      <c r="G2071">
        <v>5</v>
      </c>
      <c r="H2071" t="s">
        <v>28</v>
      </c>
      <c r="I2071" t="s">
        <v>4138</v>
      </c>
      <c r="J2071" t="s">
        <v>2432</v>
      </c>
    </row>
    <row r="2072" spans="1:10">
      <c r="A2072" t="s">
        <v>7343</v>
      </c>
      <c r="B2072">
        <v>1.0546380137798701</v>
      </c>
      <c r="C2072">
        <v>6.3296760530899698</v>
      </c>
      <c r="D2072">
        <v>0.30194103694611701</v>
      </c>
      <c r="E2072">
        <v>0.83927603700839304</v>
      </c>
      <c r="F2072">
        <v>10</v>
      </c>
      <c r="G2072">
        <v>5</v>
      </c>
      <c r="H2072" t="s">
        <v>28</v>
      </c>
      <c r="I2072" t="s">
        <v>3438</v>
      </c>
      <c r="J2072" t="s">
        <v>2433</v>
      </c>
    </row>
    <row r="2073" spans="1:10">
      <c r="A2073" t="s">
        <v>7344</v>
      </c>
      <c r="B2073">
        <v>-0.22553893372445299</v>
      </c>
      <c r="C2073">
        <v>10.1300945405567</v>
      </c>
      <c r="D2073">
        <v>0.300797961587837</v>
      </c>
      <c r="E2073">
        <v>0.83927603700839304</v>
      </c>
      <c r="F2073">
        <v>93</v>
      </c>
      <c r="G2073">
        <v>116</v>
      </c>
      <c r="H2073" t="s">
        <v>28</v>
      </c>
      <c r="I2073" t="s">
        <v>3438</v>
      </c>
      <c r="J2073" t="s">
        <v>2434</v>
      </c>
    </row>
    <row r="2074" spans="1:10">
      <c r="A2074" t="s">
        <v>7345</v>
      </c>
      <c r="B2074">
        <v>-0.25734075511004501</v>
      </c>
      <c r="C2074">
        <v>9.7173614174421203</v>
      </c>
      <c r="D2074">
        <v>0.29981276308259303</v>
      </c>
      <c r="E2074">
        <v>0.83927603700839304</v>
      </c>
      <c r="F2074">
        <v>69</v>
      </c>
      <c r="G2074">
        <v>88</v>
      </c>
      <c r="H2074" t="s">
        <v>7346</v>
      </c>
      <c r="I2074" t="s">
        <v>7347</v>
      </c>
      <c r="J2074" t="s">
        <v>2435</v>
      </c>
    </row>
    <row r="2075" spans="1:10">
      <c r="A2075" t="s">
        <v>7348</v>
      </c>
      <c r="B2075">
        <v>-0.44770506778528601</v>
      </c>
      <c r="C2075">
        <v>8.3053947717839698</v>
      </c>
      <c r="D2075">
        <v>0.29830867690560497</v>
      </c>
      <c r="E2075">
        <v>0.83927603700839304</v>
      </c>
      <c r="F2075">
        <v>24</v>
      </c>
      <c r="G2075">
        <v>35</v>
      </c>
      <c r="H2075" t="s">
        <v>28</v>
      </c>
      <c r="I2075" t="s">
        <v>3438</v>
      </c>
      <c r="J2075" t="s">
        <v>2436</v>
      </c>
    </row>
    <row r="2076" spans="1:10">
      <c r="A2076" t="s">
        <v>7349</v>
      </c>
      <c r="B2076">
        <v>0.43298706251283398</v>
      </c>
      <c r="C2076">
        <v>8.3054363678814802</v>
      </c>
      <c r="D2076">
        <v>0.29830867690560497</v>
      </c>
      <c r="E2076">
        <v>0.83927603700839304</v>
      </c>
      <c r="F2076">
        <v>33</v>
      </c>
      <c r="G2076">
        <v>26</v>
      </c>
      <c r="H2076" t="s">
        <v>28</v>
      </c>
      <c r="I2076" t="s">
        <v>7350</v>
      </c>
      <c r="J2076" t="s">
        <v>2437</v>
      </c>
    </row>
    <row r="2077" spans="1:10">
      <c r="A2077" t="s">
        <v>7351</v>
      </c>
      <c r="B2077">
        <v>0.14283627085182499</v>
      </c>
      <c r="C2077">
        <v>11.4368510980111</v>
      </c>
      <c r="D2077">
        <v>0.297342169746449</v>
      </c>
      <c r="E2077">
        <v>0.83808275013547695</v>
      </c>
      <c r="F2077">
        <v>263</v>
      </c>
      <c r="G2077">
        <v>254</v>
      </c>
      <c r="H2077" t="s">
        <v>28</v>
      </c>
      <c r="I2077" t="s">
        <v>3438</v>
      </c>
      <c r="J2077" t="s">
        <v>317</v>
      </c>
    </row>
    <row r="2078" spans="1:10">
      <c r="A2078" t="s">
        <v>7352</v>
      </c>
      <c r="B2078">
        <v>-0.59015047776134499</v>
      </c>
      <c r="C2078">
        <v>7.5102196201549702</v>
      </c>
      <c r="D2078">
        <v>0.29660641069702298</v>
      </c>
      <c r="E2078">
        <v>0.83674229544002299</v>
      </c>
      <c r="F2078">
        <v>13</v>
      </c>
      <c r="G2078">
        <v>21</v>
      </c>
      <c r="H2078" t="s">
        <v>7353</v>
      </c>
      <c r="I2078" t="s">
        <v>3438</v>
      </c>
      <c r="J2078" t="s">
        <v>2438</v>
      </c>
    </row>
    <row r="2079" spans="1:10">
      <c r="A2079" t="s">
        <v>7354</v>
      </c>
      <c r="B2079">
        <v>0.63012973253725801</v>
      </c>
      <c r="C2079">
        <v>7.4227890247015598</v>
      </c>
      <c r="D2079">
        <v>0.29660641069702298</v>
      </c>
      <c r="E2079">
        <v>0.83674229544002299</v>
      </c>
      <c r="F2079">
        <v>19</v>
      </c>
      <c r="G2079">
        <v>13</v>
      </c>
      <c r="H2079" t="s">
        <v>7355</v>
      </c>
      <c r="I2079" t="s">
        <v>7356</v>
      </c>
      <c r="J2079" t="s">
        <v>146</v>
      </c>
    </row>
    <row r="2080" spans="1:10">
      <c r="A2080" t="s">
        <v>7357</v>
      </c>
      <c r="B2080">
        <v>0.63012973253725801</v>
      </c>
      <c r="C2080">
        <v>7.4227890247015598</v>
      </c>
      <c r="D2080">
        <v>0.29660641069702298</v>
      </c>
      <c r="E2080">
        <v>0.83674229544002299</v>
      </c>
      <c r="F2080">
        <v>19</v>
      </c>
      <c r="G2080">
        <v>13</v>
      </c>
      <c r="H2080" t="s">
        <v>7358</v>
      </c>
      <c r="I2080" t="s">
        <v>3571</v>
      </c>
      <c r="J2080" t="s">
        <v>2439</v>
      </c>
    </row>
    <row r="2081" spans="1:10">
      <c r="A2081" t="s">
        <v>7359</v>
      </c>
      <c r="B2081">
        <v>-0.181343719817191</v>
      </c>
      <c r="C2081">
        <v>10.775872853237599</v>
      </c>
      <c r="D2081">
        <v>0.29654858020631403</v>
      </c>
      <c r="E2081">
        <v>0.83674229544002299</v>
      </c>
      <c r="F2081">
        <v>148</v>
      </c>
      <c r="G2081">
        <v>179</v>
      </c>
      <c r="H2081" t="s">
        <v>7360</v>
      </c>
      <c r="I2081" t="s">
        <v>7361</v>
      </c>
      <c r="J2081" t="s">
        <v>2440</v>
      </c>
    </row>
    <row r="2082" spans="1:10">
      <c r="A2082" t="s">
        <v>7362</v>
      </c>
      <c r="B2082">
        <v>-0.37674262741342401</v>
      </c>
      <c r="C2082">
        <v>8.63220390751537</v>
      </c>
      <c r="D2082">
        <v>0.296306963125123</v>
      </c>
      <c r="E2082">
        <v>0.83674229544002299</v>
      </c>
      <c r="F2082">
        <v>31</v>
      </c>
      <c r="G2082">
        <v>43</v>
      </c>
      <c r="H2082" t="s">
        <v>28</v>
      </c>
      <c r="I2082" t="s">
        <v>3438</v>
      </c>
      <c r="J2082" t="s">
        <v>2441</v>
      </c>
    </row>
    <row r="2083" spans="1:10">
      <c r="A2083" t="s">
        <v>7363</v>
      </c>
      <c r="B2083">
        <v>0.40315044639724201</v>
      </c>
      <c r="C2083">
        <v>8.6322500909367594</v>
      </c>
      <c r="D2083">
        <v>0.296306963125123</v>
      </c>
      <c r="E2083">
        <v>0.83674229544002299</v>
      </c>
      <c r="F2083">
        <v>41</v>
      </c>
      <c r="G2083">
        <v>33</v>
      </c>
      <c r="H2083" t="s">
        <v>28</v>
      </c>
      <c r="I2083" t="s">
        <v>5445</v>
      </c>
      <c r="J2083" t="s">
        <v>2442</v>
      </c>
    </row>
    <row r="2084" spans="1:10">
      <c r="A2084" t="s">
        <v>7364</v>
      </c>
      <c r="B2084">
        <v>-0.28273371862549102</v>
      </c>
      <c r="C2084">
        <v>9.4561663103118807</v>
      </c>
      <c r="D2084">
        <v>0.29598433067982899</v>
      </c>
      <c r="E2084">
        <v>0.83674229544002299</v>
      </c>
      <c r="F2084">
        <v>57</v>
      </c>
      <c r="G2084">
        <v>74</v>
      </c>
      <c r="H2084" t="s">
        <v>7365</v>
      </c>
      <c r="I2084" t="s">
        <v>7366</v>
      </c>
      <c r="J2084" t="s">
        <v>2443</v>
      </c>
    </row>
    <row r="2085" spans="1:10">
      <c r="A2085" t="s">
        <v>7367</v>
      </c>
      <c r="B2085">
        <v>-0.34786164515102402</v>
      </c>
      <c r="C2085">
        <v>8.9463092379748108</v>
      </c>
      <c r="D2085">
        <v>0.29556768979468201</v>
      </c>
      <c r="E2085">
        <v>0.83674229544002299</v>
      </c>
      <c r="F2085">
        <v>39</v>
      </c>
      <c r="G2085">
        <v>53</v>
      </c>
      <c r="H2085" t="s">
        <v>7368</v>
      </c>
      <c r="I2085" t="s">
        <v>7369</v>
      </c>
      <c r="J2085" t="s">
        <v>2444</v>
      </c>
    </row>
    <row r="2086" spans="1:10">
      <c r="A2086" t="s">
        <v>7370</v>
      </c>
      <c r="B2086">
        <v>-0.34786164515102402</v>
      </c>
      <c r="C2086">
        <v>8.9463092379748108</v>
      </c>
      <c r="D2086">
        <v>0.29556768979468201</v>
      </c>
      <c r="E2086">
        <v>0.83674229544002299</v>
      </c>
      <c r="F2086">
        <v>39</v>
      </c>
      <c r="G2086">
        <v>53</v>
      </c>
      <c r="H2086" t="s">
        <v>28</v>
      </c>
      <c r="I2086" t="s">
        <v>3438</v>
      </c>
      <c r="J2086" t="s">
        <v>2445</v>
      </c>
    </row>
    <row r="2087" spans="1:10">
      <c r="A2087" t="s">
        <v>7371</v>
      </c>
      <c r="B2087">
        <v>-0.568016913351164</v>
      </c>
      <c r="C2087">
        <v>7.8821845233611398</v>
      </c>
      <c r="D2087">
        <v>0.29174724183186201</v>
      </c>
      <c r="E2087">
        <v>0.82958366908157999</v>
      </c>
      <c r="F2087">
        <v>17</v>
      </c>
      <c r="G2087">
        <v>27</v>
      </c>
      <c r="H2087" t="s">
        <v>28</v>
      </c>
      <c r="I2087" t="s">
        <v>3438</v>
      </c>
      <c r="J2087" t="s">
        <v>2446</v>
      </c>
    </row>
    <row r="2088" spans="1:10">
      <c r="A2088" t="s">
        <v>7372</v>
      </c>
      <c r="B2088">
        <v>-0.568016913351164</v>
      </c>
      <c r="C2088">
        <v>7.8821845233611398</v>
      </c>
      <c r="D2088">
        <v>0.29174724183186201</v>
      </c>
      <c r="E2088">
        <v>0.82958366908157999</v>
      </c>
      <c r="F2088">
        <v>17</v>
      </c>
      <c r="G2088">
        <v>27</v>
      </c>
      <c r="H2088" t="s">
        <v>28</v>
      </c>
      <c r="I2088" t="s">
        <v>3438</v>
      </c>
      <c r="J2088" t="s">
        <v>2447</v>
      </c>
    </row>
    <row r="2089" spans="1:10">
      <c r="A2089" t="s">
        <v>7373</v>
      </c>
      <c r="B2089">
        <v>-0.568016913351164</v>
      </c>
      <c r="C2089">
        <v>7.8821845233611398</v>
      </c>
      <c r="D2089">
        <v>0.29174724183186201</v>
      </c>
      <c r="E2089">
        <v>0.82958366908157999</v>
      </c>
      <c r="F2089">
        <v>17</v>
      </c>
      <c r="G2089">
        <v>27</v>
      </c>
      <c r="H2089" t="s">
        <v>7374</v>
      </c>
      <c r="I2089" t="s">
        <v>7375</v>
      </c>
      <c r="J2089" t="s">
        <v>2448</v>
      </c>
    </row>
    <row r="2090" spans="1:10">
      <c r="A2090" t="s">
        <v>7376</v>
      </c>
      <c r="B2090">
        <v>0.48310415578493299</v>
      </c>
      <c r="C2090">
        <v>7.8822215252829197</v>
      </c>
      <c r="D2090">
        <v>0.29174724183186201</v>
      </c>
      <c r="E2090">
        <v>0.82958366908157999</v>
      </c>
      <c r="F2090">
        <v>25</v>
      </c>
      <c r="G2090">
        <v>19</v>
      </c>
      <c r="H2090" t="s">
        <v>7377</v>
      </c>
      <c r="I2090" t="s">
        <v>4426</v>
      </c>
      <c r="J2090" t="s">
        <v>2449</v>
      </c>
    </row>
    <row r="2091" spans="1:10">
      <c r="A2091" t="s">
        <v>7378</v>
      </c>
      <c r="B2091">
        <v>0.48310415578493299</v>
      </c>
      <c r="C2091">
        <v>7.8822215252829197</v>
      </c>
      <c r="D2091">
        <v>0.29174724183186201</v>
      </c>
      <c r="E2091">
        <v>0.82958366908157999</v>
      </c>
      <c r="F2091">
        <v>25</v>
      </c>
      <c r="G2091">
        <v>19</v>
      </c>
      <c r="H2091" t="s">
        <v>28</v>
      </c>
      <c r="I2091" t="s">
        <v>3438</v>
      </c>
      <c r="J2091" t="s">
        <v>2450</v>
      </c>
    </row>
    <row r="2092" spans="1:10">
      <c r="A2092" t="s">
        <v>7379</v>
      </c>
      <c r="B2092">
        <v>-0.336317091142944</v>
      </c>
      <c r="C2092">
        <v>9.1776313789600099</v>
      </c>
      <c r="D2092">
        <v>0.29109896564075699</v>
      </c>
      <c r="E2092">
        <v>0.82958366908157999</v>
      </c>
      <c r="F2092">
        <v>46</v>
      </c>
      <c r="G2092">
        <v>62</v>
      </c>
      <c r="H2092" t="s">
        <v>7380</v>
      </c>
      <c r="I2092" t="s">
        <v>7381</v>
      </c>
      <c r="J2092" t="s">
        <v>2451</v>
      </c>
    </row>
    <row r="2093" spans="1:10">
      <c r="A2093" t="s">
        <v>7382</v>
      </c>
      <c r="B2093">
        <v>-0.389933486233486</v>
      </c>
      <c r="C2093">
        <v>8.5926753927163695</v>
      </c>
      <c r="D2093">
        <v>0.28965255080086699</v>
      </c>
      <c r="E2093">
        <v>0.82802009188941295</v>
      </c>
      <c r="F2093">
        <v>30</v>
      </c>
      <c r="G2093">
        <v>42</v>
      </c>
      <c r="H2093" t="s">
        <v>7383</v>
      </c>
      <c r="I2093" t="s">
        <v>7384</v>
      </c>
      <c r="J2093" t="s">
        <v>2452</v>
      </c>
    </row>
    <row r="2094" spans="1:10">
      <c r="A2094" t="s">
        <v>7385</v>
      </c>
      <c r="B2094">
        <v>-0.389933486233486</v>
      </c>
      <c r="C2094">
        <v>8.5926753927163695</v>
      </c>
      <c r="D2094">
        <v>0.28965255080086699</v>
      </c>
      <c r="E2094">
        <v>0.82802009188941295</v>
      </c>
      <c r="F2094">
        <v>30</v>
      </c>
      <c r="G2094">
        <v>42</v>
      </c>
      <c r="H2094" t="s">
        <v>28</v>
      </c>
      <c r="I2094" t="s">
        <v>3438</v>
      </c>
      <c r="J2094" t="s">
        <v>2453</v>
      </c>
    </row>
    <row r="2095" spans="1:10">
      <c r="A2095" t="s">
        <v>7386</v>
      </c>
      <c r="B2095">
        <v>-1.3882037184779199</v>
      </c>
      <c r="C2095">
        <v>5.4227640898073597</v>
      </c>
      <c r="D2095">
        <v>0.28916092027657098</v>
      </c>
      <c r="E2095">
        <v>0.82802009188941295</v>
      </c>
      <c r="F2095">
        <v>2</v>
      </c>
      <c r="G2095">
        <v>6</v>
      </c>
      <c r="H2095" t="s">
        <v>7387</v>
      </c>
      <c r="I2095" t="s">
        <v>7388</v>
      </c>
      <c r="J2095" t="s">
        <v>2454</v>
      </c>
    </row>
    <row r="2096" spans="1:10">
      <c r="A2096" t="s">
        <v>7389</v>
      </c>
      <c r="B2096">
        <v>-1.3882037184779199</v>
      </c>
      <c r="C2096">
        <v>5.4227640898073597</v>
      </c>
      <c r="D2096">
        <v>0.28916092027657098</v>
      </c>
      <c r="E2096">
        <v>0.82802009188941295</v>
      </c>
      <c r="F2096">
        <v>2</v>
      </c>
      <c r="G2096">
        <v>6</v>
      </c>
      <c r="H2096" t="s">
        <v>28</v>
      </c>
      <c r="I2096" t="s">
        <v>4864</v>
      </c>
      <c r="J2096" t="s">
        <v>199</v>
      </c>
    </row>
    <row r="2097" spans="1:10">
      <c r="A2097" t="s">
        <v>7390</v>
      </c>
      <c r="B2097">
        <v>-1.3882037184779199</v>
      </c>
      <c r="C2097">
        <v>5.4227640898073597</v>
      </c>
      <c r="D2097">
        <v>0.28916092027657098</v>
      </c>
      <c r="E2097">
        <v>0.82802009188941295</v>
      </c>
      <c r="F2097">
        <v>2</v>
      </c>
      <c r="G2097">
        <v>6</v>
      </c>
      <c r="H2097" t="s">
        <v>7391</v>
      </c>
      <c r="I2097" t="s">
        <v>7392</v>
      </c>
      <c r="J2097" t="s">
        <v>2455</v>
      </c>
    </row>
    <row r="2098" spans="1:10">
      <c r="A2098" t="s">
        <v>7393</v>
      </c>
      <c r="B2098">
        <v>-1.3882037184779199</v>
      </c>
      <c r="C2098">
        <v>5.4227640898073597</v>
      </c>
      <c r="D2098">
        <v>0.28916092027657098</v>
      </c>
      <c r="E2098">
        <v>0.82802009188941295</v>
      </c>
      <c r="F2098">
        <v>2</v>
      </c>
      <c r="G2098">
        <v>6</v>
      </c>
      <c r="H2098" t="s">
        <v>28</v>
      </c>
      <c r="I2098" t="s">
        <v>3438</v>
      </c>
      <c r="J2098" t="s">
        <v>2456</v>
      </c>
    </row>
    <row r="2099" spans="1:10">
      <c r="A2099" t="s">
        <v>7394</v>
      </c>
      <c r="B2099">
        <v>-1.3882037184779199</v>
      </c>
      <c r="C2099">
        <v>5.4227640898073597</v>
      </c>
      <c r="D2099">
        <v>0.28916092027657098</v>
      </c>
      <c r="E2099">
        <v>0.82802009188941295</v>
      </c>
      <c r="F2099">
        <v>2</v>
      </c>
      <c r="G2099">
        <v>6</v>
      </c>
      <c r="H2099" t="s">
        <v>28</v>
      </c>
      <c r="I2099" t="s">
        <v>7395</v>
      </c>
      <c r="J2099" t="s">
        <v>71</v>
      </c>
    </row>
    <row r="2100" spans="1:10">
      <c r="A2100" t="s">
        <v>7396</v>
      </c>
      <c r="B2100">
        <v>-1.3882037184779199</v>
      </c>
      <c r="C2100">
        <v>5.4227640898073597</v>
      </c>
      <c r="D2100">
        <v>0.28916092027657098</v>
      </c>
      <c r="E2100">
        <v>0.82802009188941295</v>
      </c>
      <c r="F2100">
        <v>2</v>
      </c>
      <c r="G2100">
        <v>6</v>
      </c>
      <c r="H2100" t="s">
        <v>28</v>
      </c>
      <c r="I2100" t="s">
        <v>3438</v>
      </c>
      <c r="J2100" t="s">
        <v>2457</v>
      </c>
    </row>
    <row r="2101" spans="1:10">
      <c r="A2101" t="s">
        <v>7397</v>
      </c>
      <c r="B2101">
        <v>-1.3882037184779199</v>
      </c>
      <c r="C2101">
        <v>5.4227640898073597</v>
      </c>
      <c r="D2101">
        <v>0.28916092027657098</v>
      </c>
      <c r="E2101">
        <v>0.82802009188941295</v>
      </c>
      <c r="F2101">
        <v>2</v>
      </c>
      <c r="G2101">
        <v>6</v>
      </c>
      <c r="H2101" t="s">
        <v>7398</v>
      </c>
      <c r="I2101" t="s">
        <v>7399</v>
      </c>
      <c r="J2101" t="s">
        <v>2458</v>
      </c>
    </row>
    <row r="2102" spans="1:10">
      <c r="A2102" t="s">
        <v>7400</v>
      </c>
      <c r="B2102">
        <v>-1.3882037184779199</v>
      </c>
      <c r="C2102">
        <v>5.4227640898073597</v>
      </c>
      <c r="D2102">
        <v>0.28916092027657098</v>
      </c>
      <c r="E2102">
        <v>0.82802009188941295</v>
      </c>
      <c r="F2102">
        <v>2</v>
      </c>
      <c r="G2102">
        <v>6</v>
      </c>
      <c r="H2102" t="s">
        <v>28</v>
      </c>
      <c r="I2102" t="s">
        <v>7401</v>
      </c>
      <c r="J2102" t="s">
        <v>2459</v>
      </c>
    </row>
    <row r="2103" spans="1:10">
      <c r="A2103" t="s">
        <v>7402</v>
      </c>
      <c r="B2103">
        <v>-1.3882037184779199</v>
      </c>
      <c r="C2103">
        <v>5.4227640898073597</v>
      </c>
      <c r="D2103">
        <v>0.28916092027657098</v>
      </c>
      <c r="E2103">
        <v>0.82802009188941295</v>
      </c>
      <c r="F2103">
        <v>2</v>
      </c>
      <c r="G2103">
        <v>6</v>
      </c>
      <c r="H2103" t="s">
        <v>3626</v>
      </c>
      <c r="I2103" t="s">
        <v>3627</v>
      </c>
      <c r="J2103" t="s">
        <v>2460</v>
      </c>
    </row>
    <row r="2104" spans="1:10">
      <c r="A2104" t="s">
        <v>7403</v>
      </c>
      <c r="B2104">
        <v>-1.3882037184779199</v>
      </c>
      <c r="C2104">
        <v>5.4227640898073597</v>
      </c>
      <c r="D2104">
        <v>0.28916092027657098</v>
      </c>
      <c r="E2104">
        <v>0.82802009188941295</v>
      </c>
      <c r="F2104">
        <v>2</v>
      </c>
      <c r="G2104">
        <v>6</v>
      </c>
      <c r="H2104" t="s">
        <v>28</v>
      </c>
      <c r="I2104" t="s">
        <v>3438</v>
      </c>
      <c r="J2104" t="s">
        <v>2461</v>
      </c>
    </row>
    <row r="2105" spans="1:10">
      <c r="A2105" t="s">
        <v>7404</v>
      </c>
      <c r="B2105">
        <v>-1.3882037184779199</v>
      </c>
      <c r="C2105">
        <v>5.4227640898073597</v>
      </c>
      <c r="D2105">
        <v>0.28916092027657098</v>
      </c>
      <c r="E2105">
        <v>0.82802009188941295</v>
      </c>
      <c r="F2105">
        <v>2</v>
      </c>
      <c r="G2105">
        <v>6</v>
      </c>
      <c r="H2105" t="s">
        <v>28</v>
      </c>
      <c r="I2105" t="s">
        <v>3438</v>
      </c>
      <c r="J2105" t="s">
        <v>2462</v>
      </c>
    </row>
    <row r="2106" spans="1:10">
      <c r="A2106" t="s">
        <v>7405</v>
      </c>
      <c r="B2106">
        <v>1.5596746625604501</v>
      </c>
      <c r="C2106">
        <v>5.4227826240474499</v>
      </c>
      <c r="D2106">
        <v>0.28916092027657098</v>
      </c>
      <c r="E2106">
        <v>0.82802009188941295</v>
      </c>
      <c r="F2106">
        <v>6</v>
      </c>
      <c r="G2106">
        <v>2</v>
      </c>
      <c r="H2106" t="s">
        <v>28</v>
      </c>
      <c r="I2106" t="s">
        <v>3438</v>
      </c>
      <c r="J2106" t="s">
        <v>2463</v>
      </c>
    </row>
    <row r="2107" spans="1:10">
      <c r="A2107" t="s">
        <v>7406</v>
      </c>
      <c r="B2107">
        <v>1.5596746625604501</v>
      </c>
      <c r="C2107">
        <v>5.4227826240474499</v>
      </c>
      <c r="D2107">
        <v>0.28916092027657098</v>
      </c>
      <c r="E2107">
        <v>0.82802009188941295</v>
      </c>
      <c r="F2107">
        <v>6</v>
      </c>
      <c r="G2107">
        <v>2</v>
      </c>
      <c r="H2107" t="s">
        <v>7407</v>
      </c>
      <c r="I2107" t="s">
        <v>7408</v>
      </c>
      <c r="J2107" t="s">
        <v>2464</v>
      </c>
    </row>
    <row r="2108" spans="1:10">
      <c r="A2108" t="s">
        <v>7409</v>
      </c>
      <c r="B2108">
        <v>1.5596746625604501</v>
      </c>
      <c r="C2108">
        <v>5.4227826240474499</v>
      </c>
      <c r="D2108">
        <v>0.28916092027657098</v>
      </c>
      <c r="E2108">
        <v>0.82802009188941295</v>
      </c>
      <c r="F2108">
        <v>6</v>
      </c>
      <c r="G2108">
        <v>2</v>
      </c>
      <c r="H2108" t="s">
        <v>28</v>
      </c>
      <c r="I2108" t="s">
        <v>3438</v>
      </c>
      <c r="J2108" t="s">
        <v>2465</v>
      </c>
    </row>
    <row r="2109" spans="1:10">
      <c r="A2109" t="s">
        <v>7410</v>
      </c>
      <c r="B2109">
        <v>1.5596746625604501</v>
      </c>
      <c r="C2109">
        <v>5.4227826240474499</v>
      </c>
      <c r="D2109">
        <v>0.28916092027657098</v>
      </c>
      <c r="E2109">
        <v>0.82802009188941295</v>
      </c>
      <c r="F2109">
        <v>6</v>
      </c>
      <c r="G2109">
        <v>2</v>
      </c>
      <c r="H2109" t="s">
        <v>7411</v>
      </c>
      <c r="I2109" t="s">
        <v>3450</v>
      </c>
      <c r="J2109" t="s">
        <v>2466</v>
      </c>
    </row>
    <row r="2110" spans="1:10">
      <c r="A2110" t="s">
        <v>7412</v>
      </c>
      <c r="B2110">
        <v>1.5596746625604501</v>
      </c>
      <c r="C2110">
        <v>5.4227826240474499</v>
      </c>
      <c r="D2110">
        <v>0.28916092027657098</v>
      </c>
      <c r="E2110">
        <v>0.82802009188941295</v>
      </c>
      <c r="F2110">
        <v>6</v>
      </c>
      <c r="G2110">
        <v>2</v>
      </c>
      <c r="H2110" t="s">
        <v>28</v>
      </c>
      <c r="I2110" t="s">
        <v>3438</v>
      </c>
      <c r="J2110" t="s">
        <v>2467</v>
      </c>
    </row>
    <row r="2111" spans="1:10">
      <c r="A2111" t="s">
        <v>7413</v>
      </c>
      <c r="B2111">
        <v>1.5596746625604501</v>
      </c>
      <c r="C2111">
        <v>5.4227826240474499</v>
      </c>
      <c r="D2111">
        <v>0.28916092027657098</v>
      </c>
      <c r="E2111">
        <v>0.82802009188941295</v>
      </c>
      <c r="F2111">
        <v>6</v>
      </c>
      <c r="G2111">
        <v>2</v>
      </c>
      <c r="H2111" t="s">
        <v>7414</v>
      </c>
      <c r="I2111" t="s">
        <v>3687</v>
      </c>
      <c r="J2111" t="s">
        <v>2468</v>
      </c>
    </row>
    <row r="2112" spans="1:10">
      <c r="A2112" t="s">
        <v>7415</v>
      </c>
      <c r="B2112">
        <v>1.5596746625604501</v>
      </c>
      <c r="C2112">
        <v>5.4227826240474499</v>
      </c>
      <c r="D2112">
        <v>0.28916092027657098</v>
      </c>
      <c r="E2112">
        <v>0.82802009188941295</v>
      </c>
      <c r="F2112">
        <v>6</v>
      </c>
      <c r="G2112">
        <v>2</v>
      </c>
      <c r="H2112" t="s">
        <v>7416</v>
      </c>
      <c r="I2112" t="s">
        <v>3450</v>
      </c>
      <c r="J2112" t="s">
        <v>2469</v>
      </c>
    </row>
    <row r="2113" spans="1:10">
      <c r="A2113" t="s">
        <v>7417</v>
      </c>
      <c r="B2113">
        <v>1.5596746625604501</v>
      </c>
      <c r="C2113">
        <v>5.4227826240474499</v>
      </c>
      <c r="D2113">
        <v>0.28916092027657098</v>
      </c>
      <c r="E2113">
        <v>0.82802009188941295</v>
      </c>
      <c r="F2113">
        <v>6</v>
      </c>
      <c r="G2113">
        <v>2</v>
      </c>
      <c r="H2113" t="s">
        <v>65</v>
      </c>
      <c r="I2113" t="s">
        <v>7418</v>
      </c>
      <c r="J2113" t="s">
        <v>64</v>
      </c>
    </row>
    <row r="2114" spans="1:10">
      <c r="A2114" t="s">
        <v>7419</v>
      </c>
      <c r="B2114">
        <v>1.5596746625604501</v>
      </c>
      <c r="C2114">
        <v>5.4227826240474499</v>
      </c>
      <c r="D2114">
        <v>0.28916092027657098</v>
      </c>
      <c r="E2114">
        <v>0.82802009188941295</v>
      </c>
      <c r="F2114">
        <v>6</v>
      </c>
      <c r="G2114">
        <v>2</v>
      </c>
      <c r="H2114" t="s">
        <v>28</v>
      </c>
      <c r="I2114" t="s">
        <v>3438</v>
      </c>
      <c r="J2114" t="s">
        <v>2470</v>
      </c>
    </row>
    <row r="2115" spans="1:10">
      <c r="A2115" t="s">
        <v>7420</v>
      </c>
      <c r="B2115">
        <v>1.5596746625604501</v>
      </c>
      <c r="C2115">
        <v>5.4227826240474499</v>
      </c>
      <c r="D2115">
        <v>0.28916092027657098</v>
      </c>
      <c r="E2115">
        <v>0.82802009188941295</v>
      </c>
      <c r="F2115">
        <v>6</v>
      </c>
      <c r="G2115">
        <v>2</v>
      </c>
      <c r="H2115" t="s">
        <v>28</v>
      </c>
      <c r="I2115" t="s">
        <v>3438</v>
      </c>
      <c r="J2115" t="s">
        <v>2471</v>
      </c>
    </row>
    <row r="2116" spans="1:10">
      <c r="A2116" t="s">
        <v>7421</v>
      </c>
      <c r="B2116">
        <v>1.5596746625604501</v>
      </c>
      <c r="C2116">
        <v>5.4227826240474499</v>
      </c>
      <c r="D2116">
        <v>0.28916092027657098</v>
      </c>
      <c r="E2116">
        <v>0.82802009188941295</v>
      </c>
      <c r="F2116">
        <v>6</v>
      </c>
      <c r="G2116">
        <v>2</v>
      </c>
      <c r="H2116" t="s">
        <v>28</v>
      </c>
      <c r="I2116" t="s">
        <v>3474</v>
      </c>
      <c r="J2116" t="s">
        <v>2472</v>
      </c>
    </row>
    <row r="2117" spans="1:10">
      <c r="A2117" t="s">
        <v>7422</v>
      </c>
      <c r="B2117">
        <v>1.5596746625604501</v>
      </c>
      <c r="C2117">
        <v>5.4227826240474499</v>
      </c>
      <c r="D2117">
        <v>0.28916092027657098</v>
      </c>
      <c r="E2117">
        <v>0.82802009188941295</v>
      </c>
      <c r="F2117">
        <v>6</v>
      </c>
      <c r="G2117">
        <v>2</v>
      </c>
      <c r="H2117" t="s">
        <v>28</v>
      </c>
      <c r="I2117" t="s">
        <v>7423</v>
      </c>
      <c r="J2117" t="s">
        <v>2473</v>
      </c>
    </row>
    <row r="2118" spans="1:10">
      <c r="A2118" t="s">
        <v>7424</v>
      </c>
      <c r="B2118">
        <v>1.5596746625604501</v>
      </c>
      <c r="C2118">
        <v>5.4227826240474499</v>
      </c>
      <c r="D2118">
        <v>0.28916092027657098</v>
      </c>
      <c r="E2118">
        <v>0.82802009188941295</v>
      </c>
      <c r="F2118">
        <v>6</v>
      </c>
      <c r="G2118">
        <v>2</v>
      </c>
      <c r="H2118" t="s">
        <v>28</v>
      </c>
      <c r="I2118" t="s">
        <v>3438</v>
      </c>
      <c r="J2118" t="s">
        <v>2474</v>
      </c>
    </row>
    <row r="2119" spans="1:10">
      <c r="A2119" t="s">
        <v>7425</v>
      </c>
      <c r="B2119">
        <v>0.309454367881495</v>
      </c>
      <c r="C2119">
        <v>9.1507195122465692</v>
      </c>
      <c r="D2119">
        <v>0.28655960363015798</v>
      </c>
      <c r="E2119">
        <v>0.82802009188941295</v>
      </c>
      <c r="F2119">
        <v>57</v>
      </c>
      <c r="G2119">
        <v>49</v>
      </c>
      <c r="H2119" t="s">
        <v>28</v>
      </c>
      <c r="I2119" t="s">
        <v>3659</v>
      </c>
      <c r="J2119" t="s">
        <v>2475</v>
      </c>
    </row>
    <row r="2120" spans="1:10">
      <c r="A2120" t="s">
        <v>7426</v>
      </c>
      <c r="B2120">
        <v>-0.69797413540997</v>
      </c>
      <c r="C2120">
        <v>6.8821921256187499</v>
      </c>
      <c r="D2120">
        <v>0.286545428198964</v>
      </c>
      <c r="E2120">
        <v>0.82802009188941295</v>
      </c>
      <c r="F2120">
        <v>8</v>
      </c>
      <c r="G2120">
        <v>14</v>
      </c>
      <c r="H2120" t="s">
        <v>7427</v>
      </c>
      <c r="I2120" t="s">
        <v>4426</v>
      </c>
      <c r="J2120" t="s">
        <v>2476</v>
      </c>
    </row>
    <row r="2121" spans="1:10">
      <c r="A2121" t="s">
        <v>7428</v>
      </c>
      <c r="B2121">
        <v>-0.69797413540997</v>
      </c>
      <c r="C2121">
        <v>6.8821921256187499</v>
      </c>
      <c r="D2121">
        <v>0.286545428198964</v>
      </c>
      <c r="E2121">
        <v>0.82802009188941295</v>
      </c>
      <c r="F2121">
        <v>8</v>
      </c>
      <c r="G2121">
        <v>14</v>
      </c>
      <c r="H2121" t="s">
        <v>7429</v>
      </c>
      <c r="I2121" t="s">
        <v>7430</v>
      </c>
      <c r="J2121" t="s">
        <v>1259</v>
      </c>
    </row>
    <row r="2122" spans="1:10">
      <c r="A2122" t="s">
        <v>7431</v>
      </c>
      <c r="B2122">
        <v>-0.69797413540997</v>
      </c>
      <c r="C2122">
        <v>6.8821921256187499</v>
      </c>
      <c r="D2122">
        <v>0.286545428198964</v>
      </c>
      <c r="E2122">
        <v>0.82802009188941295</v>
      </c>
      <c r="F2122">
        <v>8</v>
      </c>
      <c r="G2122">
        <v>14</v>
      </c>
      <c r="H2122" t="s">
        <v>28</v>
      </c>
      <c r="I2122" t="s">
        <v>6703</v>
      </c>
      <c r="J2122" t="s">
        <v>2477</v>
      </c>
    </row>
    <row r="2123" spans="1:10">
      <c r="A2123" t="s">
        <v>7432</v>
      </c>
      <c r="B2123">
        <v>0.879018563441753</v>
      </c>
      <c r="C2123">
        <v>6.8822199075791399</v>
      </c>
      <c r="D2123">
        <v>0.286545428198964</v>
      </c>
      <c r="E2123">
        <v>0.82802009188941295</v>
      </c>
      <c r="F2123">
        <v>14</v>
      </c>
      <c r="G2123">
        <v>8</v>
      </c>
      <c r="H2123" t="s">
        <v>28</v>
      </c>
      <c r="I2123" t="s">
        <v>3438</v>
      </c>
      <c r="J2123" t="s">
        <v>2478</v>
      </c>
    </row>
    <row r="2124" spans="1:10">
      <c r="A2124" t="s">
        <v>7433</v>
      </c>
      <c r="B2124">
        <v>0.879018563441753</v>
      </c>
      <c r="C2124">
        <v>6.8822199075791399</v>
      </c>
      <c r="D2124">
        <v>0.286545428198964</v>
      </c>
      <c r="E2124">
        <v>0.82802009188941295</v>
      </c>
      <c r="F2124">
        <v>14</v>
      </c>
      <c r="G2124">
        <v>8</v>
      </c>
      <c r="H2124" t="s">
        <v>28</v>
      </c>
      <c r="I2124" t="s">
        <v>3438</v>
      </c>
      <c r="J2124" t="s">
        <v>2479</v>
      </c>
    </row>
    <row r="2125" spans="1:10">
      <c r="A2125" t="s">
        <v>7434</v>
      </c>
      <c r="B2125">
        <v>0.879018563441753</v>
      </c>
      <c r="C2125">
        <v>6.8822199075791399</v>
      </c>
      <c r="D2125">
        <v>0.286545428198964</v>
      </c>
      <c r="E2125">
        <v>0.82802009188941295</v>
      </c>
      <c r="F2125">
        <v>14</v>
      </c>
      <c r="G2125">
        <v>8</v>
      </c>
      <c r="H2125" t="s">
        <v>28</v>
      </c>
      <c r="I2125" t="s">
        <v>3438</v>
      </c>
      <c r="J2125" t="s">
        <v>2480</v>
      </c>
    </row>
    <row r="2126" spans="1:10">
      <c r="A2126" t="s">
        <v>7435</v>
      </c>
      <c r="B2126">
        <v>0.879018563441753</v>
      </c>
      <c r="C2126">
        <v>6.8822199075791399</v>
      </c>
      <c r="D2126">
        <v>0.286545428198964</v>
      </c>
      <c r="E2126">
        <v>0.82802009188941295</v>
      </c>
      <c r="F2126">
        <v>14</v>
      </c>
      <c r="G2126">
        <v>8</v>
      </c>
      <c r="H2126" t="s">
        <v>67</v>
      </c>
      <c r="I2126" t="s">
        <v>3450</v>
      </c>
      <c r="J2126" t="s">
        <v>66</v>
      </c>
    </row>
    <row r="2127" spans="1:10">
      <c r="A2127" t="s">
        <v>7436</v>
      </c>
      <c r="B2127">
        <v>0.879018563441753</v>
      </c>
      <c r="C2127">
        <v>6.8822199075791399</v>
      </c>
      <c r="D2127">
        <v>0.286545428198964</v>
      </c>
      <c r="E2127">
        <v>0.82802009188941295</v>
      </c>
      <c r="F2127">
        <v>14</v>
      </c>
      <c r="G2127">
        <v>8</v>
      </c>
      <c r="H2127" t="s">
        <v>7437</v>
      </c>
      <c r="I2127" t="s">
        <v>7438</v>
      </c>
      <c r="J2127" t="s">
        <v>2481</v>
      </c>
    </row>
    <row r="2128" spans="1:10">
      <c r="A2128" t="s">
        <v>7439</v>
      </c>
      <c r="B2128">
        <v>0.879018563441753</v>
      </c>
      <c r="C2128">
        <v>6.8822199075791399</v>
      </c>
      <c r="D2128">
        <v>0.286545428198964</v>
      </c>
      <c r="E2128">
        <v>0.82802009188941295</v>
      </c>
      <c r="F2128">
        <v>14</v>
      </c>
      <c r="G2128">
        <v>8</v>
      </c>
      <c r="H2128" t="s">
        <v>28</v>
      </c>
      <c r="I2128" t="s">
        <v>7440</v>
      </c>
      <c r="J2128" t="s">
        <v>2482</v>
      </c>
    </row>
    <row r="2129" spans="1:10">
      <c r="A2129" t="s">
        <v>7441</v>
      </c>
      <c r="B2129">
        <v>0.879018563441753</v>
      </c>
      <c r="C2129">
        <v>6.8822199075791399</v>
      </c>
      <c r="D2129">
        <v>0.286545428198964</v>
      </c>
      <c r="E2129">
        <v>0.82802009188941295</v>
      </c>
      <c r="F2129">
        <v>14</v>
      </c>
      <c r="G2129">
        <v>8</v>
      </c>
      <c r="H2129" t="s">
        <v>7442</v>
      </c>
      <c r="I2129" t="s">
        <v>7443</v>
      </c>
      <c r="J2129" t="s">
        <v>2483</v>
      </c>
    </row>
    <row r="2130" spans="1:10">
      <c r="A2130" t="s">
        <v>7444</v>
      </c>
      <c r="B2130">
        <v>0.879018563441753</v>
      </c>
      <c r="C2130">
        <v>6.8822199075791399</v>
      </c>
      <c r="D2130">
        <v>0.286545428198964</v>
      </c>
      <c r="E2130">
        <v>0.82802009188941295</v>
      </c>
      <c r="F2130">
        <v>14</v>
      </c>
      <c r="G2130">
        <v>8</v>
      </c>
      <c r="H2130" t="s">
        <v>28</v>
      </c>
      <c r="I2130" t="s">
        <v>3770</v>
      </c>
      <c r="J2130" t="s">
        <v>2484</v>
      </c>
    </row>
    <row r="2131" spans="1:10">
      <c r="A2131" t="s">
        <v>7445</v>
      </c>
      <c r="B2131">
        <v>0.879018563441753</v>
      </c>
      <c r="C2131">
        <v>6.8822199075791399</v>
      </c>
      <c r="D2131">
        <v>0.286545428198964</v>
      </c>
      <c r="E2131">
        <v>0.82802009188941295</v>
      </c>
      <c r="F2131">
        <v>14</v>
      </c>
      <c r="G2131">
        <v>8</v>
      </c>
      <c r="H2131" t="s">
        <v>28</v>
      </c>
      <c r="I2131" t="s">
        <v>3438</v>
      </c>
      <c r="J2131" t="s">
        <v>2485</v>
      </c>
    </row>
    <row r="2132" spans="1:10">
      <c r="A2132" t="s">
        <v>7446</v>
      </c>
      <c r="B2132">
        <v>-0.36810869986004502</v>
      </c>
      <c r="C2132">
        <v>8.8821785989222803</v>
      </c>
      <c r="D2132">
        <v>0.28465395710080699</v>
      </c>
      <c r="E2132">
        <v>0.82802009188941295</v>
      </c>
      <c r="F2132">
        <v>37</v>
      </c>
      <c r="G2132">
        <v>51</v>
      </c>
      <c r="H2132" t="s">
        <v>28</v>
      </c>
      <c r="I2132" t="s">
        <v>3438</v>
      </c>
      <c r="J2132" t="s">
        <v>2486</v>
      </c>
    </row>
    <row r="2133" spans="1:10">
      <c r="A2133" t="s">
        <v>7447</v>
      </c>
      <c r="B2133">
        <v>-0.28133327619092102</v>
      </c>
      <c r="C2133">
        <v>9.6224122582352507</v>
      </c>
      <c r="D2133">
        <v>0.28368882485635</v>
      </c>
      <c r="E2133">
        <v>0.82802009188941295</v>
      </c>
      <c r="F2133">
        <v>64</v>
      </c>
      <c r="G2133">
        <v>83</v>
      </c>
      <c r="H2133" t="s">
        <v>271</v>
      </c>
      <c r="I2133" t="s">
        <v>7448</v>
      </c>
      <c r="J2133" t="s">
        <v>270</v>
      </c>
    </row>
    <row r="2134" spans="1:10">
      <c r="A2134" t="s">
        <v>7449</v>
      </c>
      <c r="B2134">
        <v>0.28968393089406003</v>
      </c>
      <c r="C2134">
        <v>9.6126311235785291</v>
      </c>
      <c r="D2134">
        <v>0.28368882485635</v>
      </c>
      <c r="E2134">
        <v>0.82802009188941295</v>
      </c>
      <c r="F2134">
        <v>78</v>
      </c>
      <c r="G2134">
        <v>68</v>
      </c>
      <c r="H2134" t="s">
        <v>7450</v>
      </c>
      <c r="I2134" t="s">
        <v>7451</v>
      </c>
      <c r="J2134" t="s">
        <v>2487</v>
      </c>
    </row>
    <row r="2135" spans="1:10">
      <c r="A2135" t="s">
        <v>7452</v>
      </c>
      <c r="B2135">
        <v>0.420910513748463</v>
      </c>
      <c r="C2135">
        <v>8.5520794501836601</v>
      </c>
      <c r="D2135">
        <v>0.282821438123811</v>
      </c>
      <c r="E2135">
        <v>0.82802009188941295</v>
      </c>
      <c r="F2135">
        <v>39</v>
      </c>
      <c r="G2135">
        <v>31</v>
      </c>
      <c r="H2135" t="s">
        <v>7453</v>
      </c>
      <c r="I2135" t="s">
        <v>3438</v>
      </c>
      <c r="J2135" t="s">
        <v>2488</v>
      </c>
    </row>
    <row r="2136" spans="1:10">
      <c r="A2136" t="s">
        <v>7454</v>
      </c>
      <c r="B2136">
        <v>-0.63391851646504604</v>
      </c>
      <c r="C2136">
        <v>7.4227566286132403</v>
      </c>
      <c r="D2136">
        <v>0.28141582491784001</v>
      </c>
      <c r="E2136">
        <v>0.82802009188941295</v>
      </c>
      <c r="F2136">
        <v>12</v>
      </c>
      <c r="G2136">
        <v>20</v>
      </c>
      <c r="H2136" t="s">
        <v>7455</v>
      </c>
      <c r="I2136" t="s">
        <v>7456</v>
      </c>
      <c r="J2136" t="s">
        <v>2489</v>
      </c>
    </row>
    <row r="2137" spans="1:10">
      <c r="A2137" t="s">
        <v>7457</v>
      </c>
      <c r="B2137">
        <v>-0.63391851646504604</v>
      </c>
      <c r="C2137">
        <v>7.4227566286132403</v>
      </c>
      <c r="D2137">
        <v>0.28141582491784001</v>
      </c>
      <c r="E2137">
        <v>0.82802009188941295</v>
      </c>
      <c r="F2137">
        <v>12</v>
      </c>
      <c r="G2137">
        <v>20</v>
      </c>
      <c r="H2137" t="s">
        <v>7458</v>
      </c>
      <c r="I2137" t="s">
        <v>7459</v>
      </c>
      <c r="J2137" t="s">
        <v>2490</v>
      </c>
    </row>
    <row r="2138" spans="1:10">
      <c r="A2138" t="s">
        <v>7460</v>
      </c>
      <c r="B2138">
        <v>0.66627400930009295</v>
      </c>
      <c r="C2138">
        <v>7.3296794732168102</v>
      </c>
      <c r="D2138">
        <v>0.28141582491784001</v>
      </c>
      <c r="E2138">
        <v>0.82802009188941295</v>
      </c>
      <c r="F2138">
        <v>18</v>
      </c>
      <c r="G2138">
        <v>12</v>
      </c>
      <c r="H2138" t="s">
        <v>28</v>
      </c>
      <c r="I2138" t="s">
        <v>3878</v>
      </c>
      <c r="J2138" t="s">
        <v>2491</v>
      </c>
    </row>
    <row r="2139" spans="1:10">
      <c r="A2139" t="s">
        <v>7461</v>
      </c>
      <c r="B2139">
        <v>0.66627400930009295</v>
      </c>
      <c r="C2139">
        <v>7.3296794732168102</v>
      </c>
      <c r="D2139">
        <v>0.28141582491784001</v>
      </c>
      <c r="E2139">
        <v>0.82802009188941295</v>
      </c>
      <c r="F2139">
        <v>18</v>
      </c>
      <c r="G2139">
        <v>12</v>
      </c>
      <c r="H2139" t="s">
        <v>7462</v>
      </c>
      <c r="I2139" t="s">
        <v>3450</v>
      </c>
      <c r="J2139" t="s">
        <v>2492</v>
      </c>
    </row>
    <row r="2140" spans="1:10">
      <c r="A2140" t="s">
        <v>7463</v>
      </c>
      <c r="B2140">
        <v>0.66627400930009295</v>
      </c>
      <c r="C2140">
        <v>7.3296794732168102</v>
      </c>
      <c r="D2140">
        <v>0.28141582491784001</v>
      </c>
      <c r="E2140">
        <v>0.82802009188941295</v>
      </c>
      <c r="F2140">
        <v>18</v>
      </c>
      <c r="G2140">
        <v>12</v>
      </c>
      <c r="H2140" t="s">
        <v>28</v>
      </c>
      <c r="I2140" t="s">
        <v>7464</v>
      </c>
      <c r="J2140" t="s">
        <v>2493</v>
      </c>
    </row>
    <row r="2141" spans="1:10">
      <c r="A2141" t="s">
        <v>7465</v>
      </c>
      <c r="B2141">
        <v>0.66627400930009295</v>
      </c>
      <c r="C2141">
        <v>7.3296794732168102</v>
      </c>
      <c r="D2141">
        <v>0.28141582491784001</v>
      </c>
      <c r="E2141">
        <v>0.82802009188941295</v>
      </c>
      <c r="F2141">
        <v>18</v>
      </c>
      <c r="G2141">
        <v>12</v>
      </c>
      <c r="H2141" t="s">
        <v>7466</v>
      </c>
      <c r="I2141" t="s">
        <v>7467</v>
      </c>
      <c r="J2141" t="s">
        <v>871</v>
      </c>
    </row>
    <row r="2142" spans="1:10">
      <c r="A2142" t="s">
        <v>7468</v>
      </c>
      <c r="B2142">
        <v>-0.48767830218540198</v>
      </c>
      <c r="C2142">
        <v>8.2041111347019804</v>
      </c>
      <c r="D2142">
        <v>0.28127198327090502</v>
      </c>
      <c r="E2142">
        <v>0.82802009188941295</v>
      </c>
      <c r="F2142">
        <v>22</v>
      </c>
      <c r="G2142">
        <v>33</v>
      </c>
      <c r="H2142" t="s">
        <v>7469</v>
      </c>
      <c r="I2142" t="s">
        <v>7470</v>
      </c>
      <c r="J2142" t="s">
        <v>2494</v>
      </c>
    </row>
    <row r="2143" spans="1:10">
      <c r="A2143" t="s">
        <v>7471</v>
      </c>
      <c r="B2143">
        <v>-0.48767830218540198</v>
      </c>
      <c r="C2143">
        <v>8.2041111347019804</v>
      </c>
      <c r="D2143">
        <v>0.28127198327090502</v>
      </c>
      <c r="E2143">
        <v>0.82802009188941295</v>
      </c>
      <c r="F2143">
        <v>22</v>
      </c>
      <c r="G2143">
        <v>33</v>
      </c>
      <c r="H2143" t="s">
        <v>7472</v>
      </c>
      <c r="I2143" t="s">
        <v>7473</v>
      </c>
      <c r="J2143" t="s">
        <v>2495</v>
      </c>
    </row>
    <row r="2144" spans="1:10">
      <c r="A2144" t="s">
        <v>7474</v>
      </c>
      <c r="B2144">
        <v>-0.48767830218540198</v>
      </c>
      <c r="C2144">
        <v>8.2041111347019804</v>
      </c>
      <c r="D2144">
        <v>0.28127198327090502</v>
      </c>
      <c r="E2144">
        <v>0.82802009188941295</v>
      </c>
      <c r="F2144">
        <v>22</v>
      </c>
      <c r="G2144">
        <v>33</v>
      </c>
      <c r="H2144" t="s">
        <v>7475</v>
      </c>
      <c r="I2144" t="s">
        <v>7476</v>
      </c>
      <c r="J2144" t="s">
        <v>2496</v>
      </c>
    </row>
    <row r="2145" spans="1:10">
      <c r="A2145" t="s">
        <v>7477</v>
      </c>
      <c r="B2145">
        <v>0.45776287775987801</v>
      </c>
      <c r="C2145">
        <v>8.20415273907882</v>
      </c>
      <c r="D2145">
        <v>0.28127198327090502</v>
      </c>
      <c r="E2145">
        <v>0.82802009188941295</v>
      </c>
      <c r="F2145">
        <v>31</v>
      </c>
      <c r="G2145">
        <v>24</v>
      </c>
      <c r="H2145" t="s">
        <v>7478</v>
      </c>
      <c r="I2145" t="s">
        <v>7479</v>
      </c>
      <c r="J2145" t="s">
        <v>2497</v>
      </c>
    </row>
    <row r="2146" spans="1:10">
      <c r="A2146" t="s">
        <v>7480</v>
      </c>
      <c r="B2146">
        <v>0.50171559282147005</v>
      </c>
      <c r="C2146">
        <v>7.8151071825069298</v>
      </c>
      <c r="D2146">
        <v>0.28046241255173998</v>
      </c>
      <c r="E2146">
        <v>0.82802009188941295</v>
      </c>
      <c r="F2146">
        <v>24</v>
      </c>
      <c r="G2146">
        <v>18</v>
      </c>
      <c r="H2146" t="s">
        <v>132</v>
      </c>
      <c r="I2146" t="s">
        <v>7481</v>
      </c>
      <c r="J2146" t="s">
        <v>131</v>
      </c>
    </row>
    <row r="2147" spans="1:10">
      <c r="A2147" t="s">
        <v>7482</v>
      </c>
      <c r="B2147">
        <v>0.50171559282147005</v>
      </c>
      <c r="C2147">
        <v>7.8151071825069298</v>
      </c>
      <c r="D2147">
        <v>0.28046241255173998</v>
      </c>
      <c r="E2147">
        <v>0.82802009188941295</v>
      </c>
      <c r="F2147">
        <v>24</v>
      </c>
      <c r="G2147">
        <v>18</v>
      </c>
      <c r="H2147" t="s">
        <v>7483</v>
      </c>
      <c r="I2147" t="s">
        <v>7484</v>
      </c>
      <c r="J2147" t="s">
        <v>2498</v>
      </c>
    </row>
    <row r="2148" spans="1:10">
      <c r="A2148" t="s">
        <v>7485</v>
      </c>
      <c r="B2148">
        <v>0.50171559282147005</v>
      </c>
      <c r="C2148">
        <v>7.8151071825069298</v>
      </c>
      <c r="D2148">
        <v>0.28046241255173998</v>
      </c>
      <c r="E2148">
        <v>0.82802009188941295</v>
      </c>
      <c r="F2148">
        <v>24</v>
      </c>
      <c r="G2148">
        <v>18</v>
      </c>
      <c r="H2148" t="s">
        <v>7486</v>
      </c>
      <c r="I2148" t="s">
        <v>7487</v>
      </c>
      <c r="J2148" t="s">
        <v>2499</v>
      </c>
    </row>
    <row r="2149" spans="1:10">
      <c r="A2149" t="s">
        <v>7488</v>
      </c>
      <c r="B2149">
        <v>0.50171559282147005</v>
      </c>
      <c r="C2149">
        <v>7.8151071825069298</v>
      </c>
      <c r="D2149">
        <v>0.28046241255173998</v>
      </c>
      <c r="E2149">
        <v>0.82802009188941295</v>
      </c>
      <c r="F2149">
        <v>24</v>
      </c>
      <c r="G2149">
        <v>18</v>
      </c>
      <c r="H2149" t="s">
        <v>28</v>
      </c>
      <c r="I2149" t="s">
        <v>3474</v>
      </c>
      <c r="J2149" t="s">
        <v>2500</v>
      </c>
    </row>
    <row r="2150" spans="1:10">
      <c r="A2150" t="s">
        <v>7489</v>
      </c>
      <c r="B2150">
        <v>-0.15463852798038299</v>
      </c>
      <c r="C2150">
        <v>11.217134813329301</v>
      </c>
      <c r="D2150">
        <v>0.28029884053250798</v>
      </c>
      <c r="E2150">
        <v>0.82802009188941295</v>
      </c>
      <c r="F2150">
        <v>203</v>
      </c>
      <c r="G2150">
        <v>241</v>
      </c>
      <c r="H2150" t="s">
        <v>7490</v>
      </c>
      <c r="I2150" t="s">
        <v>6958</v>
      </c>
      <c r="J2150" t="s">
        <v>2501</v>
      </c>
    </row>
    <row r="2151" spans="1:10">
      <c r="A2151" t="s">
        <v>7491</v>
      </c>
      <c r="B2151">
        <v>-0.242220756117107</v>
      </c>
      <c r="C2151">
        <v>9.9925918759892696</v>
      </c>
      <c r="D2151">
        <v>0.27873623552153598</v>
      </c>
      <c r="E2151">
        <v>0.82802009188941295</v>
      </c>
      <c r="F2151">
        <v>84</v>
      </c>
      <c r="G2151">
        <v>106</v>
      </c>
      <c r="H2151" t="s">
        <v>28</v>
      </c>
      <c r="I2151" t="s">
        <v>3438</v>
      </c>
      <c r="J2151" t="s">
        <v>2502</v>
      </c>
    </row>
    <row r="2152" spans="1:10">
      <c r="A2152" t="s">
        <v>7492</v>
      </c>
      <c r="B2152">
        <v>0.31794524782799599</v>
      </c>
      <c r="C2152">
        <v>9.0952241085134098</v>
      </c>
      <c r="D2152">
        <v>0.27723724000108402</v>
      </c>
      <c r="E2152">
        <v>0.82802009188941295</v>
      </c>
      <c r="F2152">
        <v>55</v>
      </c>
      <c r="G2152">
        <v>47</v>
      </c>
      <c r="H2152" t="s">
        <v>28</v>
      </c>
      <c r="I2152" t="s">
        <v>3438</v>
      </c>
      <c r="J2152" t="s">
        <v>2503</v>
      </c>
    </row>
    <row r="2153" spans="1:10">
      <c r="A2153" t="s">
        <v>7493</v>
      </c>
      <c r="B2153">
        <v>-0.41869595831346401</v>
      </c>
      <c r="C2153">
        <v>8.5102129312097503</v>
      </c>
      <c r="D2153">
        <v>0.27580680850926598</v>
      </c>
      <c r="E2153">
        <v>0.82802009188941295</v>
      </c>
      <c r="F2153">
        <v>28</v>
      </c>
      <c r="G2153">
        <v>40</v>
      </c>
      <c r="H2153" t="s">
        <v>7494</v>
      </c>
      <c r="I2153" t="s">
        <v>7495</v>
      </c>
      <c r="J2153" t="s">
        <v>2504</v>
      </c>
    </row>
    <row r="2154" spans="1:10">
      <c r="A2154" t="s">
        <v>7496</v>
      </c>
      <c r="B2154">
        <v>-0.41869595831346401</v>
      </c>
      <c r="C2154">
        <v>8.5102129312097503</v>
      </c>
      <c r="D2154">
        <v>0.27580680850926598</v>
      </c>
      <c r="E2154">
        <v>0.82802009188941295</v>
      </c>
      <c r="F2154">
        <v>28</v>
      </c>
      <c r="G2154">
        <v>40</v>
      </c>
      <c r="H2154" t="s">
        <v>28</v>
      </c>
      <c r="I2154" t="s">
        <v>4038</v>
      </c>
      <c r="J2154" t="s">
        <v>2505</v>
      </c>
    </row>
    <row r="2155" spans="1:10">
      <c r="A2155" t="s">
        <v>7497</v>
      </c>
      <c r="B2155">
        <v>-0.41869595831346401</v>
      </c>
      <c r="C2155">
        <v>8.5102129312097503</v>
      </c>
      <c r="D2155">
        <v>0.27580680850926598</v>
      </c>
      <c r="E2155">
        <v>0.82802009188941295</v>
      </c>
      <c r="F2155">
        <v>28</v>
      </c>
      <c r="G2155">
        <v>40</v>
      </c>
      <c r="H2155" t="s">
        <v>7498</v>
      </c>
      <c r="I2155" t="s">
        <v>7499</v>
      </c>
      <c r="J2155" t="s">
        <v>2506</v>
      </c>
    </row>
    <row r="2156" spans="1:10">
      <c r="A2156" t="s">
        <v>7500</v>
      </c>
      <c r="B2156">
        <v>-0.41869595831346401</v>
      </c>
      <c r="C2156">
        <v>8.5102129312097503</v>
      </c>
      <c r="D2156">
        <v>0.27580680850926598</v>
      </c>
      <c r="E2156">
        <v>0.82802009188941295</v>
      </c>
      <c r="F2156">
        <v>28</v>
      </c>
      <c r="G2156">
        <v>40</v>
      </c>
      <c r="H2156" t="s">
        <v>28</v>
      </c>
      <c r="I2156" t="s">
        <v>3438</v>
      </c>
      <c r="J2156" t="s">
        <v>2507</v>
      </c>
    </row>
    <row r="2157" spans="1:10">
      <c r="A2157" t="s">
        <v>7501</v>
      </c>
      <c r="B2157">
        <v>-0.41869595831346401</v>
      </c>
      <c r="C2157">
        <v>8.5102129312097503</v>
      </c>
      <c r="D2157">
        <v>0.27580680850926598</v>
      </c>
      <c r="E2157">
        <v>0.82802009188941295</v>
      </c>
      <c r="F2157">
        <v>28</v>
      </c>
      <c r="G2157">
        <v>40</v>
      </c>
      <c r="H2157" t="s">
        <v>7502</v>
      </c>
      <c r="I2157" t="s">
        <v>7503</v>
      </c>
      <c r="J2157" t="s">
        <v>182</v>
      </c>
    </row>
    <row r="2158" spans="1:10">
      <c r="A2158" t="s">
        <v>7504</v>
      </c>
      <c r="B2158">
        <v>0.43057867867560801</v>
      </c>
      <c r="C2158">
        <v>8.5102591284108708</v>
      </c>
      <c r="D2158">
        <v>0.27580680850926598</v>
      </c>
      <c r="E2158">
        <v>0.82802009188941295</v>
      </c>
      <c r="F2158">
        <v>38</v>
      </c>
      <c r="G2158">
        <v>30</v>
      </c>
      <c r="H2158" t="s">
        <v>68</v>
      </c>
      <c r="I2158" t="s">
        <v>7505</v>
      </c>
      <c r="J2158" t="s">
        <v>69</v>
      </c>
    </row>
    <row r="2159" spans="1:10">
      <c r="A2159" t="s">
        <v>7506</v>
      </c>
      <c r="B2159">
        <v>-0.51000094015181596</v>
      </c>
      <c r="C2159">
        <v>8.15067172507311</v>
      </c>
      <c r="D2159">
        <v>0.27231516703059799</v>
      </c>
      <c r="E2159">
        <v>0.82697410497677304</v>
      </c>
      <c r="F2159">
        <v>21</v>
      </c>
      <c r="G2159">
        <v>32</v>
      </c>
      <c r="H2159" t="s">
        <v>7507</v>
      </c>
      <c r="I2159" t="s">
        <v>7508</v>
      </c>
      <c r="J2159" t="s">
        <v>2508</v>
      </c>
    </row>
    <row r="2160" spans="1:10">
      <c r="A2160" t="s">
        <v>7509</v>
      </c>
      <c r="B2160">
        <v>-0.26448407790030298</v>
      </c>
      <c r="C2160">
        <v>9.7625887496807007</v>
      </c>
      <c r="D2160">
        <v>0.271743629230428</v>
      </c>
      <c r="E2160">
        <v>0.82601844197075303</v>
      </c>
      <c r="F2160">
        <v>71</v>
      </c>
      <c r="G2160">
        <v>91</v>
      </c>
      <c r="H2160" t="s">
        <v>128</v>
      </c>
      <c r="I2160" t="s">
        <v>4748</v>
      </c>
      <c r="J2160" t="s">
        <v>129</v>
      </c>
    </row>
    <row r="2161" spans="1:10">
      <c r="A2161" t="s">
        <v>7510</v>
      </c>
      <c r="B2161">
        <v>-0.63595301319004305</v>
      </c>
      <c r="C2161">
        <v>7.7446806983766399</v>
      </c>
      <c r="D2161">
        <v>0.26866700592924903</v>
      </c>
      <c r="E2161">
        <v>0.81743906439779201</v>
      </c>
      <c r="F2161">
        <v>15</v>
      </c>
      <c r="G2161">
        <v>25</v>
      </c>
      <c r="H2161" t="s">
        <v>7511</v>
      </c>
      <c r="I2161" t="s">
        <v>7512</v>
      </c>
      <c r="J2161" t="s">
        <v>2509</v>
      </c>
    </row>
    <row r="2162" spans="1:10">
      <c r="A2162" t="s">
        <v>7513</v>
      </c>
      <c r="B2162">
        <v>-0.63595301319004305</v>
      </c>
      <c r="C2162">
        <v>7.7446806983766399</v>
      </c>
      <c r="D2162">
        <v>0.26866700592924903</v>
      </c>
      <c r="E2162">
        <v>0.81743906439779201</v>
      </c>
      <c r="F2162">
        <v>15</v>
      </c>
      <c r="G2162">
        <v>25</v>
      </c>
      <c r="H2162" t="s">
        <v>7514</v>
      </c>
      <c r="I2162" t="s">
        <v>7515</v>
      </c>
      <c r="J2162" t="s">
        <v>2510</v>
      </c>
    </row>
    <row r="2163" spans="1:10">
      <c r="A2163" t="s">
        <v>7516</v>
      </c>
      <c r="B2163">
        <v>-0.63595301319004305</v>
      </c>
      <c r="C2163">
        <v>7.7446806983766399</v>
      </c>
      <c r="D2163">
        <v>0.26866700592924903</v>
      </c>
      <c r="E2163">
        <v>0.81743906439779201</v>
      </c>
      <c r="F2163">
        <v>15</v>
      </c>
      <c r="G2163">
        <v>25</v>
      </c>
      <c r="H2163" t="s">
        <v>28</v>
      </c>
      <c r="I2163" t="s">
        <v>3438</v>
      </c>
      <c r="J2163" t="s">
        <v>2511</v>
      </c>
    </row>
    <row r="2164" spans="1:10">
      <c r="A2164" t="s">
        <v>7517</v>
      </c>
      <c r="B2164">
        <v>0.52220430881367996</v>
      </c>
      <c r="C2164">
        <v>7.7447177076688103</v>
      </c>
      <c r="D2164">
        <v>0.26866700592924903</v>
      </c>
      <c r="E2164">
        <v>0.81743906439779201</v>
      </c>
      <c r="F2164">
        <v>23</v>
      </c>
      <c r="G2164">
        <v>17</v>
      </c>
      <c r="H2164" t="s">
        <v>7518</v>
      </c>
      <c r="I2164" t="s">
        <v>7519</v>
      </c>
      <c r="J2164" t="s">
        <v>2512</v>
      </c>
    </row>
    <row r="2165" spans="1:10">
      <c r="A2165" t="s">
        <v>7520</v>
      </c>
      <c r="B2165">
        <v>0.52220430881367996</v>
      </c>
      <c r="C2165">
        <v>7.7447177076688103</v>
      </c>
      <c r="D2165">
        <v>0.26866700592924903</v>
      </c>
      <c r="E2165">
        <v>0.81743906439779201</v>
      </c>
      <c r="F2165">
        <v>23</v>
      </c>
      <c r="G2165">
        <v>17</v>
      </c>
      <c r="H2165" t="s">
        <v>28</v>
      </c>
      <c r="I2165" t="s">
        <v>3438</v>
      </c>
      <c r="J2165" t="s">
        <v>2513</v>
      </c>
    </row>
    <row r="2166" spans="1:10">
      <c r="A2166" t="s">
        <v>7521</v>
      </c>
      <c r="B2166">
        <v>0.52220430881367996</v>
      </c>
      <c r="C2166">
        <v>7.7447177076688103</v>
      </c>
      <c r="D2166">
        <v>0.26866700592924903</v>
      </c>
      <c r="E2166">
        <v>0.81743906439779201</v>
      </c>
      <c r="F2166">
        <v>23</v>
      </c>
      <c r="G2166">
        <v>17</v>
      </c>
      <c r="H2166" t="s">
        <v>7522</v>
      </c>
      <c r="I2166" t="s">
        <v>3687</v>
      </c>
      <c r="J2166" t="s">
        <v>2514</v>
      </c>
    </row>
    <row r="2167" spans="1:10">
      <c r="A2167" t="s">
        <v>7523</v>
      </c>
      <c r="B2167">
        <v>-0.34606095404796899</v>
      </c>
      <c r="C2167">
        <v>9.0521021233073196</v>
      </c>
      <c r="D2167">
        <v>0.26757615516227301</v>
      </c>
      <c r="E2167">
        <v>0.81743906439779201</v>
      </c>
      <c r="F2167">
        <v>42</v>
      </c>
      <c r="G2167">
        <v>57</v>
      </c>
      <c r="H2167" t="s">
        <v>7524</v>
      </c>
      <c r="I2167" t="s">
        <v>7525</v>
      </c>
      <c r="J2167" t="s">
        <v>2515</v>
      </c>
    </row>
    <row r="2168" spans="1:10">
      <c r="A2168" t="s">
        <v>7526</v>
      </c>
      <c r="B2168">
        <v>-1.0332319717943801</v>
      </c>
      <c r="C2168">
        <v>6.1232018660249796</v>
      </c>
      <c r="D2168">
        <v>0.26700276442484699</v>
      </c>
      <c r="E2168">
        <v>0.81743906439779201</v>
      </c>
      <c r="F2168">
        <v>4</v>
      </c>
      <c r="G2168">
        <v>9</v>
      </c>
      <c r="H2168" t="s">
        <v>28</v>
      </c>
      <c r="I2168" t="s">
        <v>3438</v>
      </c>
      <c r="J2168" t="s">
        <v>2516</v>
      </c>
    </row>
    <row r="2169" spans="1:10">
      <c r="A2169" t="s">
        <v>7527</v>
      </c>
      <c r="B2169">
        <v>-1.0332319717943801</v>
      </c>
      <c r="C2169">
        <v>6.1232018660249796</v>
      </c>
      <c r="D2169">
        <v>0.26700276442484699</v>
      </c>
      <c r="E2169">
        <v>0.81743906439779201</v>
      </c>
      <c r="F2169">
        <v>4</v>
      </c>
      <c r="G2169">
        <v>9</v>
      </c>
      <c r="H2169" t="s">
        <v>28</v>
      </c>
      <c r="I2169" t="s">
        <v>3438</v>
      </c>
      <c r="J2169" t="s">
        <v>71</v>
      </c>
    </row>
    <row r="2170" spans="1:10">
      <c r="A2170" t="s">
        <v>7528</v>
      </c>
      <c r="B2170">
        <v>-1.0332319717943801</v>
      </c>
      <c r="C2170">
        <v>6.1232018660249796</v>
      </c>
      <c r="D2170">
        <v>0.26700276442484699</v>
      </c>
      <c r="E2170">
        <v>0.81743906439779201</v>
      </c>
      <c r="F2170">
        <v>4</v>
      </c>
      <c r="G2170">
        <v>9</v>
      </c>
      <c r="H2170" t="s">
        <v>28</v>
      </c>
      <c r="I2170" t="s">
        <v>3438</v>
      </c>
      <c r="J2170" t="s">
        <v>2517</v>
      </c>
    </row>
    <row r="2171" spans="1:10">
      <c r="A2171" t="s">
        <v>7529</v>
      </c>
      <c r="B2171">
        <v>-1.0332319717943801</v>
      </c>
      <c r="C2171">
        <v>6.1232018660249796</v>
      </c>
      <c r="D2171">
        <v>0.26700276442484699</v>
      </c>
      <c r="E2171">
        <v>0.81743906439779201</v>
      </c>
      <c r="F2171">
        <v>4</v>
      </c>
      <c r="G2171">
        <v>9</v>
      </c>
      <c r="H2171" t="s">
        <v>7530</v>
      </c>
      <c r="I2171" t="s">
        <v>7531</v>
      </c>
      <c r="J2171" t="s">
        <v>2518</v>
      </c>
    </row>
    <row r="2172" spans="1:10">
      <c r="A2172" t="s">
        <v>7532</v>
      </c>
      <c r="B2172">
        <v>-1.0332319717943801</v>
      </c>
      <c r="C2172">
        <v>6.1232018660249796</v>
      </c>
      <c r="D2172">
        <v>0.26700276442484699</v>
      </c>
      <c r="E2172">
        <v>0.81743906439779201</v>
      </c>
      <c r="F2172">
        <v>4</v>
      </c>
      <c r="G2172">
        <v>9</v>
      </c>
      <c r="H2172" t="s">
        <v>28</v>
      </c>
      <c r="I2172" t="s">
        <v>3438</v>
      </c>
      <c r="J2172" t="s">
        <v>2519</v>
      </c>
    </row>
    <row r="2173" spans="1:10">
      <c r="A2173" t="s">
        <v>7533</v>
      </c>
      <c r="B2173">
        <v>-1.0332319717943801</v>
      </c>
      <c r="C2173">
        <v>6.1232018660249796</v>
      </c>
      <c r="D2173">
        <v>0.26700276442484699</v>
      </c>
      <c r="E2173">
        <v>0.81743906439779201</v>
      </c>
      <c r="F2173">
        <v>4</v>
      </c>
      <c r="G2173">
        <v>9</v>
      </c>
      <c r="H2173" t="s">
        <v>28</v>
      </c>
      <c r="I2173" t="s">
        <v>3438</v>
      </c>
      <c r="J2173" t="s">
        <v>2520</v>
      </c>
    </row>
    <row r="2174" spans="1:10">
      <c r="A2174" t="s">
        <v>7534</v>
      </c>
      <c r="B2174">
        <v>1.2107531425670199</v>
      </c>
      <c r="C2174">
        <v>6.1232250280487204</v>
      </c>
      <c r="D2174">
        <v>0.26700276442484699</v>
      </c>
      <c r="E2174">
        <v>0.81743906439779201</v>
      </c>
      <c r="F2174">
        <v>9</v>
      </c>
      <c r="G2174">
        <v>4</v>
      </c>
      <c r="H2174" t="s">
        <v>7535</v>
      </c>
      <c r="I2174" t="s">
        <v>4802</v>
      </c>
      <c r="J2174" t="s">
        <v>2521</v>
      </c>
    </row>
    <row r="2175" spans="1:10">
      <c r="A2175" t="s">
        <v>7536</v>
      </c>
      <c r="B2175">
        <v>1.2107531425670199</v>
      </c>
      <c r="C2175">
        <v>6.1232250280487204</v>
      </c>
      <c r="D2175">
        <v>0.26700276442484699</v>
      </c>
      <c r="E2175">
        <v>0.81743906439779201</v>
      </c>
      <c r="F2175">
        <v>9</v>
      </c>
      <c r="G2175">
        <v>4</v>
      </c>
      <c r="H2175" t="s">
        <v>7537</v>
      </c>
      <c r="I2175" t="s">
        <v>7538</v>
      </c>
      <c r="J2175" t="s">
        <v>2522</v>
      </c>
    </row>
    <row r="2176" spans="1:10">
      <c r="A2176" t="s">
        <v>7539</v>
      </c>
      <c r="B2176">
        <v>1.2107531425670199</v>
      </c>
      <c r="C2176">
        <v>6.1232250280487204</v>
      </c>
      <c r="D2176">
        <v>0.26700276442484699</v>
      </c>
      <c r="E2176">
        <v>0.81743906439779201</v>
      </c>
      <c r="F2176">
        <v>9</v>
      </c>
      <c r="G2176">
        <v>4</v>
      </c>
      <c r="H2176" t="s">
        <v>28</v>
      </c>
      <c r="I2176" t="s">
        <v>3438</v>
      </c>
      <c r="J2176" t="s">
        <v>2523</v>
      </c>
    </row>
    <row r="2177" spans="1:10">
      <c r="A2177" t="s">
        <v>7540</v>
      </c>
      <c r="B2177">
        <v>1.2107531425670199</v>
      </c>
      <c r="C2177">
        <v>6.1232250280487204</v>
      </c>
      <c r="D2177">
        <v>0.26700276442484699</v>
      </c>
      <c r="E2177">
        <v>0.81743906439779201</v>
      </c>
      <c r="F2177">
        <v>9</v>
      </c>
      <c r="G2177">
        <v>4</v>
      </c>
      <c r="H2177" t="s">
        <v>7541</v>
      </c>
      <c r="I2177" t="s">
        <v>7542</v>
      </c>
      <c r="J2177" t="s">
        <v>2524</v>
      </c>
    </row>
    <row r="2178" spans="1:10">
      <c r="A2178" t="s">
        <v>7543</v>
      </c>
      <c r="B2178">
        <v>1.2107531425670199</v>
      </c>
      <c r="C2178">
        <v>6.1232250280487204</v>
      </c>
      <c r="D2178">
        <v>0.26700276442484699</v>
      </c>
      <c r="E2178">
        <v>0.81743906439779201</v>
      </c>
      <c r="F2178">
        <v>9</v>
      </c>
      <c r="G2178">
        <v>4</v>
      </c>
      <c r="H2178" t="s">
        <v>28</v>
      </c>
      <c r="I2178" t="s">
        <v>7544</v>
      </c>
      <c r="J2178" t="s">
        <v>2525</v>
      </c>
    </row>
    <row r="2179" spans="1:10">
      <c r="A2179" t="s">
        <v>7545</v>
      </c>
      <c r="B2179">
        <v>-0.68382566511521503</v>
      </c>
      <c r="C2179">
        <v>7.3296470739004</v>
      </c>
      <c r="D2179">
        <v>0.265278668454342</v>
      </c>
      <c r="E2179">
        <v>0.81743906439779201</v>
      </c>
      <c r="F2179">
        <v>11</v>
      </c>
      <c r="G2179">
        <v>19</v>
      </c>
      <c r="H2179" t="s">
        <v>28</v>
      </c>
      <c r="I2179" t="s">
        <v>3631</v>
      </c>
      <c r="J2179" t="s">
        <v>2526</v>
      </c>
    </row>
    <row r="2180" spans="1:10">
      <c r="A2180" t="s">
        <v>7546</v>
      </c>
      <c r="B2180">
        <v>-0.68382566511521503</v>
      </c>
      <c r="C2180">
        <v>7.3296470739004</v>
      </c>
      <c r="D2180">
        <v>0.265278668454342</v>
      </c>
      <c r="E2180">
        <v>0.81743906439779201</v>
      </c>
      <c r="F2180">
        <v>11</v>
      </c>
      <c r="G2180">
        <v>19</v>
      </c>
      <c r="H2180" t="s">
        <v>7547</v>
      </c>
      <c r="I2180" t="s">
        <v>7548</v>
      </c>
      <c r="J2180" t="s">
        <v>2527</v>
      </c>
    </row>
    <row r="2181" spans="1:10">
      <c r="A2181" t="s">
        <v>7549</v>
      </c>
      <c r="B2181">
        <v>-0.68382566511521503</v>
      </c>
      <c r="C2181">
        <v>7.3296470739004</v>
      </c>
      <c r="D2181">
        <v>0.265278668454342</v>
      </c>
      <c r="E2181">
        <v>0.81743906439779201</v>
      </c>
      <c r="F2181">
        <v>11</v>
      </c>
      <c r="G2181">
        <v>19</v>
      </c>
      <c r="H2181" t="s">
        <v>7550</v>
      </c>
      <c r="I2181" t="s">
        <v>3599</v>
      </c>
      <c r="J2181" t="s">
        <v>2528</v>
      </c>
    </row>
    <row r="2182" spans="1:10">
      <c r="A2182" t="s">
        <v>7551</v>
      </c>
      <c r="B2182">
        <v>-0.77967298937616203</v>
      </c>
      <c r="C2182">
        <v>6.7446884518590897</v>
      </c>
      <c r="D2182">
        <v>0.26341613098878303</v>
      </c>
      <c r="E2182">
        <v>0.81743906439779201</v>
      </c>
      <c r="F2182">
        <v>7</v>
      </c>
      <c r="G2182">
        <v>13</v>
      </c>
      <c r="H2182" t="s">
        <v>28</v>
      </c>
      <c r="I2182" t="s">
        <v>3438</v>
      </c>
      <c r="J2182" t="s">
        <v>2529</v>
      </c>
    </row>
    <row r="2183" spans="1:10">
      <c r="A2183" t="s">
        <v>7552</v>
      </c>
      <c r="B2183">
        <v>-0.77967298937616203</v>
      </c>
      <c r="C2183">
        <v>6.7446884518590897</v>
      </c>
      <c r="D2183">
        <v>0.26341613098878303</v>
      </c>
      <c r="E2183">
        <v>0.81743906439779201</v>
      </c>
      <c r="F2183">
        <v>7</v>
      </c>
      <c r="G2183">
        <v>13</v>
      </c>
      <c r="H2183" t="s">
        <v>28</v>
      </c>
      <c r="I2183" t="s">
        <v>3438</v>
      </c>
      <c r="J2183" t="s">
        <v>2530</v>
      </c>
    </row>
    <row r="2184" spans="1:10">
      <c r="A2184" t="s">
        <v>7553</v>
      </c>
      <c r="B2184">
        <v>-0.77967298937616203</v>
      </c>
      <c r="C2184">
        <v>6.7446884518590897</v>
      </c>
      <c r="D2184">
        <v>0.26341613098878303</v>
      </c>
      <c r="E2184">
        <v>0.81743906439779201</v>
      </c>
      <c r="F2184">
        <v>7</v>
      </c>
      <c r="G2184">
        <v>13</v>
      </c>
      <c r="H2184" t="s">
        <v>28</v>
      </c>
      <c r="I2184" t="s">
        <v>3438</v>
      </c>
      <c r="J2184" t="s">
        <v>2531</v>
      </c>
    </row>
    <row r="2185" spans="1:10">
      <c r="A2185" t="s">
        <v>7554</v>
      </c>
      <c r="B2185">
        <v>0.96020717023112301</v>
      </c>
      <c r="C2185">
        <v>6.7447162365892002</v>
      </c>
      <c r="D2185">
        <v>0.26341613098878303</v>
      </c>
      <c r="E2185">
        <v>0.81743906439779201</v>
      </c>
      <c r="F2185">
        <v>13</v>
      </c>
      <c r="G2185">
        <v>7</v>
      </c>
      <c r="H2185" t="s">
        <v>7555</v>
      </c>
      <c r="I2185" t="s">
        <v>7556</v>
      </c>
      <c r="J2185" t="s">
        <v>2532</v>
      </c>
    </row>
    <row r="2186" spans="1:10">
      <c r="A2186" t="s">
        <v>7557</v>
      </c>
      <c r="B2186">
        <v>0.96020717023112301</v>
      </c>
      <c r="C2186">
        <v>6.7447162365892002</v>
      </c>
      <c r="D2186">
        <v>0.26341613098878303</v>
      </c>
      <c r="E2186">
        <v>0.81743906439779201</v>
      </c>
      <c r="F2186">
        <v>13</v>
      </c>
      <c r="G2186">
        <v>7</v>
      </c>
      <c r="H2186" t="s">
        <v>7558</v>
      </c>
      <c r="I2186" t="s">
        <v>7559</v>
      </c>
      <c r="J2186" t="s">
        <v>2533</v>
      </c>
    </row>
    <row r="2187" spans="1:10">
      <c r="A2187" t="s">
        <v>7560</v>
      </c>
      <c r="B2187">
        <v>0.96020717023112301</v>
      </c>
      <c r="C2187">
        <v>6.7447162365892002</v>
      </c>
      <c r="D2187">
        <v>0.26341613098878303</v>
      </c>
      <c r="E2187">
        <v>0.81743906439779201</v>
      </c>
      <c r="F2187">
        <v>13</v>
      </c>
      <c r="G2187">
        <v>7</v>
      </c>
      <c r="H2187" t="s">
        <v>7561</v>
      </c>
      <c r="I2187" t="s">
        <v>7562</v>
      </c>
      <c r="J2187" t="s">
        <v>2534</v>
      </c>
    </row>
    <row r="2188" spans="1:10">
      <c r="A2188" t="s">
        <v>7563</v>
      </c>
      <c r="B2188">
        <v>0.96020717023112301</v>
      </c>
      <c r="C2188">
        <v>6.7447162365892002</v>
      </c>
      <c r="D2188">
        <v>0.26341613098878303</v>
      </c>
      <c r="E2188">
        <v>0.81743906439779201</v>
      </c>
      <c r="F2188">
        <v>13</v>
      </c>
      <c r="G2188">
        <v>7</v>
      </c>
      <c r="H2188" t="s">
        <v>28</v>
      </c>
      <c r="I2188" t="s">
        <v>3438</v>
      </c>
      <c r="J2188" t="s">
        <v>2535</v>
      </c>
    </row>
    <row r="2189" spans="1:10">
      <c r="A2189" t="s">
        <v>7564</v>
      </c>
      <c r="B2189">
        <v>0.96020717023112301</v>
      </c>
      <c r="C2189">
        <v>6.7447162365892002</v>
      </c>
      <c r="D2189">
        <v>0.26341613098878303</v>
      </c>
      <c r="E2189">
        <v>0.81743906439779201</v>
      </c>
      <c r="F2189">
        <v>13</v>
      </c>
      <c r="G2189">
        <v>7</v>
      </c>
      <c r="H2189" t="s">
        <v>7565</v>
      </c>
      <c r="I2189" t="s">
        <v>7566</v>
      </c>
      <c r="J2189" t="s">
        <v>2536</v>
      </c>
    </row>
    <row r="2190" spans="1:10">
      <c r="A2190" t="s">
        <v>7567</v>
      </c>
      <c r="B2190">
        <v>-0.534137339344402</v>
      </c>
      <c r="C2190">
        <v>8.0951764617839999</v>
      </c>
      <c r="D2190">
        <v>0.26304681303511901</v>
      </c>
      <c r="E2190">
        <v>0.81743906439779201</v>
      </c>
      <c r="F2190">
        <v>20</v>
      </c>
      <c r="G2190">
        <v>31</v>
      </c>
      <c r="H2190" t="s">
        <v>28</v>
      </c>
      <c r="I2190" t="s">
        <v>3438</v>
      </c>
      <c r="J2190" t="s">
        <v>2537</v>
      </c>
    </row>
    <row r="2191" spans="1:10">
      <c r="A2191" t="s">
        <v>7568</v>
      </c>
      <c r="B2191">
        <v>0.48645442067512601</v>
      </c>
      <c r="C2191">
        <v>8.0952180744434692</v>
      </c>
      <c r="D2191">
        <v>0.26304681303511901</v>
      </c>
      <c r="E2191">
        <v>0.81743906439779201</v>
      </c>
      <c r="F2191">
        <v>29</v>
      </c>
      <c r="G2191">
        <v>22</v>
      </c>
      <c r="H2191" t="s">
        <v>28</v>
      </c>
      <c r="I2191" t="s">
        <v>3657</v>
      </c>
      <c r="J2191" t="s">
        <v>2538</v>
      </c>
    </row>
    <row r="2192" spans="1:10">
      <c r="A2192" t="s">
        <v>7569</v>
      </c>
      <c r="B2192">
        <v>0.48645442067512601</v>
      </c>
      <c r="C2192">
        <v>8.0952180744434692</v>
      </c>
      <c r="D2192">
        <v>0.26304681303511901</v>
      </c>
      <c r="E2192">
        <v>0.81743906439779201</v>
      </c>
      <c r="F2192">
        <v>29</v>
      </c>
      <c r="G2192">
        <v>22</v>
      </c>
      <c r="H2192" t="s">
        <v>7570</v>
      </c>
      <c r="I2192" t="s">
        <v>7571</v>
      </c>
      <c r="J2192" t="s">
        <v>2539</v>
      </c>
    </row>
    <row r="2193" spans="1:10">
      <c r="A2193" t="s">
        <v>7572</v>
      </c>
      <c r="B2193">
        <v>-0.355205827869501</v>
      </c>
      <c r="C2193">
        <v>9.0226581944892601</v>
      </c>
      <c r="D2193">
        <v>0.26261323826334099</v>
      </c>
      <c r="E2193">
        <v>0.81743906439779201</v>
      </c>
      <c r="F2193">
        <v>41</v>
      </c>
      <c r="G2193">
        <v>56</v>
      </c>
      <c r="H2193" t="s">
        <v>7573</v>
      </c>
      <c r="I2193" t="s">
        <v>7574</v>
      </c>
      <c r="J2193" t="s">
        <v>2540</v>
      </c>
    </row>
    <row r="2194" spans="1:10">
      <c r="A2194" t="s">
        <v>7575</v>
      </c>
      <c r="B2194">
        <v>0.36498129345772401</v>
      </c>
      <c r="C2194">
        <v>8.9926561718980391</v>
      </c>
      <c r="D2194">
        <v>0.26261323826334099</v>
      </c>
      <c r="E2194">
        <v>0.81743906439779201</v>
      </c>
      <c r="F2194">
        <v>52</v>
      </c>
      <c r="G2194">
        <v>43</v>
      </c>
      <c r="H2194" t="s">
        <v>28</v>
      </c>
      <c r="I2194" t="s">
        <v>3438</v>
      </c>
      <c r="J2194" t="s">
        <v>2541</v>
      </c>
    </row>
    <row r="2195" spans="1:10">
      <c r="A2195" t="s">
        <v>7576</v>
      </c>
      <c r="B2195">
        <v>-0.451146682436184</v>
      </c>
      <c r="C2195">
        <v>8.4227497885248201</v>
      </c>
      <c r="D2195">
        <v>0.261198600226628</v>
      </c>
      <c r="E2195">
        <v>0.81743906439779201</v>
      </c>
      <c r="F2195">
        <v>26</v>
      </c>
      <c r="G2195">
        <v>38</v>
      </c>
      <c r="H2195" t="s">
        <v>7577</v>
      </c>
      <c r="I2195" t="s">
        <v>7578</v>
      </c>
      <c r="J2195" t="s">
        <v>2542</v>
      </c>
    </row>
    <row r="2196" spans="1:10">
      <c r="A2196" t="s">
        <v>7579</v>
      </c>
      <c r="B2196">
        <v>-0.451146682436184</v>
      </c>
      <c r="C2196">
        <v>8.4227497885248201</v>
      </c>
      <c r="D2196">
        <v>0.261198600226628</v>
      </c>
      <c r="E2196">
        <v>0.81743906439779201</v>
      </c>
      <c r="F2196">
        <v>26</v>
      </c>
      <c r="G2196">
        <v>38</v>
      </c>
      <c r="H2196" t="s">
        <v>28</v>
      </c>
      <c r="I2196" t="s">
        <v>3438</v>
      </c>
      <c r="J2196" t="s">
        <v>2543</v>
      </c>
    </row>
    <row r="2197" spans="1:10">
      <c r="A2197" t="s">
        <v>7580</v>
      </c>
      <c r="B2197">
        <v>-0.124085378700792</v>
      </c>
      <c r="C2197">
        <v>11.9403718369354</v>
      </c>
      <c r="D2197">
        <v>0.26041109785332001</v>
      </c>
      <c r="E2197">
        <v>0.81743906439779201</v>
      </c>
      <c r="F2197">
        <v>339</v>
      </c>
      <c r="G2197">
        <v>394</v>
      </c>
      <c r="H2197" t="s">
        <v>7581</v>
      </c>
      <c r="I2197" t="s">
        <v>7582</v>
      </c>
      <c r="J2197" t="s">
        <v>2544</v>
      </c>
    </row>
    <row r="2198" spans="1:10">
      <c r="A2198" t="s">
        <v>7583</v>
      </c>
      <c r="B2198">
        <v>-0.34312663305964602</v>
      </c>
      <c r="C2198">
        <v>9.2429209119795495</v>
      </c>
      <c r="D2198">
        <v>0.26020561683738302</v>
      </c>
      <c r="E2198">
        <v>0.81743906439779201</v>
      </c>
      <c r="F2198">
        <v>48</v>
      </c>
      <c r="G2198">
        <v>65</v>
      </c>
      <c r="H2198" t="s">
        <v>210</v>
      </c>
      <c r="I2198" t="s">
        <v>7584</v>
      </c>
      <c r="J2198" t="s">
        <v>211</v>
      </c>
    </row>
    <row r="2199" spans="1:10">
      <c r="A2199" t="s">
        <v>7585</v>
      </c>
      <c r="B2199">
        <v>0.31056844081199197</v>
      </c>
      <c r="C2199">
        <v>9.4671996717891798</v>
      </c>
      <c r="D2199">
        <v>0.25932873111203503</v>
      </c>
      <c r="E2199">
        <v>0.81743906439779201</v>
      </c>
      <c r="F2199">
        <v>71</v>
      </c>
      <c r="G2199">
        <v>61</v>
      </c>
      <c r="H2199" t="s">
        <v>7586</v>
      </c>
      <c r="I2199" t="s">
        <v>7587</v>
      </c>
      <c r="J2199" t="s">
        <v>2545</v>
      </c>
    </row>
    <row r="2200" spans="1:10">
      <c r="A2200" t="s">
        <v>7588</v>
      </c>
      <c r="B2200">
        <v>-0.27324988912057702</v>
      </c>
      <c r="C2200">
        <v>9.8656785533970108</v>
      </c>
      <c r="D2200">
        <v>0.25747280778128201</v>
      </c>
      <c r="E2200">
        <v>0.81339150277465999</v>
      </c>
      <c r="F2200">
        <v>76</v>
      </c>
      <c r="G2200">
        <v>98</v>
      </c>
      <c r="H2200" t="s">
        <v>7589</v>
      </c>
      <c r="I2200" t="s">
        <v>7590</v>
      </c>
      <c r="J2200" t="s">
        <v>2546</v>
      </c>
    </row>
    <row r="2201" spans="1:10">
      <c r="A2201" t="s">
        <v>7591</v>
      </c>
      <c r="B2201">
        <v>-0.67557397134430697</v>
      </c>
      <c r="C2201">
        <v>7.6706799662705603</v>
      </c>
      <c r="D2201">
        <v>0.25632780524056098</v>
      </c>
      <c r="E2201">
        <v>0.81057052276661101</v>
      </c>
      <c r="F2201">
        <v>14</v>
      </c>
      <c r="G2201">
        <v>24</v>
      </c>
      <c r="H2201" t="s">
        <v>28</v>
      </c>
      <c r="I2201" t="s">
        <v>4760</v>
      </c>
      <c r="J2201" t="s">
        <v>2547</v>
      </c>
    </row>
    <row r="2202" spans="1:10">
      <c r="A2202" t="s">
        <v>7592</v>
      </c>
      <c r="B2202">
        <v>0.54487184149434098</v>
      </c>
      <c r="C2202">
        <v>7.6707169792490104</v>
      </c>
      <c r="D2202">
        <v>0.25632780524056098</v>
      </c>
      <c r="E2202">
        <v>0.81057052276661101</v>
      </c>
      <c r="F2202">
        <v>22</v>
      </c>
      <c r="G2202">
        <v>16</v>
      </c>
      <c r="H2202" t="s">
        <v>7593</v>
      </c>
      <c r="I2202" t="s">
        <v>7594</v>
      </c>
      <c r="J2202" t="s">
        <v>2548</v>
      </c>
    </row>
    <row r="2203" spans="1:10">
      <c r="A2203" t="s">
        <v>7595</v>
      </c>
      <c r="B2203">
        <v>0.54487184149434098</v>
      </c>
      <c r="C2203">
        <v>7.6707169792490104</v>
      </c>
      <c r="D2203">
        <v>0.25632780524056098</v>
      </c>
      <c r="E2203">
        <v>0.81057052276661101</v>
      </c>
      <c r="F2203">
        <v>22</v>
      </c>
      <c r="G2203">
        <v>16</v>
      </c>
      <c r="H2203" t="s">
        <v>28</v>
      </c>
      <c r="I2203" t="s">
        <v>7596</v>
      </c>
      <c r="J2203" t="s">
        <v>2549</v>
      </c>
    </row>
    <row r="2204" spans="1:10">
      <c r="A2204" t="s">
        <v>7597</v>
      </c>
      <c r="B2204">
        <v>-0.35106764657894202</v>
      </c>
      <c r="C2204">
        <v>9.2171576647411797</v>
      </c>
      <c r="D2204">
        <v>0.25592166012739997</v>
      </c>
      <c r="E2204">
        <v>0.81057052276661101</v>
      </c>
      <c r="F2204">
        <v>47</v>
      </c>
      <c r="G2204">
        <v>64</v>
      </c>
      <c r="H2204" t="s">
        <v>28</v>
      </c>
      <c r="I2204" t="s">
        <v>7598</v>
      </c>
      <c r="J2204" t="s">
        <v>2550</v>
      </c>
    </row>
    <row r="2205" spans="1:10">
      <c r="A2205" t="s">
        <v>7599</v>
      </c>
      <c r="B2205">
        <v>0.46335314730607802</v>
      </c>
      <c r="C2205">
        <v>8.3769921591384602</v>
      </c>
      <c r="D2205">
        <v>0.25359031852384001</v>
      </c>
      <c r="E2205">
        <v>0.80508041892662197</v>
      </c>
      <c r="F2205">
        <v>35</v>
      </c>
      <c r="G2205">
        <v>27</v>
      </c>
      <c r="H2205" t="s">
        <v>7600</v>
      </c>
      <c r="I2205" t="s">
        <v>7601</v>
      </c>
      <c r="J2205" t="s">
        <v>2551</v>
      </c>
    </row>
    <row r="2206" spans="1:10">
      <c r="A2206" t="s">
        <v>7602</v>
      </c>
      <c r="B2206">
        <v>0.46335314730607802</v>
      </c>
      <c r="C2206">
        <v>8.3769921591384602</v>
      </c>
      <c r="D2206">
        <v>0.25359031852384001</v>
      </c>
      <c r="E2206">
        <v>0.80508041892662197</v>
      </c>
      <c r="F2206">
        <v>35</v>
      </c>
      <c r="G2206">
        <v>27</v>
      </c>
      <c r="H2206" t="s">
        <v>7603</v>
      </c>
      <c r="I2206" t="s">
        <v>7604</v>
      </c>
      <c r="J2206" t="s">
        <v>2552</v>
      </c>
    </row>
    <row r="2207" spans="1:10">
      <c r="A2207" t="s">
        <v>7605</v>
      </c>
      <c r="B2207">
        <v>0.50257262931757296</v>
      </c>
      <c r="C2207">
        <v>8.0375024300023092</v>
      </c>
      <c r="D2207">
        <v>0.25345181280898799</v>
      </c>
      <c r="E2207">
        <v>0.80508041892662197</v>
      </c>
      <c r="F2207">
        <v>28</v>
      </c>
      <c r="G2207">
        <v>21</v>
      </c>
      <c r="H2207" t="s">
        <v>7606</v>
      </c>
      <c r="I2207" t="s">
        <v>3450</v>
      </c>
      <c r="J2207" t="s">
        <v>2553</v>
      </c>
    </row>
    <row r="2208" spans="1:10">
      <c r="A2208" t="s">
        <v>7607</v>
      </c>
      <c r="B2208">
        <v>0.50257262931757296</v>
      </c>
      <c r="C2208">
        <v>8.0375024300023092</v>
      </c>
      <c r="D2208">
        <v>0.25345181280898799</v>
      </c>
      <c r="E2208">
        <v>0.80508041892662197</v>
      </c>
      <c r="F2208">
        <v>28</v>
      </c>
      <c r="G2208">
        <v>21</v>
      </c>
      <c r="H2208" t="s">
        <v>28</v>
      </c>
      <c r="I2208" t="s">
        <v>3438</v>
      </c>
      <c r="J2208" t="s">
        <v>2554</v>
      </c>
    </row>
    <row r="2209" spans="1:10">
      <c r="A2209" t="s">
        <v>7608</v>
      </c>
      <c r="B2209">
        <v>-0.17133170958208899</v>
      </c>
      <c r="C2209">
        <v>11.1608076531605</v>
      </c>
      <c r="D2209">
        <v>0.25042712864404199</v>
      </c>
      <c r="E2209">
        <v>0.79818993629260604</v>
      </c>
      <c r="F2209">
        <v>194</v>
      </c>
      <c r="G2209">
        <v>233</v>
      </c>
      <c r="H2209" t="s">
        <v>6421</v>
      </c>
      <c r="I2209" t="s">
        <v>6422</v>
      </c>
      <c r="J2209" t="s">
        <v>2555</v>
      </c>
    </row>
    <row r="2210" spans="1:10">
      <c r="A2210" t="s">
        <v>7609</v>
      </c>
      <c r="B2210">
        <v>0.437714319036758</v>
      </c>
      <c r="C2210">
        <v>8.6516177978976003</v>
      </c>
      <c r="D2210">
        <v>0.24893250841690201</v>
      </c>
      <c r="E2210">
        <v>0.79421324113963898</v>
      </c>
      <c r="F2210">
        <v>42</v>
      </c>
      <c r="G2210">
        <v>33</v>
      </c>
      <c r="H2210" t="s">
        <v>28</v>
      </c>
      <c r="I2210" t="s">
        <v>6703</v>
      </c>
      <c r="J2210" t="s">
        <v>2556</v>
      </c>
    </row>
    <row r="2211" spans="1:10">
      <c r="A2211" t="s">
        <v>7610</v>
      </c>
      <c r="B2211">
        <v>-0.74129831924253198</v>
      </c>
      <c r="C2211">
        <v>7.2301112499981599</v>
      </c>
      <c r="D2211">
        <v>0.248108948774206</v>
      </c>
      <c r="E2211">
        <v>0.79237177682010695</v>
      </c>
      <c r="F2211">
        <v>10</v>
      </c>
      <c r="G2211">
        <v>18</v>
      </c>
      <c r="H2211" t="s">
        <v>28</v>
      </c>
      <c r="I2211" t="s">
        <v>3438</v>
      </c>
      <c r="J2211" t="s">
        <v>2557</v>
      </c>
    </row>
    <row r="2212" spans="1:10">
      <c r="A2212" t="s">
        <v>7611</v>
      </c>
      <c r="B2212">
        <v>-0.66003501135285303</v>
      </c>
      <c r="C2212">
        <v>7.1776460694758804</v>
      </c>
      <c r="D2212">
        <v>0.248108948774206</v>
      </c>
      <c r="E2212">
        <v>0.79237177682010695</v>
      </c>
      <c r="F2212">
        <v>10</v>
      </c>
      <c r="G2212">
        <v>17</v>
      </c>
      <c r="H2212" t="s">
        <v>28</v>
      </c>
      <c r="I2212" t="s">
        <v>3438</v>
      </c>
      <c r="J2212" t="s">
        <v>2558</v>
      </c>
    </row>
    <row r="2213" spans="1:10">
      <c r="A2213" t="s">
        <v>7612</v>
      </c>
      <c r="B2213">
        <v>-0.66003501135285303</v>
      </c>
      <c r="C2213">
        <v>7.1776460694758804</v>
      </c>
      <c r="D2213">
        <v>0.248108948774206</v>
      </c>
      <c r="E2213">
        <v>0.79237177682010695</v>
      </c>
      <c r="F2213">
        <v>10</v>
      </c>
      <c r="G2213">
        <v>17</v>
      </c>
      <c r="H2213" t="s">
        <v>7613</v>
      </c>
      <c r="I2213" t="s">
        <v>7614</v>
      </c>
      <c r="J2213" t="s">
        <v>2559</v>
      </c>
    </row>
    <row r="2214" spans="1:10">
      <c r="A2214" t="s">
        <v>7615</v>
      </c>
      <c r="B2214">
        <v>-0.66003501135285303</v>
      </c>
      <c r="C2214">
        <v>7.1776460694758804</v>
      </c>
      <c r="D2214">
        <v>0.248108948774206</v>
      </c>
      <c r="E2214">
        <v>0.79237177682010695</v>
      </c>
      <c r="F2214">
        <v>10</v>
      </c>
      <c r="G2214">
        <v>17</v>
      </c>
      <c r="H2214" t="s">
        <v>28</v>
      </c>
      <c r="I2214" t="s">
        <v>3438</v>
      </c>
      <c r="J2214" t="s">
        <v>2560</v>
      </c>
    </row>
    <row r="2215" spans="1:10">
      <c r="A2215" t="s">
        <v>7616</v>
      </c>
      <c r="B2215">
        <v>-0.66003501135285303</v>
      </c>
      <c r="C2215">
        <v>7.1776460694758804</v>
      </c>
      <c r="D2215">
        <v>0.248108948774206</v>
      </c>
      <c r="E2215">
        <v>0.79237177682010695</v>
      </c>
      <c r="F2215">
        <v>10</v>
      </c>
      <c r="G2215">
        <v>17</v>
      </c>
      <c r="H2215" t="s">
        <v>28</v>
      </c>
      <c r="I2215" t="s">
        <v>7617</v>
      </c>
      <c r="J2215" t="s">
        <v>2561</v>
      </c>
    </row>
    <row r="2216" spans="1:10">
      <c r="A2216" t="s">
        <v>7618</v>
      </c>
      <c r="B2216">
        <v>-0.66003501135285303</v>
      </c>
      <c r="C2216">
        <v>7.1776460694758804</v>
      </c>
      <c r="D2216">
        <v>0.248108948774206</v>
      </c>
      <c r="E2216">
        <v>0.79237177682010695</v>
      </c>
      <c r="F2216">
        <v>10</v>
      </c>
      <c r="G2216">
        <v>17</v>
      </c>
      <c r="H2216" t="s">
        <v>28</v>
      </c>
      <c r="I2216" t="s">
        <v>3438</v>
      </c>
      <c r="J2216" t="s">
        <v>2562</v>
      </c>
    </row>
    <row r="2217" spans="1:10">
      <c r="A2217" t="s">
        <v>7619</v>
      </c>
      <c r="B2217">
        <v>-0.66003501135285303</v>
      </c>
      <c r="C2217">
        <v>7.1776460694758804</v>
      </c>
      <c r="D2217">
        <v>0.248108948774206</v>
      </c>
      <c r="E2217">
        <v>0.79237177682010695</v>
      </c>
      <c r="F2217">
        <v>10</v>
      </c>
      <c r="G2217">
        <v>17</v>
      </c>
      <c r="H2217" t="s">
        <v>28</v>
      </c>
      <c r="I2217" t="s">
        <v>5716</v>
      </c>
      <c r="J2217" t="s">
        <v>2563</v>
      </c>
    </row>
    <row r="2218" spans="1:10">
      <c r="A2218" t="s">
        <v>7620</v>
      </c>
      <c r="B2218">
        <v>-0.66003501135285303</v>
      </c>
      <c r="C2218">
        <v>7.1776460694758804</v>
      </c>
      <c r="D2218">
        <v>0.248108948774206</v>
      </c>
      <c r="E2218">
        <v>0.79237177682010695</v>
      </c>
      <c r="F2218">
        <v>10</v>
      </c>
      <c r="G2218">
        <v>17</v>
      </c>
      <c r="H2218" t="s">
        <v>7621</v>
      </c>
      <c r="I2218" t="s">
        <v>7622</v>
      </c>
      <c r="J2218" t="s">
        <v>2564</v>
      </c>
    </row>
    <row r="2219" spans="1:10">
      <c r="A2219" t="s">
        <v>7623</v>
      </c>
      <c r="B2219">
        <v>-0.66003501135285303</v>
      </c>
      <c r="C2219">
        <v>7.1776460694758804</v>
      </c>
      <c r="D2219">
        <v>0.248108948774206</v>
      </c>
      <c r="E2219">
        <v>0.79237177682010695</v>
      </c>
      <c r="F2219">
        <v>10</v>
      </c>
      <c r="G2219">
        <v>17</v>
      </c>
      <c r="H2219" t="s">
        <v>7624</v>
      </c>
      <c r="I2219" t="s">
        <v>7625</v>
      </c>
      <c r="J2219" t="s">
        <v>2565</v>
      </c>
    </row>
    <row r="2220" spans="1:10">
      <c r="A2220" t="s">
        <v>7626</v>
      </c>
      <c r="B2220">
        <v>0.84191046614159704</v>
      </c>
      <c r="C2220">
        <v>7.1776784736875001</v>
      </c>
      <c r="D2220">
        <v>0.248108948774206</v>
      </c>
      <c r="E2220">
        <v>0.79237177682010695</v>
      </c>
      <c r="F2220">
        <v>17</v>
      </c>
      <c r="G2220">
        <v>10</v>
      </c>
      <c r="H2220" t="s">
        <v>28</v>
      </c>
      <c r="I2220" t="s">
        <v>3438</v>
      </c>
      <c r="J2220" t="s">
        <v>2566</v>
      </c>
    </row>
    <row r="2221" spans="1:10">
      <c r="A2221" t="s">
        <v>7627</v>
      </c>
      <c r="B2221">
        <v>0.84191046614159704</v>
      </c>
      <c r="C2221">
        <v>7.1776784736875001</v>
      </c>
      <c r="D2221">
        <v>0.248108948774206</v>
      </c>
      <c r="E2221">
        <v>0.79237177682010695</v>
      </c>
      <c r="F2221">
        <v>17</v>
      </c>
      <c r="G2221">
        <v>10</v>
      </c>
      <c r="H2221" t="s">
        <v>28</v>
      </c>
      <c r="I2221" t="s">
        <v>3438</v>
      </c>
      <c r="J2221" t="s">
        <v>2567</v>
      </c>
    </row>
    <row r="2222" spans="1:10">
      <c r="A2222" t="s">
        <v>7628</v>
      </c>
      <c r="B2222">
        <v>-0.36785820284534598</v>
      </c>
      <c r="C2222">
        <v>9.1642084823555603</v>
      </c>
      <c r="D2222">
        <v>0.247153056471451</v>
      </c>
      <c r="E2222">
        <v>0.79237177682010695</v>
      </c>
      <c r="F2222">
        <v>45</v>
      </c>
      <c r="G2222">
        <v>62</v>
      </c>
      <c r="H2222" t="s">
        <v>7629</v>
      </c>
      <c r="I2222" t="s">
        <v>4676</v>
      </c>
      <c r="J2222" t="s">
        <v>2568</v>
      </c>
    </row>
    <row r="2223" spans="1:10">
      <c r="A2223" t="s">
        <v>7630</v>
      </c>
      <c r="B2223">
        <v>-0.221478073022015</v>
      </c>
      <c r="C2223">
        <v>10.483421986322501</v>
      </c>
      <c r="D2223">
        <v>0.247101220356409</v>
      </c>
      <c r="E2223">
        <v>0.79237177682010695</v>
      </c>
      <c r="F2223">
        <v>119</v>
      </c>
      <c r="G2223">
        <v>148</v>
      </c>
      <c r="H2223" t="s">
        <v>7631</v>
      </c>
      <c r="I2223" t="s">
        <v>7632</v>
      </c>
      <c r="J2223" t="s">
        <v>2569</v>
      </c>
    </row>
    <row r="2224" spans="1:10">
      <c r="A2224" t="s">
        <v>7633</v>
      </c>
      <c r="B2224">
        <v>0.47574688836703699</v>
      </c>
      <c r="C2224">
        <v>8.3296862981655906</v>
      </c>
      <c r="D2224">
        <v>0.24576917918531199</v>
      </c>
      <c r="E2224">
        <v>0.79237177682010695</v>
      </c>
      <c r="F2224">
        <v>34</v>
      </c>
      <c r="G2224">
        <v>26</v>
      </c>
      <c r="H2224" t="s">
        <v>7634</v>
      </c>
      <c r="I2224" t="s">
        <v>7635</v>
      </c>
      <c r="J2224" t="s">
        <v>2570</v>
      </c>
    </row>
    <row r="2225" spans="1:10">
      <c r="A2225" t="s">
        <v>7636</v>
      </c>
      <c r="B2225">
        <v>0.52007694681842798</v>
      </c>
      <c r="C2225">
        <v>7.9773812909506496</v>
      </c>
      <c r="D2225">
        <v>0.243514623232199</v>
      </c>
      <c r="E2225">
        <v>0.78866367403298299</v>
      </c>
      <c r="F2225">
        <v>27</v>
      </c>
      <c r="G2225">
        <v>20</v>
      </c>
      <c r="H2225" t="s">
        <v>28</v>
      </c>
      <c r="I2225" t="s">
        <v>3438</v>
      </c>
      <c r="J2225" t="s">
        <v>2571</v>
      </c>
    </row>
    <row r="2226" spans="1:10">
      <c r="A2226" t="s">
        <v>7637</v>
      </c>
      <c r="B2226">
        <v>0.52007694681842798</v>
      </c>
      <c r="C2226">
        <v>7.9773812909506496</v>
      </c>
      <c r="D2226">
        <v>0.243514623232199</v>
      </c>
      <c r="E2226">
        <v>0.78866367403298299</v>
      </c>
      <c r="F2226">
        <v>27</v>
      </c>
      <c r="G2226">
        <v>20</v>
      </c>
      <c r="H2226" t="s">
        <v>7638</v>
      </c>
      <c r="I2226" t="s">
        <v>7639</v>
      </c>
      <c r="J2226" t="s">
        <v>2572</v>
      </c>
    </row>
    <row r="2227" spans="1:10">
      <c r="A2227" t="s">
        <v>7640</v>
      </c>
      <c r="B2227">
        <v>0.52007694681842798</v>
      </c>
      <c r="C2227">
        <v>7.9773812909506496</v>
      </c>
      <c r="D2227">
        <v>0.243514623232199</v>
      </c>
      <c r="E2227">
        <v>0.78866367403298299</v>
      </c>
      <c r="F2227">
        <v>27</v>
      </c>
      <c r="G2227">
        <v>20</v>
      </c>
      <c r="H2227" t="s">
        <v>28</v>
      </c>
      <c r="I2227" t="s">
        <v>3438</v>
      </c>
      <c r="J2227" t="s">
        <v>2573</v>
      </c>
    </row>
    <row r="2228" spans="1:10">
      <c r="A2228" t="s">
        <v>7641</v>
      </c>
      <c r="B2228">
        <v>0.57008856389167495</v>
      </c>
      <c r="C2228">
        <v>7.5927143202424299</v>
      </c>
      <c r="D2228">
        <v>0.243410019966536</v>
      </c>
      <c r="E2228">
        <v>0.78866367403298299</v>
      </c>
      <c r="F2228">
        <v>21</v>
      </c>
      <c r="G2228">
        <v>15</v>
      </c>
      <c r="H2228" t="s">
        <v>28</v>
      </c>
      <c r="I2228" t="s">
        <v>3438</v>
      </c>
      <c r="J2228" t="s">
        <v>2574</v>
      </c>
    </row>
    <row r="2229" spans="1:10">
      <c r="A2229" t="s">
        <v>7642</v>
      </c>
      <c r="B2229">
        <v>0.57008856389167495</v>
      </c>
      <c r="C2229">
        <v>7.5927143202424299</v>
      </c>
      <c r="D2229">
        <v>0.243410019966536</v>
      </c>
      <c r="E2229">
        <v>0.78866367403298299</v>
      </c>
      <c r="F2229">
        <v>21</v>
      </c>
      <c r="G2229">
        <v>15</v>
      </c>
      <c r="H2229" t="s">
        <v>28</v>
      </c>
      <c r="I2229" t="s">
        <v>7643</v>
      </c>
      <c r="J2229" t="s">
        <v>2575</v>
      </c>
    </row>
    <row r="2230" spans="1:10">
      <c r="A2230" t="s">
        <v>7644</v>
      </c>
      <c r="B2230">
        <v>-0.42367593693932598</v>
      </c>
      <c r="C2230">
        <v>8.6125727162166594</v>
      </c>
      <c r="D2230">
        <v>0.24250375264172599</v>
      </c>
      <c r="E2230">
        <v>0.78866367403298299</v>
      </c>
      <c r="F2230">
        <v>30</v>
      </c>
      <c r="G2230">
        <v>43</v>
      </c>
      <c r="H2230" t="s">
        <v>28</v>
      </c>
      <c r="I2230" t="s">
        <v>3770</v>
      </c>
      <c r="J2230" t="s">
        <v>2576</v>
      </c>
    </row>
    <row r="2231" spans="1:10">
      <c r="A2231" t="s">
        <v>7645</v>
      </c>
      <c r="B2231">
        <v>0.44719482208589001</v>
      </c>
      <c r="C2231">
        <v>8.6126235205058492</v>
      </c>
      <c r="D2231">
        <v>0.24250375264172599</v>
      </c>
      <c r="E2231">
        <v>0.78866367403298299</v>
      </c>
      <c r="F2231">
        <v>41</v>
      </c>
      <c r="G2231">
        <v>32</v>
      </c>
      <c r="H2231" t="s">
        <v>28</v>
      </c>
      <c r="I2231" t="s">
        <v>3438</v>
      </c>
      <c r="J2231" t="s">
        <v>2577</v>
      </c>
    </row>
    <row r="2232" spans="1:10">
      <c r="A2232" t="s">
        <v>7646</v>
      </c>
      <c r="B2232">
        <v>-0.39598340549873201</v>
      </c>
      <c r="C2232">
        <v>8.8984781792661494</v>
      </c>
      <c r="D2232">
        <v>0.241827386501139</v>
      </c>
      <c r="E2232">
        <v>0.78866367403298299</v>
      </c>
      <c r="F2232">
        <v>37</v>
      </c>
      <c r="G2232">
        <v>52</v>
      </c>
      <c r="H2232" t="s">
        <v>7647</v>
      </c>
      <c r="I2232" t="s">
        <v>7648</v>
      </c>
      <c r="J2232" t="s">
        <v>2578</v>
      </c>
    </row>
    <row r="2233" spans="1:10">
      <c r="A2233" t="s">
        <v>7649</v>
      </c>
      <c r="B2233">
        <v>-0.24260268752758701</v>
      </c>
      <c r="C2233">
        <v>10.2869142001088</v>
      </c>
      <c r="D2233">
        <v>0.24096888613237799</v>
      </c>
      <c r="E2233">
        <v>0.78675729726063803</v>
      </c>
      <c r="F2233">
        <v>103</v>
      </c>
      <c r="G2233">
        <v>130</v>
      </c>
      <c r="H2233" t="s">
        <v>28</v>
      </c>
      <c r="I2233" t="s">
        <v>4452</v>
      </c>
      <c r="J2233" t="s">
        <v>2579</v>
      </c>
    </row>
    <row r="2234" spans="1:10">
      <c r="A2234" t="s">
        <v>7650</v>
      </c>
      <c r="B2234">
        <v>0.26037800375731801</v>
      </c>
      <c r="C2234">
        <v>10.109316002633401</v>
      </c>
      <c r="D2234">
        <v>0.238565627581626</v>
      </c>
      <c r="E2234">
        <v>0.77970229502287502</v>
      </c>
      <c r="F2234">
        <v>109</v>
      </c>
      <c r="G2234">
        <v>97</v>
      </c>
      <c r="H2234" t="s">
        <v>28</v>
      </c>
      <c r="I2234" t="s">
        <v>3657</v>
      </c>
      <c r="J2234" t="s">
        <v>239</v>
      </c>
    </row>
    <row r="2235" spans="1:10">
      <c r="A2235" t="s">
        <v>7651</v>
      </c>
      <c r="B2235">
        <v>-0.880914588756744</v>
      </c>
      <c r="C2235">
        <v>6.5926852083743901</v>
      </c>
      <c r="D2235">
        <v>0.23809689526942299</v>
      </c>
      <c r="E2235">
        <v>0.77896196865357403</v>
      </c>
      <c r="F2235">
        <v>6</v>
      </c>
      <c r="G2235">
        <v>12</v>
      </c>
      <c r="H2235" t="s">
        <v>28</v>
      </c>
      <c r="I2235" t="s">
        <v>4945</v>
      </c>
      <c r="J2235" t="s">
        <v>2580</v>
      </c>
    </row>
    <row r="2236" spans="1:10">
      <c r="A2236" t="s">
        <v>7652</v>
      </c>
      <c r="B2236">
        <v>-0.880914588756744</v>
      </c>
      <c r="C2236">
        <v>6.5926852083743901</v>
      </c>
      <c r="D2236">
        <v>0.23809689526942299</v>
      </c>
      <c r="E2236">
        <v>0.77896196865357403</v>
      </c>
      <c r="F2236">
        <v>6</v>
      </c>
      <c r="G2236">
        <v>12</v>
      </c>
      <c r="H2236" t="s">
        <v>28</v>
      </c>
      <c r="I2236" t="s">
        <v>3438</v>
      </c>
      <c r="J2236" t="s">
        <v>2581</v>
      </c>
    </row>
    <row r="2237" spans="1:10">
      <c r="A2237" t="s">
        <v>7653</v>
      </c>
      <c r="B2237">
        <v>-0.880914588756744</v>
      </c>
      <c r="C2237">
        <v>6.5926852083743901</v>
      </c>
      <c r="D2237">
        <v>0.23809689526942299</v>
      </c>
      <c r="E2237">
        <v>0.77896196865357403</v>
      </c>
      <c r="F2237">
        <v>6</v>
      </c>
      <c r="G2237">
        <v>12</v>
      </c>
      <c r="H2237" t="s">
        <v>28</v>
      </c>
      <c r="I2237" t="s">
        <v>3438</v>
      </c>
      <c r="J2237" t="s">
        <v>2582</v>
      </c>
    </row>
    <row r="2238" spans="1:10">
      <c r="A2238" t="s">
        <v>7654</v>
      </c>
      <c r="B2238">
        <v>-0.880914588756744</v>
      </c>
      <c r="C2238">
        <v>6.5926852083743901</v>
      </c>
      <c r="D2238">
        <v>0.23809689526942299</v>
      </c>
      <c r="E2238">
        <v>0.77896196865357403</v>
      </c>
      <c r="F2238">
        <v>6</v>
      </c>
      <c r="G2238">
        <v>12</v>
      </c>
      <c r="H2238" t="s">
        <v>7655</v>
      </c>
      <c r="I2238" t="s">
        <v>3438</v>
      </c>
      <c r="J2238" t="s">
        <v>2583</v>
      </c>
    </row>
    <row r="2239" spans="1:10">
      <c r="A2239" t="s">
        <v>7656</v>
      </c>
      <c r="B2239">
        <v>-0.880914588756744</v>
      </c>
      <c r="C2239">
        <v>6.5926852083743901</v>
      </c>
      <c r="D2239">
        <v>0.23809689526942299</v>
      </c>
      <c r="E2239">
        <v>0.77896196865357403</v>
      </c>
      <c r="F2239">
        <v>6</v>
      </c>
      <c r="G2239">
        <v>12</v>
      </c>
      <c r="H2239" t="s">
        <v>7657</v>
      </c>
      <c r="I2239" t="s">
        <v>7658</v>
      </c>
      <c r="J2239" t="s">
        <v>2584</v>
      </c>
    </row>
    <row r="2240" spans="1:10">
      <c r="A2240" t="s">
        <v>7659</v>
      </c>
      <c r="B2240">
        <v>1.0607944826019899</v>
      </c>
      <c r="C2240">
        <v>6.5927129958747797</v>
      </c>
      <c r="D2240">
        <v>0.23809689526942299</v>
      </c>
      <c r="E2240">
        <v>0.77896196865357403</v>
      </c>
      <c r="F2240">
        <v>12</v>
      </c>
      <c r="G2240">
        <v>6</v>
      </c>
      <c r="H2240" t="s">
        <v>28</v>
      </c>
      <c r="I2240" t="s">
        <v>3438</v>
      </c>
      <c r="J2240" t="s">
        <v>2585</v>
      </c>
    </row>
    <row r="2241" spans="1:10">
      <c r="A2241" t="s">
        <v>7660</v>
      </c>
      <c r="B2241">
        <v>1.0607944826019899</v>
      </c>
      <c r="C2241">
        <v>6.5927129958747797</v>
      </c>
      <c r="D2241">
        <v>0.23809689526942299</v>
      </c>
      <c r="E2241">
        <v>0.77896196865357403</v>
      </c>
      <c r="F2241">
        <v>12</v>
      </c>
      <c r="G2241">
        <v>6</v>
      </c>
      <c r="H2241" t="s">
        <v>7661</v>
      </c>
      <c r="I2241" t="s">
        <v>7662</v>
      </c>
      <c r="J2241" t="s">
        <v>2586</v>
      </c>
    </row>
    <row r="2242" spans="1:10">
      <c r="A2242" t="s">
        <v>7663</v>
      </c>
      <c r="B2242">
        <v>1.0607944826019899</v>
      </c>
      <c r="C2242">
        <v>6.5927129958747797</v>
      </c>
      <c r="D2242">
        <v>0.23809689526942299</v>
      </c>
      <c r="E2242">
        <v>0.77896196865357403</v>
      </c>
      <c r="F2242">
        <v>12</v>
      </c>
      <c r="G2242">
        <v>6</v>
      </c>
      <c r="H2242" t="s">
        <v>7664</v>
      </c>
      <c r="I2242" t="s">
        <v>7665</v>
      </c>
      <c r="J2242" t="s">
        <v>2587</v>
      </c>
    </row>
    <row r="2243" spans="1:10">
      <c r="A2243" t="s">
        <v>7666</v>
      </c>
      <c r="B2243">
        <v>1.0607944826019899</v>
      </c>
      <c r="C2243">
        <v>6.5927129958747797</v>
      </c>
      <c r="D2243">
        <v>0.23809689526942299</v>
      </c>
      <c r="E2243">
        <v>0.77896196865357403</v>
      </c>
      <c r="F2243">
        <v>12</v>
      </c>
      <c r="G2243">
        <v>6</v>
      </c>
      <c r="H2243" t="s">
        <v>7667</v>
      </c>
      <c r="I2243" t="s">
        <v>7668</v>
      </c>
      <c r="J2243" t="s">
        <v>2588</v>
      </c>
    </row>
    <row r="2244" spans="1:10">
      <c r="A2244" t="s">
        <v>7669</v>
      </c>
      <c r="B2244">
        <v>1.0607944826019899</v>
      </c>
      <c r="C2244">
        <v>6.5927129958747797</v>
      </c>
      <c r="D2244">
        <v>0.23809689526942299</v>
      </c>
      <c r="E2244">
        <v>0.77896196865357403</v>
      </c>
      <c r="F2244">
        <v>12</v>
      </c>
      <c r="G2244">
        <v>6</v>
      </c>
      <c r="H2244" t="s">
        <v>7670</v>
      </c>
      <c r="I2244" t="s">
        <v>7671</v>
      </c>
      <c r="J2244" t="s">
        <v>2589</v>
      </c>
    </row>
    <row r="2245" spans="1:10">
      <c r="A2245" t="s">
        <v>7672</v>
      </c>
      <c r="B2245">
        <v>1.0607944826019899</v>
      </c>
      <c r="C2245">
        <v>6.5927129958747797</v>
      </c>
      <c r="D2245">
        <v>0.23809689526942299</v>
      </c>
      <c r="E2245">
        <v>0.77896196865357403</v>
      </c>
      <c r="F2245">
        <v>12</v>
      </c>
      <c r="G2245">
        <v>6</v>
      </c>
      <c r="H2245" t="s">
        <v>28</v>
      </c>
      <c r="I2245" t="s">
        <v>3438</v>
      </c>
      <c r="J2245" t="s">
        <v>2590</v>
      </c>
    </row>
    <row r="2246" spans="1:10">
      <c r="A2246" t="s">
        <v>7673</v>
      </c>
      <c r="B2246">
        <v>1.0607944826019899</v>
      </c>
      <c r="C2246">
        <v>6.5927129958747797</v>
      </c>
      <c r="D2246">
        <v>0.23809689526942299</v>
      </c>
      <c r="E2246">
        <v>0.77896196865357403</v>
      </c>
      <c r="F2246">
        <v>12</v>
      </c>
      <c r="G2246">
        <v>6</v>
      </c>
      <c r="H2246" t="s">
        <v>7674</v>
      </c>
      <c r="I2246" t="s">
        <v>7675</v>
      </c>
      <c r="J2246" t="s">
        <v>2591</v>
      </c>
    </row>
    <row r="2247" spans="1:10">
      <c r="A2247" t="s">
        <v>7676</v>
      </c>
      <c r="B2247">
        <v>1.0607944826019899</v>
      </c>
      <c r="C2247">
        <v>6.5927129958747797</v>
      </c>
      <c r="D2247">
        <v>0.23809689526942299</v>
      </c>
      <c r="E2247">
        <v>0.77896196865357403</v>
      </c>
      <c r="F2247">
        <v>12</v>
      </c>
      <c r="G2247">
        <v>6</v>
      </c>
      <c r="H2247" t="s">
        <v>7677</v>
      </c>
      <c r="I2247" t="s">
        <v>7678</v>
      </c>
      <c r="J2247" t="s">
        <v>2592</v>
      </c>
    </row>
    <row r="2248" spans="1:10">
      <c r="A2248" t="s">
        <v>7679</v>
      </c>
      <c r="B2248">
        <v>1.0607944826019899</v>
      </c>
      <c r="C2248">
        <v>6.5927129958747797</v>
      </c>
      <c r="D2248">
        <v>0.23809689526942299</v>
      </c>
      <c r="E2248">
        <v>0.77896196865357403</v>
      </c>
      <c r="F2248">
        <v>12</v>
      </c>
      <c r="G2248">
        <v>6</v>
      </c>
      <c r="H2248" t="s">
        <v>28</v>
      </c>
      <c r="I2248" t="s">
        <v>3438</v>
      </c>
      <c r="J2248" t="s">
        <v>2593</v>
      </c>
    </row>
    <row r="2249" spans="1:10">
      <c r="A2249" t="s">
        <v>7680</v>
      </c>
      <c r="B2249">
        <v>1.0607944826019899</v>
      </c>
      <c r="C2249">
        <v>6.5927129958747797</v>
      </c>
      <c r="D2249">
        <v>0.23809689526942299</v>
      </c>
      <c r="E2249">
        <v>0.77896196865357403</v>
      </c>
      <c r="F2249">
        <v>12</v>
      </c>
      <c r="G2249">
        <v>6</v>
      </c>
      <c r="H2249" t="s">
        <v>7681</v>
      </c>
      <c r="I2249" t="s">
        <v>7682</v>
      </c>
      <c r="J2249" t="s">
        <v>2594</v>
      </c>
    </row>
    <row r="2250" spans="1:10">
      <c r="A2250" t="s">
        <v>7683</v>
      </c>
      <c r="B2250">
        <v>-0.50847965968275499</v>
      </c>
      <c r="C2250">
        <v>8.2807303312754303</v>
      </c>
      <c r="D2250">
        <v>0.23772749818760999</v>
      </c>
      <c r="E2250">
        <v>0.77896196865357403</v>
      </c>
      <c r="F2250">
        <v>23</v>
      </c>
      <c r="G2250">
        <v>35</v>
      </c>
      <c r="H2250" t="s">
        <v>28</v>
      </c>
      <c r="I2250" t="s">
        <v>3438</v>
      </c>
      <c r="J2250" t="s">
        <v>2595</v>
      </c>
    </row>
    <row r="2251" spans="1:10">
      <c r="A2251" t="s">
        <v>7684</v>
      </c>
      <c r="B2251">
        <v>0.48900361901697298</v>
      </c>
      <c r="C2251">
        <v>8.2807765514610292</v>
      </c>
      <c r="D2251">
        <v>0.23772749818760999</v>
      </c>
      <c r="E2251">
        <v>0.77896196865357403</v>
      </c>
      <c r="F2251">
        <v>33</v>
      </c>
      <c r="G2251">
        <v>25</v>
      </c>
      <c r="H2251" t="s">
        <v>28</v>
      </c>
      <c r="I2251" t="s">
        <v>3438</v>
      </c>
      <c r="J2251" t="s">
        <v>2596</v>
      </c>
    </row>
    <row r="2252" spans="1:10">
      <c r="A2252" t="s">
        <v>7685</v>
      </c>
      <c r="B2252">
        <v>0.48900361901697298</v>
      </c>
      <c r="C2252">
        <v>8.2807765514610292</v>
      </c>
      <c r="D2252">
        <v>0.23772749818760999</v>
      </c>
      <c r="E2252">
        <v>0.77896196865357403</v>
      </c>
      <c r="F2252">
        <v>33</v>
      </c>
      <c r="G2252">
        <v>25</v>
      </c>
      <c r="H2252" t="s">
        <v>28</v>
      </c>
      <c r="I2252" t="s">
        <v>3438</v>
      </c>
      <c r="J2252" t="s">
        <v>135</v>
      </c>
    </row>
    <row r="2253" spans="1:10">
      <c r="A2253" t="s">
        <v>7686</v>
      </c>
      <c r="B2253">
        <v>-0.28487818223922801</v>
      </c>
      <c r="C2253">
        <v>9.7536532501928193</v>
      </c>
      <c r="D2253">
        <v>0.23745105953794801</v>
      </c>
      <c r="E2253">
        <v>0.77896196865357403</v>
      </c>
      <c r="F2253">
        <v>70</v>
      </c>
      <c r="G2253">
        <v>91</v>
      </c>
      <c r="H2253" t="s">
        <v>28</v>
      </c>
      <c r="I2253" t="s">
        <v>6521</v>
      </c>
      <c r="J2253" t="s">
        <v>2597</v>
      </c>
    </row>
    <row r="2254" spans="1:10">
      <c r="A2254" t="s">
        <v>7687</v>
      </c>
      <c r="B2254">
        <v>-0.37895280510192197</v>
      </c>
      <c r="C2254">
        <v>8.8490115841256909</v>
      </c>
      <c r="D2254">
        <v>0.236386100406659</v>
      </c>
      <c r="E2254">
        <v>0.77896196865357403</v>
      </c>
      <c r="F2254">
        <v>36</v>
      </c>
      <c r="G2254">
        <v>50</v>
      </c>
      <c r="H2254" t="s">
        <v>28</v>
      </c>
      <c r="I2254" t="s">
        <v>7688</v>
      </c>
      <c r="J2254" t="s">
        <v>2598</v>
      </c>
    </row>
    <row r="2255" spans="1:10">
      <c r="A2255" t="s">
        <v>7689</v>
      </c>
      <c r="B2255">
        <v>-0.43844510461505698</v>
      </c>
      <c r="C2255">
        <v>8.57249512598435</v>
      </c>
      <c r="D2255">
        <v>0.23592854280528799</v>
      </c>
      <c r="E2255">
        <v>0.77896196865357403</v>
      </c>
      <c r="F2255">
        <v>29</v>
      </c>
      <c r="G2255">
        <v>42</v>
      </c>
      <c r="H2255" t="s">
        <v>7690</v>
      </c>
      <c r="I2255" t="s">
        <v>7691</v>
      </c>
      <c r="J2255" t="s">
        <v>2599</v>
      </c>
    </row>
    <row r="2256" spans="1:10">
      <c r="A2256" t="s">
        <v>7692</v>
      </c>
      <c r="B2256">
        <v>0.45721397983362599</v>
      </c>
      <c r="C2256">
        <v>8.5725459353256106</v>
      </c>
      <c r="D2256">
        <v>0.23592854280528799</v>
      </c>
      <c r="E2256">
        <v>0.77896196865357403</v>
      </c>
      <c r="F2256">
        <v>40</v>
      </c>
      <c r="G2256">
        <v>31</v>
      </c>
      <c r="H2256" t="s">
        <v>7693</v>
      </c>
      <c r="I2256" t="s">
        <v>7694</v>
      </c>
      <c r="J2256" t="s">
        <v>2600</v>
      </c>
    </row>
    <row r="2257" spans="1:10">
      <c r="A2257" t="s">
        <v>7695</v>
      </c>
      <c r="B2257">
        <v>0.45721397983362599</v>
      </c>
      <c r="C2257">
        <v>8.5725459353256106</v>
      </c>
      <c r="D2257">
        <v>0.23592854280528799</v>
      </c>
      <c r="E2257">
        <v>0.77896196865357403</v>
      </c>
      <c r="F2257">
        <v>40</v>
      </c>
      <c r="G2257">
        <v>31</v>
      </c>
      <c r="H2257" t="s">
        <v>28</v>
      </c>
      <c r="I2257" t="s">
        <v>7696</v>
      </c>
      <c r="J2257" t="s">
        <v>2601</v>
      </c>
    </row>
    <row r="2258" spans="1:10">
      <c r="A2258" t="s">
        <v>7697</v>
      </c>
      <c r="B2258">
        <v>-0.25107903469222498</v>
      </c>
      <c r="C2258">
        <v>10.080944067747399</v>
      </c>
      <c r="D2258">
        <v>0.233917941287307</v>
      </c>
      <c r="E2258">
        <v>0.77896196865357403</v>
      </c>
      <c r="F2258">
        <v>89</v>
      </c>
      <c r="G2258">
        <v>113</v>
      </c>
      <c r="H2258" t="s">
        <v>28</v>
      </c>
      <c r="I2258" t="s">
        <v>7698</v>
      </c>
      <c r="J2258" t="s">
        <v>2602</v>
      </c>
    </row>
    <row r="2259" spans="1:10">
      <c r="A2259" t="s">
        <v>7699</v>
      </c>
      <c r="B2259">
        <v>-0.27928169074412501</v>
      </c>
      <c r="C2259">
        <v>9.9065489160715394</v>
      </c>
      <c r="D2259">
        <v>0.23372719610522</v>
      </c>
      <c r="E2259">
        <v>0.77896196865357403</v>
      </c>
      <c r="F2259">
        <v>78</v>
      </c>
      <c r="G2259">
        <v>101</v>
      </c>
      <c r="H2259" t="s">
        <v>7700</v>
      </c>
      <c r="I2259" t="s">
        <v>7701</v>
      </c>
      <c r="J2259" t="s">
        <v>2603</v>
      </c>
    </row>
    <row r="2260" spans="1:10">
      <c r="A2260" t="s">
        <v>7702</v>
      </c>
      <c r="B2260">
        <v>-0.61999650165025899</v>
      </c>
      <c r="C2260">
        <v>7.9146037638697901</v>
      </c>
      <c r="D2260">
        <v>0.233219429761128</v>
      </c>
      <c r="E2260">
        <v>0.77896196865357403</v>
      </c>
      <c r="F2260">
        <v>17</v>
      </c>
      <c r="G2260">
        <v>28</v>
      </c>
      <c r="H2260" t="s">
        <v>7703</v>
      </c>
      <c r="I2260" t="s">
        <v>7704</v>
      </c>
      <c r="J2260" t="s">
        <v>2604</v>
      </c>
    </row>
    <row r="2261" spans="1:10">
      <c r="A2261" t="s">
        <v>7705</v>
      </c>
      <c r="B2261">
        <v>0.53915568002152803</v>
      </c>
      <c r="C2261">
        <v>7.9146453889593902</v>
      </c>
      <c r="D2261">
        <v>0.233219429761128</v>
      </c>
      <c r="E2261">
        <v>0.77896196865357403</v>
      </c>
      <c r="F2261">
        <v>26</v>
      </c>
      <c r="G2261">
        <v>19</v>
      </c>
      <c r="H2261" t="s">
        <v>28</v>
      </c>
      <c r="I2261" t="s">
        <v>3438</v>
      </c>
      <c r="J2261" t="s">
        <v>2605</v>
      </c>
    </row>
    <row r="2262" spans="1:10">
      <c r="A2262" t="s">
        <v>7706</v>
      </c>
      <c r="B2262">
        <v>0.53915568002152803</v>
      </c>
      <c r="C2262">
        <v>7.9146453889593902</v>
      </c>
      <c r="D2262">
        <v>0.233219429761128</v>
      </c>
      <c r="E2262">
        <v>0.77896196865357403</v>
      </c>
      <c r="F2262">
        <v>26</v>
      </c>
      <c r="G2262">
        <v>19</v>
      </c>
      <c r="H2262" t="s">
        <v>28</v>
      </c>
      <c r="I2262" t="s">
        <v>7707</v>
      </c>
      <c r="J2262" t="s">
        <v>2606</v>
      </c>
    </row>
    <row r="2263" spans="1:10">
      <c r="A2263" t="s">
        <v>7708</v>
      </c>
      <c r="B2263">
        <v>0.53915568002152803</v>
      </c>
      <c r="C2263">
        <v>7.9146453889593902</v>
      </c>
      <c r="D2263">
        <v>0.233219429761128</v>
      </c>
      <c r="E2263">
        <v>0.77896196865357403</v>
      </c>
      <c r="F2263">
        <v>26</v>
      </c>
      <c r="G2263">
        <v>19</v>
      </c>
      <c r="H2263" t="s">
        <v>28</v>
      </c>
      <c r="I2263" t="s">
        <v>7709</v>
      </c>
      <c r="J2263" t="s">
        <v>2607</v>
      </c>
    </row>
    <row r="2264" spans="1:10">
      <c r="A2264" t="s">
        <v>7710</v>
      </c>
      <c r="B2264">
        <v>0.53915568002152803</v>
      </c>
      <c r="C2264">
        <v>7.9146453889593902</v>
      </c>
      <c r="D2264">
        <v>0.233219429761128</v>
      </c>
      <c r="E2264">
        <v>0.77896196865357403</v>
      </c>
      <c r="F2264">
        <v>26</v>
      </c>
      <c r="G2264">
        <v>19</v>
      </c>
      <c r="H2264" t="s">
        <v>7711</v>
      </c>
      <c r="I2264" t="s">
        <v>7712</v>
      </c>
      <c r="J2264" t="s">
        <v>2608</v>
      </c>
    </row>
    <row r="2265" spans="1:10">
      <c r="A2265" t="s">
        <v>7713</v>
      </c>
      <c r="B2265">
        <v>0.53915568002152803</v>
      </c>
      <c r="C2265">
        <v>7.9146453889593902</v>
      </c>
      <c r="D2265">
        <v>0.233219429761128</v>
      </c>
      <c r="E2265">
        <v>0.77896196865357403</v>
      </c>
      <c r="F2265">
        <v>26</v>
      </c>
      <c r="G2265">
        <v>19</v>
      </c>
      <c r="H2265" t="s">
        <v>7714</v>
      </c>
      <c r="I2265" t="s">
        <v>7715</v>
      </c>
      <c r="J2265" t="s">
        <v>2609</v>
      </c>
    </row>
    <row r="2266" spans="1:10">
      <c r="A2266" t="s">
        <v>7716</v>
      </c>
      <c r="B2266">
        <v>-0.65646847187679103</v>
      </c>
      <c r="C2266">
        <v>7.5520375573512597</v>
      </c>
      <c r="D2266">
        <v>0.229877770959516</v>
      </c>
      <c r="E2266">
        <v>0.77656188172878504</v>
      </c>
      <c r="F2266">
        <v>13</v>
      </c>
      <c r="G2266">
        <v>22</v>
      </c>
      <c r="H2266" t="s">
        <v>28</v>
      </c>
      <c r="I2266" t="s">
        <v>3438</v>
      </c>
      <c r="J2266" t="s">
        <v>2610</v>
      </c>
    </row>
    <row r="2267" spans="1:10">
      <c r="A2267" t="s">
        <v>7717</v>
      </c>
      <c r="B2267">
        <v>-0.65646847187679103</v>
      </c>
      <c r="C2267">
        <v>7.5520375573512597</v>
      </c>
      <c r="D2267">
        <v>0.229877770959516</v>
      </c>
      <c r="E2267">
        <v>0.77656188172878504</v>
      </c>
      <c r="F2267">
        <v>13</v>
      </c>
      <c r="G2267">
        <v>22</v>
      </c>
      <c r="H2267" t="s">
        <v>28</v>
      </c>
      <c r="I2267" t="s">
        <v>3438</v>
      </c>
      <c r="J2267" t="s">
        <v>2611</v>
      </c>
    </row>
    <row r="2268" spans="1:10">
      <c r="A2268" t="s">
        <v>7718</v>
      </c>
      <c r="B2268">
        <v>-0.65646847187679103</v>
      </c>
      <c r="C2268">
        <v>7.5520375573512597</v>
      </c>
      <c r="D2268">
        <v>0.229877770959516</v>
      </c>
      <c r="E2268">
        <v>0.77656188172878504</v>
      </c>
      <c r="F2268">
        <v>13</v>
      </c>
      <c r="G2268">
        <v>22</v>
      </c>
      <c r="H2268" t="s">
        <v>28</v>
      </c>
      <c r="I2268" t="s">
        <v>3438</v>
      </c>
      <c r="J2268" t="s">
        <v>2612</v>
      </c>
    </row>
    <row r="2269" spans="1:10">
      <c r="A2269" t="s">
        <v>7719</v>
      </c>
      <c r="B2269">
        <v>-0.65646847187679103</v>
      </c>
      <c r="C2269">
        <v>7.5520375573512597</v>
      </c>
      <c r="D2269">
        <v>0.229877770959516</v>
      </c>
      <c r="E2269">
        <v>0.77656188172878504</v>
      </c>
      <c r="F2269">
        <v>13</v>
      </c>
      <c r="G2269">
        <v>22</v>
      </c>
      <c r="H2269" t="s">
        <v>28</v>
      </c>
      <c r="I2269" t="s">
        <v>3438</v>
      </c>
      <c r="J2269" t="s">
        <v>2613</v>
      </c>
    </row>
    <row r="2270" spans="1:10">
      <c r="A2270" t="s">
        <v>7720</v>
      </c>
      <c r="B2270">
        <v>0.70322293528708502</v>
      </c>
      <c r="C2270">
        <v>7.4671855315144304</v>
      </c>
      <c r="D2270">
        <v>0.229877770959516</v>
      </c>
      <c r="E2270">
        <v>0.77656188172878504</v>
      </c>
      <c r="F2270">
        <v>20</v>
      </c>
      <c r="G2270">
        <v>13</v>
      </c>
      <c r="H2270" t="s">
        <v>7721</v>
      </c>
      <c r="I2270" t="s">
        <v>7722</v>
      </c>
      <c r="J2270" t="s">
        <v>2614</v>
      </c>
    </row>
    <row r="2271" spans="1:10">
      <c r="A2271" t="s">
        <v>7723</v>
      </c>
      <c r="B2271">
        <v>0.70322293528708502</v>
      </c>
      <c r="C2271">
        <v>7.4671855315144304</v>
      </c>
      <c r="D2271">
        <v>0.229877770959516</v>
      </c>
      <c r="E2271">
        <v>0.77656188172878504</v>
      </c>
      <c r="F2271">
        <v>20</v>
      </c>
      <c r="G2271">
        <v>13</v>
      </c>
      <c r="H2271" t="s">
        <v>7724</v>
      </c>
      <c r="I2271" t="s">
        <v>7725</v>
      </c>
      <c r="J2271" t="s">
        <v>2615</v>
      </c>
    </row>
    <row r="2272" spans="1:10">
      <c r="A2272" t="s">
        <v>7726</v>
      </c>
      <c r="B2272">
        <v>-0.72214065494665003</v>
      </c>
      <c r="C2272">
        <v>7.0666146069215099</v>
      </c>
      <c r="D2272">
        <v>0.229815054647139</v>
      </c>
      <c r="E2272">
        <v>0.77656188172878504</v>
      </c>
      <c r="F2272">
        <v>9</v>
      </c>
      <c r="G2272">
        <v>16</v>
      </c>
      <c r="H2272" t="s">
        <v>7727</v>
      </c>
      <c r="I2272" t="s">
        <v>7728</v>
      </c>
      <c r="J2272" t="s">
        <v>2616</v>
      </c>
    </row>
    <row r="2273" spans="1:10">
      <c r="A2273" t="s">
        <v>7729</v>
      </c>
      <c r="B2273">
        <v>-0.72214065494665003</v>
      </c>
      <c r="C2273">
        <v>7.0666146069215099</v>
      </c>
      <c r="D2273">
        <v>0.229815054647139</v>
      </c>
      <c r="E2273">
        <v>0.77656188172878504</v>
      </c>
      <c r="F2273">
        <v>9</v>
      </c>
      <c r="G2273">
        <v>16</v>
      </c>
      <c r="H2273" t="s">
        <v>28</v>
      </c>
      <c r="I2273" t="s">
        <v>5203</v>
      </c>
      <c r="J2273" t="s">
        <v>2617</v>
      </c>
    </row>
    <row r="2274" spans="1:10">
      <c r="A2274" t="s">
        <v>7730</v>
      </c>
      <c r="B2274">
        <v>-0.72214065494665003</v>
      </c>
      <c r="C2274">
        <v>7.0666146069215099</v>
      </c>
      <c r="D2274">
        <v>0.229815054647139</v>
      </c>
      <c r="E2274">
        <v>0.77656188172878504</v>
      </c>
      <c r="F2274">
        <v>9</v>
      </c>
      <c r="G2274">
        <v>16</v>
      </c>
      <c r="H2274" t="s">
        <v>7731</v>
      </c>
      <c r="I2274" t="s">
        <v>7732</v>
      </c>
      <c r="J2274" t="s">
        <v>2618</v>
      </c>
    </row>
    <row r="2275" spans="1:10">
      <c r="A2275" t="s">
        <v>7733</v>
      </c>
      <c r="B2275">
        <v>-0.72214065494665003</v>
      </c>
      <c r="C2275">
        <v>7.0666146069215099</v>
      </c>
      <c r="D2275">
        <v>0.229815054647139</v>
      </c>
      <c r="E2275">
        <v>0.77656188172878504</v>
      </c>
      <c r="F2275">
        <v>9</v>
      </c>
      <c r="G2275">
        <v>16</v>
      </c>
      <c r="H2275" t="s">
        <v>28</v>
      </c>
      <c r="I2275" t="s">
        <v>3438</v>
      </c>
      <c r="J2275" t="s">
        <v>2619</v>
      </c>
    </row>
    <row r="2276" spans="1:10">
      <c r="A2276" t="s">
        <v>7734</v>
      </c>
      <c r="B2276">
        <v>0.90368897526306502</v>
      </c>
      <c r="C2276">
        <v>7.0666470143628599</v>
      </c>
      <c r="D2276">
        <v>0.229815054647139</v>
      </c>
      <c r="E2276">
        <v>0.77656188172878504</v>
      </c>
      <c r="F2276">
        <v>16</v>
      </c>
      <c r="G2276">
        <v>9</v>
      </c>
      <c r="H2276" t="s">
        <v>28</v>
      </c>
      <c r="I2276" t="s">
        <v>3438</v>
      </c>
      <c r="J2276" t="s">
        <v>2620</v>
      </c>
    </row>
    <row r="2277" spans="1:10">
      <c r="A2277" t="s">
        <v>7735</v>
      </c>
      <c r="B2277">
        <v>0.90368897526306502</v>
      </c>
      <c r="C2277">
        <v>7.0666470143628599</v>
      </c>
      <c r="D2277">
        <v>0.229815054647139</v>
      </c>
      <c r="E2277">
        <v>0.77656188172878504</v>
      </c>
      <c r="F2277">
        <v>16</v>
      </c>
      <c r="G2277">
        <v>9</v>
      </c>
      <c r="H2277" t="s">
        <v>28</v>
      </c>
      <c r="I2277" t="s">
        <v>7736</v>
      </c>
      <c r="J2277" t="s">
        <v>2621</v>
      </c>
    </row>
    <row r="2278" spans="1:10">
      <c r="A2278" t="s">
        <v>7737</v>
      </c>
      <c r="B2278">
        <v>0.90368897526306502</v>
      </c>
      <c r="C2278">
        <v>7.0666470143628599</v>
      </c>
      <c r="D2278">
        <v>0.229815054647139</v>
      </c>
      <c r="E2278">
        <v>0.77656188172878504</v>
      </c>
      <c r="F2278">
        <v>16</v>
      </c>
      <c r="G2278">
        <v>9</v>
      </c>
      <c r="H2278" t="s">
        <v>28</v>
      </c>
      <c r="I2278" t="s">
        <v>7738</v>
      </c>
      <c r="J2278" t="s">
        <v>2622</v>
      </c>
    </row>
    <row r="2279" spans="1:10">
      <c r="A2279" t="s">
        <v>7739</v>
      </c>
      <c r="B2279">
        <v>-0.53041777609472995</v>
      </c>
      <c r="C2279">
        <v>8.2301041073530907</v>
      </c>
      <c r="D2279">
        <v>0.22945757273303899</v>
      </c>
      <c r="E2279">
        <v>0.77656188172878504</v>
      </c>
      <c r="F2279">
        <v>22</v>
      </c>
      <c r="G2279">
        <v>34</v>
      </c>
      <c r="H2279" t="s">
        <v>7740</v>
      </c>
      <c r="I2279" t="s">
        <v>7741</v>
      </c>
      <c r="J2279" t="s">
        <v>2623</v>
      </c>
    </row>
    <row r="2280" spans="1:10">
      <c r="A2280" t="s">
        <v>7742</v>
      </c>
      <c r="B2280">
        <v>-0.53041777609472995</v>
      </c>
      <c r="C2280">
        <v>8.2301041073530907</v>
      </c>
      <c r="D2280">
        <v>0.22945757273303899</v>
      </c>
      <c r="E2280">
        <v>0.77656188172878504</v>
      </c>
      <c r="F2280">
        <v>22</v>
      </c>
      <c r="G2280">
        <v>34</v>
      </c>
      <c r="H2280" t="s">
        <v>28</v>
      </c>
      <c r="I2280" t="s">
        <v>3438</v>
      </c>
      <c r="J2280" t="s">
        <v>2624</v>
      </c>
    </row>
    <row r="2281" spans="1:10">
      <c r="A2281" t="s">
        <v>7743</v>
      </c>
      <c r="B2281">
        <v>0.38621030328815198</v>
      </c>
      <c r="C2281">
        <v>9.0375129323187195</v>
      </c>
      <c r="D2281">
        <v>0.22877572110844799</v>
      </c>
      <c r="E2281">
        <v>0.77656188172878504</v>
      </c>
      <c r="F2281">
        <v>54</v>
      </c>
      <c r="G2281">
        <v>44</v>
      </c>
      <c r="H2281" t="s">
        <v>7744</v>
      </c>
      <c r="I2281" t="s">
        <v>7745</v>
      </c>
      <c r="J2281" t="s">
        <v>2625</v>
      </c>
    </row>
    <row r="2282" spans="1:10">
      <c r="A2282" t="s">
        <v>7746</v>
      </c>
      <c r="B2282">
        <v>-1.25618838690401</v>
      </c>
      <c r="C2282">
        <v>5.8821936166077</v>
      </c>
      <c r="D2282">
        <v>0.22669138047294199</v>
      </c>
      <c r="E2282">
        <v>0.77656188172878504</v>
      </c>
      <c r="F2282">
        <v>3</v>
      </c>
      <c r="G2282">
        <v>8</v>
      </c>
      <c r="H2282" t="s">
        <v>28</v>
      </c>
      <c r="I2282" t="s">
        <v>3438</v>
      </c>
      <c r="J2282" t="s">
        <v>2626</v>
      </c>
    </row>
    <row r="2283" spans="1:10">
      <c r="A2283" t="s">
        <v>7747</v>
      </c>
      <c r="B2283">
        <v>-1.25618838690401</v>
      </c>
      <c r="C2283">
        <v>5.8821936166077</v>
      </c>
      <c r="D2283">
        <v>0.22669138047294199</v>
      </c>
      <c r="E2283">
        <v>0.77656188172878504</v>
      </c>
      <c r="F2283">
        <v>3</v>
      </c>
      <c r="G2283">
        <v>8</v>
      </c>
      <c r="H2283" t="s">
        <v>28</v>
      </c>
      <c r="I2283" t="s">
        <v>3438</v>
      </c>
      <c r="J2283" t="s">
        <v>2627</v>
      </c>
    </row>
    <row r="2284" spans="1:10">
      <c r="A2284" t="s">
        <v>7748</v>
      </c>
      <c r="B2284">
        <v>-1.25618838690401</v>
      </c>
      <c r="C2284">
        <v>5.8821936166077</v>
      </c>
      <c r="D2284">
        <v>0.22669138047294199</v>
      </c>
      <c r="E2284">
        <v>0.77656188172878504</v>
      </c>
      <c r="F2284">
        <v>3</v>
      </c>
      <c r="G2284">
        <v>8</v>
      </c>
      <c r="H2284" t="s">
        <v>7749</v>
      </c>
      <c r="I2284" t="s">
        <v>7750</v>
      </c>
      <c r="J2284" t="s">
        <v>2628</v>
      </c>
    </row>
    <row r="2285" spans="1:10">
      <c r="A2285" t="s">
        <v>7751</v>
      </c>
      <c r="B2285">
        <v>-1.25618838690401</v>
      </c>
      <c r="C2285">
        <v>5.8821936166077</v>
      </c>
      <c r="D2285">
        <v>0.22669138047294199</v>
      </c>
      <c r="E2285">
        <v>0.77656188172878504</v>
      </c>
      <c r="F2285">
        <v>3</v>
      </c>
      <c r="G2285">
        <v>8</v>
      </c>
      <c r="H2285" t="s">
        <v>28</v>
      </c>
      <c r="I2285" t="s">
        <v>4138</v>
      </c>
      <c r="J2285" t="s">
        <v>2629</v>
      </c>
    </row>
    <row r="2286" spans="1:10">
      <c r="A2286" t="s">
        <v>7752</v>
      </c>
      <c r="B2286">
        <v>-1.25618838690401</v>
      </c>
      <c r="C2286">
        <v>5.8821936166077</v>
      </c>
      <c r="D2286">
        <v>0.22669138047294199</v>
      </c>
      <c r="E2286">
        <v>0.77656188172878504</v>
      </c>
      <c r="F2286">
        <v>3</v>
      </c>
      <c r="G2286">
        <v>8</v>
      </c>
      <c r="H2286" t="s">
        <v>28</v>
      </c>
      <c r="I2286" t="s">
        <v>3438</v>
      </c>
      <c r="J2286" t="s">
        <v>2630</v>
      </c>
    </row>
    <row r="2287" spans="1:10">
      <c r="A2287" t="s">
        <v>7753</v>
      </c>
      <c r="B2287">
        <v>1.43172786073236</v>
      </c>
      <c r="C2287">
        <v>5.8822167809416603</v>
      </c>
      <c r="D2287">
        <v>0.22669138047294199</v>
      </c>
      <c r="E2287">
        <v>0.77656188172878504</v>
      </c>
      <c r="F2287">
        <v>8</v>
      </c>
      <c r="G2287">
        <v>3</v>
      </c>
      <c r="H2287" t="s">
        <v>7754</v>
      </c>
      <c r="I2287" t="s">
        <v>7755</v>
      </c>
      <c r="J2287" t="s">
        <v>2631</v>
      </c>
    </row>
    <row r="2288" spans="1:10">
      <c r="A2288" t="s">
        <v>7756</v>
      </c>
      <c r="B2288">
        <v>1.43172786073236</v>
      </c>
      <c r="C2288">
        <v>5.8822167809416603</v>
      </c>
      <c r="D2288">
        <v>0.22669138047294199</v>
      </c>
      <c r="E2288">
        <v>0.77656188172878504</v>
      </c>
      <c r="F2288">
        <v>8</v>
      </c>
      <c r="G2288">
        <v>3</v>
      </c>
      <c r="H2288" t="s">
        <v>7757</v>
      </c>
      <c r="I2288" t="s">
        <v>7758</v>
      </c>
      <c r="J2288" t="s">
        <v>2632</v>
      </c>
    </row>
    <row r="2289" spans="1:10">
      <c r="A2289" t="s">
        <v>7759</v>
      </c>
      <c r="B2289">
        <v>1.43172786073236</v>
      </c>
      <c r="C2289">
        <v>5.8822167809416603</v>
      </c>
      <c r="D2289">
        <v>0.22669138047294199</v>
      </c>
      <c r="E2289">
        <v>0.77656188172878504</v>
      </c>
      <c r="F2289">
        <v>8</v>
      </c>
      <c r="G2289">
        <v>3</v>
      </c>
      <c r="H2289" t="s">
        <v>28</v>
      </c>
      <c r="I2289" t="s">
        <v>3438</v>
      </c>
      <c r="J2289" t="s">
        <v>2633</v>
      </c>
    </row>
    <row r="2290" spans="1:10">
      <c r="A2290" t="s">
        <v>7760</v>
      </c>
      <c r="B2290">
        <v>1.43172786073236</v>
      </c>
      <c r="C2290">
        <v>5.8822167809416603</v>
      </c>
      <c r="D2290">
        <v>0.22669138047294199</v>
      </c>
      <c r="E2290">
        <v>0.77656188172878504</v>
      </c>
      <c r="F2290">
        <v>8</v>
      </c>
      <c r="G2290">
        <v>3</v>
      </c>
      <c r="H2290" t="s">
        <v>28</v>
      </c>
      <c r="I2290" t="s">
        <v>3438</v>
      </c>
      <c r="J2290" t="s">
        <v>252</v>
      </c>
    </row>
    <row r="2291" spans="1:10">
      <c r="A2291" t="s">
        <v>7761</v>
      </c>
      <c r="B2291">
        <v>1.43172786073236</v>
      </c>
      <c r="C2291">
        <v>5.8822167809416603</v>
      </c>
      <c r="D2291">
        <v>0.22669138047294199</v>
      </c>
      <c r="E2291">
        <v>0.77656188172878504</v>
      </c>
      <c r="F2291">
        <v>8</v>
      </c>
      <c r="G2291">
        <v>3</v>
      </c>
      <c r="H2291" t="s">
        <v>7762</v>
      </c>
      <c r="I2291" t="s">
        <v>7763</v>
      </c>
      <c r="J2291" t="s">
        <v>2634</v>
      </c>
    </row>
    <row r="2292" spans="1:10">
      <c r="A2292" t="s">
        <v>7764</v>
      </c>
      <c r="B2292">
        <v>1.43172786073236</v>
      </c>
      <c r="C2292">
        <v>5.8822167809416603</v>
      </c>
      <c r="D2292">
        <v>0.22669138047294199</v>
      </c>
      <c r="E2292">
        <v>0.77656188172878504</v>
      </c>
      <c r="F2292">
        <v>8</v>
      </c>
      <c r="G2292">
        <v>3</v>
      </c>
      <c r="H2292" t="s">
        <v>28</v>
      </c>
      <c r="I2292" t="s">
        <v>3631</v>
      </c>
      <c r="J2292" t="s">
        <v>2635</v>
      </c>
    </row>
    <row r="2293" spans="1:10">
      <c r="A2293" t="s">
        <v>7765</v>
      </c>
      <c r="B2293">
        <v>-0.40226338785934002</v>
      </c>
      <c r="C2293">
        <v>8.7802985322288993</v>
      </c>
      <c r="D2293">
        <v>0.22519393952762901</v>
      </c>
      <c r="E2293">
        <v>0.77656188172878504</v>
      </c>
      <c r="F2293">
        <v>34</v>
      </c>
      <c r="G2293">
        <v>48</v>
      </c>
      <c r="H2293" t="s">
        <v>28</v>
      </c>
      <c r="I2293" t="s">
        <v>3438</v>
      </c>
      <c r="J2293" t="s">
        <v>2636</v>
      </c>
    </row>
    <row r="2294" spans="1:10">
      <c r="A2294" t="s">
        <v>7766</v>
      </c>
      <c r="B2294">
        <v>0.44364225192205903</v>
      </c>
      <c r="C2294">
        <v>8.7803539303023008</v>
      </c>
      <c r="D2294">
        <v>0.22519393952762901</v>
      </c>
      <c r="E2294">
        <v>0.77656188172878504</v>
      </c>
      <c r="F2294">
        <v>46</v>
      </c>
      <c r="G2294">
        <v>36</v>
      </c>
      <c r="H2294" t="s">
        <v>28</v>
      </c>
      <c r="I2294" t="s">
        <v>4686</v>
      </c>
      <c r="J2294" t="s">
        <v>2637</v>
      </c>
    </row>
    <row r="2295" spans="1:10">
      <c r="A2295" t="s">
        <v>7767</v>
      </c>
      <c r="B2295">
        <v>-0.36506650548441599</v>
      </c>
      <c r="C2295">
        <v>9.2556297347726204</v>
      </c>
      <c r="D2295">
        <v>0.224547680568774</v>
      </c>
      <c r="E2295">
        <v>0.77656188172878504</v>
      </c>
      <c r="F2295">
        <v>48</v>
      </c>
      <c r="G2295">
        <v>66</v>
      </c>
      <c r="H2295" t="s">
        <v>7768</v>
      </c>
      <c r="I2295" t="s">
        <v>7769</v>
      </c>
      <c r="J2295" t="s">
        <v>2638</v>
      </c>
    </row>
    <row r="2296" spans="1:10">
      <c r="A2296" t="s">
        <v>7770</v>
      </c>
      <c r="B2296">
        <v>-0.38062482668748399</v>
      </c>
      <c r="C2296">
        <v>9.0374529655139497</v>
      </c>
      <c r="D2296">
        <v>0.22399862852806701</v>
      </c>
      <c r="E2296">
        <v>0.77656188172878504</v>
      </c>
      <c r="F2296">
        <v>41</v>
      </c>
      <c r="G2296">
        <v>57</v>
      </c>
      <c r="H2296" t="s">
        <v>7771</v>
      </c>
      <c r="I2296" t="s">
        <v>7772</v>
      </c>
      <c r="J2296" t="s">
        <v>2639</v>
      </c>
    </row>
    <row r="2297" spans="1:10">
      <c r="A2297" t="s">
        <v>7773</v>
      </c>
      <c r="B2297">
        <v>-0.38062482668748399</v>
      </c>
      <c r="C2297">
        <v>9.0374529655139497</v>
      </c>
      <c r="D2297">
        <v>0.22399862852806701</v>
      </c>
      <c r="E2297">
        <v>0.77656188172878504</v>
      </c>
      <c r="F2297">
        <v>41</v>
      </c>
      <c r="G2297">
        <v>57</v>
      </c>
      <c r="H2297" t="s">
        <v>7774</v>
      </c>
      <c r="I2297" t="s">
        <v>5153</v>
      </c>
      <c r="J2297" t="s">
        <v>2129</v>
      </c>
    </row>
    <row r="2298" spans="1:10">
      <c r="A2298" t="s">
        <v>7775</v>
      </c>
      <c r="B2298">
        <v>0.27779187934345301</v>
      </c>
      <c r="C2298">
        <v>9.8406631818497008</v>
      </c>
      <c r="D2298">
        <v>0.22297997744147699</v>
      </c>
      <c r="E2298">
        <v>0.77656188172878504</v>
      </c>
      <c r="F2298">
        <v>91</v>
      </c>
      <c r="G2298">
        <v>80</v>
      </c>
      <c r="H2298" t="s">
        <v>28</v>
      </c>
      <c r="I2298" t="s">
        <v>3474</v>
      </c>
      <c r="J2298" t="s">
        <v>2640</v>
      </c>
    </row>
    <row r="2299" spans="1:10">
      <c r="A2299" t="s">
        <v>7776</v>
      </c>
      <c r="B2299">
        <v>0.56003316536570702</v>
      </c>
      <c r="C2299">
        <v>7.8490569006592903</v>
      </c>
      <c r="D2299">
        <v>0.222550391404017</v>
      </c>
      <c r="E2299">
        <v>0.77656188172878504</v>
      </c>
      <c r="F2299">
        <v>25</v>
      </c>
      <c r="G2299">
        <v>18</v>
      </c>
      <c r="H2299" t="s">
        <v>28</v>
      </c>
      <c r="I2299" t="s">
        <v>3438</v>
      </c>
      <c r="J2299" t="s">
        <v>2641</v>
      </c>
    </row>
    <row r="2300" spans="1:10">
      <c r="A2300" t="s">
        <v>7777</v>
      </c>
      <c r="B2300">
        <v>0.51849636192992499</v>
      </c>
      <c r="C2300">
        <v>8.1776827659623095</v>
      </c>
      <c r="D2300">
        <v>0.22095178135933399</v>
      </c>
      <c r="E2300">
        <v>0.77405329940263201</v>
      </c>
      <c r="F2300">
        <v>31</v>
      </c>
      <c r="G2300">
        <v>23</v>
      </c>
      <c r="H2300" t="s">
        <v>28</v>
      </c>
      <c r="I2300" t="s">
        <v>3436</v>
      </c>
      <c r="J2300" t="s">
        <v>2642</v>
      </c>
    </row>
    <row r="2301" spans="1:10">
      <c r="A2301" t="s">
        <v>7778</v>
      </c>
      <c r="B2301">
        <v>0.39872374416356399</v>
      </c>
      <c r="C2301">
        <v>8.9773916494246304</v>
      </c>
      <c r="D2301">
        <v>0.219145846464146</v>
      </c>
      <c r="E2301">
        <v>0.76856384103456199</v>
      </c>
      <c r="F2301">
        <v>52</v>
      </c>
      <c r="G2301">
        <v>42</v>
      </c>
      <c r="H2301" t="s">
        <v>7779</v>
      </c>
      <c r="I2301" t="s">
        <v>7780</v>
      </c>
      <c r="J2301" t="s">
        <v>2643</v>
      </c>
    </row>
    <row r="2302" spans="1:10">
      <c r="A2302" t="s">
        <v>7781</v>
      </c>
      <c r="B2302">
        <v>-1.9891555997459001</v>
      </c>
      <c r="C2302">
        <v>5.0077264407712203</v>
      </c>
      <c r="D2302">
        <v>0.21882030546933001</v>
      </c>
      <c r="E2302">
        <v>0.76825993710629303</v>
      </c>
      <c r="F2302">
        <v>1</v>
      </c>
      <c r="G2302">
        <v>5</v>
      </c>
      <c r="H2302" t="s">
        <v>28</v>
      </c>
      <c r="I2302" t="s">
        <v>3438</v>
      </c>
      <c r="J2302" t="s">
        <v>2644</v>
      </c>
    </row>
    <row r="2303" spans="1:10">
      <c r="A2303" t="s">
        <v>7782</v>
      </c>
      <c r="B2303">
        <v>-1.9891555997459001</v>
      </c>
      <c r="C2303">
        <v>5.0077264407712203</v>
      </c>
      <c r="D2303">
        <v>0.21882030546933001</v>
      </c>
      <c r="E2303">
        <v>0.76825993710629303</v>
      </c>
      <c r="F2303">
        <v>1</v>
      </c>
      <c r="G2303">
        <v>5</v>
      </c>
      <c r="H2303" t="s">
        <v>28</v>
      </c>
      <c r="I2303" t="s">
        <v>3438</v>
      </c>
      <c r="J2303" t="s">
        <v>2645</v>
      </c>
    </row>
    <row r="2304" spans="1:10">
      <c r="A2304" t="s">
        <v>7783</v>
      </c>
      <c r="B2304">
        <v>-1.9891555997459001</v>
      </c>
      <c r="C2304">
        <v>5.0077264407712203</v>
      </c>
      <c r="D2304">
        <v>0.21882030546933001</v>
      </c>
      <c r="E2304">
        <v>0.76825993710629303</v>
      </c>
      <c r="F2304">
        <v>1</v>
      </c>
      <c r="G2304">
        <v>5</v>
      </c>
      <c r="H2304" t="s">
        <v>28</v>
      </c>
      <c r="I2304" t="s">
        <v>3781</v>
      </c>
      <c r="J2304" t="s">
        <v>2646</v>
      </c>
    </row>
    <row r="2305" spans="1:10">
      <c r="A2305" t="s">
        <v>7784</v>
      </c>
      <c r="B2305">
        <v>-1.9891555997459001</v>
      </c>
      <c r="C2305">
        <v>5.0077264407712203</v>
      </c>
      <c r="D2305">
        <v>0.21882030546933001</v>
      </c>
      <c r="E2305">
        <v>0.76825993710629303</v>
      </c>
      <c r="F2305">
        <v>1</v>
      </c>
      <c r="G2305">
        <v>5</v>
      </c>
      <c r="H2305" t="s">
        <v>7785</v>
      </c>
      <c r="I2305" t="s">
        <v>3438</v>
      </c>
      <c r="J2305" t="s">
        <v>2589</v>
      </c>
    </row>
    <row r="2306" spans="1:10">
      <c r="A2306" t="s">
        <v>7786</v>
      </c>
      <c r="B2306">
        <v>-1.9891555997459001</v>
      </c>
      <c r="C2306">
        <v>5.0077264407712203</v>
      </c>
      <c r="D2306">
        <v>0.21882030546933001</v>
      </c>
      <c r="E2306">
        <v>0.76825993710629303</v>
      </c>
      <c r="F2306">
        <v>1</v>
      </c>
      <c r="G2306">
        <v>5</v>
      </c>
      <c r="H2306" t="s">
        <v>28</v>
      </c>
      <c r="I2306" t="s">
        <v>3906</v>
      </c>
      <c r="J2306" t="s">
        <v>2647</v>
      </c>
    </row>
    <row r="2307" spans="1:10">
      <c r="A2307" t="s">
        <v>7787</v>
      </c>
      <c r="B2307">
        <v>-1.9891555997459001</v>
      </c>
      <c r="C2307">
        <v>5.0077264407712203</v>
      </c>
      <c r="D2307">
        <v>0.21882030546933001</v>
      </c>
      <c r="E2307">
        <v>0.76825993710629303</v>
      </c>
      <c r="F2307">
        <v>1</v>
      </c>
      <c r="G2307">
        <v>5</v>
      </c>
      <c r="H2307" t="s">
        <v>7788</v>
      </c>
      <c r="I2307" t="s">
        <v>7789</v>
      </c>
      <c r="J2307" t="s">
        <v>2648</v>
      </c>
    </row>
    <row r="2308" spans="1:10">
      <c r="A2308" t="s">
        <v>7790</v>
      </c>
      <c r="B2308">
        <v>-1.9891555997459001</v>
      </c>
      <c r="C2308">
        <v>5.0077264407712203</v>
      </c>
      <c r="D2308">
        <v>0.21882030546933001</v>
      </c>
      <c r="E2308">
        <v>0.76825993710629303</v>
      </c>
      <c r="F2308">
        <v>1</v>
      </c>
      <c r="G2308">
        <v>5</v>
      </c>
      <c r="H2308" t="s">
        <v>28</v>
      </c>
      <c r="I2308" t="s">
        <v>3438</v>
      </c>
      <c r="J2308" t="s">
        <v>2649</v>
      </c>
    </row>
    <row r="2309" spans="1:10">
      <c r="A2309" t="s">
        <v>7791</v>
      </c>
      <c r="B2309">
        <v>-1.9891555997459001</v>
      </c>
      <c r="C2309">
        <v>5.0077264407712203</v>
      </c>
      <c r="D2309">
        <v>0.21882030546933001</v>
      </c>
      <c r="E2309">
        <v>0.76825993710629303</v>
      </c>
      <c r="F2309">
        <v>1</v>
      </c>
      <c r="G2309">
        <v>5</v>
      </c>
      <c r="H2309" t="s">
        <v>28</v>
      </c>
      <c r="I2309" t="s">
        <v>3906</v>
      </c>
      <c r="J2309" t="s">
        <v>2650</v>
      </c>
    </row>
    <row r="2310" spans="1:10">
      <c r="A2310" t="s">
        <v>7792</v>
      </c>
      <c r="B2310">
        <v>-1.9891555997459001</v>
      </c>
      <c r="C2310">
        <v>5.0077264407712203</v>
      </c>
      <c r="D2310">
        <v>0.21882030546933001</v>
      </c>
      <c r="E2310">
        <v>0.76825993710629303</v>
      </c>
      <c r="F2310">
        <v>1</v>
      </c>
      <c r="G2310">
        <v>5</v>
      </c>
      <c r="H2310" t="s">
        <v>28</v>
      </c>
      <c r="I2310" t="s">
        <v>3438</v>
      </c>
      <c r="J2310" t="s">
        <v>2651</v>
      </c>
    </row>
    <row r="2311" spans="1:10">
      <c r="A2311" t="s">
        <v>7793</v>
      </c>
      <c r="B2311">
        <v>-1.9891555997459001</v>
      </c>
      <c r="C2311">
        <v>5.0077264407712203</v>
      </c>
      <c r="D2311">
        <v>0.21882030546933001</v>
      </c>
      <c r="E2311">
        <v>0.76825993710629303</v>
      </c>
      <c r="F2311">
        <v>1</v>
      </c>
      <c r="G2311">
        <v>5</v>
      </c>
      <c r="H2311" t="s">
        <v>28</v>
      </c>
      <c r="I2311" t="s">
        <v>4147</v>
      </c>
      <c r="J2311" t="s">
        <v>2652</v>
      </c>
    </row>
    <row r="2312" spans="1:10">
      <c r="A2312" t="s">
        <v>7794</v>
      </c>
      <c r="B2312">
        <v>-1.9891555997459001</v>
      </c>
      <c r="C2312">
        <v>5.0077264407712203</v>
      </c>
      <c r="D2312">
        <v>0.21882030546933001</v>
      </c>
      <c r="E2312">
        <v>0.76825993710629303</v>
      </c>
      <c r="F2312">
        <v>1</v>
      </c>
      <c r="G2312">
        <v>5</v>
      </c>
      <c r="H2312" t="s">
        <v>28</v>
      </c>
      <c r="I2312" t="s">
        <v>3438</v>
      </c>
      <c r="J2312" t="s">
        <v>2653</v>
      </c>
    </row>
    <row r="2313" spans="1:10">
      <c r="A2313" t="s">
        <v>7795</v>
      </c>
      <c r="B2313">
        <v>-1.9891555997459001</v>
      </c>
      <c r="C2313">
        <v>5.0077264407712203</v>
      </c>
      <c r="D2313">
        <v>0.21882030546933001</v>
      </c>
      <c r="E2313">
        <v>0.76825993710629303</v>
      </c>
      <c r="F2313">
        <v>1</v>
      </c>
      <c r="G2313">
        <v>5</v>
      </c>
      <c r="H2313" t="s">
        <v>28</v>
      </c>
      <c r="I2313" t="s">
        <v>3438</v>
      </c>
      <c r="J2313" t="s">
        <v>2654</v>
      </c>
    </row>
    <row r="2314" spans="1:10">
      <c r="A2314" t="s">
        <v>7796</v>
      </c>
      <c r="B2314">
        <v>-1.9891555997459001</v>
      </c>
      <c r="C2314">
        <v>5.0077264407712203</v>
      </c>
      <c r="D2314">
        <v>0.21882030546933001</v>
      </c>
      <c r="E2314">
        <v>0.76825993710629303</v>
      </c>
      <c r="F2314">
        <v>1</v>
      </c>
      <c r="G2314">
        <v>5</v>
      </c>
      <c r="H2314" t="s">
        <v>28</v>
      </c>
      <c r="I2314" t="s">
        <v>3438</v>
      </c>
      <c r="J2314" t="s">
        <v>2655</v>
      </c>
    </row>
    <row r="2315" spans="1:10">
      <c r="A2315" t="s">
        <v>7797</v>
      </c>
      <c r="B2315">
        <v>-1.9891555997459001</v>
      </c>
      <c r="C2315">
        <v>5.0077264407712203</v>
      </c>
      <c r="D2315">
        <v>0.21882030546933001</v>
      </c>
      <c r="E2315">
        <v>0.76825993710629303</v>
      </c>
      <c r="F2315">
        <v>1</v>
      </c>
      <c r="G2315">
        <v>5</v>
      </c>
      <c r="H2315" t="s">
        <v>28</v>
      </c>
      <c r="I2315" t="s">
        <v>3438</v>
      </c>
      <c r="J2315" t="s">
        <v>2656</v>
      </c>
    </row>
    <row r="2316" spans="1:10">
      <c r="A2316" t="s">
        <v>7798</v>
      </c>
      <c r="B2316">
        <v>-1.9891555997459001</v>
      </c>
      <c r="C2316">
        <v>5.0077264407712203</v>
      </c>
      <c r="D2316">
        <v>0.21882030546933001</v>
      </c>
      <c r="E2316">
        <v>0.76825993710629303</v>
      </c>
      <c r="F2316">
        <v>1</v>
      </c>
      <c r="G2316">
        <v>5</v>
      </c>
      <c r="H2316" t="s">
        <v>28</v>
      </c>
      <c r="I2316" t="s">
        <v>3438</v>
      </c>
      <c r="J2316" t="s">
        <v>2657</v>
      </c>
    </row>
    <row r="2317" spans="1:10">
      <c r="A2317" t="s">
        <v>7799</v>
      </c>
      <c r="B2317">
        <v>2.1516792546887298</v>
      </c>
      <c r="C2317">
        <v>5.0077449768606996</v>
      </c>
      <c r="D2317">
        <v>0.21882030546933001</v>
      </c>
      <c r="E2317">
        <v>0.76825993710629303</v>
      </c>
      <c r="F2317">
        <v>5</v>
      </c>
      <c r="G2317">
        <v>1</v>
      </c>
      <c r="H2317" t="s">
        <v>28</v>
      </c>
      <c r="I2317" t="s">
        <v>3438</v>
      </c>
      <c r="J2317" t="s">
        <v>2658</v>
      </c>
    </row>
    <row r="2318" spans="1:10">
      <c r="A2318" t="s">
        <v>7800</v>
      </c>
      <c r="B2318">
        <v>2.1516792546887298</v>
      </c>
      <c r="C2318">
        <v>5.0077449768606996</v>
      </c>
      <c r="D2318">
        <v>0.21882030546933001</v>
      </c>
      <c r="E2318">
        <v>0.76825993710629303</v>
      </c>
      <c r="F2318">
        <v>5</v>
      </c>
      <c r="G2318">
        <v>1</v>
      </c>
      <c r="H2318" t="s">
        <v>7801</v>
      </c>
      <c r="I2318" t="s">
        <v>3687</v>
      </c>
      <c r="J2318" t="s">
        <v>2659</v>
      </c>
    </row>
    <row r="2319" spans="1:10">
      <c r="A2319" t="s">
        <v>7802</v>
      </c>
      <c r="B2319">
        <v>2.1516792546887298</v>
      </c>
      <c r="C2319">
        <v>5.0077449768606996</v>
      </c>
      <c r="D2319">
        <v>0.21882030546933001</v>
      </c>
      <c r="E2319">
        <v>0.76825993710629303</v>
      </c>
      <c r="F2319">
        <v>5</v>
      </c>
      <c r="G2319">
        <v>1</v>
      </c>
      <c r="H2319" t="s">
        <v>28</v>
      </c>
      <c r="I2319" t="s">
        <v>3438</v>
      </c>
      <c r="J2319" t="s">
        <v>2660</v>
      </c>
    </row>
    <row r="2320" spans="1:10">
      <c r="A2320" t="s">
        <v>7803</v>
      </c>
      <c r="B2320">
        <v>2.1516792546887298</v>
      </c>
      <c r="C2320">
        <v>5.0077449768606996</v>
      </c>
      <c r="D2320">
        <v>0.21882030546933001</v>
      </c>
      <c r="E2320">
        <v>0.76825993710629303</v>
      </c>
      <c r="F2320">
        <v>5</v>
      </c>
      <c r="G2320">
        <v>1</v>
      </c>
      <c r="H2320" t="s">
        <v>28</v>
      </c>
      <c r="I2320" t="s">
        <v>3438</v>
      </c>
      <c r="J2320" t="s">
        <v>2661</v>
      </c>
    </row>
    <row r="2321" spans="1:10">
      <c r="A2321" t="s">
        <v>7804</v>
      </c>
      <c r="B2321">
        <v>2.1516792546887298</v>
      </c>
      <c r="C2321">
        <v>5.0077449768606996</v>
      </c>
      <c r="D2321">
        <v>0.21882030546933001</v>
      </c>
      <c r="E2321">
        <v>0.76825993710629303</v>
      </c>
      <c r="F2321">
        <v>5</v>
      </c>
      <c r="G2321">
        <v>1</v>
      </c>
      <c r="H2321" t="s">
        <v>28</v>
      </c>
      <c r="I2321" t="s">
        <v>3438</v>
      </c>
      <c r="J2321" t="s">
        <v>267</v>
      </c>
    </row>
    <row r="2322" spans="1:10">
      <c r="A2322" t="s">
        <v>7805</v>
      </c>
      <c r="B2322">
        <v>2.1516792546887298</v>
      </c>
      <c r="C2322">
        <v>5.0077449768606996</v>
      </c>
      <c r="D2322">
        <v>0.21882030546933001</v>
      </c>
      <c r="E2322">
        <v>0.76825993710629303</v>
      </c>
      <c r="F2322">
        <v>5</v>
      </c>
      <c r="G2322">
        <v>1</v>
      </c>
      <c r="H2322" t="s">
        <v>7806</v>
      </c>
      <c r="I2322" t="s">
        <v>7807</v>
      </c>
      <c r="J2322" t="s">
        <v>2662</v>
      </c>
    </row>
    <row r="2323" spans="1:10">
      <c r="A2323" t="s">
        <v>7808</v>
      </c>
      <c r="B2323">
        <v>2.1516792546887298</v>
      </c>
      <c r="C2323">
        <v>5.0077449768606996</v>
      </c>
      <c r="D2323">
        <v>0.21882030546933001</v>
      </c>
      <c r="E2323">
        <v>0.76825993710629303</v>
      </c>
      <c r="F2323">
        <v>5</v>
      </c>
      <c r="G2323">
        <v>1</v>
      </c>
      <c r="H2323" t="s">
        <v>28</v>
      </c>
      <c r="I2323" t="s">
        <v>3438</v>
      </c>
      <c r="J2323" t="s">
        <v>2663</v>
      </c>
    </row>
    <row r="2324" spans="1:10">
      <c r="A2324" t="s">
        <v>7809</v>
      </c>
      <c r="B2324">
        <v>2.1516792546887298</v>
      </c>
      <c r="C2324">
        <v>5.0077449768606996</v>
      </c>
      <c r="D2324">
        <v>0.21882030546933001</v>
      </c>
      <c r="E2324">
        <v>0.76825993710629303</v>
      </c>
      <c r="F2324">
        <v>5</v>
      </c>
      <c r="G2324">
        <v>1</v>
      </c>
      <c r="H2324" t="s">
        <v>28</v>
      </c>
      <c r="I2324" t="s">
        <v>3438</v>
      </c>
      <c r="J2324" t="s">
        <v>2664</v>
      </c>
    </row>
    <row r="2325" spans="1:10">
      <c r="A2325" t="s">
        <v>7810</v>
      </c>
      <c r="B2325">
        <v>2.1516792546887298</v>
      </c>
      <c r="C2325">
        <v>5.0077449768606996</v>
      </c>
      <c r="D2325">
        <v>0.21882030546933001</v>
      </c>
      <c r="E2325">
        <v>0.76825993710629303</v>
      </c>
      <c r="F2325">
        <v>5</v>
      </c>
      <c r="G2325">
        <v>1</v>
      </c>
      <c r="H2325" t="s">
        <v>7811</v>
      </c>
      <c r="I2325" t="s">
        <v>7812</v>
      </c>
      <c r="J2325" t="s">
        <v>181</v>
      </c>
    </row>
    <row r="2326" spans="1:10">
      <c r="A2326" t="s">
        <v>7813</v>
      </c>
      <c r="B2326">
        <v>2.1516792546887298</v>
      </c>
      <c r="C2326">
        <v>5.0077449768606996</v>
      </c>
      <c r="D2326">
        <v>0.21882030546933001</v>
      </c>
      <c r="E2326">
        <v>0.76825993710629303</v>
      </c>
      <c r="F2326">
        <v>5</v>
      </c>
      <c r="G2326">
        <v>1</v>
      </c>
      <c r="H2326" t="s">
        <v>28</v>
      </c>
      <c r="I2326" t="s">
        <v>3438</v>
      </c>
      <c r="J2326" t="s">
        <v>2665</v>
      </c>
    </row>
    <row r="2327" spans="1:10">
      <c r="A2327" t="s">
        <v>7814</v>
      </c>
      <c r="B2327">
        <v>2.1516792546887298</v>
      </c>
      <c r="C2327">
        <v>5.0077449768606996</v>
      </c>
      <c r="D2327">
        <v>0.21882030546933001</v>
      </c>
      <c r="E2327">
        <v>0.76825993710629303</v>
      </c>
      <c r="F2327">
        <v>5</v>
      </c>
      <c r="G2327">
        <v>1</v>
      </c>
      <c r="H2327" t="s">
        <v>28</v>
      </c>
      <c r="I2327" t="s">
        <v>3436</v>
      </c>
      <c r="J2327" t="s">
        <v>2666</v>
      </c>
    </row>
    <row r="2328" spans="1:10">
      <c r="A2328" t="s">
        <v>7815</v>
      </c>
      <c r="B2328">
        <v>2.1516792546887298</v>
      </c>
      <c r="C2328">
        <v>5.0077449768606996</v>
      </c>
      <c r="D2328">
        <v>0.21882030546933001</v>
      </c>
      <c r="E2328">
        <v>0.76825993710629303</v>
      </c>
      <c r="F2328">
        <v>5</v>
      </c>
      <c r="G2328">
        <v>1</v>
      </c>
      <c r="H2328" t="s">
        <v>7816</v>
      </c>
      <c r="I2328" t="s">
        <v>7817</v>
      </c>
      <c r="J2328" t="s">
        <v>2667</v>
      </c>
    </row>
    <row r="2329" spans="1:10">
      <c r="A2329" t="s">
        <v>7818</v>
      </c>
      <c r="B2329">
        <v>2.1516792546887298</v>
      </c>
      <c r="C2329">
        <v>5.0077449768606996</v>
      </c>
      <c r="D2329">
        <v>0.21882030546933001</v>
      </c>
      <c r="E2329">
        <v>0.76825993710629303</v>
      </c>
      <c r="F2329">
        <v>5</v>
      </c>
      <c r="G2329">
        <v>1</v>
      </c>
      <c r="H2329" t="s">
        <v>7819</v>
      </c>
      <c r="I2329" t="s">
        <v>7820</v>
      </c>
      <c r="J2329" t="s">
        <v>2668</v>
      </c>
    </row>
    <row r="2330" spans="1:10">
      <c r="A2330" t="s">
        <v>7821</v>
      </c>
      <c r="B2330">
        <v>2.1516792546887298</v>
      </c>
      <c r="C2330">
        <v>5.0077449768606996</v>
      </c>
      <c r="D2330">
        <v>0.21882030546933001</v>
      </c>
      <c r="E2330">
        <v>0.76825993710629303</v>
      </c>
      <c r="F2330">
        <v>5</v>
      </c>
      <c r="G2330">
        <v>1</v>
      </c>
      <c r="H2330" t="s">
        <v>28</v>
      </c>
      <c r="I2330" t="s">
        <v>3438</v>
      </c>
      <c r="J2330" t="s">
        <v>2669</v>
      </c>
    </row>
    <row r="2331" spans="1:10">
      <c r="A2331" t="s">
        <v>7822</v>
      </c>
      <c r="B2331">
        <v>2.1516792546887298</v>
      </c>
      <c r="C2331">
        <v>5.0077449768606996</v>
      </c>
      <c r="D2331">
        <v>0.21882030546933001</v>
      </c>
      <c r="E2331">
        <v>0.76825993710629303</v>
      </c>
      <c r="F2331">
        <v>5</v>
      </c>
      <c r="G2331">
        <v>1</v>
      </c>
      <c r="H2331" t="s">
        <v>28</v>
      </c>
      <c r="I2331" t="s">
        <v>3438</v>
      </c>
      <c r="J2331" t="s">
        <v>2670</v>
      </c>
    </row>
    <row r="2332" spans="1:10">
      <c r="A2332" t="s">
        <v>7823</v>
      </c>
      <c r="B2332">
        <v>-0.70343252966108605</v>
      </c>
      <c r="C2332">
        <v>7.4671485092578402</v>
      </c>
      <c r="D2332">
        <v>0.215694938649377</v>
      </c>
      <c r="E2332">
        <v>0.76825993710629303</v>
      </c>
      <c r="F2332">
        <v>12</v>
      </c>
      <c r="G2332">
        <v>21</v>
      </c>
      <c r="H2332" t="s">
        <v>7824</v>
      </c>
      <c r="I2332" t="s">
        <v>3450</v>
      </c>
      <c r="J2332" t="s">
        <v>2671</v>
      </c>
    </row>
    <row r="2333" spans="1:10">
      <c r="A2333" t="s">
        <v>7825</v>
      </c>
      <c r="B2333">
        <v>0.74326899163211302</v>
      </c>
      <c r="C2333">
        <v>7.3769875756948204</v>
      </c>
      <c r="D2333">
        <v>0.215694938649377</v>
      </c>
      <c r="E2333">
        <v>0.76825993710629303</v>
      </c>
      <c r="F2333">
        <v>19</v>
      </c>
      <c r="G2333">
        <v>12</v>
      </c>
      <c r="H2333" t="s">
        <v>7826</v>
      </c>
      <c r="I2333" t="s">
        <v>7827</v>
      </c>
      <c r="J2333" t="s">
        <v>2672</v>
      </c>
    </row>
    <row r="2334" spans="1:10">
      <c r="A2334" t="s">
        <v>7828</v>
      </c>
      <c r="B2334">
        <v>0.74326899163211302</v>
      </c>
      <c r="C2334">
        <v>7.3769875756948204</v>
      </c>
      <c r="D2334">
        <v>0.215694938649377</v>
      </c>
      <c r="E2334">
        <v>0.76825993710629303</v>
      </c>
      <c r="F2334">
        <v>19</v>
      </c>
      <c r="G2334">
        <v>12</v>
      </c>
      <c r="H2334" t="s">
        <v>7829</v>
      </c>
      <c r="I2334" t="s">
        <v>7830</v>
      </c>
      <c r="J2334" t="s">
        <v>2673</v>
      </c>
    </row>
    <row r="2335" spans="1:10">
      <c r="A2335" t="s">
        <v>7831</v>
      </c>
      <c r="B2335">
        <v>0.74326899163211302</v>
      </c>
      <c r="C2335">
        <v>7.3769875756948204</v>
      </c>
      <c r="D2335">
        <v>0.215694938649377</v>
      </c>
      <c r="E2335">
        <v>0.76825993710629303</v>
      </c>
      <c r="F2335">
        <v>19</v>
      </c>
      <c r="G2335">
        <v>12</v>
      </c>
      <c r="H2335" t="s">
        <v>28</v>
      </c>
      <c r="I2335" t="s">
        <v>7832</v>
      </c>
      <c r="J2335" t="s">
        <v>2674</v>
      </c>
    </row>
    <row r="2336" spans="1:10">
      <c r="A2336" t="s">
        <v>7833</v>
      </c>
      <c r="B2336">
        <v>0.34192985134859899</v>
      </c>
      <c r="C2336">
        <v>9.4114921804860803</v>
      </c>
      <c r="D2336">
        <v>0.21541715314806001</v>
      </c>
      <c r="E2336">
        <v>0.76825993710629303</v>
      </c>
      <c r="F2336">
        <v>69</v>
      </c>
      <c r="G2336">
        <v>58</v>
      </c>
      <c r="H2336" t="s">
        <v>7834</v>
      </c>
      <c r="I2336" t="s">
        <v>7835</v>
      </c>
      <c r="J2336" t="s">
        <v>2675</v>
      </c>
    </row>
    <row r="2337" spans="1:10">
      <c r="A2337" t="s">
        <v>7836</v>
      </c>
      <c r="B2337">
        <v>-0.42802401098319598</v>
      </c>
      <c r="C2337">
        <v>8.7081484445402193</v>
      </c>
      <c r="D2337">
        <v>0.21357435963291199</v>
      </c>
      <c r="E2337">
        <v>0.76825993710629303</v>
      </c>
      <c r="F2337">
        <v>32</v>
      </c>
      <c r="G2337">
        <v>46</v>
      </c>
      <c r="H2337" t="s">
        <v>28</v>
      </c>
      <c r="I2337" t="s">
        <v>3438</v>
      </c>
      <c r="J2337" t="s">
        <v>2676</v>
      </c>
    </row>
    <row r="2338" spans="1:10">
      <c r="A2338" t="s">
        <v>7837</v>
      </c>
      <c r="B2338">
        <v>0.46171335827597298</v>
      </c>
      <c r="C2338">
        <v>8.7082038536275697</v>
      </c>
      <c r="D2338">
        <v>0.21357435963291199</v>
      </c>
      <c r="E2338">
        <v>0.76825993710629303</v>
      </c>
      <c r="F2338">
        <v>44</v>
      </c>
      <c r="G2338">
        <v>34</v>
      </c>
      <c r="H2338" t="s">
        <v>28</v>
      </c>
      <c r="I2338" t="s">
        <v>3438</v>
      </c>
      <c r="J2338" t="s">
        <v>2677</v>
      </c>
    </row>
    <row r="2339" spans="1:10">
      <c r="A2339" t="s">
        <v>7838</v>
      </c>
      <c r="B2339">
        <v>0.53496603905669704</v>
      </c>
      <c r="C2339">
        <v>8.1232348356289297</v>
      </c>
      <c r="D2339">
        <v>0.21220271789258599</v>
      </c>
      <c r="E2339">
        <v>0.76825993710629303</v>
      </c>
      <c r="F2339">
        <v>30</v>
      </c>
      <c r="G2339">
        <v>22</v>
      </c>
      <c r="H2339" t="s">
        <v>7839</v>
      </c>
      <c r="I2339" t="s">
        <v>7840</v>
      </c>
      <c r="J2339" t="s">
        <v>2678</v>
      </c>
    </row>
    <row r="2340" spans="1:10">
      <c r="A2340" t="s">
        <v>7841</v>
      </c>
      <c r="B2340">
        <v>-0.390846902590964</v>
      </c>
      <c r="C2340">
        <v>9.1776267685202395</v>
      </c>
      <c r="D2340">
        <v>0.211996329136003</v>
      </c>
      <c r="E2340">
        <v>0.76825993710629303</v>
      </c>
      <c r="F2340">
        <v>45</v>
      </c>
      <c r="G2340">
        <v>63</v>
      </c>
      <c r="H2340" t="s">
        <v>7842</v>
      </c>
      <c r="I2340" t="s">
        <v>7843</v>
      </c>
      <c r="J2340" t="s">
        <v>2679</v>
      </c>
    </row>
    <row r="2341" spans="1:10">
      <c r="A2341" t="s">
        <v>7844</v>
      </c>
      <c r="B2341">
        <v>0.582978900711149</v>
      </c>
      <c r="C2341">
        <v>7.7803440038735303</v>
      </c>
      <c r="D2341">
        <v>0.21149199988169201</v>
      </c>
      <c r="E2341">
        <v>0.76825993710629303</v>
      </c>
      <c r="F2341">
        <v>24</v>
      </c>
      <c r="G2341">
        <v>17</v>
      </c>
      <c r="H2341" t="s">
        <v>28</v>
      </c>
      <c r="I2341" t="s">
        <v>3438</v>
      </c>
      <c r="J2341" t="s">
        <v>2680</v>
      </c>
    </row>
    <row r="2342" spans="1:10">
      <c r="A2342" t="s">
        <v>7845</v>
      </c>
      <c r="B2342">
        <v>-0.79576816132516603</v>
      </c>
      <c r="C2342">
        <v>6.9463202230082199</v>
      </c>
      <c r="D2342">
        <v>0.21030253537408</v>
      </c>
      <c r="E2342">
        <v>0.76825993710629303</v>
      </c>
      <c r="F2342">
        <v>8</v>
      </c>
      <c r="G2342">
        <v>15</v>
      </c>
      <c r="H2342" t="s">
        <v>28</v>
      </c>
      <c r="I2342" t="s">
        <v>7846</v>
      </c>
      <c r="J2342" t="s">
        <v>2681</v>
      </c>
    </row>
    <row r="2343" spans="1:10">
      <c r="A2343" t="s">
        <v>7847</v>
      </c>
      <c r="B2343">
        <v>-0.79576816132516603</v>
      </c>
      <c r="C2343">
        <v>6.9463202230082199</v>
      </c>
      <c r="D2343">
        <v>0.21030253537408</v>
      </c>
      <c r="E2343">
        <v>0.76825993710629303</v>
      </c>
      <c r="F2343">
        <v>8</v>
      </c>
      <c r="G2343">
        <v>15</v>
      </c>
      <c r="H2343" t="s">
        <v>7848</v>
      </c>
      <c r="I2343" t="s">
        <v>7849</v>
      </c>
      <c r="J2343" t="s">
        <v>2682</v>
      </c>
    </row>
    <row r="2344" spans="1:10">
      <c r="A2344" t="s">
        <v>7850</v>
      </c>
      <c r="B2344">
        <v>0.97691924247079798</v>
      </c>
      <c r="C2344">
        <v>6.9463526336799397</v>
      </c>
      <c r="D2344">
        <v>0.21030253537408</v>
      </c>
      <c r="E2344">
        <v>0.76825993710629303</v>
      </c>
      <c r="F2344">
        <v>15</v>
      </c>
      <c r="G2344">
        <v>8</v>
      </c>
      <c r="H2344" t="s">
        <v>28</v>
      </c>
      <c r="I2344" t="s">
        <v>3438</v>
      </c>
      <c r="J2344" t="s">
        <v>2683</v>
      </c>
    </row>
    <row r="2345" spans="1:10">
      <c r="A2345" t="s">
        <v>7851</v>
      </c>
      <c r="B2345">
        <v>0.97691924247079798</v>
      </c>
      <c r="C2345">
        <v>6.9463526336799397</v>
      </c>
      <c r="D2345">
        <v>0.21030253537408</v>
      </c>
      <c r="E2345">
        <v>0.76825993710629303</v>
      </c>
      <c r="F2345">
        <v>15</v>
      </c>
      <c r="G2345">
        <v>8</v>
      </c>
      <c r="H2345" t="s">
        <v>3626</v>
      </c>
      <c r="I2345" t="s">
        <v>3627</v>
      </c>
      <c r="J2345" t="s">
        <v>2684</v>
      </c>
    </row>
    <row r="2346" spans="1:10">
      <c r="A2346" t="s">
        <v>7852</v>
      </c>
      <c r="B2346">
        <v>0.97691924247079798</v>
      </c>
      <c r="C2346">
        <v>6.9463526336799397</v>
      </c>
      <c r="D2346">
        <v>0.21030253537408</v>
      </c>
      <c r="E2346">
        <v>0.76825993710629303</v>
      </c>
      <c r="F2346">
        <v>15</v>
      </c>
      <c r="G2346">
        <v>8</v>
      </c>
      <c r="H2346" t="s">
        <v>7853</v>
      </c>
      <c r="I2346" t="s">
        <v>3450</v>
      </c>
      <c r="J2346" t="s">
        <v>2685</v>
      </c>
    </row>
    <row r="2347" spans="1:10">
      <c r="A2347" t="s">
        <v>7854</v>
      </c>
      <c r="B2347">
        <v>0.97691924247079798</v>
      </c>
      <c r="C2347">
        <v>6.9463526336799397</v>
      </c>
      <c r="D2347">
        <v>0.21030253537408</v>
      </c>
      <c r="E2347">
        <v>0.76825993710629303</v>
      </c>
      <c r="F2347">
        <v>15</v>
      </c>
      <c r="G2347">
        <v>8</v>
      </c>
      <c r="H2347" t="s">
        <v>28</v>
      </c>
      <c r="I2347" t="s">
        <v>3438</v>
      </c>
      <c r="J2347" t="s">
        <v>2686</v>
      </c>
    </row>
    <row r="2348" spans="1:10">
      <c r="A2348" t="s">
        <v>7855</v>
      </c>
      <c r="B2348">
        <v>-1.0100343113769601</v>
      </c>
      <c r="C2348">
        <v>6.4227600568624803</v>
      </c>
      <c r="D2348">
        <v>0.21029676356964799</v>
      </c>
      <c r="E2348">
        <v>0.76825993710629303</v>
      </c>
      <c r="F2348">
        <v>5</v>
      </c>
      <c r="G2348">
        <v>11</v>
      </c>
      <c r="H2348" t="s">
        <v>28</v>
      </c>
      <c r="I2348" t="s">
        <v>3438</v>
      </c>
      <c r="J2348" t="s">
        <v>2687</v>
      </c>
    </row>
    <row r="2349" spans="1:10">
      <c r="A2349" t="s">
        <v>7856</v>
      </c>
      <c r="B2349">
        <v>-1.0100343113769601</v>
      </c>
      <c r="C2349">
        <v>6.4227600568624803</v>
      </c>
      <c r="D2349">
        <v>0.21029676356964799</v>
      </c>
      <c r="E2349">
        <v>0.76825993710629303</v>
      </c>
      <c r="F2349">
        <v>5</v>
      </c>
      <c r="G2349">
        <v>11</v>
      </c>
      <c r="H2349" t="s">
        <v>7857</v>
      </c>
      <c r="I2349" t="s">
        <v>7858</v>
      </c>
      <c r="J2349" t="s">
        <v>2688</v>
      </c>
    </row>
    <row r="2350" spans="1:10">
      <c r="A2350" t="s">
        <v>7859</v>
      </c>
      <c r="B2350">
        <v>-1.0100343113769601</v>
      </c>
      <c r="C2350">
        <v>6.4227600568624803</v>
      </c>
      <c r="D2350">
        <v>0.21029676356964799</v>
      </c>
      <c r="E2350">
        <v>0.76825993710629303</v>
      </c>
      <c r="F2350">
        <v>5</v>
      </c>
      <c r="G2350">
        <v>11</v>
      </c>
      <c r="H2350" t="s">
        <v>28</v>
      </c>
      <c r="I2350" t="s">
        <v>3438</v>
      </c>
      <c r="J2350" t="s">
        <v>2689</v>
      </c>
    </row>
    <row r="2351" spans="1:10">
      <c r="A2351" t="s">
        <v>7860</v>
      </c>
      <c r="B2351">
        <v>-1.0100343113769601</v>
      </c>
      <c r="C2351">
        <v>6.4227600568624803</v>
      </c>
      <c r="D2351">
        <v>0.21029676356964799</v>
      </c>
      <c r="E2351">
        <v>0.76825993710629303</v>
      </c>
      <c r="F2351">
        <v>5</v>
      </c>
      <c r="G2351">
        <v>11</v>
      </c>
      <c r="H2351" t="s">
        <v>28</v>
      </c>
      <c r="I2351" t="s">
        <v>3438</v>
      </c>
      <c r="J2351" t="s">
        <v>2690</v>
      </c>
    </row>
    <row r="2352" spans="1:10">
      <c r="A2352" t="s">
        <v>7861</v>
      </c>
      <c r="B2352">
        <v>1.1890396774879599</v>
      </c>
      <c r="C2352">
        <v>6.4227878471337103</v>
      </c>
      <c r="D2352">
        <v>0.21029676356964799</v>
      </c>
      <c r="E2352">
        <v>0.76825993710629303</v>
      </c>
      <c r="F2352">
        <v>11</v>
      </c>
      <c r="G2352">
        <v>5</v>
      </c>
      <c r="H2352" t="s">
        <v>28</v>
      </c>
      <c r="I2352" t="s">
        <v>3631</v>
      </c>
      <c r="J2352" t="s">
        <v>2691</v>
      </c>
    </row>
    <row r="2353" spans="1:10">
      <c r="A2353" t="s">
        <v>7862</v>
      </c>
      <c r="B2353">
        <v>1.1890396774879599</v>
      </c>
      <c r="C2353">
        <v>6.4227878471337103</v>
      </c>
      <c r="D2353">
        <v>0.21029676356964799</v>
      </c>
      <c r="E2353">
        <v>0.76825993710629303</v>
      </c>
      <c r="F2353">
        <v>11</v>
      </c>
      <c r="G2353">
        <v>5</v>
      </c>
      <c r="H2353" t="s">
        <v>28</v>
      </c>
      <c r="I2353" t="s">
        <v>3438</v>
      </c>
      <c r="J2353" t="s">
        <v>2692</v>
      </c>
    </row>
    <row r="2354" spans="1:10">
      <c r="A2354" t="s">
        <v>7863</v>
      </c>
      <c r="B2354">
        <v>1.1890396774879599</v>
      </c>
      <c r="C2354">
        <v>6.4227878471337103</v>
      </c>
      <c r="D2354">
        <v>0.21029676356964799</v>
      </c>
      <c r="E2354">
        <v>0.76825993710629303</v>
      </c>
      <c r="F2354">
        <v>11</v>
      </c>
      <c r="G2354">
        <v>5</v>
      </c>
      <c r="H2354" t="s">
        <v>28</v>
      </c>
      <c r="I2354" t="s">
        <v>7864</v>
      </c>
      <c r="J2354" t="s">
        <v>2693</v>
      </c>
    </row>
    <row r="2355" spans="1:10">
      <c r="A2355" t="s">
        <v>7865</v>
      </c>
      <c r="B2355">
        <v>1.1890396774879599</v>
      </c>
      <c r="C2355">
        <v>6.4227878471337103</v>
      </c>
      <c r="D2355">
        <v>0.21029676356964799</v>
      </c>
      <c r="E2355">
        <v>0.76825993710629303</v>
      </c>
      <c r="F2355">
        <v>11</v>
      </c>
      <c r="G2355">
        <v>5</v>
      </c>
      <c r="H2355" t="s">
        <v>28</v>
      </c>
      <c r="I2355" t="s">
        <v>3438</v>
      </c>
      <c r="J2355" t="s">
        <v>2694</v>
      </c>
    </row>
    <row r="2356" spans="1:10">
      <c r="A2356" t="s">
        <v>7866</v>
      </c>
      <c r="B2356">
        <v>1.1890396774879599</v>
      </c>
      <c r="C2356">
        <v>6.4227878471337103</v>
      </c>
      <c r="D2356">
        <v>0.21029676356964799</v>
      </c>
      <c r="E2356">
        <v>0.76825993710629303</v>
      </c>
      <c r="F2356">
        <v>11</v>
      </c>
      <c r="G2356">
        <v>5</v>
      </c>
      <c r="H2356" t="s">
        <v>28</v>
      </c>
      <c r="I2356" t="s">
        <v>3438</v>
      </c>
      <c r="J2356" t="s">
        <v>339</v>
      </c>
    </row>
    <row r="2357" spans="1:10">
      <c r="A2357" t="s">
        <v>7867</v>
      </c>
      <c r="B2357">
        <v>1.1890396774879599</v>
      </c>
      <c r="C2357">
        <v>6.4227878471337103</v>
      </c>
      <c r="D2357">
        <v>0.21029676356964799</v>
      </c>
      <c r="E2357">
        <v>0.76825993710629303</v>
      </c>
      <c r="F2357">
        <v>11</v>
      </c>
      <c r="G2357">
        <v>5</v>
      </c>
      <c r="H2357" t="s">
        <v>28</v>
      </c>
      <c r="I2357" t="s">
        <v>3438</v>
      </c>
      <c r="J2357" t="s">
        <v>2695</v>
      </c>
    </row>
    <row r="2358" spans="1:10">
      <c r="A2358" t="s">
        <v>7868</v>
      </c>
      <c r="B2358">
        <v>1.1890396774879599</v>
      </c>
      <c r="C2358">
        <v>6.4227878471337103</v>
      </c>
      <c r="D2358">
        <v>0.21029676356964799</v>
      </c>
      <c r="E2358">
        <v>0.76825993710629303</v>
      </c>
      <c r="F2358">
        <v>11</v>
      </c>
      <c r="G2358">
        <v>5</v>
      </c>
      <c r="H2358" t="s">
        <v>28</v>
      </c>
      <c r="I2358" t="s">
        <v>3438</v>
      </c>
      <c r="J2358" t="s">
        <v>2696</v>
      </c>
    </row>
    <row r="2359" spans="1:10">
      <c r="A2359" t="s">
        <v>7869</v>
      </c>
      <c r="B2359">
        <v>1.1890396774879599</v>
      </c>
      <c r="C2359">
        <v>6.4227878471337103</v>
      </c>
      <c r="D2359">
        <v>0.21029676356964799</v>
      </c>
      <c r="E2359">
        <v>0.76825993710629303</v>
      </c>
      <c r="F2359">
        <v>11</v>
      </c>
      <c r="G2359">
        <v>5</v>
      </c>
      <c r="H2359" t="s">
        <v>28</v>
      </c>
      <c r="I2359" t="s">
        <v>3438</v>
      </c>
      <c r="J2359" t="s">
        <v>344</v>
      </c>
    </row>
    <row r="2360" spans="1:10">
      <c r="A2360" t="s">
        <v>7870</v>
      </c>
      <c r="B2360">
        <v>-0.411939873179126</v>
      </c>
      <c r="C2360">
        <v>8.9463046238567205</v>
      </c>
      <c r="D2360">
        <v>0.20920831137689799</v>
      </c>
      <c r="E2360">
        <v>0.76825993710629303</v>
      </c>
      <c r="F2360">
        <v>38</v>
      </c>
      <c r="G2360">
        <v>54</v>
      </c>
      <c r="H2360" t="s">
        <v>7871</v>
      </c>
      <c r="I2360" t="s">
        <v>7872</v>
      </c>
      <c r="J2360" t="s">
        <v>2697</v>
      </c>
    </row>
    <row r="2361" spans="1:10">
      <c r="A2361" t="s">
        <v>7873</v>
      </c>
      <c r="B2361">
        <v>0.47146945342353702</v>
      </c>
      <c r="C2361">
        <v>8.6707290027060608</v>
      </c>
      <c r="D2361">
        <v>0.20759905472464599</v>
      </c>
      <c r="E2361">
        <v>0.76825993710629303</v>
      </c>
      <c r="F2361">
        <v>43</v>
      </c>
      <c r="G2361">
        <v>33</v>
      </c>
      <c r="H2361" t="s">
        <v>28</v>
      </c>
      <c r="I2361" t="s">
        <v>3465</v>
      </c>
      <c r="J2361" t="s">
        <v>2698</v>
      </c>
    </row>
    <row r="2362" spans="1:10">
      <c r="A2362" t="s">
        <v>7874</v>
      </c>
      <c r="B2362">
        <v>-0.607230542094228</v>
      </c>
      <c r="C2362">
        <v>8.0666049223328002</v>
      </c>
      <c r="D2362">
        <v>0.203203369460567</v>
      </c>
      <c r="E2362">
        <v>0.76343695816026103</v>
      </c>
      <c r="F2362">
        <v>19</v>
      </c>
      <c r="G2362">
        <v>31</v>
      </c>
      <c r="H2362" t="s">
        <v>28</v>
      </c>
      <c r="I2362" t="s">
        <v>3438</v>
      </c>
      <c r="J2362" t="s">
        <v>2699</v>
      </c>
    </row>
    <row r="2363" spans="1:10">
      <c r="A2363" t="s">
        <v>7875</v>
      </c>
      <c r="B2363">
        <v>-0.607230542094228</v>
      </c>
      <c r="C2363">
        <v>8.0666049223328002</v>
      </c>
      <c r="D2363">
        <v>0.203203369460567</v>
      </c>
      <c r="E2363">
        <v>0.76343695816026103</v>
      </c>
      <c r="F2363">
        <v>19</v>
      </c>
      <c r="G2363">
        <v>31</v>
      </c>
      <c r="H2363" t="s">
        <v>7876</v>
      </c>
      <c r="I2363" t="s">
        <v>7877</v>
      </c>
      <c r="J2363" t="s">
        <v>2700</v>
      </c>
    </row>
    <row r="2364" spans="1:10">
      <c r="A2364" t="s">
        <v>7878</v>
      </c>
      <c r="B2364">
        <v>-0.607230542094228</v>
      </c>
      <c r="C2364">
        <v>8.0666049223328002</v>
      </c>
      <c r="D2364">
        <v>0.203203369460567</v>
      </c>
      <c r="E2364">
        <v>0.76343695816026103</v>
      </c>
      <c r="F2364">
        <v>19</v>
      </c>
      <c r="G2364">
        <v>31</v>
      </c>
      <c r="H2364" t="s">
        <v>28</v>
      </c>
      <c r="I2364" t="s">
        <v>3436</v>
      </c>
      <c r="J2364" t="s">
        <v>2701</v>
      </c>
    </row>
    <row r="2365" spans="1:10">
      <c r="A2365" t="s">
        <v>7879</v>
      </c>
      <c r="B2365">
        <v>-0.45664720529388297</v>
      </c>
      <c r="C2365">
        <v>8.6321992892539399</v>
      </c>
      <c r="D2365">
        <v>0.20151083036865999</v>
      </c>
      <c r="E2365">
        <v>0.75974071566894597</v>
      </c>
      <c r="F2365">
        <v>30</v>
      </c>
      <c r="G2365">
        <v>44</v>
      </c>
      <c r="H2365" t="s">
        <v>7880</v>
      </c>
      <c r="I2365" t="s">
        <v>7881</v>
      </c>
      <c r="J2365" t="s">
        <v>2702</v>
      </c>
    </row>
    <row r="2366" spans="1:10">
      <c r="A2366" t="s">
        <v>7882</v>
      </c>
      <c r="B2366">
        <v>0.481758694725406</v>
      </c>
      <c r="C2366">
        <v>8.6322547093596196</v>
      </c>
      <c r="D2366">
        <v>0.20151083036865999</v>
      </c>
      <c r="E2366">
        <v>0.75974071566894597</v>
      </c>
      <c r="F2366">
        <v>42</v>
      </c>
      <c r="G2366">
        <v>32</v>
      </c>
      <c r="H2366" t="s">
        <v>7883</v>
      </c>
      <c r="I2366" t="s">
        <v>7884</v>
      </c>
      <c r="J2366" t="s">
        <v>2703</v>
      </c>
    </row>
    <row r="2367" spans="1:10">
      <c r="A2367" t="s">
        <v>7885</v>
      </c>
      <c r="B2367">
        <v>-0.75685941094216103</v>
      </c>
      <c r="C2367">
        <v>7.3769505497493402</v>
      </c>
      <c r="D2367">
        <v>0.20082657593910899</v>
      </c>
      <c r="E2367">
        <v>0.758940385687632</v>
      </c>
      <c r="F2367">
        <v>11</v>
      </c>
      <c r="G2367">
        <v>20</v>
      </c>
      <c r="H2367" t="s">
        <v>28</v>
      </c>
      <c r="I2367" t="s">
        <v>3438</v>
      </c>
      <c r="J2367" t="s">
        <v>2704</v>
      </c>
    </row>
    <row r="2368" spans="1:10">
      <c r="A2368" t="s">
        <v>7886</v>
      </c>
      <c r="B2368">
        <v>-0.75685941094216103</v>
      </c>
      <c r="C2368">
        <v>7.3769505497493402</v>
      </c>
      <c r="D2368">
        <v>0.20082657593910899</v>
      </c>
      <c r="E2368">
        <v>0.758940385687632</v>
      </c>
      <c r="F2368">
        <v>11</v>
      </c>
      <c r="G2368">
        <v>20</v>
      </c>
      <c r="H2368" t="s">
        <v>28</v>
      </c>
      <c r="I2368" t="s">
        <v>3438</v>
      </c>
      <c r="J2368" t="s">
        <v>2705</v>
      </c>
    </row>
    <row r="2369" spans="1:10">
      <c r="A2369" t="s">
        <v>7887</v>
      </c>
      <c r="B2369">
        <v>-0.75685941094216103</v>
      </c>
      <c r="C2369">
        <v>7.3769505497493402</v>
      </c>
      <c r="D2369">
        <v>0.20082657593910899</v>
      </c>
      <c r="E2369">
        <v>0.758940385687632</v>
      </c>
      <c r="F2369">
        <v>11</v>
      </c>
      <c r="G2369">
        <v>20</v>
      </c>
      <c r="H2369" t="s">
        <v>7888</v>
      </c>
      <c r="I2369" t="s">
        <v>3438</v>
      </c>
      <c r="J2369" t="s">
        <v>2706</v>
      </c>
    </row>
    <row r="2370" spans="1:10">
      <c r="A2370" t="s">
        <v>7889</v>
      </c>
      <c r="B2370">
        <v>0.78904672557284605</v>
      </c>
      <c r="C2370">
        <v>7.2807721135582097</v>
      </c>
      <c r="D2370">
        <v>0.20082657593910899</v>
      </c>
      <c r="E2370">
        <v>0.758940385687632</v>
      </c>
      <c r="F2370">
        <v>18</v>
      </c>
      <c r="G2370">
        <v>11</v>
      </c>
      <c r="H2370" t="s">
        <v>7890</v>
      </c>
      <c r="I2370" t="s">
        <v>7891</v>
      </c>
      <c r="J2370" t="s">
        <v>2707</v>
      </c>
    </row>
    <row r="2371" spans="1:10">
      <c r="A2371" t="s">
        <v>7892</v>
      </c>
      <c r="B2371">
        <v>0.78904672557284605</v>
      </c>
      <c r="C2371">
        <v>7.2807721135582097</v>
      </c>
      <c r="D2371">
        <v>0.20082657593910899</v>
      </c>
      <c r="E2371">
        <v>0.758940385687632</v>
      </c>
      <c r="F2371">
        <v>18</v>
      </c>
      <c r="G2371">
        <v>11</v>
      </c>
      <c r="H2371" t="s">
        <v>7893</v>
      </c>
      <c r="I2371" t="s">
        <v>7894</v>
      </c>
      <c r="J2371" t="s">
        <v>2708</v>
      </c>
    </row>
    <row r="2372" spans="1:10">
      <c r="A2372" t="s">
        <v>7895</v>
      </c>
      <c r="B2372">
        <v>0.78904672557284605</v>
      </c>
      <c r="C2372">
        <v>7.2807721135582097</v>
      </c>
      <c r="D2372">
        <v>0.20082657593910899</v>
      </c>
      <c r="E2372">
        <v>0.758940385687632</v>
      </c>
      <c r="F2372">
        <v>18</v>
      </c>
      <c r="G2372">
        <v>11</v>
      </c>
      <c r="H2372" t="s">
        <v>28</v>
      </c>
      <c r="I2372" t="s">
        <v>3438</v>
      </c>
      <c r="J2372" t="s">
        <v>2709</v>
      </c>
    </row>
    <row r="2373" spans="1:10">
      <c r="A2373" t="s">
        <v>7896</v>
      </c>
      <c r="B2373">
        <v>0.78904672557284605</v>
      </c>
      <c r="C2373">
        <v>7.2807721135582097</v>
      </c>
      <c r="D2373">
        <v>0.20082657593910899</v>
      </c>
      <c r="E2373">
        <v>0.758940385687632</v>
      </c>
      <c r="F2373">
        <v>18</v>
      </c>
      <c r="G2373">
        <v>11</v>
      </c>
      <c r="H2373" t="s">
        <v>28</v>
      </c>
      <c r="I2373" t="s">
        <v>3438</v>
      </c>
      <c r="J2373" t="s">
        <v>2710</v>
      </c>
    </row>
    <row r="2374" spans="1:10">
      <c r="A2374" t="s">
        <v>7897</v>
      </c>
      <c r="B2374">
        <v>0.78904672557284605</v>
      </c>
      <c r="C2374">
        <v>7.2807721135582097</v>
      </c>
      <c r="D2374">
        <v>0.20082657593910899</v>
      </c>
      <c r="E2374">
        <v>0.758940385687632</v>
      </c>
      <c r="F2374">
        <v>18</v>
      </c>
      <c r="G2374">
        <v>11</v>
      </c>
      <c r="H2374" t="s">
        <v>7898</v>
      </c>
      <c r="I2374" t="s">
        <v>3450</v>
      </c>
      <c r="J2374" t="s">
        <v>2711</v>
      </c>
    </row>
    <row r="2375" spans="1:10">
      <c r="A2375" t="s">
        <v>7899</v>
      </c>
      <c r="B2375">
        <v>-0.370348330430743</v>
      </c>
      <c r="C2375">
        <v>9.3175555582950604</v>
      </c>
      <c r="D2375">
        <v>0.20049299453018099</v>
      </c>
      <c r="E2375">
        <v>0.758940385687632</v>
      </c>
      <c r="F2375">
        <v>50</v>
      </c>
      <c r="G2375">
        <v>69</v>
      </c>
      <c r="H2375" t="s">
        <v>7900</v>
      </c>
      <c r="I2375" t="s">
        <v>7901</v>
      </c>
      <c r="J2375" t="s">
        <v>2712</v>
      </c>
    </row>
    <row r="2376" spans="1:10">
      <c r="A2376" t="s">
        <v>7902</v>
      </c>
      <c r="B2376">
        <v>-0.73385369221908903</v>
      </c>
      <c r="C2376">
        <v>7.7081524338595804</v>
      </c>
      <c r="D2376">
        <v>0.200029598509537</v>
      </c>
      <c r="E2376">
        <v>0.758940385687632</v>
      </c>
      <c r="F2376">
        <v>14</v>
      </c>
      <c r="G2376">
        <v>25</v>
      </c>
      <c r="H2376" t="s">
        <v>28</v>
      </c>
      <c r="I2376" t="s">
        <v>3438</v>
      </c>
      <c r="J2376" t="s">
        <v>2713</v>
      </c>
    </row>
    <row r="2377" spans="1:10">
      <c r="A2377" t="s">
        <v>7903</v>
      </c>
      <c r="B2377">
        <v>-0.73385369221908903</v>
      </c>
      <c r="C2377">
        <v>7.7081524338595804</v>
      </c>
      <c r="D2377">
        <v>0.200029598509537</v>
      </c>
      <c r="E2377">
        <v>0.758940385687632</v>
      </c>
      <c r="F2377">
        <v>14</v>
      </c>
      <c r="G2377">
        <v>25</v>
      </c>
      <c r="H2377" t="s">
        <v>28</v>
      </c>
      <c r="I2377" t="s">
        <v>3438</v>
      </c>
      <c r="J2377" t="s">
        <v>2714</v>
      </c>
    </row>
    <row r="2378" spans="1:10">
      <c r="A2378" t="s">
        <v>7904</v>
      </c>
      <c r="B2378">
        <v>0.60831963095151798</v>
      </c>
      <c r="C2378">
        <v>7.7081940713867096</v>
      </c>
      <c r="D2378">
        <v>0.200029598509537</v>
      </c>
      <c r="E2378">
        <v>0.758940385687632</v>
      </c>
      <c r="F2378">
        <v>23</v>
      </c>
      <c r="G2378">
        <v>16</v>
      </c>
      <c r="H2378" t="s">
        <v>28</v>
      </c>
      <c r="I2378" t="s">
        <v>3438</v>
      </c>
      <c r="J2378" t="s">
        <v>2715</v>
      </c>
    </row>
    <row r="2379" spans="1:10">
      <c r="A2379" t="s">
        <v>7905</v>
      </c>
      <c r="B2379">
        <v>-0.43525141992775301</v>
      </c>
      <c r="C2379">
        <v>8.8821739838873501</v>
      </c>
      <c r="D2379">
        <v>0.19895388501119901</v>
      </c>
      <c r="E2379">
        <v>0.758940385687632</v>
      </c>
      <c r="F2379">
        <v>36</v>
      </c>
      <c r="G2379">
        <v>52</v>
      </c>
      <c r="H2379" t="s">
        <v>28</v>
      </c>
      <c r="I2379" t="s">
        <v>3438</v>
      </c>
      <c r="J2379" t="s">
        <v>2716</v>
      </c>
    </row>
    <row r="2380" spans="1:10">
      <c r="A2380" t="s">
        <v>7906</v>
      </c>
      <c r="B2380">
        <v>0.45686583532279501</v>
      </c>
      <c r="C2380">
        <v>8.8657480927442904</v>
      </c>
      <c r="D2380">
        <v>0.19895388501119901</v>
      </c>
      <c r="E2380">
        <v>0.758940385687632</v>
      </c>
      <c r="F2380">
        <v>49</v>
      </c>
      <c r="G2380">
        <v>38</v>
      </c>
      <c r="H2380" t="s">
        <v>7907</v>
      </c>
      <c r="I2380" t="s">
        <v>7908</v>
      </c>
      <c r="J2380" t="s">
        <v>2717</v>
      </c>
    </row>
    <row r="2381" spans="1:10">
      <c r="A2381" t="s">
        <v>7909</v>
      </c>
      <c r="B2381">
        <v>-0.31160029496184</v>
      </c>
      <c r="C2381">
        <v>9.8489950650521791</v>
      </c>
      <c r="D2381">
        <v>0.19666194687656899</v>
      </c>
      <c r="E2381">
        <v>0.75563300018524004</v>
      </c>
      <c r="F2381">
        <v>74</v>
      </c>
      <c r="G2381">
        <v>98</v>
      </c>
      <c r="H2381" t="s">
        <v>28</v>
      </c>
      <c r="I2381" t="s">
        <v>3438</v>
      </c>
      <c r="J2381" t="s">
        <v>322</v>
      </c>
    </row>
    <row r="2382" spans="1:10">
      <c r="A2382" t="s">
        <v>7910</v>
      </c>
      <c r="B2382">
        <v>-0.33987156523039003</v>
      </c>
      <c r="C2382">
        <v>9.4888258187996701</v>
      </c>
      <c r="D2382">
        <v>0.196349477864874</v>
      </c>
      <c r="E2382">
        <v>0.75533483350889397</v>
      </c>
      <c r="F2382">
        <v>57</v>
      </c>
      <c r="G2382">
        <v>77</v>
      </c>
      <c r="H2382" t="s">
        <v>7911</v>
      </c>
      <c r="I2382" t="s">
        <v>6703</v>
      </c>
      <c r="J2382" t="s">
        <v>2718</v>
      </c>
    </row>
    <row r="2383" spans="1:10">
      <c r="A2383" t="s">
        <v>7912</v>
      </c>
      <c r="B2383">
        <v>0.38033094663844602</v>
      </c>
      <c r="C2383">
        <v>9.0666594231632107</v>
      </c>
      <c r="D2383">
        <v>0.194460138530859</v>
      </c>
      <c r="E2383">
        <v>0.74896264133561896</v>
      </c>
      <c r="F2383">
        <v>55</v>
      </c>
      <c r="G2383">
        <v>45</v>
      </c>
      <c r="H2383" t="s">
        <v>7913</v>
      </c>
      <c r="I2383" t="s">
        <v>7914</v>
      </c>
      <c r="J2383" t="s">
        <v>2719</v>
      </c>
    </row>
    <row r="2384" spans="1:10">
      <c r="A2384" t="s">
        <v>7915</v>
      </c>
      <c r="B2384">
        <v>0.38033094663844602</v>
      </c>
      <c r="C2384">
        <v>9.0666594231632107</v>
      </c>
      <c r="D2384">
        <v>0.194460138530859</v>
      </c>
      <c r="E2384">
        <v>0.74896264133561896</v>
      </c>
      <c r="F2384">
        <v>55</v>
      </c>
      <c r="G2384">
        <v>45</v>
      </c>
      <c r="H2384" t="s">
        <v>7916</v>
      </c>
      <c r="I2384" t="s">
        <v>7917</v>
      </c>
      <c r="J2384" t="s">
        <v>2720</v>
      </c>
    </row>
    <row r="2385" spans="1:10">
      <c r="A2385" t="s">
        <v>7918</v>
      </c>
      <c r="B2385">
        <v>0.57208664251361296</v>
      </c>
      <c r="C2385">
        <v>8.0077573254995507</v>
      </c>
      <c r="D2385">
        <v>0.19394735197539001</v>
      </c>
      <c r="E2385">
        <v>0.74878113319670203</v>
      </c>
      <c r="F2385">
        <v>28</v>
      </c>
      <c r="G2385">
        <v>20</v>
      </c>
      <c r="H2385" t="s">
        <v>7919</v>
      </c>
      <c r="I2385" t="s">
        <v>7920</v>
      </c>
      <c r="J2385" t="s">
        <v>2721</v>
      </c>
    </row>
    <row r="2386" spans="1:10">
      <c r="A2386" t="s">
        <v>7921</v>
      </c>
      <c r="B2386">
        <v>-0.41931961378978899</v>
      </c>
      <c r="C2386">
        <v>8.8321353822561193</v>
      </c>
      <c r="D2386">
        <v>0.19370528634516501</v>
      </c>
      <c r="E2386">
        <v>0.74874543375727198</v>
      </c>
      <c r="F2386">
        <v>35</v>
      </c>
      <c r="G2386">
        <v>50</v>
      </c>
      <c r="H2386" t="s">
        <v>28</v>
      </c>
      <c r="I2386" t="s">
        <v>3438</v>
      </c>
      <c r="J2386" t="s">
        <v>2722</v>
      </c>
    </row>
    <row r="2387" spans="1:10">
      <c r="A2387" t="s">
        <v>7922</v>
      </c>
      <c r="B2387">
        <v>0.53176344487117699</v>
      </c>
      <c r="C2387">
        <v>8.3054409897436905</v>
      </c>
      <c r="D2387">
        <v>0.19318251383614399</v>
      </c>
      <c r="E2387">
        <v>0.74762330264385002</v>
      </c>
      <c r="F2387">
        <v>34</v>
      </c>
      <c r="G2387">
        <v>25</v>
      </c>
      <c r="H2387" t="s">
        <v>28</v>
      </c>
      <c r="I2387" t="s">
        <v>3438</v>
      </c>
      <c r="J2387" t="s">
        <v>2723</v>
      </c>
    </row>
    <row r="2388" spans="1:10">
      <c r="A2388" t="s">
        <v>7923</v>
      </c>
      <c r="B2388">
        <v>0.53176344487117699</v>
      </c>
      <c r="C2388">
        <v>8.3054409897436905</v>
      </c>
      <c r="D2388">
        <v>0.19318251383614399</v>
      </c>
      <c r="E2388">
        <v>0.74762330264385002</v>
      </c>
      <c r="F2388">
        <v>34</v>
      </c>
      <c r="G2388">
        <v>25</v>
      </c>
      <c r="H2388" t="s">
        <v>7924</v>
      </c>
      <c r="I2388" t="s">
        <v>4748</v>
      </c>
      <c r="J2388" t="s">
        <v>2724</v>
      </c>
    </row>
    <row r="2389" spans="1:10">
      <c r="A2389" t="s">
        <v>7925</v>
      </c>
      <c r="B2389">
        <v>0.53176344487117699</v>
      </c>
      <c r="C2389">
        <v>8.3054409897436905</v>
      </c>
      <c r="D2389">
        <v>0.19318251383614399</v>
      </c>
      <c r="E2389">
        <v>0.74762330264385002</v>
      </c>
      <c r="F2389">
        <v>34</v>
      </c>
      <c r="G2389">
        <v>25</v>
      </c>
      <c r="H2389" t="s">
        <v>28</v>
      </c>
      <c r="I2389" t="s">
        <v>3438</v>
      </c>
      <c r="J2389" t="s">
        <v>2725</v>
      </c>
    </row>
    <row r="2390" spans="1:10">
      <c r="A2390" t="s">
        <v>7926</v>
      </c>
      <c r="B2390">
        <v>-0.190279306784054</v>
      </c>
      <c r="C2390">
        <v>11.133516681070301</v>
      </c>
      <c r="D2390">
        <v>0.191138931430616</v>
      </c>
      <c r="E2390">
        <v>0.74239469019427495</v>
      </c>
      <c r="F2390">
        <v>189</v>
      </c>
      <c r="G2390">
        <v>230</v>
      </c>
      <c r="H2390" t="s">
        <v>7927</v>
      </c>
      <c r="I2390" t="s">
        <v>7928</v>
      </c>
      <c r="J2390" t="s">
        <v>2726</v>
      </c>
    </row>
    <row r="2391" spans="1:10">
      <c r="A2391" t="s">
        <v>7929</v>
      </c>
      <c r="B2391">
        <v>-0.88458120902877602</v>
      </c>
      <c r="C2391">
        <v>6.81507553950442</v>
      </c>
      <c r="D2391">
        <v>0.18947993149652201</v>
      </c>
      <c r="E2391">
        <v>0.73684094279663304</v>
      </c>
      <c r="F2391">
        <v>7</v>
      </c>
      <c r="G2391">
        <v>14</v>
      </c>
      <c r="H2391" t="s">
        <v>28</v>
      </c>
      <c r="I2391" t="s">
        <v>7930</v>
      </c>
      <c r="J2391" t="s">
        <v>2727</v>
      </c>
    </row>
    <row r="2392" spans="1:10">
      <c r="A2392" t="s">
        <v>7931</v>
      </c>
      <c r="B2392">
        <v>-0.88458120902877602</v>
      </c>
      <c r="C2392">
        <v>6.81507553950442</v>
      </c>
      <c r="D2392">
        <v>0.18947993149652201</v>
      </c>
      <c r="E2392">
        <v>0.73684094279663304</v>
      </c>
      <c r="F2392">
        <v>7</v>
      </c>
      <c r="G2392">
        <v>14</v>
      </c>
      <c r="H2392" t="s">
        <v>28</v>
      </c>
      <c r="I2392" t="s">
        <v>3631</v>
      </c>
      <c r="J2392" t="s">
        <v>2728</v>
      </c>
    </row>
    <row r="2393" spans="1:10">
      <c r="A2393" t="s">
        <v>7932</v>
      </c>
      <c r="B2393">
        <v>-0.88458120902877602</v>
      </c>
      <c r="C2393">
        <v>6.81507553950442</v>
      </c>
      <c r="D2393">
        <v>0.18947993149652201</v>
      </c>
      <c r="E2393">
        <v>0.73684094279663304</v>
      </c>
      <c r="F2393">
        <v>7</v>
      </c>
      <c r="G2393">
        <v>14</v>
      </c>
      <c r="H2393" t="s">
        <v>28</v>
      </c>
      <c r="I2393" t="s">
        <v>7933</v>
      </c>
      <c r="J2393" t="s">
        <v>2729</v>
      </c>
    </row>
    <row r="2394" spans="1:10">
      <c r="A2394" t="s">
        <v>7934</v>
      </c>
      <c r="B2394">
        <v>-0.88458120902877602</v>
      </c>
      <c r="C2394">
        <v>6.81507553950442</v>
      </c>
      <c r="D2394">
        <v>0.18947993149652201</v>
      </c>
      <c r="E2394">
        <v>0.73684094279663304</v>
      </c>
      <c r="F2394">
        <v>7</v>
      </c>
      <c r="G2394">
        <v>14</v>
      </c>
      <c r="H2394" t="s">
        <v>28</v>
      </c>
      <c r="I2394" t="s">
        <v>3438</v>
      </c>
      <c r="J2394" t="s">
        <v>2730</v>
      </c>
    </row>
    <row r="2395" spans="1:10">
      <c r="A2395" t="s">
        <v>7935</v>
      </c>
      <c r="B2395">
        <v>-0.88458120902877602</v>
      </c>
      <c r="C2395">
        <v>6.81507553950442</v>
      </c>
      <c r="D2395">
        <v>0.18947993149652201</v>
      </c>
      <c r="E2395">
        <v>0.73684094279663304</v>
      </c>
      <c r="F2395">
        <v>7</v>
      </c>
      <c r="G2395">
        <v>14</v>
      </c>
      <c r="H2395" t="s">
        <v>7936</v>
      </c>
      <c r="I2395" t="s">
        <v>7937</v>
      </c>
      <c r="J2395" t="s">
        <v>2731</v>
      </c>
    </row>
    <row r="2396" spans="1:10">
      <c r="A2396" t="s">
        <v>7938</v>
      </c>
      <c r="B2396">
        <v>-0.88458120902877602</v>
      </c>
      <c r="C2396">
        <v>6.81507553950442</v>
      </c>
      <c r="D2396">
        <v>0.18947993149652201</v>
      </c>
      <c r="E2396">
        <v>0.73684094279663304</v>
      </c>
      <c r="F2396">
        <v>7</v>
      </c>
      <c r="G2396">
        <v>14</v>
      </c>
      <c r="H2396" t="s">
        <v>7939</v>
      </c>
      <c r="I2396" t="s">
        <v>7940</v>
      </c>
      <c r="J2396" t="s">
        <v>2732</v>
      </c>
    </row>
    <row r="2397" spans="1:10">
      <c r="A2397" t="s">
        <v>7941</v>
      </c>
      <c r="B2397">
        <v>1.0652381415863299</v>
      </c>
      <c r="C2397">
        <v>6.8151079534071703</v>
      </c>
      <c r="D2397">
        <v>0.18947993149652201</v>
      </c>
      <c r="E2397">
        <v>0.73684094279663304</v>
      </c>
      <c r="F2397">
        <v>14</v>
      </c>
      <c r="G2397">
        <v>7</v>
      </c>
      <c r="H2397" t="s">
        <v>7942</v>
      </c>
      <c r="I2397" t="s">
        <v>3450</v>
      </c>
      <c r="J2397" t="s">
        <v>2733</v>
      </c>
    </row>
    <row r="2398" spans="1:10">
      <c r="A2398" t="s">
        <v>7943</v>
      </c>
      <c r="B2398">
        <v>1.0652381415863299</v>
      </c>
      <c r="C2398">
        <v>6.8151079534071703</v>
      </c>
      <c r="D2398">
        <v>0.18947993149652201</v>
      </c>
      <c r="E2398">
        <v>0.73684094279663304</v>
      </c>
      <c r="F2398">
        <v>14</v>
      </c>
      <c r="G2398">
        <v>7</v>
      </c>
      <c r="H2398" t="s">
        <v>7944</v>
      </c>
      <c r="I2398" t="s">
        <v>7945</v>
      </c>
      <c r="J2398" t="s">
        <v>2734</v>
      </c>
    </row>
    <row r="2399" spans="1:10">
      <c r="A2399" t="s">
        <v>7946</v>
      </c>
      <c r="B2399">
        <v>1.0652381415863299</v>
      </c>
      <c r="C2399">
        <v>6.8151079534071703</v>
      </c>
      <c r="D2399">
        <v>0.18947993149652201</v>
      </c>
      <c r="E2399">
        <v>0.73684094279663304</v>
      </c>
      <c r="F2399">
        <v>14</v>
      </c>
      <c r="G2399">
        <v>7</v>
      </c>
      <c r="H2399" t="s">
        <v>7947</v>
      </c>
      <c r="I2399" t="s">
        <v>7948</v>
      </c>
      <c r="J2399" t="s">
        <v>2735</v>
      </c>
    </row>
    <row r="2400" spans="1:10">
      <c r="A2400" t="s">
        <v>7949</v>
      </c>
      <c r="B2400">
        <v>1.0652381415863299</v>
      </c>
      <c r="C2400">
        <v>6.8151079534071703</v>
      </c>
      <c r="D2400">
        <v>0.18947993149652201</v>
      </c>
      <c r="E2400">
        <v>0.73684094279663304</v>
      </c>
      <c r="F2400">
        <v>14</v>
      </c>
      <c r="G2400">
        <v>7</v>
      </c>
      <c r="H2400" t="s">
        <v>28</v>
      </c>
      <c r="I2400" t="s">
        <v>4348</v>
      </c>
      <c r="J2400" t="s">
        <v>2736</v>
      </c>
    </row>
    <row r="2401" spans="1:10">
      <c r="A2401" t="s">
        <v>7950</v>
      </c>
      <c r="B2401">
        <v>0.50412277148898899</v>
      </c>
      <c r="C2401">
        <v>8.5520840695251401</v>
      </c>
      <c r="D2401">
        <v>0.18898889484935799</v>
      </c>
      <c r="E2401">
        <v>0.73684094279663304</v>
      </c>
      <c r="F2401">
        <v>40</v>
      </c>
      <c r="G2401">
        <v>30</v>
      </c>
      <c r="H2401" t="s">
        <v>28</v>
      </c>
      <c r="I2401" t="s">
        <v>7951</v>
      </c>
      <c r="J2401" t="s">
        <v>2737</v>
      </c>
    </row>
    <row r="2402" spans="1:10">
      <c r="A2402" t="s">
        <v>7952</v>
      </c>
      <c r="B2402">
        <v>0.63645557754673598</v>
      </c>
      <c r="C2402">
        <v>7.6322450713931698</v>
      </c>
      <c r="D2402">
        <v>0.18815012510561799</v>
      </c>
      <c r="E2402">
        <v>0.73684094279663304</v>
      </c>
      <c r="F2402">
        <v>22</v>
      </c>
      <c r="G2402">
        <v>15</v>
      </c>
      <c r="H2402" t="s">
        <v>7953</v>
      </c>
      <c r="I2402" t="s">
        <v>7954</v>
      </c>
      <c r="J2402" t="s">
        <v>2738</v>
      </c>
    </row>
    <row r="2403" spans="1:10">
      <c r="A2403" t="s">
        <v>7955</v>
      </c>
      <c r="B2403">
        <v>0.63645557754673598</v>
      </c>
      <c r="C2403">
        <v>7.6322450713931698</v>
      </c>
      <c r="D2403">
        <v>0.18815012510561799</v>
      </c>
      <c r="E2403">
        <v>0.73684094279663304</v>
      </c>
      <c r="F2403">
        <v>22</v>
      </c>
      <c r="G2403">
        <v>15</v>
      </c>
      <c r="H2403" t="s">
        <v>7956</v>
      </c>
      <c r="I2403" t="s">
        <v>7957</v>
      </c>
      <c r="J2403" t="s">
        <v>2739</v>
      </c>
    </row>
    <row r="2404" spans="1:10">
      <c r="A2404" t="s">
        <v>7958</v>
      </c>
      <c r="B2404">
        <v>0.63645557754673598</v>
      </c>
      <c r="C2404">
        <v>7.6322450713931698</v>
      </c>
      <c r="D2404">
        <v>0.18815012510561799</v>
      </c>
      <c r="E2404">
        <v>0.73684094279663304</v>
      </c>
      <c r="F2404">
        <v>22</v>
      </c>
      <c r="G2404">
        <v>15</v>
      </c>
      <c r="H2404" t="s">
        <v>28</v>
      </c>
      <c r="I2404" t="s">
        <v>3438</v>
      </c>
      <c r="J2404" t="s">
        <v>2740</v>
      </c>
    </row>
    <row r="2405" spans="1:10">
      <c r="A2405" t="s">
        <v>7959</v>
      </c>
      <c r="B2405">
        <v>0.63645557754673598</v>
      </c>
      <c r="C2405">
        <v>7.6322450713931698</v>
      </c>
      <c r="D2405">
        <v>0.18815012510561799</v>
      </c>
      <c r="E2405">
        <v>0.73684094279663304</v>
      </c>
      <c r="F2405">
        <v>22</v>
      </c>
      <c r="G2405">
        <v>15</v>
      </c>
      <c r="H2405" t="s">
        <v>7960</v>
      </c>
      <c r="I2405" t="s">
        <v>7961</v>
      </c>
      <c r="J2405" t="s">
        <v>2741</v>
      </c>
    </row>
    <row r="2406" spans="1:10">
      <c r="A2406" t="s">
        <v>7962</v>
      </c>
      <c r="B2406">
        <v>0.36261638790583101</v>
      </c>
      <c r="C2406">
        <v>9.42280986902467</v>
      </c>
      <c r="D2406">
        <v>0.18608541368242901</v>
      </c>
      <c r="E2406">
        <v>0.73684094279663304</v>
      </c>
      <c r="F2406">
        <v>70</v>
      </c>
      <c r="G2406">
        <v>58</v>
      </c>
      <c r="H2406" t="s">
        <v>7963</v>
      </c>
      <c r="I2406" t="s">
        <v>7964</v>
      </c>
      <c r="J2406" t="s">
        <v>2742</v>
      </c>
    </row>
    <row r="2407" spans="1:10">
      <c r="A2407" t="s">
        <v>7965</v>
      </c>
      <c r="B2407">
        <v>-0.23750383668157801</v>
      </c>
      <c r="C2407">
        <v>10.641885502767</v>
      </c>
      <c r="D2407">
        <v>0.185894506092629</v>
      </c>
      <c r="E2407">
        <v>0.73684094279663304</v>
      </c>
      <c r="F2407">
        <v>132</v>
      </c>
      <c r="G2407">
        <v>166</v>
      </c>
      <c r="H2407" t="s">
        <v>7966</v>
      </c>
      <c r="I2407" t="s">
        <v>7967</v>
      </c>
      <c r="J2407" t="s">
        <v>2743</v>
      </c>
    </row>
    <row r="2408" spans="1:10">
      <c r="A2408" t="s">
        <v>7968</v>
      </c>
      <c r="B2408">
        <v>-0.57192744913993199</v>
      </c>
      <c r="C2408">
        <v>8.2556369638045606</v>
      </c>
      <c r="D2408">
        <v>0.18547629406347599</v>
      </c>
      <c r="E2408">
        <v>0.73640958235572596</v>
      </c>
      <c r="F2408">
        <v>22</v>
      </c>
      <c r="G2408">
        <v>35</v>
      </c>
      <c r="H2408" t="s">
        <v>7969</v>
      </c>
      <c r="I2408" t="s">
        <v>7970</v>
      </c>
      <c r="J2408" t="s">
        <v>2744</v>
      </c>
    </row>
    <row r="2409" spans="1:10">
      <c r="A2409" t="s">
        <v>7971</v>
      </c>
      <c r="B2409">
        <v>-0.57192744913993199</v>
      </c>
      <c r="C2409">
        <v>8.2556369638045606</v>
      </c>
      <c r="D2409">
        <v>0.18547629406347599</v>
      </c>
      <c r="E2409">
        <v>0.73640958235572596</v>
      </c>
      <c r="F2409">
        <v>22</v>
      </c>
      <c r="G2409">
        <v>35</v>
      </c>
      <c r="H2409" t="s">
        <v>28</v>
      </c>
      <c r="I2409" t="s">
        <v>3438</v>
      </c>
      <c r="J2409" t="s">
        <v>2745</v>
      </c>
    </row>
    <row r="2410" spans="1:10">
      <c r="A2410" t="s">
        <v>7972</v>
      </c>
      <c r="B2410">
        <v>0.54728333989175504</v>
      </c>
      <c r="C2410">
        <v>8.25568780853839</v>
      </c>
      <c r="D2410">
        <v>0.18547629406347599</v>
      </c>
      <c r="E2410">
        <v>0.73640958235572596</v>
      </c>
      <c r="F2410">
        <v>33</v>
      </c>
      <c r="G2410">
        <v>24</v>
      </c>
      <c r="H2410" t="s">
        <v>7973</v>
      </c>
      <c r="I2410" t="s">
        <v>7974</v>
      </c>
      <c r="J2410" t="s">
        <v>2746</v>
      </c>
    </row>
    <row r="2411" spans="1:10">
      <c r="A2411" t="s">
        <v>7975</v>
      </c>
      <c r="B2411">
        <v>-0.81822732882330595</v>
      </c>
      <c r="C2411">
        <v>7.2807350839231102</v>
      </c>
      <c r="D2411">
        <v>0.18524120174435699</v>
      </c>
      <c r="E2411">
        <v>0.73640958235572596</v>
      </c>
      <c r="F2411">
        <v>10</v>
      </c>
      <c r="G2411">
        <v>19</v>
      </c>
      <c r="H2411" t="s">
        <v>7976</v>
      </c>
      <c r="I2411" t="s">
        <v>7977</v>
      </c>
      <c r="J2411" t="s">
        <v>2747</v>
      </c>
    </row>
    <row r="2412" spans="1:10">
      <c r="A2412" t="s">
        <v>7978</v>
      </c>
      <c r="B2412">
        <v>-0.67016823835269901</v>
      </c>
      <c r="C2412">
        <v>7.9463103866398299</v>
      </c>
      <c r="D2412">
        <v>0.18442922074630899</v>
      </c>
      <c r="E2412">
        <v>0.73588632000016196</v>
      </c>
      <c r="F2412">
        <v>17</v>
      </c>
      <c r="G2412">
        <v>29</v>
      </c>
      <c r="H2412" t="s">
        <v>7979</v>
      </c>
      <c r="I2412" t="s">
        <v>7980</v>
      </c>
      <c r="J2412" t="s">
        <v>2748</v>
      </c>
    </row>
    <row r="2413" spans="1:10">
      <c r="A2413" t="s">
        <v>7981</v>
      </c>
      <c r="B2413">
        <v>-0.67016823835269901</v>
      </c>
      <c r="C2413">
        <v>7.9463103866398299</v>
      </c>
      <c r="D2413">
        <v>0.18442922074630899</v>
      </c>
      <c r="E2413">
        <v>0.73588632000016196</v>
      </c>
      <c r="F2413">
        <v>17</v>
      </c>
      <c r="G2413">
        <v>29</v>
      </c>
      <c r="H2413" t="s">
        <v>7982</v>
      </c>
      <c r="I2413" t="s">
        <v>7983</v>
      </c>
      <c r="J2413" t="s">
        <v>2749</v>
      </c>
    </row>
    <row r="2414" spans="1:10">
      <c r="A2414" t="s">
        <v>7984</v>
      </c>
      <c r="B2414">
        <v>-0.174114972430752</v>
      </c>
      <c r="C2414">
        <v>11.475268701661101</v>
      </c>
      <c r="D2414">
        <v>0.183772908649393</v>
      </c>
      <c r="E2414">
        <v>0.73509163459757298</v>
      </c>
      <c r="F2414">
        <v>241</v>
      </c>
      <c r="G2414">
        <v>290</v>
      </c>
      <c r="H2414" t="s">
        <v>7985</v>
      </c>
      <c r="I2414" t="s">
        <v>7986</v>
      </c>
      <c r="J2414" t="s">
        <v>2750</v>
      </c>
    </row>
    <row r="2415" spans="1:10">
      <c r="A2415" t="s">
        <v>7987</v>
      </c>
      <c r="B2415">
        <v>0.48399092254265702</v>
      </c>
      <c r="C2415">
        <v>8.7626541642635392</v>
      </c>
      <c r="D2415">
        <v>0.18296118584031601</v>
      </c>
      <c r="E2415">
        <v>0.73275613158463004</v>
      </c>
      <c r="F2415">
        <v>46</v>
      </c>
      <c r="G2415">
        <v>35</v>
      </c>
      <c r="H2415" t="s">
        <v>28</v>
      </c>
      <c r="I2415" t="s">
        <v>3438</v>
      </c>
      <c r="J2415" t="s">
        <v>2751</v>
      </c>
    </row>
    <row r="2416" spans="1:10">
      <c r="A2416" t="s">
        <v>7988</v>
      </c>
      <c r="B2416">
        <v>-0.30749934752831698</v>
      </c>
      <c r="C2416">
        <v>9.9225745836640407</v>
      </c>
      <c r="D2416">
        <v>0.182729771981259</v>
      </c>
      <c r="E2416">
        <v>0.73274182879267802</v>
      </c>
      <c r="F2416">
        <v>78</v>
      </c>
      <c r="G2416">
        <v>103</v>
      </c>
      <c r="H2416" t="s">
        <v>7989</v>
      </c>
      <c r="I2416" t="s">
        <v>7990</v>
      </c>
      <c r="J2416" t="s">
        <v>2752</v>
      </c>
    </row>
    <row r="2417" spans="1:10">
      <c r="A2417" t="s">
        <v>7991</v>
      </c>
      <c r="B2417">
        <v>0.35452726950691898</v>
      </c>
      <c r="C2417">
        <v>9.5826845886585303</v>
      </c>
      <c r="D2417">
        <v>0.182256854464384</v>
      </c>
      <c r="E2417">
        <v>0.73175785762479195</v>
      </c>
      <c r="F2417">
        <v>78</v>
      </c>
      <c r="G2417">
        <v>65</v>
      </c>
      <c r="H2417" t="s">
        <v>7992</v>
      </c>
      <c r="I2417" t="s">
        <v>3450</v>
      </c>
      <c r="J2417" t="s">
        <v>2753</v>
      </c>
    </row>
    <row r="2418" spans="1:10">
      <c r="A2418" t="s">
        <v>7993</v>
      </c>
      <c r="B2418">
        <v>-1.6020730827485199</v>
      </c>
      <c r="C2418">
        <v>5.5926868494692696</v>
      </c>
      <c r="D2418">
        <v>0.17978592519580699</v>
      </c>
      <c r="E2418">
        <v>0.72273941928714502</v>
      </c>
      <c r="F2418">
        <v>2</v>
      </c>
      <c r="G2418">
        <v>7</v>
      </c>
      <c r="H2418" t="s">
        <v>28</v>
      </c>
      <c r="I2418" t="s">
        <v>3438</v>
      </c>
      <c r="J2418" t="s">
        <v>2754</v>
      </c>
    </row>
    <row r="2419" spans="1:10">
      <c r="A2419" t="s">
        <v>7994</v>
      </c>
      <c r="B2419">
        <v>-1.6020730827485199</v>
      </c>
      <c r="C2419">
        <v>5.5926868494692696</v>
      </c>
      <c r="D2419">
        <v>0.17978592519580699</v>
      </c>
      <c r="E2419">
        <v>0.72273941928714502</v>
      </c>
      <c r="F2419">
        <v>2</v>
      </c>
      <c r="G2419">
        <v>7</v>
      </c>
      <c r="H2419" t="s">
        <v>28</v>
      </c>
      <c r="I2419" t="s">
        <v>3438</v>
      </c>
      <c r="J2419" t="s">
        <v>2755</v>
      </c>
    </row>
    <row r="2420" spans="1:10">
      <c r="A2420" t="s">
        <v>7995</v>
      </c>
      <c r="B2420">
        <v>-1.6020730827485199</v>
      </c>
      <c r="C2420">
        <v>5.5926868494692696</v>
      </c>
      <c r="D2420">
        <v>0.17978592519580699</v>
      </c>
      <c r="E2420">
        <v>0.72273941928714502</v>
      </c>
      <c r="F2420">
        <v>2</v>
      </c>
      <c r="G2420">
        <v>7</v>
      </c>
      <c r="H2420" t="s">
        <v>28</v>
      </c>
      <c r="I2420" t="s">
        <v>3438</v>
      </c>
      <c r="J2420" t="s">
        <v>2756</v>
      </c>
    </row>
    <row r="2421" spans="1:10">
      <c r="A2421" t="s">
        <v>7996</v>
      </c>
      <c r="B2421">
        <v>-1.6020730827485199</v>
      </c>
      <c r="C2421">
        <v>5.5926868494692696</v>
      </c>
      <c r="D2421">
        <v>0.17978592519580699</v>
      </c>
      <c r="E2421">
        <v>0.72273941928714502</v>
      </c>
      <c r="F2421">
        <v>2</v>
      </c>
      <c r="G2421">
        <v>7</v>
      </c>
      <c r="H2421" t="s">
        <v>97</v>
      </c>
      <c r="I2421" t="s">
        <v>7997</v>
      </c>
      <c r="J2421" t="s">
        <v>98</v>
      </c>
    </row>
    <row r="2422" spans="1:10">
      <c r="A2422" t="s">
        <v>7998</v>
      </c>
      <c r="B2422">
        <v>-1.6020730827485199</v>
      </c>
      <c r="C2422">
        <v>5.5926868494692696</v>
      </c>
      <c r="D2422">
        <v>0.17978592519580699</v>
      </c>
      <c r="E2422">
        <v>0.72273941928714502</v>
      </c>
      <c r="F2422">
        <v>2</v>
      </c>
      <c r="G2422">
        <v>7</v>
      </c>
      <c r="H2422" t="s">
        <v>28</v>
      </c>
      <c r="I2422" t="s">
        <v>3438</v>
      </c>
      <c r="J2422" t="s">
        <v>2757</v>
      </c>
    </row>
    <row r="2423" spans="1:10">
      <c r="A2423" t="s">
        <v>7999</v>
      </c>
      <c r="B2423">
        <v>-1.6020730827485199</v>
      </c>
      <c r="C2423">
        <v>5.5926868494692696</v>
      </c>
      <c r="D2423">
        <v>0.17978592519580699</v>
      </c>
      <c r="E2423">
        <v>0.72273941928714502</v>
      </c>
      <c r="F2423">
        <v>2</v>
      </c>
      <c r="G2423">
        <v>7</v>
      </c>
      <c r="H2423" t="s">
        <v>28</v>
      </c>
      <c r="I2423" t="s">
        <v>3438</v>
      </c>
      <c r="J2423" t="s">
        <v>2758</v>
      </c>
    </row>
    <row r="2424" spans="1:10">
      <c r="A2424" t="s">
        <v>8000</v>
      </c>
      <c r="B2424">
        <v>-1.6020730827485199</v>
      </c>
      <c r="C2424">
        <v>5.5926868494692696</v>
      </c>
      <c r="D2424">
        <v>0.17978592519580699</v>
      </c>
      <c r="E2424">
        <v>0.72273941928714502</v>
      </c>
      <c r="F2424">
        <v>2</v>
      </c>
      <c r="G2424">
        <v>7</v>
      </c>
      <c r="H2424" t="s">
        <v>28</v>
      </c>
      <c r="I2424" t="s">
        <v>3438</v>
      </c>
      <c r="J2424" t="s">
        <v>2759</v>
      </c>
    </row>
    <row r="2425" spans="1:10">
      <c r="A2425" t="s">
        <v>8001</v>
      </c>
      <c r="B2425">
        <v>1.7740555210358799</v>
      </c>
      <c r="C2425">
        <v>5.59271001611401</v>
      </c>
      <c r="D2425">
        <v>0.17978592519580699</v>
      </c>
      <c r="E2425">
        <v>0.72273941928714502</v>
      </c>
      <c r="F2425">
        <v>7</v>
      </c>
      <c r="G2425">
        <v>2</v>
      </c>
      <c r="H2425" t="s">
        <v>8002</v>
      </c>
      <c r="I2425" t="s">
        <v>3687</v>
      </c>
      <c r="J2425" t="s">
        <v>2760</v>
      </c>
    </row>
    <row r="2426" spans="1:10">
      <c r="A2426" t="s">
        <v>8003</v>
      </c>
      <c r="B2426">
        <v>-1.1812084859638401</v>
      </c>
      <c r="C2426">
        <v>6.2301148288205299</v>
      </c>
      <c r="D2426">
        <v>0.17971813961944899</v>
      </c>
      <c r="E2426">
        <v>0.72273941928714502</v>
      </c>
      <c r="F2426">
        <v>4</v>
      </c>
      <c r="G2426">
        <v>10</v>
      </c>
      <c r="H2426" t="s">
        <v>28</v>
      </c>
      <c r="I2426" t="s">
        <v>3631</v>
      </c>
      <c r="J2426" t="s">
        <v>2761</v>
      </c>
    </row>
    <row r="2427" spans="1:10">
      <c r="A2427" t="s">
        <v>8004</v>
      </c>
      <c r="B2427">
        <v>-1.1812084859638401</v>
      </c>
      <c r="C2427">
        <v>6.2301148288205299</v>
      </c>
      <c r="D2427">
        <v>0.17971813961944899</v>
      </c>
      <c r="E2427">
        <v>0.72273941928714502</v>
      </c>
      <c r="F2427">
        <v>4</v>
      </c>
      <c r="G2427">
        <v>10</v>
      </c>
      <c r="H2427" t="s">
        <v>28</v>
      </c>
      <c r="I2427" t="s">
        <v>3657</v>
      </c>
      <c r="J2427" t="s">
        <v>2762</v>
      </c>
    </row>
    <row r="2428" spans="1:10">
      <c r="A2428" t="s">
        <v>8005</v>
      </c>
      <c r="B2428">
        <v>-1.1812084859638401</v>
      </c>
      <c r="C2428">
        <v>6.2301148288205299</v>
      </c>
      <c r="D2428">
        <v>0.17971813961944899</v>
      </c>
      <c r="E2428">
        <v>0.72273941928714502</v>
      </c>
      <c r="F2428">
        <v>4</v>
      </c>
      <c r="G2428">
        <v>10</v>
      </c>
      <c r="H2428" t="s">
        <v>8006</v>
      </c>
      <c r="I2428" t="s">
        <v>8007</v>
      </c>
      <c r="J2428" t="s">
        <v>2763</v>
      </c>
    </row>
    <row r="2429" spans="1:10">
      <c r="A2429" t="s">
        <v>8008</v>
      </c>
      <c r="B2429">
        <v>-1.1812084859638401</v>
      </c>
      <c r="C2429">
        <v>6.2301148288205299</v>
      </c>
      <c r="D2429">
        <v>0.17971813961944899</v>
      </c>
      <c r="E2429">
        <v>0.72273941928714502</v>
      </c>
      <c r="F2429">
        <v>4</v>
      </c>
      <c r="G2429">
        <v>10</v>
      </c>
      <c r="H2429" t="s">
        <v>28</v>
      </c>
      <c r="I2429" t="s">
        <v>3438</v>
      </c>
      <c r="J2429" t="s">
        <v>2764</v>
      </c>
    </row>
    <row r="2430" spans="1:10">
      <c r="A2430" t="s">
        <v>8009</v>
      </c>
      <c r="B2430">
        <v>-1.1812084859638401</v>
      </c>
      <c r="C2430">
        <v>6.2301148288205299</v>
      </c>
      <c r="D2430">
        <v>0.17971813961944899</v>
      </c>
      <c r="E2430">
        <v>0.72273941928714502</v>
      </c>
      <c r="F2430">
        <v>4</v>
      </c>
      <c r="G2430">
        <v>10</v>
      </c>
      <c r="H2430" t="s">
        <v>28</v>
      </c>
      <c r="I2430" t="s">
        <v>3438</v>
      </c>
      <c r="J2430" t="s">
        <v>2765</v>
      </c>
    </row>
    <row r="2431" spans="1:10">
      <c r="A2431" t="s">
        <v>8010</v>
      </c>
      <c r="B2431">
        <v>-1.1812084859638401</v>
      </c>
      <c r="C2431">
        <v>6.2301148288205299</v>
      </c>
      <c r="D2431">
        <v>0.17971813961944899</v>
      </c>
      <c r="E2431">
        <v>0.72273941928714502</v>
      </c>
      <c r="F2431">
        <v>4</v>
      </c>
      <c r="G2431">
        <v>10</v>
      </c>
      <c r="H2431" t="s">
        <v>28</v>
      </c>
      <c r="I2431" t="s">
        <v>3438</v>
      </c>
      <c r="J2431" t="s">
        <v>37</v>
      </c>
    </row>
    <row r="2432" spans="1:10">
      <c r="A2432" t="s">
        <v>8011</v>
      </c>
      <c r="B2432">
        <v>1.35897410829865</v>
      </c>
      <c r="C2432">
        <v>6.2301426218631804</v>
      </c>
      <c r="D2432">
        <v>0.17971813961944899</v>
      </c>
      <c r="E2432">
        <v>0.72273941928714502</v>
      </c>
      <c r="F2432">
        <v>10</v>
      </c>
      <c r="G2432">
        <v>4</v>
      </c>
      <c r="H2432" t="s">
        <v>28</v>
      </c>
      <c r="I2432" t="s">
        <v>8012</v>
      </c>
      <c r="J2432" t="s">
        <v>2766</v>
      </c>
    </row>
    <row r="2433" spans="1:10">
      <c r="A2433" t="s">
        <v>8013</v>
      </c>
      <c r="B2433">
        <v>1.35897410829865</v>
      </c>
      <c r="C2433">
        <v>6.2301426218631804</v>
      </c>
      <c r="D2433">
        <v>0.17971813961944899</v>
      </c>
      <c r="E2433">
        <v>0.72273941928714502</v>
      </c>
      <c r="F2433">
        <v>10</v>
      </c>
      <c r="G2433">
        <v>4</v>
      </c>
      <c r="H2433" t="s">
        <v>8014</v>
      </c>
      <c r="I2433" t="s">
        <v>3687</v>
      </c>
      <c r="J2433" t="s">
        <v>2767</v>
      </c>
    </row>
    <row r="2434" spans="1:10">
      <c r="A2434" t="s">
        <v>8015</v>
      </c>
      <c r="B2434">
        <v>-0.266247398235262</v>
      </c>
      <c r="C2434">
        <v>10.3415851049241</v>
      </c>
      <c r="D2434">
        <v>0.17952628117114999</v>
      </c>
      <c r="E2434">
        <v>0.72273941928714502</v>
      </c>
      <c r="F2434">
        <v>106</v>
      </c>
      <c r="G2434">
        <v>136</v>
      </c>
      <c r="H2434" t="s">
        <v>28</v>
      </c>
      <c r="I2434" t="s">
        <v>3438</v>
      </c>
      <c r="J2434" t="s">
        <v>2768</v>
      </c>
    </row>
    <row r="2435" spans="1:10">
      <c r="A2435" t="s">
        <v>8016</v>
      </c>
      <c r="B2435">
        <v>-0.59678478974979199</v>
      </c>
      <c r="C2435">
        <v>8.2041065120670904</v>
      </c>
      <c r="D2435">
        <v>0.17759663623539201</v>
      </c>
      <c r="E2435">
        <v>0.72273941928714502</v>
      </c>
      <c r="F2435">
        <v>21</v>
      </c>
      <c r="G2435">
        <v>34</v>
      </c>
      <c r="H2435" t="s">
        <v>8017</v>
      </c>
      <c r="I2435" t="s">
        <v>8018</v>
      </c>
      <c r="J2435" t="s">
        <v>2769</v>
      </c>
    </row>
    <row r="2436" spans="1:10">
      <c r="A2436" t="s">
        <v>8019</v>
      </c>
      <c r="B2436">
        <v>-0.45887967268518298</v>
      </c>
      <c r="C2436">
        <v>8.7265247407981406</v>
      </c>
      <c r="D2436">
        <v>0.17746448271205301</v>
      </c>
      <c r="E2436">
        <v>0.72273941928714502</v>
      </c>
      <c r="F2436">
        <v>32</v>
      </c>
      <c r="G2436">
        <v>47</v>
      </c>
      <c r="H2436" t="s">
        <v>8020</v>
      </c>
      <c r="I2436" t="s">
        <v>8021</v>
      </c>
      <c r="J2436" t="s">
        <v>2770</v>
      </c>
    </row>
    <row r="2437" spans="1:10">
      <c r="A2437" t="s">
        <v>8022</v>
      </c>
      <c r="B2437">
        <v>0.49395948388545602</v>
      </c>
      <c r="C2437">
        <v>8.7265847643260503</v>
      </c>
      <c r="D2437">
        <v>0.17746448271205301</v>
      </c>
      <c r="E2437">
        <v>0.72273941928714502</v>
      </c>
      <c r="F2437">
        <v>45</v>
      </c>
      <c r="G2437">
        <v>34</v>
      </c>
      <c r="H2437" t="s">
        <v>8023</v>
      </c>
      <c r="I2437" t="s">
        <v>8024</v>
      </c>
      <c r="J2437" t="s">
        <v>2771</v>
      </c>
    </row>
    <row r="2438" spans="1:10">
      <c r="A2438" t="s">
        <v>8025</v>
      </c>
      <c r="B2438">
        <v>-0.42309302820044697</v>
      </c>
      <c r="C2438">
        <v>9.1642038716942693</v>
      </c>
      <c r="D2438">
        <v>0.17679411185775301</v>
      </c>
      <c r="E2438">
        <v>0.72273941928714502</v>
      </c>
      <c r="F2438">
        <v>44</v>
      </c>
      <c r="G2438">
        <v>63</v>
      </c>
      <c r="H2438" t="s">
        <v>8026</v>
      </c>
      <c r="I2438" t="s">
        <v>8027</v>
      </c>
      <c r="J2438" t="s">
        <v>2772</v>
      </c>
    </row>
    <row r="2439" spans="1:10">
      <c r="A2439" t="s">
        <v>8028</v>
      </c>
      <c r="B2439">
        <v>-0.71987145852946499</v>
      </c>
      <c r="C2439">
        <v>7.5926773035769397</v>
      </c>
      <c r="D2439">
        <v>0.17584317029071</v>
      </c>
      <c r="E2439">
        <v>0.72273941928714502</v>
      </c>
      <c r="F2439">
        <v>13</v>
      </c>
      <c r="G2439">
        <v>23</v>
      </c>
      <c r="H2439" t="s">
        <v>8029</v>
      </c>
      <c r="I2439" t="s">
        <v>8030</v>
      </c>
      <c r="J2439" t="s">
        <v>2773</v>
      </c>
    </row>
    <row r="2440" spans="1:10">
      <c r="A2440" t="s">
        <v>8031</v>
      </c>
      <c r="B2440">
        <v>0.77279080945948497</v>
      </c>
      <c r="C2440">
        <v>7.5102566406265696</v>
      </c>
      <c r="D2440">
        <v>0.17584317029071</v>
      </c>
      <c r="E2440">
        <v>0.72273941928714502</v>
      </c>
      <c r="F2440">
        <v>21</v>
      </c>
      <c r="G2440">
        <v>13</v>
      </c>
      <c r="H2440" t="s">
        <v>8032</v>
      </c>
      <c r="I2440" t="s">
        <v>8033</v>
      </c>
      <c r="J2440" t="s">
        <v>2774</v>
      </c>
    </row>
    <row r="2441" spans="1:10">
      <c r="A2441" t="s">
        <v>8034</v>
      </c>
      <c r="B2441">
        <v>0.77279080945948497</v>
      </c>
      <c r="C2441">
        <v>7.5102566406265696</v>
      </c>
      <c r="D2441">
        <v>0.17584317029071</v>
      </c>
      <c r="E2441">
        <v>0.72273941928714502</v>
      </c>
      <c r="F2441">
        <v>21</v>
      </c>
      <c r="G2441">
        <v>13</v>
      </c>
      <c r="H2441" t="s">
        <v>8035</v>
      </c>
      <c r="I2441" t="s">
        <v>8036</v>
      </c>
      <c r="J2441" t="s">
        <v>2775</v>
      </c>
    </row>
    <row r="2442" spans="1:10">
      <c r="A2442" t="s">
        <v>8037</v>
      </c>
      <c r="B2442">
        <v>-0.38298666772437301</v>
      </c>
      <c r="C2442">
        <v>9.3534730561939305</v>
      </c>
      <c r="D2442">
        <v>0.17551699517989899</v>
      </c>
      <c r="E2442">
        <v>0.72273941928714502</v>
      </c>
      <c r="F2442">
        <v>51</v>
      </c>
      <c r="G2442">
        <v>71</v>
      </c>
      <c r="H2442" t="s">
        <v>28</v>
      </c>
      <c r="I2442" t="s">
        <v>4945</v>
      </c>
      <c r="J2442" t="s">
        <v>2776</v>
      </c>
    </row>
    <row r="2443" spans="1:10">
      <c r="A2443" t="s">
        <v>8038</v>
      </c>
      <c r="B2443">
        <v>0.616084689602302</v>
      </c>
      <c r="C2443">
        <v>7.8822261505895801</v>
      </c>
      <c r="D2443">
        <v>0.17464487956935101</v>
      </c>
      <c r="E2443">
        <v>0.72273941928714502</v>
      </c>
      <c r="F2443">
        <v>26</v>
      </c>
      <c r="G2443">
        <v>18</v>
      </c>
      <c r="H2443" t="s">
        <v>8039</v>
      </c>
      <c r="I2443" t="s">
        <v>8040</v>
      </c>
      <c r="J2443" t="s">
        <v>2777</v>
      </c>
    </row>
    <row r="2444" spans="1:10">
      <c r="A2444" t="s">
        <v>8041</v>
      </c>
      <c r="B2444">
        <v>-0.39103010276567002</v>
      </c>
      <c r="C2444">
        <v>9.3296261625157495</v>
      </c>
      <c r="D2444">
        <v>0.17192615691092999</v>
      </c>
      <c r="E2444">
        <v>0.714359845769446</v>
      </c>
      <c r="F2444">
        <v>50</v>
      </c>
      <c r="G2444">
        <v>70</v>
      </c>
      <c r="H2444" t="s">
        <v>174</v>
      </c>
      <c r="I2444" t="s">
        <v>8042</v>
      </c>
      <c r="J2444" t="s">
        <v>173</v>
      </c>
    </row>
    <row r="2445" spans="1:10">
      <c r="A2445" t="s">
        <v>8043</v>
      </c>
      <c r="B2445">
        <v>-0.39103010276567002</v>
      </c>
      <c r="C2445">
        <v>9.3296261625157495</v>
      </c>
      <c r="D2445">
        <v>0.17192615691092999</v>
      </c>
      <c r="E2445">
        <v>0.714359845769446</v>
      </c>
      <c r="F2445">
        <v>50</v>
      </c>
      <c r="G2445">
        <v>70</v>
      </c>
      <c r="H2445" t="s">
        <v>28</v>
      </c>
      <c r="I2445" t="s">
        <v>8044</v>
      </c>
      <c r="J2445" t="s">
        <v>2778</v>
      </c>
    </row>
    <row r="2446" spans="1:10">
      <c r="A2446" t="s">
        <v>8045</v>
      </c>
      <c r="B2446">
        <v>-0.47347848334535497</v>
      </c>
      <c r="C2446">
        <v>8.6895303820900001</v>
      </c>
      <c r="D2446">
        <v>0.17188420011219599</v>
      </c>
      <c r="E2446">
        <v>0.714359845769446</v>
      </c>
      <c r="F2446">
        <v>31</v>
      </c>
      <c r="G2446">
        <v>46</v>
      </c>
      <c r="H2446" t="s">
        <v>8046</v>
      </c>
      <c r="I2446" t="s">
        <v>8047</v>
      </c>
      <c r="J2446" t="s">
        <v>2779</v>
      </c>
    </row>
    <row r="2447" spans="1:10">
      <c r="A2447" t="s">
        <v>8048</v>
      </c>
      <c r="B2447">
        <v>-0.45016733050862201</v>
      </c>
      <c r="C2447">
        <v>8.9305349252041193</v>
      </c>
      <c r="D2447">
        <v>0.17120276980322799</v>
      </c>
      <c r="E2447">
        <v>0.71412205925704197</v>
      </c>
      <c r="F2447">
        <v>37</v>
      </c>
      <c r="G2447">
        <v>54</v>
      </c>
      <c r="H2447" t="s">
        <v>28</v>
      </c>
      <c r="I2447" t="s">
        <v>3438</v>
      </c>
      <c r="J2447" t="s">
        <v>2780</v>
      </c>
    </row>
    <row r="2448" spans="1:10">
      <c r="A2448" t="s">
        <v>8049</v>
      </c>
      <c r="B2448">
        <v>0.448645201517825</v>
      </c>
      <c r="C2448">
        <v>8.8985381729764494</v>
      </c>
      <c r="D2448">
        <v>0.17120276980322799</v>
      </c>
      <c r="E2448">
        <v>0.71412205925704197</v>
      </c>
      <c r="F2448">
        <v>50</v>
      </c>
      <c r="G2448">
        <v>39</v>
      </c>
      <c r="H2448" t="s">
        <v>28</v>
      </c>
      <c r="I2448" t="s">
        <v>3631</v>
      </c>
      <c r="J2448" t="s">
        <v>2781</v>
      </c>
    </row>
    <row r="2449" spans="1:10">
      <c r="A2449" t="s">
        <v>8050</v>
      </c>
      <c r="B2449">
        <v>0.448645201517825</v>
      </c>
      <c r="C2449">
        <v>8.8985381729764494</v>
      </c>
      <c r="D2449">
        <v>0.17120276980322799</v>
      </c>
      <c r="E2449">
        <v>0.71412205925704197</v>
      </c>
      <c r="F2449">
        <v>50</v>
      </c>
      <c r="G2449">
        <v>39</v>
      </c>
      <c r="H2449" t="s">
        <v>28</v>
      </c>
      <c r="I2449" t="s">
        <v>3438</v>
      </c>
      <c r="J2449" t="s">
        <v>2782</v>
      </c>
    </row>
    <row r="2450" spans="1:10">
      <c r="A2450" t="s">
        <v>8051</v>
      </c>
      <c r="B2450">
        <v>-0.33116469228094902</v>
      </c>
      <c r="C2450">
        <v>9.8405804512899895</v>
      </c>
      <c r="D2450">
        <v>0.17029951753031899</v>
      </c>
      <c r="E2450">
        <v>0.71312922965821102</v>
      </c>
      <c r="F2450">
        <v>73</v>
      </c>
      <c r="G2450">
        <v>98</v>
      </c>
      <c r="H2450" t="s">
        <v>8052</v>
      </c>
      <c r="I2450" t="s">
        <v>8053</v>
      </c>
      <c r="J2450" t="s">
        <v>2783</v>
      </c>
    </row>
    <row r="2451" spans="1:10">
      <c r="A2451" t="s">
        <v>8054</v>
      </c>
      <c r="B2451">
        <v>0.58189934858259895</v>
      </c>
      <c r="C2451">
        <v>8.1507179568331907</v>
      </c>
      <c r="D2451">
        <v>0.16954227011722001</v>
      </c>
      <c r="E2451">
        <v>0.71088388617598297</v>
      </c>
      <c r="F2451">
        <v>31</v>
      </c>
      <c r="G2451">
        <v>22</v>
      </c>
      <c r="H2451" t="s">
        <v>8055</v>
      </c>
      <c r="I2451" t="s">
        <v>8056</v>
      </c>
      <c r="J2451" t="s">
        <v>2784</v>
      </c>
    </row>
    <row r="2452" spans="1:10">
      <c r="A2452" t="s">
        <v>8057</v>
      </c>
      <c r="B2452">
        <v>-0.54442339554318497</v>
      </c>
      <c r="C2452">
        <v>8.4227451679664807</v>
      </c>
      <c r="D2452">
        <v>0.169323874792007</v>
      </c>
      <c r="E2452">
        <v>0.71088388617598297</v>
      </c>
      <c r="F2452">
        <v>25</v>
      </c>
      <c r="G2452">
        <v>39</v>
      </c>
      <c r="H2452" t="s">
        <v>28</v>
      </c>
      <c r="I2452" t="s">
        <v>3491</v>
      </c>
      <c r="J2452" t="s">
        <v>2785</v>
      </c>
    </row>
    <row r="2453" spans="1:10">
      <c r="A2453" t="s">
        <v>8058</v>
      </c>
      <c r="B2453">
        <v>-0.88951928497416599</v>
      </c>
      <c r="C2453">
        <v>7.1776414403620397</v>
      </c>
      <c r="D2453">
        <v>0.16891447552139999</v>
      </c>
      <c r="E2453">
        <v>0.71010320689780804</v>
      </c>
      <c r="F2453">
        <v>9</v>
      </c>
      <c r="G2453">
        <v>18</v>
      </c>
      <c r="H2453" t="s">
        <v>8059</v>
      </c>
      <c r="I2453" t="s">
        <v>8060</v>
      </c>
      <c r="J2453" t="s">
        <v>2786</v>
      </c>
    </row>
    <row r="2454" spans="1:10">
      <c r="A2454" t="s">
        <v>8061</v>
      </c>
      <c r="B2454">
        <v>-0.88951928497416599</v>
      </c>
      <c r="C2454">
        <v>7.1776414403620397</v>
      </c>
      <c r="D2454">
        <v>0.16891447552139999</v>
      </c>
      <c r="E2454">
        <v>0.71010320689780804</v>
      </c>
      <c r="F2454">
        <v>9</v>
      </c>
      <c r="G2454">
        <v>18</v>
      </c>
      <c r="H2454" t="s">
        <v>28</v>
      </c>
      <c r="I2454" t="s">
        <v>6703</v>
      </c>
      <c r="J2454" t="s">
        <v>2787</v>
      </c>
    </row>
    <row r="2455" spans="1:10">
      <c r="A2455" t="s">
        <v>8062</v>
      </c>
      <c r="B2455">
        <v>-0.80825597708448804</v>
      </c>
      <c r="C2455">
        <v>7.1231958957003298</v>
      </c>
      <c r="D2455">
        <v>0.16891447552139999</v>
      </c>
      <c r="E2455">
        <v>0.71010320689780804</v>
      </c>
      <c r="F2455">
        <v>9</v>
      </c>
      <c r="G2455">
        <v>17</v>
      </c>
      <c r="H2455" t="s">
        <v>28</v>
      </c>
      <c r="I2455" t="s">
        <v>3438</v>
      </c>
      <c r="J2455" t="s">
        <v>2788</v>
      </c>
    </row>
    <row r="2456" spans="1:10">
      <c r="A2456" t="s">
        <v>8063</v>
      </c>
      <c r="B2456">
        <v>-0.80825597708448804</v>
      </c>
      <c r="C2456">
        <v>7.1231958957003298</v>
      </c>
      <c r="D2456">
        <v>0.16891447552139999</v>
      </c>
      <c r="E2456">
        <v>0.71010320689780804</v>
      </c>
      <c r="F2456">
        <v>9</v>
      </c>
      <c r="G2456">
        <v>17</v>
      </c>
      <c r="H2456" t="s">
        <v>28</v>
      </c>
      <c r="I2456" t="s">
        <v>8064</v>
      </c>
      <c r="J2456" t="s">
        <v>2789</v>
      </c>
    </row>
    <row r="2457" spans="1:10">
      <c r="A2457" t="s">
        <v>8065</v>
      </c>
      <c r="B2457">
        <v>-0.80825597708448804</v>
      </c>
      <c r="C2457">
        <v>7.1231958957003298</v>
      </c>
      <c r="D2457">
        <v>0.16891447552139999</v>
      </c>
      <c r="E2457">
        <v>0.71010320689780804</v>
      </c>
      <c r="F2457">
        <v>9</v>
      </c>
      <c r="G2457">
        <v>17</v>
      </c>
      <c r="H2457" t="s">
        <v>8066</v>
      </c>
      <c r="I2457" t="s">
        <v>8067</v>
      </c>
      <c r="J2457" t="s">
        <v>2790</v>
      </c>
    </row>
    <row r="2458" spans="1:10">
      <c r="A2458" t="s">
        <v>8068</v>
      </c>
      <c r="B2458">
        <v>-0.80825597708448804</v>
      </c>
      <c r="C2458">
        <v>7.1231958957003298</v>
      </c>
      <c r="D2458">
        <v>0.16891447552139999</v>
      </c>
      <c r="E2458">
        <v>0.71010320689780804</v>
      </c>
      <c r="F2458">
        <v>9</v>
      </c>
      <c r="G2458">
        <v>17</v>
      </c>
      <c r="H2458" t="s">
        <v>8069</v>
      </c>
      <c r="I2458" t="s">
        <v>8070</v>
      </c>
      <c r="J2458" t="s">
        <v>2791</v>
      </c>
    </row>
    <row r="2459" spans="1:10">
      <c r="A2459" t="s">
        <v>8071</v>
      </c>
      <c r="B2459">
        <v>0.98988698031105504</v>
      </c>
      <c r="C2459">
        <v>7.12323293093052</v>
      </c>
      <c r="D2459">
        <v>0.16891447552139999</v>
      </c>
      <c r="E2459">
        <v>0.71010320689780804</v>
      </c>
      <c r="F2459">
        <v>17</v>
      </c>
      <c r="G2459">
        <v>9</v>
      </c>
      <c r="H2459" t="s">
        <v>28</v>
      </c>
      <c r="I2459" t="s">
        <v>3438</v>
      </c>
      <c r="J2459" t="s">
        <v>248</v>
      </c>
    </row>
    <row r="2460" spans="1:10">
      <c r="A2460" t="s">
        <v>8072</v>
      </c>
      <c r="B2460">
        <v>-0.994053847851599</v>
      </c>
      <c r="C2460">
        <v>6.6706854799137396</v>
      </c>
      <c r="D2460">
        <v>0.16727025670151</v>
      </c>
      <c r="E2460">
        <v>0.70968488859110501</v>
      </c>
      <c r="F2460">
        <v>6</v>
      </c>
      <c r="G2460">
        <v>13</v>
      </c>
      <c r="H2460" t="s">
        <v>8073</v>
      </c>
      <c r="I2460" t="s">
        <v>8074</v>
      </c>
      <c r="J2460" t="s">
        <v>2792</v>
      </c>
    </row>
    <row r="2461" spans="1:10">
      <c r="A2461" t="s">
        <v>8075</v>
      </c>
      <c r="B2461">
        <v>-0.994053847851599</v>
      </c>
      <c r="C2461">
        <v>6.6706854799137396</v>
      </c>
      <c r="D2461">
        <v>0.16727025670151</v>
      </c>
      <c r="E2461">
        <v>0.70968488859110501</v>
      </c>
      <c r="F2461">
        <v>6</v>
      </c>
      <c r="G2461">
        <v>13</v>
      </c>
      <c r="H2461" t="s">
        <v>28</v>
      </c>
      <c r="I2461" t="s">
        <v>3438</v>
      </c>
      <c r="J2461" t="s">
        <v>2793</v>
      </c>
    </row>
    <row r="2462" spans="1:10">
      <c r="A2462" t="s">
        <v>8076</v>
      </c>
      <c r="B2462">
        <v>-0.994053847851599</v>
      </c>
      <c r="C2462">
        <v>6.6706854799137396</v>
      </c>
      <c r="D2462">
        <v>0.16727025670151</v>
      </c>
      <c r="E2462">
        <v>0.70968488859110501</v>
      </c>
      <c r="F2462">
        <v>6</v>
      </c>
      <c r="G2462">
        <v>13</v>
      </c>
      <c r="H2462" t="s">
        <v>28</v>
      </c>
      <c r="I2462" t="s">
        <v>3438</v>
      </c>
      <c r="J2462" t="s">
        <v>2794</v>
      </c>
    </row>
    <row r="2463" spans="1:10">
      <c r="A2463" t="s">
        <v>8077</v>
      </c>
      <c r="B2463">
        <v>-0.994053847851599</v>
      </c>
      <c r="C2463">
        <v>6.6706854799137396</v>
      </c>
      <c r="D2463">
        <v>0.16727025670151</v>
      </c>
      <c r="E2463">
        <v>0.70968488859110501</v>
      </c>
      <c r="F2463">
        <v>6</v>
      </c>
      <c r="G2463">
        <v>13</v>
      </c>
      <c r="H2463" t="s">
        <v>28</v>
      </c>
      <c r="I2463" t="s">
        <v>3438</v>
      </c>
      <c r="J2463" t="s">
        <v>2795</v>
      </c>
    </row>
    <row r="2464" spans="1:10">
      <c r="A2464" t="s">
        <v>8078</v>
      </c>
      <c r="B2464">
        <v>1.1740765345017301</v>
      </c>
      <c r="C2464">
        <v>6.6707178970481502</v>
      </c>
      <c r="D2464">
        <v>0.16727025670151</v>
      </c>
      <c r="E2464">
        <v>0.70968488859110501</v>
      </c>
      <c r="F2464">
        <v>13</v>
      </c>
      <c r="G2464">
        <v>6</v>
      </c>
      <c r="H2464" t="s">
        <v>28</v>
      </c>
      <c r="I2464" t="s">
        <v>8079</v>
      </c>
      <c r="J2464" t="s">
        <v>2796</v>
      </c>
    </row>
    <row r="2465" spans="1:10">
      <c r="A2465" t="s">
        <v>8080</v>
      </c>
      <c r="B2465">
        <v>1.1740765345017301</v>
      </c>
      <c r="C2465">
        <v>6.6707178970481502</v>
      </c>
      <c r="D2465">
        <v>0.16727025670151</v>
      </c>
      <c r="E2465">
        <v>0.70968488859110501</v>
      </c>
      <c r="F2465">
        <v>13</v>
      </c>
      <c r="G2465">
        <v>6</v>
      </c>
      <c r="H2465" t="s">
        <v>8081</v>
      </c>
      <c r="I2465" t="s">
        <v>3599</v>
      </c>
      <c r="J2465" t="s">
        <v>2797</v>
      </c>
    </row>
    <row r="2466" spans="1:10">
      <c r="A2466" t="s">
        <v>8082</v>
      </c>
      <c r="B2466">
        <v>0.37425709045340699</v>
      </c>
      <c r="C2466">
        <v>9.4780949676836901</v>
      </c>
      <c r="D2466">
        <v>0.16648619182830701</v>
      </c>
      <c r="E2466">
        <v>0.70968488859110501</v>
      </c>
      <c r="F2466">
        <v>73</v>
      </c>
      <c r="G2466">
        <v>60</v>
      </c>
      <c r="H2466" t="s">
        <v>8083</v>
      </c>
      <c r="I2466" t="s">
        <v>8084</v>
      </c>
      <c r="J2466" t="s">
        <v>2798</v>
      </c>
    </row>
    <row r="2467" spans="1:10">
      <c r="A2467" t="s">
        <v>8085</v>
      </c>
      <c r="B2467">
        <v>-0.27728682630004697</v>
      </c>
      <c r="C2467">
        <v>10.2492715044171</v>
      </c>
      <c r="D2467">
        <v>0.164662914846367</v>
      </c>
      <c r="E2467">
        <v>0.70513439966167502</v>
      </c>
      <c r="F2467">
        <v>99</v>
      </c>
      <c r="G2467">
        <v>128</v>
      </c>
      <c r="H2467" t="s">
        <v>8086</v>
      </c>
      <c r="I2467" t="s">
        <v>8087</v>
      </c>
      <c r="J2467" t="s">
        <v>2799</v>
      </c>
    </row>
    <row r="2468" spans="1:10">
      <c r="A2468" t="s">
        <v>8088</v>
      </c>
      <c r="B2468">
        <v>0.39060338068758199</v>
      </c>
      <c r="C2468">
        <v>9.2807899977719295</v>
      </c>
      <c r="D2468">
        <v>0.16464247437502</v>
      </c>
      <c r="E2468">
        <v>0.70513439966167502</v>
      </c>
      <c r="F2468">
        <v>64</v>
      </c>
      <c r="G2468">
        <v>52</v>
      </c>
      <c r="H2468" t="s">
        <v>28</v>
      </c>
      <c r="I2468" t="s">
        <v>3438</v>
      </c>
      <c r="J2468" t="s">
        <v>2800</v>
      </c>
    </row>
    <row r="2469" spans="1:10">
      <c r="A2469" t="s">
        <v>8089</v>
      </c>
      <c r="B2469">
        <v>0.37856657011244099</v>
      </c>
      <c r="C2469">
        <v>9.4562353896947506</v>
      </c>
      <c r="D2469">
        <v>0.163253426995704</v>
      </c>
      <c r="E2469">
        <v>0.70096531537808204</v>
      </c>
      <c r="F2469">
        <v>72</v>
      </c>
      <c r="G2469">
        <v>59</v>
      </c>
      <c r="H2469" t="s">
        <v>8090</v>
      </c>
      <c r="I2469" t="s">
        <v>8091</v>
      </c>
      <c r="J2469" t="s">
        <v>2801</v>
      </c>
    </row>
    <row r="2470" spans="1:10">
      <c r="A2470" t="s">
        <v>8092</v>
      </c>
      <c r="B2470">
        <v>-0.56551577921701601</v>
      </c>
      <c r="C2470">
        <v>8.3769413271313908</v>
      </c>
      <c r="D2470">
        <v>0.16253134186253401</v>
      </c>
      <c r="E2470">
        <v>0.69879785485282198</v>
      </c>
      <c r="F2470">
        <v>24</v>
      </c>
      <c r="G2470">
        <v>38</v>
      </c>
      <c r="H2470" t="s">
        <v>28</v>
      </c>
      <c r="I2470" t="s">
        <v>3438</v>
      </c>
      <c r="J2470" t="s">
        <v>2802</v>
      </c>
    </row>
    <row r="2471" spans="1:10">
      <c r="A2471" t="s">
        <v>8093</v>
      </c>
      <c r="B2471">
        <v>-0.56551577921701601</v>
      </c>
      <c r="C2471">
        <v>8.3769413271313908</v>
      </c>
      <c r="D2471">
        <v>0.16253134186253401</v>
      </c>
      <c r="E2471">
        <v>0.69879785485282198</v>
      </c>
      <c r="F2471">
        <v>24</v>
      </c>
      <c r="G2471">
        <v>38</v>
      </c>
      <c r="H2471" t="s">
        <v>8094</v>
      </c>
      <c r="I2471" t="s">
        <v>8095</v>
      </c>
      <c r="J2471" t="s">
        <v>2803</v>
      </c>
    </row>
    <row r="2472" spans="1:10">
      <c r="A2472" t="s">
        <v>8096</v>
      </c>
      <c r="B2472">
        <v>0.55764256732464301</v>
      </c>
      <c r="C2472">
        <v>8.3769967803182794</v>
      </c>
      <c r="D2472">
        <v>0.16253134186253401</v>
      </c>
      <c r="E2472">
        <v>0.69879785485282198</v>
      </c>
      <c r="F2472">
        <v>36</v>
      </c>
      <c r="G2472">
        <v>26</v>
      </c>
      <c r="H2472" t="s">
        <v>8097</v>
      </c>
      <c r="I2472" t="s">
        <v>3571</v>
      </c>
      <c r="J2472" t="s">
        <v>2804</v>
      </c>
    </row>
    <row r="2473" spans="1:10">
      <c r="A2473" t="s">
        <v>8098</v>
      </c>
      <c r="B2473">
        <v>0.60128403317214196</v>
      </c>
      <c r="C2473">
        <v>8.0952226981460296</v>
      </c>
      <c r="D2473">
        <v>0.16131295895838499</v>
      </c>
      <c r="E2473">
        <v>0.69635231679216802</v>
      </c>
      <c r="F2473">
        <v>30</v>
      </c>
      <c r="G2473">
        <v>21</v>
      </c>
      <c r="H2473" t="s">
        <v>193</v>
      </c>
      <c r="I2473" t="s">
        <v>8099</v>
      </c>
      <c r="J2473" t="s">
        <v>194</v>
      </c>
    </row>
    <row r="2474" spans="1:10">
      <c r="A2474" t="s">
        <v>8100</v>
      </c>
      <c r="B2474">
        <v>0.60128403317214196</v>
      </c>
      <c r="C2474">
        <v>8.0952226981460296</v>
      </c>
      <c r="D2474">
        <v>0.16131295895838499</v>
      </c>
      <c r="E2474">
        <v>0.69635231679216802</v>
      </c>
      <c r="F2474">
        <v>30</v>
      </c>
      <c r="G2474">
        <v>21</v>
      </c>
      <c r="H2474" t="s">
        <v>8101</v>
      </c>
      <c r="I2474" t="s">
        <v>8102</v>
      </c>
      <c r="J2474" t="s">
        <v>2805</v>
      </c>
    </row>
    <row r="2475" spans="1:10">
      <c r="A2475" t="s">
        <v>8103</v>
      </c>
      <c r="B2475">
        <v>-0.50515882367545395</v>
      </c>
      <c r="C2475">
        <v>8.6125680977329804</v>
      </c>
      <c r="D2475">
        <v>0.16047295523496399</v>
      </c>
      <c r="E2475">
        <v>0.69459088026331595</v>
      </c>
      <c r="F2475">
        <v>29</v>
      </c>
      <c r="G2475">
        <v>44</v>
      </c>
      <c r="H2475" t="s">
        <v>8104</v>
      </c>
      <c r="I2475" t="s">
        <v>8105</v>
      </c>
      <c r="J2475" t="s">
        <v>2806</v>
      </c>
    </row>
    <row r="2476" spans="1:10">
      <c r="A2476" t="s">
        <v>8106</v>
      </c>
      <c r="B2476">
        <v>-0.287424969197215</v>
      </c>
      <c r="C2476">
        <v>10.2106251198565</v>
      </c>
      <c r="D2476">
        <v>0.15894430824906</v>
      </c>
      <c r="E2476">
        <v>0.68890147618460396</v>
      </c>
      <c r="F2476">
        <v>96</v>
      </c>
      <c r="G2476">
        <v>125</v>
      </c>
      <c r="H2476" t="s">
        <v>8107</v>
      </c>
      <c r="I2476" t="s">
        <v>8108</v>
      </c>
      <c r="J2476" t="s">
        <v>2807</v>
      </c>
    </row>
    <row r="2477" spans="1:10">
      <c r="A2477" t="s">
        <v>8109</v>
      </c>
      <c r="B2477">
        <v>0.37284932162551698</v>
      </c>
      <c r="C2477">
        <v>9.5927406264721604</v>
      </c>
      <c r="D2477">
        <v>0.15782810065348801</v>
      </c>
      <c r="E2477">
        <v>0.68498673643943098</v>
      </c>
      <c r="F2477">
        <v>79</v>
      </c>
      <c r="G2477">
        <v>65</v>
      </c>
      <c r="H2477" t="s">
        <v>8110</v>
      </c>
      <c r="I2477" t="s">
        <v>4546</v>
      </c>
      <c r="J2477" t="s">
        <v>2808</v>
      </c>
    </row>
    <row r="2478" spans="1:10">
      <c r="A2478" t="s">
        <v>8111</v>
      </c>
      <c r="B2478">
        <v>-0.460848484059528</v>
      </c>
      <c r="C2478">
        <v>8.8150594853588302</v>
      </c>
      <c r="D2478">
        <v>0.156523806067427</v>
      </c>
      <c r="E2478">
        <v>0.68024400042276401</v>
      </c>
      <c r="F2478">
        <v>34</v>
      </c>
      <c r="G2478">
        <v>50</v>
      </c>
      <c r="H2478" t="s">
        <v>28</v>
      </c>
      <c r="I2478" t="s">
        <v>4402</v>
      </c>
      <c r="J2478" t="s">
        <v>2809</v>
      </c>
    </row>
    <row r="2479" spans="1:10">
      <c r="A2479" t="s">
        <v>8112</v>
      </c>
      <c r="B2479">
        <v>-0.460848484059528</v>
      </c>
      <c r="C2479">
        <v>8.8150594853588302</v>
      </c>
      <c r="D2479">
        <v>0.156523806067427</v>
      </c>
      <c r="E2479">
        <v>0.68024400042276401</v>
      </c>
      <c r="F2479">
        <v>34</v>
      </c>
      <c r="G2479">
        <v>50</v>
      </c>
      <c r="H2479" t="s">
        <v>8113</v>
      </c>
      <c r="I2479" t="s">
        <v>8114</v>
      </c>
      <c r="J2479" t="s">
        <v>2810</v>
      </c>
    </row>
    <row r="2480" spans="1:10">
      <c r="A2480" t="s">
        <v>8115</v>
      </c>
      <c r="B2480">
        <v>-0.460848484059528</v>
      </c>
      <c r="C2480">
        <v>8.8150594853588302</v>
      </c>
      <c r="D2480">
        <v>0.156523806067427</v>
      </c>
      <c r="E2480">
        <v>0.68024400042276401</v>
      </c>
      <c r="F2480">
        <v>34</v>
      </c>
      <c r="G2480">
        <v>50</v>
      </c>
      <c r="H2480" t="s">
        <v>28</v>
      </c>
      <c r="I2480" t="s">
        <v>3438</v>
      </c>
      <c r="J2480" t="s">
        <v>2811</v>
      </c>
    </row>
    <row r="2481" spans="1:10">
      <c r="A2481" t="s">
        <v>8116</v>
      </c>
      <c r="B2481">
        <v>-0.460848484059528</v>
      </c>
      <c r="C2481">
        <v>8.8150594853588302</v>
      </c>
      <c r="D2481">
        <v>0.156523806067427</v>
      </c>
      <c r="E2481">
        <v>0.68024400042276401</v>
      </c>
      <c r="F2481">
        <v>34</v>
      </c>
      <c r="G2481">
        <v>50</v>
      </c>
      <c r="H2481" t="s">
        <v>416</v>
      </c>
      <c r="I2481" t="s">
        <v>8117</v>
      </c>
      <c r="J2481" t="s">
        <v>415</v>
      </c>
    </row>
    <row r="2482" spans="1:10">
      <c r="A2482" t="s">
        <v>8118</v>
      </c>
      <c r="B2482">
        <v>-0.20998945195858801</v>
      </c>
      <c r="C2482">
        <v>11.1056996808716</v>
      </c>
      <c r="D2482">
        <v>0.15617543225904601</v>
      </c>
      <c r="E2482">
        <v>0.68024400042276401</v>
      </c>
      <c r="F2482">
        <v>184</v>
      </c>
      <c r="G2482">
        <v>227</v>
      </c>
      <c r="H2482" t="s">
        <v>8119</v>
      </c>
      <c r="I2482" t="s">
        <v>4297</v>
      </c>
      <c r="J2482" t="s">
        <v>2812</v>
      </c>
    </row>
    <row r="2483" spans="1:10">
      <c r="A2483" t="s">
        <v>8120</v>
      </c>
      <c r="B2483">
        <v>-0.441016025945065</v>
      </c>
      <c r="C2483">
        <v>9.0374483527850504</v>
      </c>
      <c r="D2483">
        <v>0.15581511787461799</v>
      </c>
      <c r="E2483">
        <v>0.68024400042276401</v>
      </c>
      <c r="F2483">
        <v>40</v>
      </c>
      <c r="G2483">
        <v>58</v>
      </c>
      <c r="H2483" t="s">
        <v>28</v>
      </c>
      <c r="I2483" t="s">
        <v>3438</v>
      </c>
      <c r="J2483" t="s">
        <v>2813</v>
      </c>
    </row>
    <row r="2484" spans="1:10">
      <c r="A2484" t="s">
        <v>8121</v>
      </c>
      <c r="B2484">
        <v>-0.286238752478787</v>
      </c>
      <c r="C2484">
        <v>10.311462445505899</v>
      </c>
      <c r="D2484">
        <v>0.155264190932598</v>
      </c>
      <c r="E2484">
        <v>0.68024400042276401</v>
      </c>
      <c r="F2484">
        <v>103</v>
      </c>
      <c r="G2484">
        <v>134</v>
      </c>
      <c r="H2484" t="s">
        <v>28</v>
      </c>
      <c r="I2484" t="s">
        <v>3438</v>
      </c>
      <c r="J2484" t="s">
        <v>2814</v>
      </c>
    </row>
    <row r="2485" spans="1:10">
      <c r="A2485" t="s">
        <v>8122</v>
      </c>
      <c r="B2485">
        <v>-0.78987024872322797</v>
      </c>
      <c r="C2485">
        <v>7.7446760722816101</v>
      </c>
      <c r="D2485">
        <v>0.154271326896398</v>
      </c>
      <c r="E2485">
        <v>0.67685755429579297</v>
      </c>
      <c r="F2485">
        <v>14</v>
      </c>
      <c r="G2485">
        <v>26</v>
      </c>
      <c r="H2485" t="s">
        <v>8123</v>
      </c>
      <c r="I2485" t="s">
        <v>8124</v>
      </c>
      <c r="J2485" t="s">
        <v>2815</v>
      </c>
    </row>
    <row r="2486" spans="1:10">
      <c r="A2486" t="s">
        <v>8125</v>
      </c>
      <c r="B2486">
        <v>-0.78987024872322797</v>
      </c>
      <c r="C2486">
        <v>7.7446760722816101</v>
      </c>
      <c r="D2486">
        <v>0.154271326896398</v>
      </c>
      <c r="E2486">
        <v>0.67685755429579297</v>
      </c>
      <c r="F2486">
        <v>14</v>
      </c>
      <c r="G2486">
        <v>26</v>
      </c>
      <c r="H2486" t="s">
        <v>28</v>
      </c>
      <c r="I2486" t="s">
        <v>3438</v>
      </c>
      <c r="J2486" t="s">
        <v>2816</v>
      </c>
    </row>
    <row r="2487" spans="1:10">
      <c r="A2487" t="s">
        <v>8126</v>
      </c>
      <c r="B2487">
        <v>-0.78987024872322797</v>
      </c>
      <c r="C2487">
        <v>7.7446760722816101</v>
      </c>
      <c r="D2487">
        <v>0.154271326896398</v>
      </c>
      <c r="E2487">
        <v>0.67685755429579297</v>
      </c>
      <c r="F2487">
        <v>14</v>
      </c>
      <c r="G2487">
        <v>26</v>
      </c>
      <c r="H2487" t="s">
        <v>28</v>
      </c>
      <c r="I2487" t="s">
        <v>3438</v>
      </c>
      <c r="J2487" t="s">
        <v>2817</v>
      </c>
    </row>
    <row r="2488" spans="1:10">
      <c r="A2488" t="s">
        <v>8127</v>
      </c>
      <c r="B2488">
        <v>0.66909422284898601</v>
      </c>
      <c r="C2488">
        <v>7.7447223338968296</v>
      </c>
      <c r="D2488">
        <v>0.154271326896398</v>
      </c>
      <c r="E2488">
        <v>0.67685755429579297</v>
      </c>
      <c r="F2488">
        <v>24</v>
      </c>
      <c r="G2488">
        <v>16</v>
      </c>
      <c r="H2488" t="s">
        <v>28</v>
      </c>
      <c r="I2488" t="s">
        <v>4138</v>
      </c>
      <c r="J2488" t="s">
        <v>2818</v>
      </c>
    </row>
    <row r="2489" spans="1:10">
      <c r="A2489" t="s">
        <v>8128</v>
      </c>
      <c r="B2489">
        <v>-0.21298321135553899</v>
      </c>
      <c r="C2489">
        <v>11.0915897762822</v>
      </c>
      <c r="D2489">
        <v>0.154108187048031</v>
      </c>
      <c r="E2489">
        <v>0.67685755429579297</v>
      </c>
      <c r="F2489">
        <v>182</v>
      </c>
      <c r="G2489">
        <v>225</v>
      </c>
      <c r="H2489" t="s">
        <v>8129</v>
      </c>
      <c r="I2489" t="s">
        <v>4748</v>
      </c>
      <c r="J2489" t="s">
        <v>2819</v>
      </c>
    </row>
    <row r="2490" spans="1:10">
      <c r="A2490" t="s">
        <v>8130</v>
      </c>
      <c r="B2490">
        <v>-0.43575370929837198</v>
      </c>
      <c r="C2490">
        <v>9.2040945213609007</v>
      </c>
      <c r="D2490">
        <v>0.153463835761637</v>
      </c>
      <c r="E2490">
        <v>0.67685755429579297</v>
      </c>
      <c r="F2490">
        <v>45</v>
      </c>
      <c r="G2490">
        <v>65</v>
      </c>
      <c r="H2490" t="s">
        <v>8131</v>
      </c>
      <c r="I2490" t="s">
        <v>8132</v>
      </c>
      <c r="J2490" t="s">
        <v>2820</v>
      </c>
    </row>
    <row r="2491" spans="1:10">
      <c r="A2491" t="s">
        <v>8133</v>
      </c>
      <c r="B2491">
        <v>0.62228642798661105</v>
      </c>
      <c r="C2491">
        <v>8.0375070541651699</v>
      </c>
      <c r="D2491">
        <v>0.15290979277980499</v>
      </c>
      <c r="E2491">
        <v>0.67642076145784302</v>
      </c>
      <c r="F2491">
        <v>29</v>
      </c>
      <c r="G2491">
        <v>20</v>
      </c>
      <c r="H2491" t="s">
        <v>8134</v>
      </c>
      <c r="I2491" t="s">
        <v>3438</v>
      </c>
      <c r="J2491" t="s">
        <v>2821</v>
      </c>
    </row>
    <row r="2492" spans="1:10">
      <c r="A2492" t="s">
        <v>8135</v>
      </c>
      <c r="B2492">
        <v>0.62228642798661105</v>
      </c>
      <c r="C2492">
        <v>8.0375070541651699</v>
      </c>
      <c r="D2492">
        <v>0.15290979277980499</v>
      </c>
      <c r="E2492">
        <v>0.67642076145784302</v>
      </c>
      <c r="F2492">
        <v>29</v>
      </c>
      <c r="G2492">
        <v>20</v>
      </c>
      <c r="H2492" t="s">
        <v>28</v>
      </c>
      <c r="I2492" t="s">
        <v>3438</v>
      </c>
      <c r="J2492" t="s">
        <v>2822</v>
      </c>
    </row>
    <row r="2493" spans="1:10">
      <c r="A2493" t="s">
        <v>8136</v>
      </c>
      <c r="B2493">
        <v>0.38087633988569197</v>
      </c>
      <c r="C2493">
        <v>9.5520983546660805</v>
      </c>
      <c r="D2493">
        <v>0.15195365510647801</v>
      </c>
      <c r="E2493">
        <v>0.67404545492749202</v>
      </c>
      <c r="F2493">
        <v>77</v>
      </c>
      <c r="G2493">
        <v>63</v>
      </c>
      <c r="H2493" t="s">
        <v>8137</v>
      </c>
      <c r="I2493" t="s">
        <v>8138</v>
      </c>
      <c r="J2493" t="s">
        <v>2823</v>
      </c>
    </row>
    <row r="2494" spans="1:10">
      <c r="A2494" t="s">
        <v>8139</v>
      </c>
      <c r="B2494">
        <v>-0.88735189737756104</v>
      </c>
      <c r="C2494">
        <v>7.0077185278690797</v>
      </c>
      <c r="D2494">
        <v>0.15183505443978601</v>
      </c>
      <c r="E2494">
        <v>0.67404545492749202</v>
      </c>
      <c r="F2494">
        <v>8</v>
      </c>
      <c r="G2494">
        <v>16</v>
      </c>
      <c r="H2494" t="s">
        <v>28</v>
      </c>
      <c r="I2494" t="s">
        <v>8140</v>
      </c>
      <c r="J2494" t="s">
        <v>2824</v>
      </c>
    </row>
    <row r="2495" spans="1:10">
      <c r="A2495" t="s">
        <v>8141</v>
      </c>
      <c r="B2495">
        <v>-0.88735189737756104</v>
      </c>
      <c r="C2495">
        <v>7.0077185278690797</v>
      </c>
      <c r="D2495">
        <v>0.15183505443978601</v>
      </c>
      <c r="E2495">
        <v>0.67404545492749202</v>
      </c>
      <c r="F2495">
        <v>8</v>
      </c>
      <c r="G2495">
        <v>16</v>
      </c>
      <c r="H2495" t="s">
        <v>8142</v>
      </c>
      <c r="I2495" t="s">
        <v>8143</v>
      </c>
      <c r="J2495" t="s">
        <v>2825</v>
      </c>
    </row>
    <row r="2496" spans="1:10">
      <c r="A2496" t="s">
        <v>8144</v>
      </c>
      <c r="B2496">
        <v>1.06859650509652</v>
      </c>
      <c r="C2496">
        <v>7.0077555667907703</v>
      </c>
      <c r="D2496">
        <v>0.15183505443978601</v>
      </c>
      <c r="E2496">
        <v>0.67404545492749202</v>
      </c>
      <c r="F2496">
        <v>16</v>
      </c>
      <c r="G2496">
        <v>8</v>
      </c>
      <c r="H2496" t="s">
        <v>28</v>
      </c>
      <c r="I2496" t="s">
        <v>3438</v>
      </c>
      <c r="J2496" t="s">
        <v>2826</v>
      </c>
    </row>
    <row r="2497" spans="1:10">
      <c r="A2497" t="s">
        <v>8145</v>
      </c>
      <c r="B2497">
        <v>1.06859650509652</v>
      </c>
      <c r="C2497">
        <v>7.0077555667907703</v>
      </c>
      <c r="D2497">
        <v>0.15183505443978601</v>
      </c>
      <c r="E2497">
        <v>0.67404545492749202</v>
      </c>
      <c r="F2497">
        <v>16</v>
      </c>
      <c r="G2497">
        <v>8</v>
      </c>
      <c r="H2497" t="s">
        <v>28</v>
      </c>
      <c r="I2497" t="s">
        <v>3465</v>
      </c>
      <c r="J2497" t="s">
        <v>2827</v>
      </c>
    </row>
    <row r="2498" spans="1:10">
      <c r="A2498" t="s">
        <v>8146</v>
      </c>
      <c r="B2498">
        <v>1.06859650509652</v>
      </c>
      <c r="C2498">
        <v>7.0077555667907703</v>
      </c>
      <c r="D2498">
        <v>0.15183505443978601</v>
      </c>
      <c r="E2498">
        <v>0.67404545492749202</v>
      </c>
      <c r="F2498">
        <v>16</v>
      </c>
      <c r="G2498">
        <v>8</v>
      </c>
      <c r="H2498" t="s">
        <v>8147</v>
      </c>
      <c r="I2498" t="s">
        <v>3599</v>
      </c>
      <c r="J2498" t="s">
        <v>2828</v>
      </c>
    </row>
    <row r="2499" spans="1:10">
      <c r="A2499" t="s">
        <v>8148</v>
      </c>
      <c r="B2499">
        <v>1.06859650509652</v>
      </c>
      <c r="C2499">
        <v>7.0077555667907703</v>
      </c>
      <c r="D2499">
        <v>0.15183505443978601</v>
      </c>
      <c r="E2499">
        <v>0.67404545492749202</v>
      </c>
      <c r="F2499">
        <v>16</v>
      </c>
      <c r="G2499">
        <v>8</v>
      </c>
      <c r="H2499" t="s">
        <v>8149</v>
      </c>
      <c r="I2499" t="s">
        <v>8150</v>
      </c>
      <c r="J2499" t="s">
        <v>2829</v>
      </c>
    </row>
    <row r="2500" spans="1:10">
      <c r="A2500" t="s">
        <v>8151</v>
      </c>
      <c r="B2500">
        <v>-0.47461312002182598</v>
      </c>
      <c r="C2500">
        <v>8.7802939158180209</v>
      </c>
      <c r="D2500">
        <v>0.15151126288168101</v>
      </c>
      <c r="E2500">
        <v>0.67404545492749202</v>
      </c>
      <c r="F2500">
        <v>33</v>
      </c>
      <c r="G2500">
        <v>49</v>
      </c>
      <c r="H2500" t="s">
        <v>8152</v>
      </c>
      <c r="I2500" t="s">
        <v>8153</v>
      </c>
      <c r="J2500" t="s">
        <v>2830</v>
      </c>
    </row>
    <row r="2501" spans="1:10">
      <c r="A2501" t="s">
        <v>8154</v>
      </c>
      <c r="B2501">
        <v>-0.47461312002182598</v>
      </c>
      <c r="C2501">
        <v>8.7802939158180209</v>
      </c>
      <c r="D2501">
        <v>0.15151126288168101</v>
      </c>
      <c r="E2501">
        <v>0.67404545492749202</v>
      </c>
      <c r="F2501">
        <v>33</v>
      </c>
      <c r="G2501">
        <v>49</v>
      </c>
      <c r="H2501" t="s">
        <v>28</v>
      </c>
      <c r="I2501" t="s">
        <v>3438</v>
      </c>
      <c r="J2501" t="s">
        <v>2831</v>
      </c>
    </row>
    <row r="2502" spans="1:10">
      <c r="A2502" t="s">
        <v>8155</v>
      </c>
      <c r="B2502">
        <v>0.51485719007268604</v>
      </c>
      <c r="C2502">
        <v>8.7803585469036705</v>
      </c>
      <c r="D2502">
        <v>0.15151126288168101</v>
      </c>
      <c r="E2502">
        <v>0.67404545492749202</v>
      </c>
      <c r="F2502">
        <v>47</v>
      </c>
      <c r="G2502">
        <v>35</v>
      </c>
      <c r="H2502" t="s">
        <v>8156</v>
      </c>
      <c r="I2502" t="s">
        <v>8157</v>
      </c>
      <c r="J2502" t="s">
        <v>2832</v>
      </c>
    </row>
    <row r="2503" spans="1:10">
      <c r="A2503" t="s">
        <v>8158</v>
      </c>
      <c r="B2503">
        <v>-0.40309199026993198</v>
      </c>
      <c r="C2503">
        <v>9.3652479963284403</v>
      </c>
      <c r="D2503">
        <v>0.150063641269847</v>
      </c>
      <c r="E2503">
        <v>0.67404545492749202</v>
      </c>
      <c r="F2503">
        <v>51</v>
      </c>
      <c r="G2503">
        <v>72</v>
      </c>
      <c r="H2503" t="s">
        <v>8159</v>
      </c>
      <c r="I2503" t="s">
        <v>4745</v>
      </c>
      <c r="J2503" t="s">
        <v>2833</v>
      </c>
    </row>
    <row r="2504" spans="1:10">
      <c r="A2504" t="s">
        <v>8160</v>
      </c>
      <c r="B2504">
        <v>-0.82637342413820103</v>
      </c>
      <c r="C2504">
        <v>7.42275200065981</v>
      </c>
      <c r="D2504">
        <v>0.14992810289990999</v>
      </c>
      <c r="E2504">
        <v>0.67404545492749202</v>
      </c>
      <c r="F2504">
        <v>11</v>
      </c>
      <c r="G2504">
        <v>21</v>
      </c>
      <c r="H2504" t="s">
        <v>28</v>
      </c>
      <c r="I2504" t="s">
        <v>3438</v>
      </c>
      <c r="J2504" t="s">
        <v>2834</v>
      </c>
    </row>
    <row r="2505" spans="1:10">
      <c r="A2505" t="s">
        <v>8161</v>
      </c>
      <c r="B2505">
        <v>-0.82637342413820103</v>
      </c>
      <c r="C2505">
        <v>7.42275200065981</v>
      </c>
      <c r="D2505">
        <v>0.14992810289990999</v>
      </c>
      <c r="E2505">
        <v>0.67404545492749202</v>
      </c>
      <c r="F2505">
        <v>11</v>
      </c>
      <c r="G2505">
        <v>21</v>
      </c>
      <c r="H2505" t="s">
        <v>28</v>
      </c>
      <c r="I2505" t="s">
        <v>3438</v>
      </c>
      <c r="J2505" t="s">
        <v>2835</v>
      </c>
    </row>
    <row r="2506" spans="1:10">
      <c r="A2506" t="s">
        <v>8162</v>
      </c>
      <c r="B2506">
        <v>-0.82637342413820103</v>
      </c>
      <c r="C2506">
        <v>7.42275200065981</v>
      </c>
      <c r="D2506">
        <v>0.14992810289990999</v>
      </c>
      <c r="E2506">
        <v>0.67404545492749202</v>
      </c>
      <c r="F2506">
        <v>11</v>
      </c>
      <c r="G2506">
        <v>21</v>
      </c>
      <c r="H2506" t="s">
        <v>8163</v>
      </c>
      <c r="I2506" t="s">
        <v>8164</v>
      </c>
      <c r="J2506" t="s">
        <v>2836</v>
      </c>
    </row>
    <row r="2507" spans="1:10">
      <c r="A2507" t="s">
        <v>8165</v>
      </c>
      <c r="B2507">
        <v>0.86604170790486601</v>
      </c>
      <c r="C2507">
        <v>7.3296841017498302</v>
      </c>
      <c r="D2507">
        <v>0.14992810289990999</v>
      </c>
      <c r="E2507">
        <v>0.67404545492749202</v>
      </c>
      <c r="F2507">
        <v>19</v>
      </c>
      <c r="G2507">
        <v>11</v>
      </c>
      <c r="H2507" t="s">
        <v>28</v>
      </c>
      <c r="I2507" t="s">
        <v>3438</v>
      </c>
      <c r="J2507" t="s">
        <v>2837</v>
      </c>
    </row>
    <row r="2508" spans="1:10">
      <c r="A2508" t="s">
        <v>8166</v>
      </c>
      <c r="B2508">
        <v>0.86604170790486601</v>
      </c>
      <c r="C2508">
        <v>7.3296841017498302</v>
      </c>
      <c r="D2508">
        <v>0.14992810289990999</v>
      </c>
      <c r="E2508">
        <v>0.67404545492749202</v>
      </c>
      <c r="F2508">
        <v>19</v>
      </c>
      <c r="G2508">
        <v>11</v>
      </c>
      <c r="H2508" t="s">
        <v>28</v>
      </c>
      <c r="I2508" t="s">
        <v>4697</v>
      </c>
      <c r="J2508" t="s">
        <v>2838</v>
      </c>
    </row>
    <row r="2509" spans="1:10">
      <c r="A2509" t="s">
        <v>8167</v>
      </c>
      <c r="B2509">
        <v>-0.54065458578324099</v>
      </c>
      <c r="C2509">
        <v>8.5312676929685995</v>
      </c>
      <c r="D2509">
        <v>0.148730840301454</v>
      </c>
      <c r="E2509">
        <v>0.67404545492749202</v>
      </c>
      <c r="F2509">
        <v>27</v>
      </c>
      <c r="G2509">
        <v>42</v>
      </c>
      <c r="H2509" t="s">
        <v>28</v>
      </c>
      <c r="I2509" t="s">
        <v>3438</v>
      </c>
      <c r="J2509" t="s">
        <v>2839</v>
      </c>
    </row>
    <row r="2510" spans="1:10">
      <c r="A2510" t="s">
        <v>8168</v>
      </c>
      <c r="B2510">
        <v>0.55260819556430696</v>
      </c>
      <c r="C2510">
        <v>8.5313277463437203</v>
      </c>
      <c r="D2510">
        <v>0.148730840301454</v>
      </c>
      <c r="E2510">
        <v>0.67404545492749202</v>
      </c>
      <c r="F2510">
        <v>40</v>
      </c>
      <c r="G2510">
        <v>29</v>
      </c>
      <c r="H2510" t="s">
        <v>8169</v>
      </c>
      <c r="I2510" t="s">
        <v>8170</v>
      </c>
      <c r="J2510" t="s">
        <v>2840</v>
      </c>
    </row>
    <row r="2511" spans="1:10">
      <c r="A2511" t="s">
        <v>8171</v>
      </c>
      <c r="B2511">
        <v>-0.61227611976052998</v>
      </c>
      <c r="C2511">
        <v>8.2807257093378492</v>
      </c>
      <c r="D2511">
        <v>0.148593091152324</v>
      </c>
      <c r="E2511">
        <v>0.67404545492749202</v>
      </c>
      <c r="F2511">
        <v>22</v>
      </c>
      <c r="G2511">
        <v>36</v>
      </c>
      <c r="H2511" t="s">
        <v>28</v>
      </c>
      <c r="I2511" t="s">
        <v>3438</v>
      </c>
      <c r="J2511" t="s">
        <v>2841</v>
      </c>
    </row>
    <row r="2512" spans="1:10">
      <c r="A2512" t="s">
        <v>8172</v>
      </c>
      <c r="B2512">
        <v>0.46867267593815598</v>
      </c>
      <c r="C2512">
        <v>8.9463692228406302</v>
      </c>
      <c r="D2512">
        <v>0.14711372983127199</v>
      </c>
      <c r="E2512">
        <v>0.67013846336737903</v>
      </c>
      <c r="F2512">
        <v>52</v>
      </c>
      <c r="G2512">
        <v>40</v>
      </c>
      <c r="H2512" t="s">
        <v>8173</v>
      </c>
      <c r="I2512" t="s">
        <v>8174</v>
      </c>
      <c r="J2512" t="s">
        <v>2842</v>
      </c>
    </row>
    <row r="2513" spans="1:10">
      <c r="A2513" t="s">
        <v>8175</v>
      </c>
      <c r="B2513">
        <v>0.358069773083045</v>
      </c>
      <c r="C2513">
        <v>9.6707437127492195</v>
      </c>
      <c r="D2513">
        <v>0.14690220652632999</v>
      </c>
      <c r="E2513">
        <v>0.67012410806904399</v>
      </c>
      <c r="F2513">
        <v>83</v>
      </c>
      <c r="G2513">
        <v>69</v>
      </c>
      <c r="H2513" t="s">
        <v>8176</v>
      </c>
      <c r="I2513" t="s">
        <v>8177</v>
      </c>
      <c r="J2513" t="s">
        <v>2843</v>
      </c>
    </row>
    <row r="2514" spans="1:10">
      <c r="A2514" t="s">
        <v>8178</v>
      </c>
      <c r="B2514">
        <v>-1.4210959167374699</v>
      </c>
      <c r="C2514">
        <v>6.0077222573545601</v>
      </c>
      <c r="D2514">
        <v>0.14611692825106001</v>
      </c>
      <c r="E2514">
        <v>0.66748869496506702</v>
      </c>
      <c r="F2514">
        <v>3</v>
      </c>
      <c r="G2514">
        <v>9</v>
      </c>
      <c r="H2514" t="s">
        <v>28</v>
      </c>
      <c r="I2514" t="s">
        <v>3438</v>
      </c>
      <c r="J2514" t="s">
        <v>2844</v>
      </c>
    </row>
    <row r="2515" spans="1:10">
      <c r="A2515" t="s">
        <v>8179</v>
      </c>
      <c r="B2515">
        <v>-1.4210959167374699</v>
      </c>
      <c r="C2515">
        <v>6.0077222573545601</v>
      </c>
      <c r="D2515">
        <v>0.14611692825106001</v>
      </c>
      <c r="E2515">
        <v>0.66748869496506702</v>
      </c>
      <c r="F2515">
        <v>3</v>
      </c>
      <c r="G2515">
        <v>9</v>
      </c>
      <c r="H2515" t="s">
        <v>28</v>
      </c>
      <c r="I2515" t="s">
        <v>3438</v>
      </c>
      <c r="J2515" t="s">
        <v>2845</v>
      </c>
    </row>
    <row r="2516" spans="1:10">
      <c r="A2516" t="s">
        <v>8180</v>
      </c>
      <c r="B2516">
        <v>-1.4210959167374699</v>
      </c>
      <c r="C2516">
        <v>6.0077222573545601</v>
      </c>
      <c r="D2516">
        <v>0.14611692825106001</v>
      </c>
      <c r="E2516">
        <v>0.66748869496506702</v>
      </c>
      <c r="F2516">
        <v>3</v>
      </c>
      <c r="G2516">
        <v>9</v>
      </c>
      <c r="H2516" t="s">
        <v>28</v>
      </c>
      <c r="I2516" t="s">
        <v>3438</v>
      </c>
      <c r="J2516" t="s">
        <v>2846</v>
      </c>
    </row>
    <row r="2517" spans="1:10">
      <c r="A2517" t="s">
        <v>8181</v>
      </c>
      <c r="B2517">
        <v>-1.4210959167374699</v>
      </c>
      <c r="C2517">
        <v>6.0077222573545601</v>
      </c>
      <c r="D2517">
        <v>0.14611692825106001</v>
      </c>
      <c r="E2517">
        <v>0.66748869496506702</v>
      </c>
      <c r="F2517">
        <v>3</v>
      </c>
      <c r="G2517">
        <v>9</v>
      </c>
      <c r="H2517" t="s">
        <v>28</v>
      </c>
      <c r="I2517" t="s">
        <v>8182</v>
      </c>
      <c r="J2517" t="s">
        <v>924</v>
      </c>
    </row>
    <row r="2518" spans="1:10">
      <c r="A2518" t="s">
        <v>8183</v>
      </c>
      <c r="B2518">
        <v>-1.4210959167374699</v>
      </c>
      <c r="C2518">
        <v>6.0077222573545601</v>
      </c>
      <c r="D2518">
        <v>0.14611692825106001</v>
      </c>
      <c r="E2518">
        <v>0.66748869496506702</v>
      </c>
      <c r="F2518">
        <v>3</v>
      </c>
      <c r="G2518">
        <v>9</v>
      </c>
      <c r="H2518" t="s">
        <v>28</v>
      </c>
      <c r="I2518" t="s">
        <v>3438</v>
      </c>
      <c r="J2518" t="s">
        <v>2847</v>
      </c>
    </row>
    <row r="2519" spans="1:10">
      <c r="A2519" t="s">
        <v>8184</v>
      </c>
      <c r="B2519">
        <v>-1.4210959167374699</v>
      </c>
      <c r="C2519">
        <v>6.0077222573545601</v>
      </c>
      <c r="D2519">
        <v>0.14611692825106001</v>
      </c>
      <c r="E2519">
        <v>0.66748869496506702</v>
      </c>
      <c r="F2519">
        <v>3</v>
      </c>
      <c r="G2519">
        <v>9</v>
      </c>
      <c r="H2519" t="s">
        <v>28</v>
      </c>
      <c r="I2519" t="s">
        <v>3438</v>
      </c>
      <c r="J2519" t="s">
        <v>2848</v>
      </c>
    </row>
    <row r="2520" spans="1:10">
      <c r="A2520" t="s">
        <v>8185</v>
      </c>
      <c r="B2520">
        <v>1.59693910316327</v>
      </c>
      <c r="C2520">
        <v>6.0077500531692296</v>
      </c>
      <c r="D2520">
        <v>0.14611692825106001</v>
      </c>
      <c r="E2520">
        <v>0.66748869496506702</v>
      </c>
      <c r="F2520">
        <v>9</v>
      </c>
      <c r="G2520">
        <v>3</v>
      </c>
      <c r="H2520" t="s">
        <v>8186</v>
      </c>
      <c r="I2520" t="s">
        <v>8187</v>
      </c>
      <c r="J2520" t="s">
        <v>2849</v>
      </c>
    </row>
    <row r="2521" spans="1:10">
      <c r="A2521" t="s">
        <v>8188</v>
      </c>
      <c r="B2521">
        <v>1.59693910316327</v>
      </c>
      <c r="C2521">
        <v>6.0077500531692296</v>
      </c>
      <c r="D2521">
        <v>0.14611692825106001</v>
      </c>
      <c r="E2521">
        <v>0.66748869496506702</v>
      </c>
      <c r="F2521">
        <v>9</v>
      </c>
      <c r="G2521">
        <v>3</v>
      </c>
      <c r="H2521" t="s">
        <v>28</v>
      </c>
      <c r="I2521" t="s">
        <v>3465</v>
      </c>
      <c r="J2521" t="s">
        <v>152</v>
      </c>
    </row>
    <row r="2522" spans="1:10">
      <c r="A2522" t="s">
        <v>8189</v>
      </c>
      <c r="B2522">
        <v>1.59693910316327</v>
      </c>
      <c r="C2522">
        <v>6.0077500531692296</v>
      </c>
      <c r="D2522">
        <v>0.14611692825106001</v>
      </c>
      <c r="E2522">
        <v>0.66748869496506702</v>
      </c>
      <c r="F2522">
        <v>9</v>
      </c>
      <c r="G2522">
        <v>3</v>
      </c>
      <c r="H2522" t="s">
        <v>28</v>
      </c>
      <c r="I2522" t="s">
        <v>3438</v>
      </c>
      <c r="J2522" t="s">
        <v>2850</v>
      </c>
    </row>
    <row r="2523" spans="1:10">
      <c r="A2523" t="s">
        <v>8190</v>
      </c>
      <c r="B2523">
        <v>1.59693910316327</v>
      </c>
      <c r="C2523">
        <v>6.0077500531692296</v>
      </c>
      <c r="D2523">
        <v>0.14611692825106001</v>
      </c>
      <c r="E2523">
        <v>0.66748869496506702</v>
      </c>
      <c r="F2523">
        <v>9</v>
      </c>
      <c r="G2523">
        <v>3</v>
      </c>
      <c r="H2523" t="s">
        <v>8191</v>
      </c>
      <c r="I2523" t="s">
        <v>8192</v>
      </c>
      <c r="J2523" t="s">
        <v>2851</v>
      </c>
    </row>
    <row r="2524" spans="1:10">
      <c r="A2524" t="s">
        <v>8193</v>
      </c>
      <c r="B2524">
        <v>1.59693910316327</v>
      </c>
      <c r="C2524">
        <v>6.0077500531692296</v>
      </c>
      <c r="D2524">
        <v>0.14611692825106001</v>
      </c>
      <c r="E2524">
        <v>0.66748869496506702</v>
      </c>
      <c r="F2524">
        <v>9</v>
      </c>
      <c r="G2524">
        <v>3</v>
      </c>
      <c r="H2524" t="s">
        <v>28</v>
      </c>
      <c r="I2524" t="s">
        <v>6845</v>
      </c>
      <c r="J2524" t="s">
        <v>340</v>
      </c>
    </row>
    <row r="2525" spans="1:10">
      <c r="A2525" t="s">
        <v>8194</v>
      </c>
      <c r="B2525">
        <v>1.59693910316327</v>
      </c>
      <c r="C2525">
        <v>6.0077500531692296</v>
      </c>
      <c r="D2525">
        <v>0.14611692825106001</v>
      </c>
      <c r="E2525">
        <v>0.66748869496506702</v>
      </c>
      <c r="F2525">
        <v>9</v>
      </c>
      <c r="G2525">
        <v>3</v>
      </c>
      <c r="H2525" t="s">
        <v>28</v>
      </c>
      <c r="I2525" t="s">
        <v>4485</v>
      </c>
      <c r="J2525" t="s">
        <v>2852</v>
      </c>
    </row>
    <row r="2526" spans="1:10">
      <c r="A2526" t="s">
        <v>8195</v>
      </c>
      <c r="B2526">
        <v>1.59693910316327</v>
      </c>
      <c r="C2526">
        <v>6.0077500531692296</v>
      </c>
      <c r="D2526">
        <v>0.14611692825106001</v>
      </c>
      <c r="E2526">
        <v>0.66748869496506702</v>
      </c>
      <c r="F2526">
        <v>9</v>
      </c>
      <c r="G2526">
        <v>3</v>
      </c>
      <c r="H2526" t="s">
        <v>28</v>
      </c>
      <c r="I2526" t="s">
        <v>3438</v>
      </c>
      <c r="J2526" t="s">
        <v>2853</v>
      </c>
    </row>
    <row r="2527" spans="1:10">
      <c r="A2527" t="s">
        <v>8196</v>
      </c>
      <c r="B2527">
        <v>-0.376743782030597</v>
      </c>
      <c r="C2527">
        <v>9.5101950170921992</v>
      </c>
      <c r="D2527">
        <v>0.14599984114393</v>
      </c>
      <c r="E2527">
        <v>0.66748869496506702</v>
      </c>
      <c r="F2527">
        <v>57</v>
      </c>
      <c r="G2527">
        <v>79</v>
      </c>
      <c r="H2527" t="s">
        <v>8197</v>
      </c>
      <c r="I2527" t="s">
        <v>8198</v>
      </c>
      <c r="J2527" t="s">
        <v>2854</v>
      </c>
    </row>
    <row r="2528" spans="1:10">
      <c r="A2528" t="s">
        <v>8199</v>
      </c>
      <c r="B2528">
        <v>-0.71865366242801698</v>
      </c>
      <c r="C2528">
        <v>7.9773350455295304</v>
      </c>
      <c r="D2528">
        <v>0.14433555477373899</v>
      </c>
      <c r="E2528">
        <v>0.66748869496506702</v>
      </c>
      <c r="F2528">
        <v>17</v>
      </c>
      <c r="G2528">
        <v>30</v>
      </c>
      <c r="H2528" t="s">
        <v>28</v>
      </c>
      <c r="I2528" t="s">
        <v>3438</v>
      </c>
      <c r="J2528" t="s">
        <v>2855</v>
      </c>
    </row>
    <row r="2529" spans="1:10">
      <c r="A2529" t="s">
        <v>8200</v>
      </c>
      <c r="B2529">
        <v>-0.71865366242801698</v>
      </c>
      <c r="C2529">
        <v>7.9773350455295304</v>
      </c>
      <c r="D2529">
        <v>0.14433555477373899</v>
      </c>
      <c r="E2529">
        <v>0.66748869496506702</v>
      </c>
      <c r="F2529">
        <v>17</v>
      </c>
      <c r="G2529">
        <v>30</v>
      </c>
      <c r="H2529" t="s">
        <v>28</v>
      </c>
      <c r="I2529" t="s">
        <v>3438</v>
      </c>
      <c r="J2529" t="s">
        <v>2856</v>
      </c>
    </row>
    <row r="2530" spans="1:10">
      <c r="A2530" t="s">
        <v>8201</v>
      </c>
      <c r="B2530">
        <v>-0.71865366242801698</v>
      </c>
      <c r="C2530">
        <v>7.9773350455295304</v>
      </c>
      <c r="D2530">
        <v>0.14433555477373899</v>
      </c>
      <c r="E2530">
        <v>0.66748869496506702</v>
      </c>
      <c r="F2530">
        <v>17</v>
      </c>
      <c r="G2530">
        <v>30</v>
      </c>
      <c r="H2530" t="s">
        <v>28</v>
      </c>
      <c r="I2530" t="s">
        <v>3438</v>
      </c>
      <c r="J2530" t="s">
        <v>2857</v>
      </c>
    </row>
    <row r="2531" spans="1:10">
      <c r="A2531" t="s">
        <v>8202</v>
      </c>
      <c r="B2531">
        <v>0.64512038834055896</v>
      </c>
      <c r="C2531">
        <v>7.9773859155739197</v>
      </c>
      <c r="D2531">
        <v>0.14433555477373899</v>
      </c>
      <c r="E2531">
        <v>0.66748869496506702</v>
      </c>
      <c r="F2531">
        <v>28</v>
      </c>
      <c r="G2531">
        <v>19</v>
      </c>
      <c r="H2531" t="s">
        <v>28</v>
      </c>
      <c r="I2531" t="s">
        <v>3438</v>
      </c>
      <c r="J2531" t="s">
        <v>2858</v>
      </c>
    </row>
    <row r="2532" spans="1:10">
      <c r="A2532" t="s">
        <v>8203</v>
      </c>
      <c r="B2532">
        <v>-0.36547139636027198</v>
      </c>
      <c r="C2532">
        <v>9.6706563036068793</v>
      </c>
      <c r="D2532">
        <v>0.14422339358917</v>
      </c>
      <c r="E2532">
        <v>0.66748869496506702</v>
      </c>
      <c r="F2532">
        <v>64</v>
      </c>
      <c r="G2532">
        <v>88</v>
      </c>
      <c r="H2532" t="s">
        <v>8204</v>
      </c>
      <c r="I2532" t="s">
        <v>8205</v>
      </c>
      <c r="J2532" t="s">
        <v>2859</v>
      </c>
    </row>
    <row r="2533" spans="1:10">
      <c r="A2533" t="s">
        <v>8206</v>
      </c>
      <c r="B2533">
        <v>0.36161606066261798</v>
      </c>
      <c r="C2533">
        <v>9.6516347462752599</v>
      </c>
      <c r="D2533">
        <v>0.14422339358917</v>
      </c>
      <c r="E2533">
        <v>0.66748869496506702</v>
      </c>
      <c r="F2533">
        <v>82</v>
      </c>
      <c r="G2533">
        <v>68</v>
      </c>
      <c r="H2533" t="s">
        <v>28</v>
      </c>
      <c r="I2533" t="s">
        <v>8207</v>
      </c>
      <c r="J2533" t="s">
        <v>2860</v>
      </c>
    </row>
    <row r="2534" spans="1:10">
      <c r="A2534" t="s">
        <v>8208</v>
      </c>
      <c r="B2534">
        <v>-0.83888466357429403</v>
      </c>
      <c r="C2534">
        <v>7.6706753397147596</v>
      </c>
      <c r="D2534">
        <v>0.14368642066979101</v>
      </c>
      <c r="E2534">
        <v>0.66748869496506702</v>
      </c>
      <c r="F2534">
        <v>13</v>
      </c>
      <c r="G2534">
        <v>25</v>
      </c>
      <c r="H2534" t="s">
        <v>8209</v>
      </c>
      <c r="I2534" t="s">
        <v>3450</v>
      </c>
      <c r="J2534" t="s">
        <v>2861</v>
      </c>
    </row>
    <row r="2535" spans="1:10">
      <c r="A2535" t="s">
        <v>8210</v>
      </c>
      <c r="B2535">
        <v>-0.83888466357429403</v>
      </c>
      <c r="C2535">
        <v>7.6706753397147596</v>
      </c>
      <c r="D2535">
        <v>0.14368642066979101</v>
      </c>
      <c r="E2535">
        <v>0.66748869496506702</v>
      </c>
      <c r="F2535">
        <v>13</v>
      </c>
      <c r="G2535">
        <v>25</v>
      </c>
      <c r="H2535" t="s">
        <v>8211</v>
      </c>
      <c r="I2535" t="s">
        <v>8212</v>
      </c>
      <c r="J2535" t="s">
        <v>2862</v>
      </c>
    </row>
    <row r="2536" spans="1:10">
      <c r="A2536" t="s">
        <v>8213</v>
      </c>
      <c r="B2536">
        <v>-0.83888466357429403</v>
      </c>
      <c r="C2536">
        <v>7.6706753397147596</v>
      </c>
      <c r="D2536">
        <v>0.14368642066979101</v>
      </c>
      <c r="E2536">
        <v>0.66748869496506702</v>
      </c>
      <c r="F2536">
        <v>13</v>
      </c>
      <c r="G2536">
        <v>25</v>
      </c>
      <c r="H2536" t="s">
        <v>28</v>
      </c>
      <c r="I2536" t="s">
        <v>3438</v>
      </c>
      <c r="J2536" t="s">
        <v>2863</v>
      </c>
    </row>
    <row r="2537" spans="1:10">
      <c r="A2537" t="s">
        <v>8214</v>
      </c>
      <c r="B2537">
        <v>-1.13280702764971</v>
      </c>
      <c r="C2537">
        <v>6.5102206574349903</v>
      </c>
      <c r="D2537">
        <v>0.14363306351163399</v>
      </c>
      <c r="E2537">
        <v>0.66748869496506702</v>
      </c>
      <c r="F2537">
        <v>5</v>
      </c>
      <c r="G2537">
        <v>12</v>
      </c>
      <c r="H2537" t="s">
        <v>8215</v>
      </c>
      <c r="I2537" t="s">
        <v>8216</v>
      </c>
      <c r="J2537" t="s">
        <v>2864</v>
      </c>
    </row>
    <row r="2538" spans="1:10">
      <c r="A2538" t="s">
        <v>8217</v>
      </c>
      <c r="B2538">
        <v>-1.13280702764971</v>
      </c>
      <c r="C2538">
        <v>6.5102206574349903</v>
      </c>
      <c r="D2538">
        <v>0.14363306351163399</v>
      </c>
      <c r="E2538">
        <v>0.66748869496506702</v>
      </c>
      <c r="F2538">
        <v>5</v>
      </c>
      <c r="G2538">
        <v>12</v>
      </c>
      <c r="H2538" t="s">
        <v>8218</v>
      </c>
      <c r="I2538" t="s">
        <v>8219</v>
      </c>
      <c r="J2538" t="s">
        <v>2865</v>
      </c>
    </row>
    <row r="2539" spans="1:10">
      <c r="A2539" t="s">
        <v>8220</v>
      </c>
      <c r="B2539">
        <v>-1.13280702764971</v>
      </c>
      <c r="C2539">
        <v>6.5102206574349903</v>
      </c>
      <c r="D2539">
        <v>0.14363306351163399</v>
      </c>
      <c r="E2539">
        <v>0.66748869496506702</v>
      </c>
      <c r="F2539">
        <v>5</v>
      </c>
      <c r="G2539">
        <v>12</v>
      </c>
      <c r="H2539" t="s">
        <v>28</v>
      </c>
      <c r="I2539" t="s">
        <v>3438</v>
      </c>
      <c r="J2539" t="s">
        <v>2866</v>
      </c>
    </row>
    <row r="2540" spans="1:10">
      <c r="A2540" t="s">
        <v>8221</v>
      </c>
      <c r="B2540">
        <v>1.3119805719650799</v>
      </c>
      <c r="C2540">
        <v>6.5102530778017398</v>
      </c>
      <c r="D2540">
        <v>0.14363306351163399</v>
      </c>
      <c r="E2540">
        <v>0.66748869496506702</v>
      </c>
      <c r="F2540">
        <v>12</v>
      </c>
      <c r="G2540">
        <v>5</v>
      </c>
      <c r="H2540" t="s">
        <v>28</v>
      </c>
      <c r="I2540" t="s">
        <v>3438</v>
      </c>
      <c r="J2540" t="s">
        <v>2867</v>
      </c>
    </row>
    <row r="2541" spans="1:10">
      <c r="A2541" t="s">
        <v>8222</v>
      </c>
      <c r="B2541">
        <v>1.3119805719650799</v>
      </c>
      <c r="C2541">
        <v>6.5102530778017398</v>
      </c>
      <c r="D2541">
        <v>0.14363306351163399</v>
      </c>
      <c r="E2541">
        <v>0.66748869496506702</v>
      </c>
      <c r="F2541">
        <v>12</v>
      </c>
      <c r="G2541">
        <v>5</v>
      </c>
      <c r="H2541" t="s">
        <v>28</v>
      </c>
      <c r="I2541" t="s">
        <v>3438</v>
      </c>
      <c r="J2541" t="s">
        <v>2868</v>
      </c>
    </row>
    <row r="2542" spans="1:10">
      <c r="A2542" t="s">
        <v>8223</v>
      </c>
      <c r="B2542">
        <v>1.3119805719650799</v>
      </c>
      <c r="C2542">
        <v>6.5102530778017398</v>
      </c>
      <c r="D2542">
        <v>0.14363306351163399</v>
      </c>
      <c r="E2542">
        <v>0.66748869496506702</v>
      </c>
      <c r="F2542">
        <v>12</v>
      </c>
      <c r="G2542">
        <v>5</v>
      </c>
      <c r="H2542" t="s">
        <v>28</v>
      </c>
      <c r="I2542" t="s">
        <v>3438</v>
      </c>
      <c r="J2542" t="s">
        <v>2869</v>
      </c>
    </row>
    <row r="2543" spans="1:10">
      <c r="A2543" t="s">
        <v>8224</v>
      </c>
      <c r="B2543">
        <v>-0.56005902441488498</v>
      </c>
      <c r="C2543">
        <v>8.4888322752717595</v>
      </c>
      <c r="D2543">
        <v>0.142738521283124</v>
      </c>
      <c r="E2543">
        <v>0.66748869496506702</v>
      </c>
      <c r="F2543">
        <v>26</v>
      </c>
      <c r="G2543">
        <v>41</v>
      </c>
      <c r="H2543" t="s">
        <v>8225</v>
      </c>
      <c r="I2543" t="s">
        <v>8226</v>
      </c>
      <c r="J2543" t="s">
        <v>2870</v>
      </c>
    </row>
    <row r="2544" spans="1:10">
      <c r="A2544" t="s">
        <v>8227</v>
      </c>
      <c r="B2544">
        <v>-0.56005902441488498</v>
      </c>
      <c r="C2544">
        <v>8.4888322752717595</v>
      </c>
      <c r="D2544">
        <v>0.142738521283124</v>
      </c>
      <c r="E2544">
        <v>0.66748869496506702</v>
      </c>
      <c r="F2544">
        <v>26</v>
      </c>
      <c r="G2544">
        <v>41</v>
      </c>
      <c r="H2544" t="s">
        <v>8228</v>
      </c>
      <c r="I2544" t="s">
        <v>8229</v>
      </c>
      <c r="J2544" t="s">
        <v>2871</v>
      </c>
    </row>
    <row r="2545" spans="1:10">
      <c r="A2545" t="s">
        <v>8230</v>
      </c>
      <c r="B2545">
        <v>-0.56005902441488498</v>
      </c>
      <c r="C2545">
        <v>8.4888322752717595</v>
      </c>
      <c r="D2545">
        <v>0.142738521283124</v>
      </c>
      <c r="E2545">
        <v>0.66748869496506702</v>
      </c>
      <c r="F2545">
        <v>26</v>
      </c>
      <c r="G2545">
        <v>41</v>
      </c>
      <c r="H2545" t="s">
        <v>28</v>
      </c>
      <c r="I2545" t="s">
        <v>3438</v>
      </c>
      <c r="J2545" t="s">
        <v>2872</v>
      </c>
    </row>
    <row r="2546" spans="1:10">
      <c r="A2546" t="s">
        <v>8231</v>
      </c>
      <c r="B2546">
        <v>0.60801682406180202</v>
      </c>
      <c r="C2546">
        <v>8.2301549546978503</v>
      </c>
      <c r="D2546">
        <v>0.14145113504006401</v>
      </c>
      <c r="E2546">
        <v>0.66748869496506702</v>
      </c>
      <c r="F2546">
        <v>33</v>
      </c>
      <c r="G2546">
        <v>23</v>
      </c>
      <c r="H2546" t="s">
        <v>28</v>
      </c>
      <c r="I2546" t="s">
        <v>8232</v>
      </c>
      <c r="J2546" t="s">
        <v>2873</v>
      </c>
    </row>
    <row r="2547" spans="1:10">
      <c r="A2547" t="s">
        <v>8233</v>
      </c>
      <c r="B2547">
        <v>-0.50433414504734198</v>
      </c>
      <c r="C2547">
        <v>8.7081438272115896</v>
      </c>
      <c r="D2547">
        <v>0.14131141646367401</v>
      </c>
      <c r="E2547">
        <v>0.66748869496506702</v>
      </c>
      <c r="F2547">
        <v>31</v>
      </c>
      <c r="G2547">
        <v>47</v>
      </c>
      <c r="H2547" t="s">
        <v>28</v>
      </c>
      <c r="I2547" t="s">
        <v>3438</v>
      </c>
      <c r="J2547" t="s">
        <v>336</v>
      </c>
    </row>
    <row r="2548" spans="1:10">
      <c r="A2548" t="s">
        <v>8234</v>
      </c>
      <c r="B2548">
        <v>0.53669895779478505</v>
      </c>
      <c r="C2548">
        <v>8.7082084711468397</v>
      </c>
      <c r="D2548">
        <v>0.14131141646367401</v>
      </c>
      <c r="E2548">
        <v>0.66748869496506702</v>
      </c>
      <c r="F2548">
        <v>45</v>
      </c>
      <c r="G2548">
        <v>33</v>
      </c>
      <c r="H2548" t="s">
        <v>8235</v>
      </c>
      <c r="I2548" t="s">
        <v>8236</v>
      </c>
      <c r="J2548" t="s">
        <v>2874</v>
      </c>
    </row>
    <row r="2549" spans="1:10">
      <c r="A2549" t="s">
        <v>8237</v>
      </c>
      <c r="B2549">
        <v>0.53669895779478505</v>
      </c>
      <c r="C2549">
        <v>8.7082084711468397</v>
      </c>
      <c r="D2549">
        <v>0.14131141646367401</v>
      </c>
      <c r="E2549">
        <v>0.66748869496506702</v>
      </c>
      <c r="F2549">
        <v>45</v>
      </c>
      <c r="G2549">
        <v>33</v>
      </c>
      <c r="H2549" t="s">
        <v>28</v>
      </c>
      <c r="I2549" t="s">
        <v>3770</v>
      </c>
      <c r="J2549" t="s">
        <v>2875</v>
      </c>
    </row>
    <row r="2550" spans="1:10">
      <c r="A2550" t="s">
        <v>8238</v>
      </c>
      <c r="B2550">
        <v>-0.42895254517172299</v>
      </c>
      <c r="C2550">
        <v>9.2930977546704305</v>
      </c>
      <c r="D2550">
        <v>0.139906365171279</v>
      </c>
      <c r="E2550">
        <v>0.66748869496506702</v>
      </c>
      <c r="F2550">
        <v>48</v>
      </c>
      <c r="G2550">
        <v>69</v>
      </c>
      <c r="H2550" t="s">
        <v>8239</v>
      </c>
      <c r="I2550" t="s">
        <v>7559</v>
      </c>
      <c r="J2550" t="s">
        <v>2876</v>
      </c>
    </row>
    <row r="2551" spans="1:10">
      <c r="A2551" t="s">
        <v>8240</v>
      </c>
      <c r="B2551">
        <v>0.43163950379830701</v>
      </c>
      <c r="C2551">
        <v>9.0952333325334003</v>
      </c>
      <c r="D2551">
        <v>0.138099204497869</v>
      </c>
      <c r="E2551">
        <v>0.66585763368088002</v>
      </c>
      <c r="F2551">
        <v>57</v>
      </c>
      <c r="G2551">
        <v>45</v>
      </c>
      <c r="H2551" t="s">
        <v>28</v>
      </c>
      <c r="I2551" t="s">
        <v>3438</v>
      </c>
      <c r="J2551" t="s">
        <v>2877</v>
      </c>
    </row>
    <row r="2552" spans="1:10">
      <c r="A2552" t="s">
        <v>8241</v>
      </c>
      <c r="B2552">
        <v>-0.238123163276278</v>
      </c>
      <c r="C2552">
        <v>10.8739183754384</v>
      </c>
      <c r="D2552">
        <v>0.13718901346995799</v>
      </c>
      <c r="E2552">
        <v>0.66246226324232205</v>
      </c>
      <c r="F2552">
        <v>155</v>
      </c>
      <c r="G2552">
        <v>195</v>
      </c>
      <c r="H2552" t="s">
        <v>8242</v>
      </c>
      <c r="I2552" t="s">
        <v>8243</v>
      </c>
      <c r="J2552" t="s">
        <v>2878</v>
      </c>
    </row>
    <row r="2553" spans="1:10">
      <c r="A2553" t="s">
        <v>8244</v>
      </c>
      <c r="B2553">
        <v>-0.89126107465025195</v>
      </c>
      <c r="C2553">
        <v>7.32964244548584</v>
      </c>
      <c r="D2553">
        <v>0.13632941653269501</v>
      </c>
      <c r="E2553">
        <v>0.65930135875059503</v>
      </c>
      <c r="F2553">
        <v>10</v>
      </c>
      <c r="G2553">
        <v>20</v>
      </c>
      <c r="H2553" t="s">
        <v>8245</v>
      </c>
      <c r="I2553" t="s">
        <v>8246</v>
      </c>
      <c r="J2553" t="s">
        <v>2879</v>
      </c>
    </row>
    <row r="2554" spans="1:10">
      <c r="A2554" t="s">
        <v>8247</v>
      </c>
      <c r="B2554">
        <v>0.92324739579872905</v>
      </c>
      <c r="C2554">
        <v>7.2301482815376001</v>
      </c>
      <c r="D2554">
        <v>0.13632941653269501</v>
      </c>
      <c r="E2554">
        <v>0.65930135875059503</v>
      </c>
      <c r="F2554">
        <v>18</v>
      </c>
      <c r="G2554">
        <v>10</v>
      </c>
      <c r="H2554" t="s">
        <v>28</v>
      </c>
      <c r="I2554" t="s">
        <v>3438</v>
      </c>
      <c r="J2554" t="s">
        <v>414</v>
      </c>
    </row>
    <row r="2555" spans="1:10">
      <c r="A2555" t="s">
        <v>8248</v>
      </c>
      <c r="B2555">
        <v>0.92324739579872905</v>
      </c>
      <c r="C2555">
        <v>7.2301482815376001</v>
      </c>
      <c r="D2555">
        <v>0.13632941653269501</v>
      </c>
      <c r="E2555">
        <v>0.65930135875059503</v>
      </c>
      <c r="F2555">
        <v>18</v>
      </c>
      <c r="G2555">
        <v>10</v>
      </c>
      <c r="H2555" t="s">
        <v>8249</v>
      </c>
      <c r="I2555" t="s">
        <v>8250</v>
      </c>
      <c r="J2555" t="s">
        <v>2880</v>
      </c>
    </row>
    <row r="2556" spans="1:10">
      <c r="A2556" t="s">
        <v>8251</v>
      </c>
      <c r="B2556">
        <v>0.92324739579872905</v>
      </c>
      <c r="C2556">
        <v>7.2301482815376001</v>
      </c>
      <c r="D2556">
        <v>0.13632941653269501</v>
      </c>
      <c r="E2556">
        <v>0.65930135875059503</v>
      </c>
      <c r="F2556">
        <v>18</v>
      </c>
      <c r="G2556">
        <v>10</v>
      </c>
      <c r="H2556" t="s">
        <v>8252</v>
      </c>
      <c r="I2556" t="s">
        <v>8253</v>
      </c>
      <c r="J2556" t="s">
        <v>2881</v>
      </c>
    </row>
    <row r="2557" spans="1:10">
      <c r="A2557" t="s">
        <v>8254</v>
      </c>
      <c r="B2557">
        <v>-0.52041179287125805</v>
      </c>
      <c r="C2557">
        <v>8.6706689703224509</v>
      </c>
      <c r="D2557">
        <v>0.13612662438178799</v>
      </c>
      <c r="E2557">
        <v>0.65930135875059503</v>
      </c>
      <c r="F2557">
        <v>30</v>
      </c>
      <c r="G2557">
        <v>46</v>
      </c>
      <c r="H2557" t="s">
        <v>8255</v>
      </c>
      <c r="I2557" t="s">
        <v>8256</v>
      </c>
      <c r="J2557" t="s">
        <v>2882</v>
      </c>
    </row>
    <row r="2558" spans="1:10">
      <c r="A2558" t="s">
        <v>8257</v>
      </c>
      <c r="B2558">
        <v>-0.75636624340069003</v>
      </c>
      <c r="C2558">
        <v>7.9145991389336396</v>
      </c>
      <c r="D2558">
        <v>0.13559517944150301</v>
      </c>
      <c r="E2558">
        <v>0.65930135875059503</v>
      </c>
      <c r="F2558">
        <v>16</v>
      </c>
      <c r="G2558">
        <v>29</v>
      </c>
      <c r="H2558" t="s">
        <v>8258</v>
      </c>
      <c r="I2558" t="s">
        <v>8259</v>
      </c>
      <c r="J2558" t="s">
        <v>2883</v>
      </c>
    </row>
    <row r="2559" spans="1:10">
      <c r="A2559" t="s">
        <v>8260</v>
      </c>
      <c r="B2559">
        <v>-0.32146753032212899</v>
      </c>
      <c r="C2559">
        <v>10.0374327940648</v>
      </c>
      <c r="D2559">
        <v>0.13530689527477699</v>
      </c>
      <c r="E2559">
        <v>0.65930135875059503</v>
      </c>
      <c r="F2559">
        <v>84</v>
      </c>
      <c r="G2559">
        <v>112</v>
      </c>
      <c r="H2559" t="s">
        <v>8261</v>
      </c>
      <c r="I2559" t="s">
        <v>4686</v>
      </c>
      <c r="J2559" t="s">
        <v>2884</v>
      </c>
    </row>
    <row r="2560" spans="1:10">
      <c r="A2560" t="s">
        <v>8262</v>
      </c>
      <c r="B2560">
        <v>-0.32146753032212899</v>
      </c>
      <c r="C2560">
        <v>10.0374327940648</v>
      </c>
      <c r="D2560">
        <v>0.13530689527477699</v>
      </c>
      <c r="E2560">
        <v>0.65930135875059503</v>
      </c>
      <c r="F2560">
        <v>84</v>
      </c>
      <c r="G2560">
        <v>112</v>
      </c>
      <c r="H2560" t="s">
        <v>28</v>
      </c>
      <c r="I2560" t="s">
        <v>8263</v>
      </c>
      <c r="J2560" t="s">
        <v>2885</v>
      </c>
    </row>
    <row r="2561" spans="1:10">
      <c r="A2561" t="s">
        <v>8264</v>
      </c>
      <c r="B2561">
        <v>-0.66635266392219195</v>
      </c>
      <c r="C2561">
        <v>8.1776319137190008</v>
      </c>
      <c r="D2561">
        <v>0.13419823113826701</v>
      </c>
      <c r="E2561">
        <v>0.65689727753526095</v>
      </c>
      <c r="F2561">
        <v>20</v>
      </c>
      <c r="G2561">
        <v>34</v>
      </c>
      <c r="H2561" t="s">
        <v>8265</v>
      </c>
      <c r="I2561" t="s">
        <v>8266</v>
      </c>
      <c r="J2561" t="s">
        <v>2886</v>
      </c>
    </row>
    <row r="2562" spans="1:10">
      <c r="A2562" t="s">
        <v>8267</v>
      </c>
      <c r="B2562">
        <v>-0.66635266392219195</v>
      </c>
      <c r="C2562">
        <v>8.1776319137190008</v>
      </c>
      <c r="D2562">
        <v>0.13419823113826701</v>
      </c>
      <c r="E2562">
        <v>0.65689727753526095</v>
      </c>
      <c r="F2562">
        <v>20</v>
      </c>
      <c r="G2562">
        <v>34</v>
      </c>
      <c r="H2562" t="s">
        <v>8268</v>
      </c>
      <c r="I2562" t="s">
        <v>8269</v>
      </c>
      <c r="J2562" t="s">
        <v>2887</v>
      </c>
    </row>
    <row r="2563" spans="1:10">
      <c r="A2563" t="s">
        <v>8270</v>
      </c>
      <c r="B2563">
        <v>0.627353820944758</v>
      </c>
      <c r="C2563">
        <v>8.1776873889819406</v>
      </c>
      <c r="D2563">
        <v>0.13419823113826701</v>
      </c>
      <c r="E2563">
        <v>0.65689727753526095</v>
      </c>
      <c r="F2563">
        <v>32</v>
      </c>
      <c r="G2563">
        <v>22</v>
      </c>
      <c r="H2563" t="s">
        <v>8271</v>
      </c>
      <c r="I2563" t="s">
        <v>8272</v>
      </c>
      <c r="J2563" t="s">
        <v>2888</v>
      </c>
    </row>
    <row r="2564" spans="1:10">
      <c r="A2564" t="s">
        <v>8273</v>
      </c>
      <c r="B2564">
        <v>0.627353820944758</v>
      </c>
      <c r="C2564">
        <v>8.1776873889819406</v>
      </c>
      <c r="D2564">
        <v>0.13419823113826701</v>
      </c>
      <c r="E2564">
        <v>0.65689727753526095</v>
      </c>
      <c r="F2564">
        <v>32</v>
      </c>
      <c r="G2564">
        <v>22</v>
      </c>
      <c r="H2564" t="s">
        <v>8274</v>
      </c>
      <c r="I2564" t="s">
        <v>3438</v>
      </c>
      <c r="J2564" t="s">
        <v>2889</v>
      </c>
    </row>
    <row r="2565" spans="1:10">
      <c r="A2565" t="s">
        <v>8275</v>
      </c>
      <c r="B2565">
        <v>0.47141912666116198</v>
      </c>
      <c r="C2565">
        <v>9.0521666999411803</v>
      </c>
      <c r="D2565">
        <v>0.13417943356218501</v>
      </c>
      <c r="E2565">
        <v>0.65689727753526095</v>
      </c>
      <c r="F2565">
        <v>56</v>
      </c>
      <c r="G2565">
        <v>43</v>
      </c>
      <c r="H2565" t="s">
        <v>28</v>
      </c>
      <c r="I2565" t="s">
        <v>4348</v>
      </c>
      <c r="J2565" t="s">
        <v>2890</v>
      </c>
    </row>
    <row r="2566" spans="1:10">
      <c r="A2566" t="s">
        <v>8276</v>
      </c>
      <c r="B2566">
        <v>-0.98237523494397205</v>
      </c>
      <c r="C2566">
        <v>6.8821874953439099</v>
      </c>
      <c r="D2566">
        <v>0.13401393338084</v>
      </c>
      <c r="E2566">
        <v>0.65689727753526095</v>
      </c>
      <c r="F2566">
        <v>7</v>
      </c>
      <c r="G2566">
        <v>15</v>
      </c>
      <c r="H2566" t="s">
        <v>28</v>
      </c>
      <c r="I2566" t="s">
        <v>4945</v>
      </c>
      <c r="J2566" t="s">
        <v>2891</v>
      </c>
    </row>
    <row r="2567" spans="1:10">
      <c r="A2567" t="s">
        <v>8277</v>
      </c>
      <c r="B2567">
        <v>0.395128005112515</v>
      </c>
      <c r="C2567">
        <v>9.5826891913285497</v>
      </c>
      <c r="D2567">
        <v>0.13335807795510601</v>
      </c>
      <c r="E2567">
        <v>0.65689727753526095</v>
      </c>
      <c r="F2567">
        <v>79</v>
      </c>
      <c r="G2567">
        <v>64</v>
      </c>
      <c r="H2567" t="s">
        <v>8278</v>
      </c>
      <c r="I2567" t="s">
        <v>3450</v>
      </c>
      <c r="J2567" t="s">
        <v>2892</v>
      </c>
    </row>
    <row r="2568" spans="1:10">
      <c r="A2568" t="s">
        <v>8279</v>
      </c>
      <c r="B2568">
        <v>0.73424960346193202</v>
      </c>
      <c r="C2568">
        <v>7.5927189473921697</v>
      </c>
      <c r="D2568">
        <v>0.13284608413336699</v>
      </c>
      <c r="E2568">
        <v>0.65689727753526095</v>
      </c>
      <c r="F2568">
        <v>22</v>
      </c>
      <c r="G2568">
        <v>14</v>
      </c>
      <c r="H2568" t="s">
        <v>8280</v>
      </c>
      <c r="I2568" t="s">
        <v>8281</v>
      </c>
      <c r="J2568" t="s">
        <v>2893</v>
      </c>
    </row>
    <row r="2569" spans="1:10">
      <c r="A2569" t="s">
        <v>8282</v>
      </c>
      <c r="B2569">
        <v>0.83915782311454701</v>
      </c>
      <c r="C2569">
        <v>7.5520792033073301</v>
      </c>
      <c r="D2569">
        <v>0.13284608413336699</v>
      </c>
      <c r="E2569">
        <v>0.65689727753526095</v>
      </c>
      <c r="F2569">
        <v>22</v>
      </c>
      <c r="G2569">
        <v>13</v>
      </c>
      <c r="H2569" t="s">
        <v>28</v>
      </c>
      <c r="I2569" t="s">
        <v>8283</v>
      </c>
      <c r="J2569" t="s">
        <v>2894</v>
      </c>
    </row>
    <row r="2570" spans="1:10">
      <c r="A2570" t="s">
        <v>8284</v>
      </c>
      <c r="B2570">
        <v>-0.28824279988169899</v>
      </c>
      <c r="C2570">
        <v>10.394259239315099</v>
      </c>
      <c r="D2570">
        <v>0.13204198841571199</v>
      </c>
      <c r="E2570">
        <v>0.65531949806316203</v>
      </c>
      <c r="F2570">
        <v>109</v>
      </c>
      <c r="G2570">
        <v>142</v>
      </c>
      <c r="H2570" t="s">
        <v>28</v>
      </c>
      <c r="I2570" t="s">
        <v>3465</v>
      </c>
      <c r="J2570" t="s">
        <v>1120</v>
      </c>
    </row>
    <row r="2571" spans="1:10">
      <c r="A2571" t="s">
        <v>8285</v>
      </c>
      <c r="B2571">
        <v>-0.60274096808742195</v>
      </c>
      <c r="C2571">
        <v>8.4000227054706098</v>
      </c>
      <c r="D2571">
        <v>0.130521699949634</v>
      </c>
      <c r="E2571">
        <v>0.64877555956417898</v>
      </c>
      <c r="F2571">
        <v>24</v>
      </c>
      <c r="G2571">
        <v>39</v>
      </c>
      <c r="H2571" t="s">
        <v>8286</v>
      </c>
      <c r="I2571" t="s">
        <v>3438</v>
      </c>
      <c r="J2571" t="s">
        <v>2895</v>
      </c>
    </row>
    <row r="2572" spans="1:10">
      <c r="A2572" t="s">
        <v>8287</v>
      </c>
      <c r="B2572">
        <v>0.43026877264751701</v>
      </c>
      <c r="C2572">
        <v>9.2172268126821404</v>
      </c>
      <c r="D2572">
        <v>0.129533911349315</v>
      </c>
      <c r="E2572">
        <v>0.64486232027770596</v>
      </c>
      <c r="F2572">
        <v>62</v>
      </c>
      <c r="G2572">
        <v>49</v>
      </c>
      <c r="H2572" t="s">
        <v>8288</v>
      </c>
      <c r="I2572" t="s">
        <v>8289</v>
      </c>
      <c r="J2572" t="s">
        <v>2896</v>
      </c>
    </row>
    <row r="2573" spans="1:10">
      <c r="A2573" t="s">
        <v>8290</v>
      </c>
      <c r="B2573">
        <v>-0.51714709888535904</v>
      </c>
      <c r="C2573">
        <v>8.8490023531533506</v>
      </c>
      <c r="D2573">
        <v>0.129206800149087</v>
      </c>
      <c r="E2573">
        <v>0.64423111516195997</v>
      </c>
      <c r="F2573">
        <v>34</v>
      </c>
      <c r="G2573">
        <v>52</v>
      </c>
      <c r="H2573" t="s">
        <v>28</v>
      </c>
      <c r="I2573" t="s">
        <v>3438</v>
      </c>
      <c r="J2573" t="s">
        <v>2897</v>
      </c>
    </row>
    <row r="2574" spans="1:10">
      <c r="A2574" t="s">
        <v>8291</v>
      </c>
      <c r="B2574">
        <v>-0.79787176932397696</v>
      </c>
      <c r="C2574">
        <v>7.8490106460279998</v>
      </c>
      <c r="D2574">
        <v>0.12669632594508101</v>
      </c>
      <c r="E2574">
        <v>0.63269469602388195</v>
      </c>
      <c r="F2574">
        <v>15</v>
      </c>
      <c r="G2574">
        <v>28</v>
      </c>
      <c r="H2574" t="s">
        <v>28</v>
      </c>
      <c r="I2574" t="s">
        <v>3438</v>
      </c>
      <c r="J2574" t="s">
        <v>2898</v>
      </c>
    </row>
    <row r="2575" spans="1:10">
      <c r="A2575" t="s">
        <v>8292</v>
      </c>
      <c r="B2575">
        <v>0.261134172807303</v>
      </c>
      <c r="C2575">
        <v>10.689622978794301</v>
      </c>
      <c r="D2575">
        <v>0.12668056874361699</v>
      </c>
      <c r="E2575">
        <v>0.63269469602388195</v>
      </c>
      <c r="F2575">
        <v>163</v>
      </c>
      <c r="G2575">
        <v>145</v>
      </c>
      <c r="H2575" t="s">
        <v>8293</v>
      </c>
      <c r="I2575" t="s">
        <v>8294</v>
      </c>
      <c r="J2575" t="s">
        <v>2899</v>
      </c>
    </row>
    <row r="2576" spans="1:10">
      <c r="A2576" t="s">
        <v>8295</v>
      </c>
      <c r="B2576">
        <v>-0.46799983490785502</v>
      </c>
      <c r="C2576">
        <v>9.1909167515718693</v>
      </c>
      <c r="D2576">
        <v>0.12603136914048099</v>
      </c>
      <c r="E2576">
        <v>0.631334708965401</v>
      </c>
      <c r="F2576">
        <v>44</v>
      </c>
      <c r="G2576">
        <v>65</v>
      </c>
      <c r="H2576" t="s">
        <v>8296</v>
      </c>
      <c r="I2576" t="s">
        <v>8297</v>
      </c>
      <c r="J2576" t="s">
        <v>2900</v>
      </c>
    </row>
    <row r="2577" spans="1:10">
      <c r="A2577" t="s">
        <v>8298</v>
      </c>
      <c r="B2577">
        <v>-0.15050845958707901</v>
      </c>
      <c r="C2577">
        <v>12.297646010008799</v>
      </c>
      <c r="D2577">
        <v>0.12532443128271401</v>
      </c>
      <c r="E2577">
        <v>0.62877280968051097</v>
      </c>
      <c r="F2577">
        <v>430</v>
      </c>
      <c r="G2577">
        <v>509</v>
      </c>
      <c r="H2577" t="s">
        <v>6129</v>
      </c>
      <c r="I2577" t="s">
        <v>6130</v>
      </c>
      <c r="J2577" t="s">
        <v>48</v>
      </c>
    </row>
    <row r="2578" spans="1:10">
      <c r="A2578" t="s">
        <v>8299</v>
      </c>
      <c r="B2578">
        <v>-2.2403416891089898</v>
      </c>
      <c r="C2578">
        <v>5.2301166201110298</v>
      </c>
      <c r="D2578">
        <v>0.125065621718084</v>
      </c>
      <c r="E2578">
        <v>0.62845474913337296</v>
      </c>
      <c r="F2578">
        <v>1</v>
      </c>
      <c r="G2578">
        <v>6</v>
      </c>
      <c r="H2578" t="s">
        <v>28</v>
      </c>
      <c r="I2578" t="s">
        <v>3657</v>
      </c>
      <c r="J2578" t="s">
        <v>151</v>
      </c>
    </row>
    <row r="2579" spans="1:10">
      <c r="A2579" t="s">
        <v>8300</v>
      </c>
      <c r="B2579">
        <v>-2.2403416891089898</v>
      </c>
      <c r="C2579">
        <v>5.2301166201110298</v>
      </c>
      <c r="D2579">
        <v>0.125065621718084</v>
      </c>
      <c r="E2579">
        <v>0.62845474913337296</v>
      </c>
      <c r="F2579">
        <v>1</v>
      </c>
      <c r="G2579">
        <v>6</v>
      </c>
      <c r="H2579" t="s">
        <v>28</v>
      </c>
      <c r="I2579" t="s">
        <v>3438</v>
      </c>
      <c r="J2579" t="s">
        <v>2901</v>
      </c>
    </row>
    <row r="2580" spans="1:10">
      <c r="A2580" t="s">
        <v>8301</v>
      </c>
      <c r="B2580">
        <v>-2.2403416891089898</v>
      </c>
      <c r="C2580">
        <v>5.2301166201110298</v>
      </c>
      <c r="D2580">
        <v>0.125065621718084</v>
      </c>
      <c r="E2580">
        <v>0.62845474913337296</v>
      </c>
      <c r="F2580">
        <v>1</v>
      </c>
      <c r="G2580">
        <v>6</v>
      </c>
      <c r="H2580" t="s">
        <v>335</v>
      </c>
      <c r="I2580" t="s">
        <v>3438</v>
      </c>
      <c r="J2580" t="s">
        <v>334</v>
      </c>
    </row>
    <row r="2581" spans="1:10">
      <c r="A2581" t="s">
        <v>8302</v>
      </c>
      <c r="B2581">
        <v>2.4035716935817</v>
      </c>
      <c r="C2581">
        <v>5.23013978906737</v>
      </c>
      <c r="D2581">
        <v>0.125065621718084</v>
      </c>
      <c r="E2581">
        <v>0.62845474913337296</v>
      </c>
      <c r="F2581">
        <v>6</v>
      </c>
      <c r="G2581">
        <v>1</v>
      </c>
      <c r="H2581" t="s">
        <v>28</v>
      </c>
      <c r="I2581" t="s">
        <v>3438</v>
      </c>
      <c r="J2581" t="s">
        <v>2902</v>
      </c>
    </row>
    <row r="2582" spans="1:10">
      <c r="A2582" t="s">
        <v>8303</v>
      </c>
      <c r="B2582">
        <v>2.4035716935817</v>
      </c>
      <c r="C2582">
        <v>5.23013978906737</v>
      </c>
      <c r="D2582">
        <v>0.125065621718084</v>
      </c>
      <c r="E2582">
        <v>0.62845474913337296</v>
      </c>
      <c r="F2582">
        <v>6</v>
      </c>
      <c r="G2582">
        <v>1</v>
      </c>
      <c r="H2582" t="s">
        <v>28</v>
      </c>
      <c r="I2582" t="s">
        <v>8304</v>
      </c>
      <c r="J2582" t="s">
        <v>2903</v>
      </c>
    </row>
    <row r="2583" spans="1:10">
      <c r="A2583" t="s">
        <v>8305</v>
      </c>
      <c r="B2583">
        <v>2.4035716935817</v>
      </c>
      <c r="C2583">
        <v>5.23013978906737</v>
      </c>
      <c r="D2583">
        <v>0.125065621718084</v>
      </c>
      <c r="E2583">
        <v>0.62845474913337296</v>
      </c>
      <c r="F2583">
        <v>6</v>
      </c>
      <c r="G2583">
        <v>1</v>
      </c>
      <c r="H2583" t="s">
        <v>28</v>
      </c>
      <c r="I2583" t="s">
        <v>3631</v>
      </c>
      <c r="J2583" t="s">
        <v>2904</v>
      </c>
    </row>
    <row r="2584" spans="1:10">
      <c r="A2584" t="s">
        <v>8306</v>
      </c>
      <c r="B2584">
        <v>2.4035716935817</v>
      </c>
      <c r="C2584">
        <v>5.23013978906737</v>
      </c>
      <c r="D2584">
        <v>0.125065621718084</v>
      </c>
      <c r="E2584">
        <v>0.62845474913337296</v>
      </c>
      <c r="F2584">
        <v>6</v>
      </c>
      <c r="G2584">
        <v>1</v>
      </c>
      <c r="H2584" t="s">
        <v>28</v>
      </c>
      <c r="I2584" t="s">
        <v>3438</v>
      </c>
      <c r="J2584" t="s">
        <v>2905</v>
      </c>
    </row>
    <row r="2585" spans="1:10">
      <c r="A2585" t="s">
        <v>8307</v>
      </c>
      <c r="B2585">
        <v>2.4035716935817</v>
      </c>
      <c r="C2585">
        <v>5.23013978906737</v>
      </c>
      <c r="D2585">
        <v>0.125065621718084</v>
      </c>
      <c r="E2585">
        <v>0.62845474913337296</v>
      </c>
      <c r="F2585">
        <v>6</v>
      </c>
      <c r="G2585">
        <v>1</v>
      </c>
      <c r="H2585" t="s">
        <v>28</v>
      </c>
      <c r="I2585" t="s">
        <v>3438</v>
      </c>
      <c r="J2585" t="s">
        <v>2906</v>
      </c>
    </row>
    <row r="2586" spans="1:10">
      <c r="A2586" t="s">
        <v>8308</v>
      </c>
      <c r="B2586">
        <v>0.40842643068143603</v>
      </c>
      <c r="C2586">
        <v>9.5208495071464707</v>
      </c>
      <c r="D2586">
        <v>0.125059555118232</v>
      </c>
      <c r="E2586">
        <v>0.62845474913337296</v>
      </c>
      <c r="F2586">
        <v>76</v>
      </c>
      <c r="G2586">
        <v>61</v>
      </c>
      <c r="H2586" t="s">
        <v>8309</v>
      </c>
      <c r="I2586" t="s">
        <v>8310</v>
      </c>
      <c r="J2586" t="s">
        <v>2907</v>
      </c>
    </row>
    <row r="2587" spans="1:10">
      <c r="A2587" t="s">
        <v>8311</v>
      </c>
      <c r="B2587">
        <v>-0.50360830991373196</v>
      </c>
      <c r="C2587">
        <v>8.7977791101554406</v>
      </c>
      <c r="D2587">
        <v>0.12463173474997501</v>
      </c>
      <c r="E2587">
        <v>0.62845474913337296</v>
      </c>
      <c r="F2587">
        <v>33</v>
      </c>
      <c r="G2587">
        <v>50</v>
      </c>
      <c r="H2587" t="s">
        <v>28</v>
      </c>
      <c r="I2587" t="s">
        <v>3822</v>
      </c>
      <c r="J2587" t="s">
        <v>2908</v>
      </c>
    </row>
    <row r="2588" spans="1:10">
      <c r="A2588" t="s">
        <v>8312</v>
      </c>
      <c r="B2588">
        <v>0.54507688707898005</v>
      </c>
      <c r="C2588">
        <v>8.7978483543062005</v>
      </c>
      <c r="D2588">
        <v>0.12463173474997501</v>
      </c>
      <c r="E2588">
        <v>0.62845474913337296</v>
      </c>
      <c r="F2588">
        <v>48</v>
      </c>
      <c r="G2588">
        <v>35</v>
      </c>
      <c r="H2588" t="s">
        <v>8313</v>
      </c>
      <c r="I2588" t="s">
        <v>8314</v>
      </c>
      <c r="J2588" t="s">
        <v>2909</v>
      </c>
    </row>
    <row r="2589" spans="1:10">
      <c r="A2589" t="s">
        <v>8315</v>
      </c>
      <c r="B2589">
        <v>0.61365912382878296</v>
      </c>
      <c r="C2589">
        <v>8.3535400453409494</v>
      </c>
      <c r="D2589">
        <v>0.124303419516633</v>
      </c>
      <c r="E2589">
        <v>0.62845474913337296</v>
      </c>
      <c r="F2589">
        <v>36</v>
      </c>
      <c r="G2589">
        <v>25</v>
      </c>
      <c r="H2589" t="s">
        <v>28</v>
      </c>
      <c r="I2589" t="s">
        <v>3438</v>
      </c>
      <c r="J2589" t="s">
        <v>2910</v>
      </c>
    </row>
    <row r="2590" spans="1:10">
      <c r="A2590" t="s">
        <v>8316</v>
      </c>
      <c r="B2590">
        <v>-0.96644829455494097</v>
      </c>
      <c r="C2590">
        <v>7.2301066211223697</v>
      </c>
      <c r="D2590">
        <v>0.122329491255045</v>
      </c>
      <c r="E2590">
        <v>0.62645166222328996</v>
      </c>
      <c r="F2590">
        <v>9</v>
      </c>
      <c r="G2590">
        <v>19</v>
      </c>
      <c r="H2590" t="s">
        <v>28</v>
      </c>
      <c r="I2590" t="s">
        <v>5445</v>
      </c>
      <c r="J2590" t="s">
        <v>2911</v>
      </c>
    </row>
    <row r="2591" spans="1:10">
      <c r="A2591" t="s">
        <v>8317</v>
      </c>
      <c r="B2591">
        <v>-0.96644829455494097</v>
      </c>
      <c r="C2591">
        <v>7.2301066211223697</v>
      </c>
      <c r="D2591">
        <v>0.122329491255045</v>
      </c>
      <c r="E2591">
        <v>0.62645166222328996</v>
      </c>
      <c r="F2591">
        <v>9</v>
      </c>
      <c r="G2591">
        <v>19</v>
      </c>
      <c r="H2591" t="s">
        <v>28</v>
      </c>
      <c r="I2591" t="s">
        <v>3438</v>
      </c>
      <c r="J2591" t="s">
        <v>2912</v>
      </c>
    </row>
    <row r="2592" spans="1:10">
      <c r="A2592" t="s">
        <v>8318</v>
      </c>
      <c r="B2592">
        <v>-0.96644829455494097</v>
      </c>
      <c r="C2592">
        <v>7.2301066211223697</v>
      </c>
      <c r="D2592">
        <v>0.122329491255045</v>
      </c>
      <c r="E2592">
        <v>0.62645166222328996</v>
      </c>
      <c r="F2592">
        <v>9</v>
      </c>
      <c r="G2592">
        <v>19</v>
      </c>
      <c r="H2592" t="s">
        <v>8319</v>
      </c>
      <c r="I2592" t="s">
        <v>3438</v>
      </c>
      <c r="J2592" t="s">
        <v>2913</v>
      </c>
    </row>
    <row r="2593" spans="1:10">
      <c r="A2593" t="s">
        <v>8320</v>
      </c>
      <c r="B2593">
        <v>-0.96644829455494097</v>
      </c>
      <c r="C2593">
        <v>7.2301066211223697</v>
      </c>
      <c r="D2593">
        <v>0.122329491255045</v>
      </c>
      <c r="E2593">
        <v>0.62645166222328996</v>
      </c>
      <c r="F2593">
        <v>9</v>
      </c>
      <c r="G2593">
        <v>19</v>
      </c>
      <c r="H2593" t="s">
        <v>8321</v>
      </c>
      <c r="I2593" t="s">
        <v>8322</v>
      </c>
      <c r="J2593" t="s">
        <v>2914</v>
      </c>
    </row>
    <row r="2594" spans="1:10">
      <c r="A2594" t="s">
        <v>8323</v>
      </c>
      <c r="B2594">
        <v>-0.83315351042920605</v>
      </c>
      <c r="C2594">
        <v>7.5520329300967504</v>
      </c>
      <c r="D2594">
        <v>0.121765398064398</v>
      </c>
      <c r="E2594">
        <v>0.62645166222328996</v>
      </c>
      <c r="F2594">
        <v>12</v>
      </c>
      <c r="G2594">
        <v>23</v>
      </c>
      <c r="H2594" t="s">
        <v>8324</v>
      </c>
      <c r="I2594" t="s">
        <v>8325</v>
      </c>
      <c r="J2594" t="s">
        <v>2915</v>
      </c>
    </row>
    <row r="2595" spans="1:10">
      <c r="A2595" t="s">
        <v>8326</v>
      </c>
      <c r="B2595">
        <v>-0.83315351042920605</v>
      </c>
      <c r="C2595">
        <v>7.5520329300967504</v>
      </c>
      <c r="D2595">
        <v>0.121765398064398</v>
      </c>
      <c r="E2595">
        <v>0.62645166222328996</v>
      </c>
      <c r="F2595">
        <v>12</v>
      </c>
      <c r="G2595">
        <v>23</v>
      </c>
      <c r="H2595" t="s">
        <v>28</v>
      </c>
      <c r="I2595" t="s">
        <v>3438</v>
      </c>
      <c r="J2595" t="s">
        <v>2916</v>
      </c>
    </row>
    <row r="2596" spans="1:10">
      <c r="A2596" t="s">
        <v>8327</v>
      </c>
      <c r="B2596">
        <v>0.88593006855433898</v>
      </c>
      <c r="C2596">
        <v>7.4671901593631098</v>
      </c>
      <c r="D2596">
        <v>0.121765398064398</v>
      </c>
      <c r="E2596">
        <v>0.62645166222328996</v>
      </c>
      <c r="F2596">
        <v>21</v>
      </c>
      <c r="G2596">
        <v>12</v>
      </c>
      <c r="H2596" t="s">
        <v>139</v>
      </c>
      <c r="I2596" t="s">
        <v>8328</v>
      </c>
      <c r="J2596" t="s">
        <v>138</v>
      </c>
    </row>
    <row r="2597" spans="1:10">
      <c r="A2597" t="s">
        <v>8329</v>
      </c>
      <c r="B2597">
        <v>0.88593006855433898</v>
      </c>
      <c r="C2597">
        <v>7.4671901593631098</v>
      </c>
      <c r="D2597">
        <v>0.121765398064398</v>
      </c>
      <c r="E2597">
        <v>0.62645166222328996</v>
      </c>
      <c r="F2597">
        <v>21</v>
      </c>
      <c r="G2597">
        <v>12</v>
      </c>
      <c r="H2597" t="s">
        <v>8330</v>
      </c>
      <c r="I2597" t="s">
        <v>8331</v>
      </c>
      <c r="J2597" t="s">
        <v>2917</v>
      </c>
    </row>
    <row r="2598" spans="1:10">
      <c r="A2598" t="s">
        <v>8332</v>
      </c>
      <c r="B2598">
        <v>0.42910291739671402</v>
      </c>
      <c r="C2598">
        <v>9.3297044950749104</v>
      </c>
      <c r="D2598">
        <v>0.121438863604416</v>
      </c>
      <c r="E2598">
        <v>0.62645166222328996</v>
      </c>
      <c r="F2598">
        <v>67</v>
      </c>
      <c r="G2598">
        <v>53</v>
      </c>
      <c r="H2598" t="s">
        <v>28</v>
      </c>
      <c r="I2598" t="s">
        <v>3438</v>
      </c>
      <c r="J2598" t="s">
        <v>2918</v>
      </c>
    </row>
    <row r="2599" spans="1:10">
      <c r="A2599" t="s">
        <v>8333</v>
      </c>
      <c r="B2599">
        <v>-0.57439703648908103</v>
      </c>
      <c r="C2599">
        <v>8.5520240192315402</v>
      </c>
      <c r="D2599">
        <v>0.120255630987082</v>
      </c>
      <c r="E2599">
        <v>0.62478531381979996</v>
      </c>
      <c r="F2599">
        <v>27</v>
      </c>
      <c r="G2599">
        <v>43</v>
      </c>
      <c r="H2599" t="s">
        <v>28</v>
      </c>
      <c r="I2599" t="s">
        <v>8334</v>
      </c>
      <c r="J2599" t="s">
        <v>331</v>
      </c>
    </row>
    <row r="2600" spans="1:10">
      <c r="A2600" t="s">
        <v>8335</v>
      </c>
      <c r="B2600">
        <v>0.58802051279638501</v>
      </c>
      <c r="C2600">
        <v>8.5520886888813106</v>
      </c>
      <c r="D2600">
        <v>0.120255630987082</v>
      </c>
      <c r="E2600">
        <v>0.62478531381979996</v>
      </c>
      <c r="F2600">
        <v>41</v>
      </c>
      <c r="G2600">
        <v>29</v>
      </c>
      <c r="H2600" t="s">
        <v>8336</v>
      </c>
      <c r="I2600" t="s">
        <v>8337</v>
      </c>
      <c r="J2600" t="s">
        <v>2919</v>
      </c>
    </row>
    <row r="2601" spans="1:10">
      <c r="A2601" t="s">
        <v>8338</v>
      </c>
      <c r="B2601">
        <v>0.55636686311788797</v>
      </c>
      <c r="C2601">
        <v>8.7626587811016794</v>
      </c>
      <c r="D2601">
        <v>0.120020593560829</v>
      </c>
      <c r="E2601">
        <v>0.62478531381979996</v>
      </c>
      <c r="F2601">
        <v>47</v>
      </c>
      <c r="G2601">
        <v>34</v>
      </c>
      <c r="H2601" t="s">
        <v>28</v>
      </c>
      <c r="I2601" t="s">
        <v>3438</v>
      </c>
      <c r="J2601" t="s">
        <v>2920</v>
      </c>
    </row>
    <row r="2602" spans="1:10">
      <c r="A2602" t="s">
        <v>8339</v>
      </c>
      <c r="B2602">
        <v>-0.40973402451424201</v>
      </c>
      <c r="C2602">
        <v>9.4780120810338708</v>
      </c>
      <c r="D2602">
        <v>0.119461581596083</v>
      </c>
      <c r="E2602">
        <v>0.62368254287825098</v>
      </c>
      <c r="F2602">
        <v>55</v>
      </c>
      <c r="G2602">
        <v>78</v>
      </c>
      <c r="H2602" t="s">
        <v>8340</v>
      </c>
      <c r="I2602" t="s">
        <v>8341</v>
      </c>
      <c r="J2602" t="s">
        <v>2921</v>
      </c>
    </row>
    <row r="2603" spans="1:10">
      <c r="A2603" t="s">
        <v>8342</v>
      </c>
      <c r="B2603">
        <v>-0.72965699940606199</v>
      </c>
      <c r="C2603">
        <v>8.0666002985549508</v>
      </c>
      <c r="D2603">
        <v>0.119380741659291</v>
      </c>
      <c r="E2603">
        <v>0.62368254287825098</v>
      </c>
      <c r="F2603">
        <v>18</v>
      </c>
      <c r="G2603">
        <v>32</v>
      </c>
      <c r="H2603" t="s">
        <v>28</v>
      </c>
      <c r="I2603" t="s">
        <v>3438</v>
      </c>
      <c r="J2603" t="s">
        <v>2922</v>
      </c>
    </row>
    <row r="2604" spans="1:10">
      <c r="A2604" t="s">
        <v>8343</v>
      </c>
      <c r="B2604">
        <v>0.67079804636818197</v>
      </c>
      <c r="C2604">
        <v>8.0666557848624905</v>
      </c>
      <c r="D2604">
        <v>0.119380741659291</v>
      </c>
      <c r="E2604">
        <v>0.62368254287825098</v>
      </c>
      <c r="F2604">
        <v>30</v>
      </c>
      <c r="G2604">
        <v>20</v>
      </c>
      <c r="H2604" t="s">
        <v>28</v>
      </c>
      <c r="I2604" t="s">
        <v>3438</v>
      </c>
      <c r="J2604" t="s">
        <v>2923</v>
      </c>
    </row>
    <row r="2605" spans="1:10">
      <c r="A2605" t="s">
        <v>8344</v>
      </c>
      <c r="B2605">
        <v>-0.48983154134899198</v>
      </c>
      <c r="C2605">
        <v>9.1369776401337806</v>
      </c>
      <c r="D2605">
        <v>0.118963443660544</v>
      </c>
      <c r="E2605">
        <v>0.62368254287825098</v>
      </c>
      <c r="F2605">
        <v>42</v>
      </c>
      <c r="G2605">
        <v>63</v>
      </c>
      <c r="H2605" t="s">
        <v>8345</v>
      </c>
      <c r="I2605" t="s">
        <v>8346</v>
      </c>
      <c r="J2605" t="s">
        <v>2924</v>
      </c>
    </row>
    <row r="2606" spans="1:10">
      <c r="A2606" t="s">
        <v>8347</v>
      </c>
      <c r="B2606">
        <v>-0.48983154134899198</v>
      </c>
      <c r="C2606">
        <v>9.1369776401337806</v>
      </c>
      <c r="D2606">
        <v>0.118963443660544</v>
      </c>
      <c r="E2606">
        <v>0.62368254287825098</v>
      </c>
      <c r="F2606">
        <v>42</v>
      </c>
      <c r="G2606">
        <v>63</v>
      </c>
      <c r="H2606" t="s">
        <v>8348</v>
      </c>
      <c r="I2606" t="s">
        <v>8349</v>
      </c>
      <c r="J2606" t="s">
        <v>2925</v>
      </c>
    </row>
    <row r="2607" spans="1:10">
      <c r="A2607" t="s">
        <v>8350</v>
      </c>
      <c r="B2607">
        <v>-1.3154091561897201</v>
      </c>
      <c r="C2607">
        <v>6.3296482614776703</v>
      </c>
      <c r="D2607">
        <v>0.118606690956112</v>
      </c>
      <c r="E2607">
        <v>0.62368254287825098</v>
      </c>
      <c r="F2607">
        <v>4</v>
      </c>
      <c r="G2607">
        <v>11</v>
      </c>
      <c r="H2607" t="s">
        <v>28</v>
      </c>
      <c r="I2607" t="s">
        <v>3438</v>
      </c>
      <c r="J2607" t="s">
        <v>2926</v>
      </c>
    </row>
    <row r="2608" spans="1:10">
      <c r="A2608" t="s">
        <v>8351</v>
      </c>
      <c r="B2608">
        <v>-1.3154091561897201</v>
      </c>
      <c r="C2608">
        <v>6.3296482614776703</v>
      </c>
      <c r="D2608">
        <v>0.118606690956112</v>
      </c>
      <c r="E2608">
        <v>0.62368254287825098</v>
      </c>
      <c r="F2608">
        <v>4</v>
      </c>
      <c r="G2608">
        <v>11</v>
      </c>
      <c r="H2608" t="s">
        <v>28</v>
      </c>
      <c r="I2608" t="s">
        <v>3438</v>
      </c>
      <c r="J2608" t="s">
        <v>2927</v>
      </c>
    </row>
    <row r="2609" spans="1:10">
      <c r="A2609" t="s">
        <v>8352</v>
      </c>
      <c r="B2609">
        <v>-1.3154091561897201</v>
      </c>
      <c r="C2609">
        <v>6.3296482614776703</v>
      </c>
      <c r="D2609">
        <v>0.118606690956112</v>
      </c>
      <c r="E2609">
        <v>0.62368254287825098</v>
      </c>
      <c r="F2609">
        <v>4</v>
      </c>
      <c r="G2609">
        <v>11</v>
      </c>
      <c r="H2609" t="s">
        <v>28</v>
      </c>
      <c r="I2609" t="s">
        <v>4452</v>
      </c>
      <c r="J2609" t="s">
        <v>2928</v>
      </c>
    </row>
    <row r="2610" spans="1:10">
      <c r="A2610" t="s">
        <v>8353</v>
      </c>
      <c r="B2610">
        <v>1.49337577200674</v>
      </c>
      <c r="C2610">
        <v>6.3296806850774399</v>
      </c>
      <c r="D2610">
        <v>0.118606690956112</v>
      </c>
      <c r="E2610">
        <v>0.62368254287825098</v>
      </c>
      <c r="F2610">
        <v>11</v>
      </c>
      <c r="G2610">
        <v>4</v>
      </c>
      <c r="H2610" t="s">
        <v>28</v>
      </c>
      <c r="I2610" t="s">
        <v>3657</v>
      </c>
      <c r="J2610" t="s">
        <v>2929</v>
      </c>
    </row>
    <row r="2611" spans="1:10">
      <c r="A2611" t="s">
        <v>8354</v>
      </c>
      <c r="B2611">
        <v>1.49337577200674</v>
      </c>
      <c r="C2611">
        <v>6.3296806850774399</v>
      </c>
      <c r="D2611">
        <v>0.118606690956112</v>
      </c>
      <c r="E2611">
        <v>0.62368254287825098</v>
      </c>
      <c r="F2611">
        <v>11</v>
      </c>
      <c r="G2611">
        <v>4</v>
      </c>
      <c r="H2611" t="s">
        <v>8355</v>
      </c>
      <c r="I2611" t="s">
        <v>8356</v>
      </c>
      <c r="J2611" t="s">
        <v>2930</v>
      </c>
    </row>
    <row r="2612" spans="1:10">
      <c r="A2612" t="s">
        <v>8357</v>
      </c>
      <c r="B2612">
        <v>1.49337577200674</v>
      </c>
      <c r="C2612">
        <v>6.3296806850774399</v>
      </c>
      <c r="D2612">
        <v>0.118606690956112</v>
      </c>
      <c r="E2612">
        <v>0.62368254287825098</v>
      </c>
      <c r="F2612">
        <v>11</v>
      </c>
      <c r="G2612">
        <v>4</v>
      </c>
      <c r="H2612" t="s">
        <v>8358</v>
      </c>
      <c r="I2612" t="s">
        <v>8359</v>
      </c>
      <c r="J2612" t="s">
        <v>2931</v>
      </c>
    </row>
    <row r="2613" spans="1:10">
      <c r="A2613" t="s">
        <v>8360</v>
      </c>
      <c r="B2613">
        <v>1.49337577200674</v>
      </c>
      <c r="C2613">
        <v>6.3296806850774399</v>
      </c>
      <c r="D2613">
        <v>0.118606690956112</v>
      </c>
      <c r="E2613">
        <v>0.62368254287825098</v>
      </c>
      <c r="F2613">
        <v>11</v>
      </c>
      <c r="G2613">
        <v>4</v>
      </c>
      <c r="H2613" t="s">
        <v>28</v>
      </c>
      <c r="I2613" t="s">
        <v>3436</v>
      </c>
      <c r="J2613" t="s">
        <v>2932</v>
      </c>
    </row>
    <row r="2614" spans="1:10">
      <c r="A2614" t="s">
        <v>8361</v>
      </c>
      <c r="B2614">
        <v>1.49337577200674</v>
      </c>
      <c r="C2614">
        <v>6.3296806850774399</v>
      </c>
      <c r="D2614">
        <v>0.118606690956112</v>
      </c>
      <c r="E2614">
        <v>0.62368254287825098</v>
      </c>
      <c r="F2614">
        <v>11</v>
      </c>
      <c r="G2614">
        <v>4</v>
      </c>
      <c r="H2614" t="s">
        <v>8362</v>
      </c>
      <c r="I2614" t="s">
        <v>8363</v>
      </c>
      <c r="J2614" t="s">
        <v>2933</v>
      </c>
    </row>
    <row r="2615" spans="1:10">
      <c r="A2615" t="s">
        <v>8364</v>
      </c>
      <c r="B2615">
        <v>0.37747547779388801</v>
      </c>
      <c r="C2615">
        <v>9.7626715177433496</v>
      </c>
      <c r="D2615">
        <v>0.11844367010832101</v>
      </c>
      <c r="E2615">
        <v>0.62368254287825098</v>
      </c>
      <c r="F2615">
        <v>89</v>
      </c>
      <c r="G2615">
        <v>73</v>
      </c>
      <c r="H2615" t="s">
        <v>8365</v>
      </c>
      <c r="I2615" t="s">
        <v>5153</v>
      </c>
      <c r="J2615" t="s">
        <v>2934</v>
      </c>
    </row>
    <row r="2616" spans="1:10">
      <c r="A2616" t="s">
        <v>8366</v>
      </c>
      <c r="B2616">
        <v>-0.449634317506651</v>
      </c>
      <c r="C2616">
        <v>9.3053738563913306</v>
      </c>
      <c r="D2616">
        <v>0.118292314825763</v>
      </c>
      <c r="E2616">
        <v>0.62368254287825098</v>
      </c>
      <c r="F2616">
        <v>48</v>
      </c>
      <c r="G2616">
        <v>70</v>
      </c>
      <c r="H2616" t="s">
        <v>8367</v>
      </c>
      <c r="I2616" t="s">
        <v>8368</v>
      </c>
      <c r="J2616" t="s">
        <v>2935</v>
      </c>
    </row>
    <row r="2617" spans="1:10">
      <c r="A2617" t="s">
        <v>8369</v>
      </c>
      <c r="B2617">
        <v>-0.65152696997828796</v>
      </c>
      <c r="C2617">
        <v>8.3053855283686602</v>
      </c>
      <c r="D2617">
        <v>0.118017487026276</v>
      </c>
      <c r="E2617">
        <v>0.62368254287825098</v>
      </c>
      <c r="F2617">
        <v>22</v>
      </c>
      <c r="G2617">
        <v>37</v>
      </c>
      <c r="H2617" t="s">
        <v>8370</v>
      </c>
      <c r="I2617" t="s">
        <v>8371</v>
      </c>
      <c r="J2617" t="s">
        <v>2936</v>
      </c>
    </row>
    <row r="2618" spans="1:10">
      <c r="A2618" t="s">
        <v>8372</v>
      </c>
      <c r="B2618">
        <v>0.631572036015698</v>
      </c>
      <c r="C2618">
        <v>8.3054456116206303</v>
      </c>
      <c r="D2618">
        <v>0.118017487026276</v>
      </c>
      <c r="E2618">
        <v>0.62368254287825098</v>
      </c>
      <c r="F2618">
        <v>35</v>
      </c>
      <c r="G2618">
        <v>24</v>
      </c>
      <c r="H2618" t="s">
        <v>8373</v>
      </c>
      <c r="I2618" t="s">
        <v>4748</v>
      </c>
      <c r="J2618" t="s">
        <v>2937</v>
      </c>
    </row>
    <row r="2619" spans="1:10">
      <c r="A2619" t="s">
        <v>8374</v>
      </c>
      <c r="B2619">
        <v>0.631572036015698</v>
      </c>
      <c r="C2619">
        <v>8.3054456116206303</v>
      </c>
      <c r="D2619">
        <v>0.118017487026276</v>
      </c>
      <c r="E2619">
        <v>0.62368254287825098</v>
      </c>
      <c r="F2619">
        <v>35</v>
      </c>
      <c r="G2619">
        <v>24</v>
      </c>
      <c r="H2619" t="s">
        <v>8375</v>
      </c>
      <c r="I2619" t="s">
        <v>8376</v>
      </c>
      <c r="J2619" t="s">
        <v>2938</v>
      </c>
    </row>
    <row r="2620" spans="1:10">
      <c r="A2620" t="s">
        <v>8377</v>
      </c>
      <c r="B2620">
        <v>-0.84379286005392695</v>
      </c>
      <c r="C2620">
        <v>7.78029774463577</v>
      </c>
      <c r="D2620">
        <v>0.117650096185808</v>
      </c>
      <c r="E2620">
        <v>0.62368254287825098</v>
      </c>
      <c r="F2620">
        <v>14</v>
      </c>
      <c r="G2620">
        <v>27</v>
      </c>
      <c r="H2620" t="s">
        <v>8378</v>
      </c>
      <c r="I2620" t="s">
        <v>8379</v>
      </c>
      <c r="J2620" t="s">
        <v>2939</v>
      </c>
    </row>
    <row r="2621" spans="1:10">
      <c r="A2621" t="s">
        <v>8380</v>
      </c>
      <c r="B2621">
        <v>-0.84379286005392695</v>
      </c>
      <c r="C2621">
        <v>7.78029774463577</v>
      </c>
      <c r="D2621">
        <v>0.117650096185808</v>
      </c>
      <c r="E2621">
        <v>0.62368254287825098</v>
      </c>
      <c r="F2621">
        <v>14</v>
      </c>
      <c r="G2621">
        <v>27</v>
      </c>
      <c r="H2621" t="s">
        <v>28</v>
      </c>
      <c r="I2621" t="s">
        <v>3438</v>
      </c>
      <c r="J2621" t="s">
        <v>408</v>
      </c>
    </row>
    <row r="2622" spans="1:10">
      <c r="A2622" t="s">
        <v>8381</v>
      </c>
      <c r="B2622">
        <v>-0.84379286005392695</v>
      </c>
      <c r="C2622">
        <v>7.78029774463577</v>
      </c>
      <c r="D2622">
        <v>0.117650096185808</v>
      </c>
      <c r="E2622">
        <v>0.62368254287825098</v>
      </c>
      <c r="F2622">
        <v>14</v>
      </c>
      <c r="G2622">
        <v>27</v>
      </c>
      <c r="H2622" t="s">
        <v>28</v>
      </c>
      <c r="I2622" t="s">
        <v>3438</v>
      </c>
      <c r="J2622" t="s">
        <v>2940</v>
      </c>
    </row>
    <row r="2623" spans="1:10">
      <c r="A2623" t="s">
        <v>8382</v>
      </c>
      <c r="B2623">
        <v>-0.84379286005392695</v>
      </c>
      <c r="C2623">
        <v>7.78029774463577</v>
      </c>
      <c r="D2623">
        <v>0.117650096185808</v>
      </c>
      <c r="E2623">
        <v>0.62368254287825098</v>
      </c>
      <c r="F2623">
        <v>14</v>
      </c>
      <c r="G2623">
        <v>27</v>
      </c>
      <c r="H2623" t="s">
        <v>28</v>
      </c>
      <c r="I2623" t="s">
        <v>3878</v>
      </c>
      <c r="J2623" t="s">
        <v>2941</v>
      </c>
    </row>
    <row r="2624" spans="1:10">
      <c r="A2624" t="s">
        <v>8383</v>
      </c>
      <c r="B2624">
        <v>-0.417535316209456</v>
      </c>
      <c r="C2624">
        <v>9.4561524948270606</v>
      </c>
      <c r="D2624">
        <v>0.116644322031246</v>
      </c>
      <c r="E2624">
        <v>0.62368254287825098</v>
      </c>
      <c r="F2624">
        <v>54</v>
      </c>
      <c r="G2624">
        <v>77</v>
      </c>
      <c r="H2624" t="s">
        <v>8384</v>
      </c>
      <c r="I2624" t="s">
        <v>3450</v>
      </c>
      <c r="J2624" t="s">
        <v>285</v>
      </c>
    </row>
    <row r="2625" spans="1:10">
      <c r="A2625" t="s">
        <v>8385</v>
      </c>
      <c r="B2625">
        <v>-1.09896206750421</v>
      </c>
      <c r="C2625">
        <v>6.7446838211226403</v>
      </c>
      <c r="D2625">
        <v>0.115499401316043</v>
      </c>
      <c r="E2625">
        <v>0.62368254287825098</v>
      </c>
      <c r="F2625">
        <v>6</v>
      </c>
      <c r="G2625">
        <v>14</v>
      </c>
      <c r="H2625" t="s">
        <v>28</v>
      </c>
      <c r="I2625" t="s">
        <v>3438</v>
      </c>
      <c r="J2625" t="s">
        <v>2942</v>
      </c>
    </row>
    <row r="2626" spans="1:10">
      <c r="A2626" t="s">
        <v>8386</v>
      </c>
      <c r="B2626">
        <v>-1.09896206750421</v>
      </c>
      <c r="C2626">
        <v>6.7446838211226403</v>
      </c>
      <c r="D2626">
        <v>0.115499401316043</v>
      </c>
      <c r="E2626">
        <v>0.62368254287825098</v>
      </c>
      <c r="F2626">
        <v>6</v>
      </c>
      <c r="G2626">
        <v>14</v>
      </c>
      <c r="H2626" t="s">
        <v>8387</v>
      </c>
      <c r="I2626" t="s">
        <v>8388</v>
      </c>
      <c r="J2626" t="s">
        <v>2943</v>
      </c>
    </row>
    <row r="2627" spans="1:10">
      <c r="A2627" t="s">
        <v>8389</v>
      </c>
      <c r="B2627">
        <v>1.2791075058569299</v>
      </c>
      <c r="C2627">
        <v>6.7447208674295496</v>
      </c>
      <c r="D2627">
        <v>0.115499401316043</v>
      </c>
      <c r="E2627">
        <v>0.62368254287825098</v>
      </c>
      <c r="F2627">
        <v>14</v>
      </c>
      <c r="G2627">
        <v>6</v>
      </c>
      <c r="H2627" t="s">
        <v>28</v>
      </c>
      <c r="I2627" t="s">
        <v>3438</v>
      </c>
      <c r="J2627" t="s">
        <v>2944</v>
      </c>
    </row>
    <row r="2628" spans="1:10">
      <c r="A2628" t="s">
        <v>8390</v>
      </c>
      <c r="B2628">
        <v>1.2791075058569299</v>
      </c>
      <c r="C2628">
        <v>6.7447208674295496</v>
      </c>
      <c r="D2628">
        <v>0.115499401316043</v>
      </c>
      <c r="E2628">
        <v>0.62368254287825098</v>
      </c>
      <c r="F2628">
        <v>14</v>
      </c>
      <c r="G2628">
        <v>6</v>
      </c>
      <c r="H2628" t="s">
        <v>8391</v>
      </c>
      <c r="I2628" t="s">
        <v>3687</v>
      </c>
      <c r="J2628" t="s">
        <v>2945</v>
      </c>
    </row>
    <row r="2629" spans="1:10">
      <c r="A2629" t="s">
        <v>8392</v>
      </c>
      <c r="B2629">
        <v>1.2791075058569299</v>
      </c>
      <c r="C2629">
        <v>6.7447208674295496</v>
      </c>
      <c r="D2629">
        <v>0.115499401316043</v>
      </c>
      <c r="E2629">
        <v>0.62368254287825098</v>
      </c>
      <c r="F2629">
        <v>14</v>
      </c>
      <c r="G2629">
        <v>6</v>
      </c>
      <c r="H2629" t="s">
        <v>8393</v>
      </c>
      <c r="I2629" t="s">
        <v>8394</v>
      </c>
      <c r="J2629" t="s">
        <v>2946</v>
      </c>
    </row>
    <row r="2630" spans="1:10">
      <c r="A2630" t="s">
        <v>8395</v>
      </c>
      <c r="B2630">
        <v>1.2791075058569299</v>
      </c>
      <c r="C2630">
        <v>6.7447208674295496</v>
      </c>
      <c r="D2630">
        <v>0.115499401316043</v>
      </c>
      <c r="E2630">
        <v>0.62368254287825098</v>
      </c>
      <c r="F2630">
        <v>14</v>
      </c>
      <c r="G2630">
        <v>6</v>
      </c>
      <c r="H2630" t="s">
        <v>28</v>
      </c>
      <c r="I2630" t="s">
        <v>8396</v>
      </c>
      <c r="J2630" t="s">
        <v>2947</v>
      </c>
    </row>
    <row r="2631" spans="1:10">
      <c r="A2631" t="s">
        <v>8397</v>
      </c>
      <c r="B2631">
        <v>1.2791075058569299</v>
      </c>
      <c r="C2631">
        <v>6.7447208674295496</v>
      </c>
      <c r="D2631">
        <v>0.115499401316043</v>
      </c>
      <c r="E2631">
        <v>0.62368254287825098</v>
      </c>
      <c r="F2631">
        <v>14</v>
      </c>
      <c r="G2631">
        <v>6</v>
      </c>
      <c r="H2631" t="s">
        <v>8398</v>
      </c>
      <c r="I2631" t="s">
        <v>8399</v>
      </c>
      <c r="J2631" t="s">
        <v>2948</v>
      </c>
    </row>
    <row r="2632" spans="1:10">
      <c r="A2632" t="s">
        <v>8400</v>
      </c>
      <c r="B2632">
        <v>0.41322028442764702</v>
      </c>
      <c r="C2632">
        <v>9.5927452289213608</v>
      </c>
      <c r="D2632">
        <v>0.114325838078586</v>
      </c>
      <c r="E2632">
        <v>0.62368254287825098</v>
      </c>
      <c r="F2632">
        <v>80</v>
      </c>
      <c r="G2632">
        <v>64</v>
      </c>
      <c r="H2632" t="s">
        <v>28</v>
      </c>
      <c r="I2632" t="s">
        <v>3438</v>
      </c>
      <c r="J2632" t="s">
        <v>2949</v>
      </c>
    </row>
    <row r="2633" spans="1:10">
      <c r="A2633" t="s">
        <v>8401</v>
      </c>
      <c r="B2633">
        <v>-0.27294213659206301</v>
      </c>
      <c r="C2633">
        <v>10.6941694351401</v>
      </c>
      <c r="D2633">
        <v>0.113795888291394</v>
      </c>
      <c r="E2633">
        <v>0.62368254287825098</v>
      </c>
      <c r="F2633">
        <v>135</v>
      </c>
      <c r="G2633">
        <v>174</v>
      </c>
      <c r="H2633" t="s">
        <v>8402</v>
      </c>
      <c r="I2633" t="s">
        <v>8403</v>
      </c>
      <c r="J2633" t="s">
        <v>2950</v>
      </c>
    </row>
    <row r="2634" spans="1:10">
      <c r="A2634" t="s">
        <v>8404</v>
      </c>
      <c r="B2634">
        <v>-0.76556245408337997</v>
      </c>
      <c r="C2634">
        <v>8.0077064580684905</v>
      </c>
      <c r="D2634">
        <v>0.111831273848522</v>
      </c>
      <c r="E2634">
        <v>0.61583797379596805</v>
      </c>
      <c r="F2634">
        <v>17</v>
      </c>
      <c r="G2634">
        <v>31</v>
      </c>
      <c r="H2634" t="s">
        <v>28</v>
      </c>
      <c r="I2634" t="s">
        <v>3465</v>
      </c>
      <c r="J2634" t="s">
        <v>2951</v>
      </c>
    </row>
    <row r="2635" spans="1:10">
      <c r="A2635" t="s">
        <v>8405</v>
      </c>
      <c r="B2635">
        <v>0.69532017381355704</v>
      </c>
      <c r="C2635">
        <v>8.0077619498999795</v>
      </c>
      <c r="D2635">
        <v>0.111831273848522</v>
      </c>
      <c r="E2635">
        <v>0.61583797379596805</v>
      </c>
      <c r="F2635">
        <v>29</v>
      </c>
      <c r="G2635">
        <v>19</v>
      </c>
      <c r="H2635" t="s">
        <v>8406</v>
      </c>
      <c r="I2635" t="s">
        <v>8407</v>
      </c>
      <c r="J2635" t="s">
        <v>2952</v>
      </c>
    </row>
    <row r="2636" spans="1:10">
      <c r="A2636" t="s">
        <v>8408</v>
      </c>
      <c r="B2636">
        <v>0.46387405426721801</v>
      </c>
      <c r="C2636">
        <v>9.0810217070968502</v>
      </c>
      <c r="D2636">
        <v>0.111818435840099</v>
      </c>
      <c r="E2636">
        <v>0.61583797379596805</v>
      </c>
      <c r="F2636">
        <v>57</v>
      </c>
      <c r="G2636">
        <v>44</v>
      </c>
      <c r="H2636" t="s">
        <v>8409</v>
      </c>
      <c r="I2636" t="s">
        <v>8410</v>
      </c>
      <c r="J2636" t="s">
        <v>2953</v>
      </c>
    </row>
    <row r="2637" spans="1:10">
      <c r="A2637" t="s">
        <v>8411</v>
      </c>
      <c r="B2637">
        <v>-0.67864313341559102</v>
      </c>
      <c r="C2637">
        <v>8.2556323416443806</v>
      </c>
      <c r="D2637">
        <v>0.111669409818341</v>
      </c>
      <c r="E2637">
        <v>0.61583797379596805</v>
      </c>
      <c r="F2637">
        <v>21</v>
      </c>
      <c r="G2637">
        <v>36</v>
      </c>
      <c r="H2637" t="s">
        <v>8412</v>
      </c>
      <c r="I2637" t="s">
        <v>8413</v>
      </c>
      <c r="J2637" t="s">
        <v>2954</v>
      </c>
    </row>
    <row r="2638" spans="1:10">
      <c r="A2638" t="s">
        <v>8414</v>
      </c>
      <c r="B2638">
        <v>-0.89269141825364695</v>
      </c>
      <c r="C2638">
        <v>7.4671438815423397</v>
      </c>
      <c r="D2638">
        <v>0.11046800145022601</v>
      </c>
      <c r="E2638">
        <v>0.612526021834357</v>
      </c>
      <c r="F2638">
        <v>11</v>
      </c>
      <c r="G2638">
        <v>22</v>
      </c>
      <c r="H2638" t="s">
        <v>28</v>
      </c>
      <c r="I2638" t="s">
        <v>3438</v>
      </c>
      <c r="J2638" t="s">
        <v>2955</v>
      </c>
    </row>
    <row r="2639" spans="1:10">
      <c r="A2639" t="s">
        <v>8415</v>
      </c>
      <c r="B2639">
        <v>-0.89269141825364695</v>
      </c>
      <c r="C2639">
        <v>7.4671438815423397</v>
      </c>
      <c r="D2639">
        <v>0.11046800145022601</v>
      </c>
      <c r="E2639">
        <v>0.612526021834357</v>
      </c>
      <c r="F2639">
        <v>11</v>
      </c>
      <c r="G2639">
        <v>22</v>
      </c>
      <c r="H2639" t="s">
        <v>28</v>
      </c>
      <c r="I2639" t="s">
        <v>3438</v>
      </c>
      <c r="J2639" t="s">
        <v>2956</v>
      </c>
    </row>
    <row r="2640" spans="1:10">
      <c r="A2640" t="s">
        <v>8416</v>
      </c>
      <c r="B2640">
        <v>0.93913491065469201</v>
      </c>
      <c r="C2640">
        <v>7.3769922040046403</v>
      </c>
      <c r="D2640">
        <v>0.11046800145022601</v>
      </c>
      <c r="E2640">
        <v>0.612526021834357</v>
      </c>
      <c r="F2640">
        <v>20</v>
      </c>
      <c r="G2640">
        <v>11</v>
      </c>
      <c r="H2640" t="s">
        <v>28</v>
      </c>
      <c r="I2640" t="s">
        <v>4074</v>
      </c>
      <c r="J2640" t="s">
        <v>2957</v>
      </c>
    </row>
    <row r="2641" spans="1:10">
      <c r="A2641" t="s">
        <v>8417</v>
      </c>
      <c r="B2641">
        <v>-0.52980215362550898</v>
      </c>
      <c r="C2641">
        <v>8.8984689496840392</v>
      </c>
      <c r="D2641">
        <v>0.110074070308121</v>
      </c>
      <c r="E2641">
        <v>0.612526021834357</v>
      </c>
      <c r="F2641">
        <v>35</v>
      </c>
      <c r="G2641">
        <v>54</v>
      </c>
      <c r="H2641" t="s">
        <v>28</v>
      </c>
      <c r="I2641" t="s">
        <v>8418</v>
      </c>
      <c r="J2641" t="s">
        <v>2958</v>
      </c>
    </row>
    <row r="2642" spans="1:10">
      <c r="A2642" t="s">
        <v>8419</v>
      </c>
      <c r="B2642">
        <v>0.52408158098160496</v>
      </c>
      <c r="C2642">
        <v>8.8657527082061005</v>
      </c>
      <c r="D2642">
        <v>0.110074070308121</v>
      </c>
      <c r="E2642">
        <v>0.612526021834357</v>
      </c>
      <c r="F2642">
        <v>50</v>
      </c>
      <c r="G2642">
        <v>37</v>
      </c>
      <c r="H2642" t="s">
        <v>28</v>
      </c>
      <c r="I2642" t="s">
        <v>3438</v>
      </c>
      <c r="J2642" t="s">
        <v>2959</v>
      </c>
    </row>
    <row r="2643" spans="1:10">
      <c r="A2643" t="s">
        <v>8420</v>
      </c>
      <c r="B2643">
        <v>-1.7882926608931</v>
      </c>
      <c r="C2643">
        <v>5.7446877013612196</v>
      </c>
      <c r="D2643">
        <v>0.109462886227619</v>
      </c>
      <c r="E2643">
        <v>0.61223068192699803</v>
      </c>
      <c r="F2643">
        <v>2</v>
      </c>
      <c r="G2643">
        <v>8</v>
      </c>
      <c r="H2643" t="s">
        <v>28</v>
      </c>
      <c r="I2643" t="s">
        <v>8421</v>
      </c>
      <c r="J2643" t="s">
        <v>2960</v>
      </c>
    </row>
    <row r="2644" spans="1:10">
      <c r="A2644" t="s">
        <v>8422</v>
      </c>
      <c r="B2644">
        <v>-1.7882926608931</v>
      </c>
      <c r="C2644">
        <v>5.7446877013612196</v>
      </c>
      <c r="D2644">
        <v>0.109462886227619</v>
      </c>
      <c r="E2644">
        <v>0.61223068192699803</v>
      </c>
      <c r="F2644">
        <v>2</v>
      </c>
      <c r="G2644">
        <v>8</v>
      </c>
      <c r="H2644" t="s">
        <v>28</v>
      </c>
      <c r="I2644" t="s">
        <v>3438</v>
      </c>
      <c r="J2644" t="s">
        <v>106</v>
      </c>
    </row>
    <row r="2645" spans="1:10">
      <c r="A2645" t="s">
        <v>8423</v>
      </c>
      <c r="B2645">
        <v>-1.7882926608931</v>
      </c>
      <c r="C2645">
        <v>5.7446877013612196</v>
      </c>
      <c r="D2645">
        <v>0.109462886227619</v>
      </c>
      <c r="E2645">
        <v>0.61223068192699803</v>
      </c>
      <c r="F2645">
        <v>2</v>
      </c>
      <c r="G2645">
        <v>8</v>
      </c>
      <c r="H2645" t="s">
        <v>28</v>
      </c>
      <c r="I2645" t="s">
        <v>3781</v>
      </c>
      <c r="J2645" t="s">
        <v>2961</v>
      </c>
    </row>
    <row r="2646" spans="1:10">
      <c r="A2646" t="s">
        <v>8424</v>
      </c>
      <c r="B2646">
        <v>1.9606625946546901</v>
      </c>
      <c r="C2646">
        <v>5.7447154999486001</v>
      </c>
      <c r="D2646">
        <v>0.109462886227619</v>
      </c>
      <c r="E2646">
        <v>0.61223068192699803</v>
      </c>
      <c r="F2646">
        <v>8</v>
      </c>
      <c r="G2646">
        <v>2</v>
      </c>
      <c r="H2646" t="s">
        <v>8425</v>
      </c>
      <c r="I2646" t="s">
        <v>8426</v>
      </c>
      <c r="J2646" t="s">
        <v>2962</v>
      </c>
    </row>
    <row r="2647" spans="1:10">
      <c r="A2647" t="s">
        <v>8427</v>
      </c>
      <c r="B2647">
        <v>1.9606625946546901</v>
      </c>
      <c r="C2647">
        <v>5.7447154999486001</v>
      </c>
      <c r="D2647">
        <v>0.109462886227619</v>
      </c>
      <c r="E2647">
        <v>0.61223068192699803</v>
      </c>
      <c r="F2647">
        <v>8</v>
      </c>
      <c r="G2647">
        <v>2</v>
      </c>
      <c r="H2647" t="s">
        <v>8428</v>
      </c>
      <c r="I2647" t="s">
        <v>8429</v>
      </c>
      <c r="J2647" t="s">
        <v>2963</v>
      </c>
    </row>
    <row r="2648" spans="1:10">
      <c r="A2648" t="s">
        <v>8430</v>
      </c>
      <c r="B2648">
        <v>1.9606625946546901</v>
      </c>
      <c r="C2648">
        <v>5.7447154999486001</v>
      </c>
      <c r="D2648">
        <v>0.109462886227619</v>
      </c>
      <c r="E2648">
        <v>0.61223068192699803</v>
      </c>
      <c r="F2648">
        <v>8</v>
      </c>
      <c r="G2648">
        <v>2</v>
      </c>
      <c r="H2648" t="s">
        <v>28</v>
      </c>
      <c r="I2648" t="s">
        <v>3438</v>
      </c>
      <c r="J2648" t="s">
        <v>2964</v>
      </c>
    </row>
    <row r="2649" spans="1:10">
      <c r="A2649" t="s">
        <v>8431</v>
      </c>
      <c r="B2649">
        <v>1.9606625946546901</v>
      </c>
      <c r="C2649">
        <v>5.7447154999486001</v>
      </c>
      <c r="D2649">
        <v>0.109462886227619</v>
      </c>
      <c r="E2649">
        <v>0.61223068192699803</v>
      </c>
      <c r="F2649">
        <v>8</v>
      </c>
      <c r="G2649">
        <v>2</v>
      </c>
      <c r="H2649" t="s">
        <v>8432</v>
      </c>
      <c r="I2649" t="s">
        <v>3687</v>
      </c>
      <c r="J2649" t="s">
        <v>2965</v>
      </c>
    </row>
    <row r="2650" spans="1:10">
      <c r="A2650" t="s">
        <v>8433</v>
      </c>
      <c r="B2650">
        <v>1.9606625946546901</v>
      </c>
      <c r="C2650">
        <v>5.7447154999486001</v>
      </c>
      <c r="D2650">
        <v>0.109462886227619</v>
      </c>
      <c r="E2650">
        <v>0.61223068192699803</v>
      </c>
      <c r="F2650">
        <v>8</v>
      </c>
      <c r="G2650">
        <v>2</v>
      </c>
      <c r="H2650" t="s">
        <v>8434</v>
      </c>
      <c r="I2650" t="s">
        <v>8435</v>
      </c>
      <c r="J2650" t="s">
        <v>2966</v>
      </c>
    </row>
    <row r="2651" spans="1:10">
      <c r="A2651" t="s">
        <v>8436</v>
      </c>
      <c r="B2651">
        <v>0.61845605448067897</v>
      </c>
      <c r="C2651">
        <v>8.4671995009473999</v>
      </c>
      <c r="D2651">
        <v>0.109439672336255</v>
      </c>
      <c r="E2651">
        <v>0.61223068192699803</v>
      </c>
      <c r="F2651">
        <v>39</v>
      </c>
      <c r="G2651">
        <v>27</v>
      </c>
      <c r="H2651" t="s">
        <v>28</v>
      </c>
      <c r="I2651" t="s">
        <v>3438</v>
      </c>
      <c r="J2651" t="s">
        <v>2287</v>
      </c>
    </row>
    <row r="2652" spans="1:10">
      <c r="A2652" t="s">
        <v>8437</v>
      </c>
      <c r="B2652">
        <v>0.76067795890138201</v>
      </c>
      <c r="C2652">
        <v>7.7081986978525201</v>
      </c>
      <c r="D2652">
        <v>0.10847193451995001</v>
      </c>
      <c r="E2652">
        <v>0.61223068192699803</v>
      </c>
      <c r="F2652">
        <v>24</v>
      </c>
      <c r="G2652">
        <v>15</v>
      </c>
      <c r="H2652" t="s">
        <v>28</v>
      </c>
      <c r="I2652" t="s">
        <v>3438</v>
      </c>
      <c r="J2652" t="s">
        <v>2967</v>
      </c>
    </row>
    <row r="2653" spans="1:10">
      <c r="A2653" t="s">
        <v>8438</v>
      </c>
      <c r="B2653">
        <v>0.32859584041227602</v>
      </c>
      <c r="C2653">
        <v>10.204189946235401</v>
      </c>
      <c r="D2653">
        <v>0.10815401905470701</v>
      </c>
      <c r="E2653">
        <v>0.61223068192699803</v>
      </c>
      <c r="F2653">
        <v>119</v>
      </c>
      <c r="G2653">
        <v>101</v>
      </c>
      <c r="H2653" t="s">
        <v>28</v>
      </c>
      <c r="I2653" t="s">
        <v>3436</v>
      </c>
      <c r="J2653" t="s">
        <v>2968</v>
      </c>
    </row>
    <row r="2654" spans="1:10">
      <c r="A2654" t="s">
        <v>8439</v>
      </c>
      <c r="B2654">
        <v>-0.97346721951539905</v>
      </c>
      <c r="C2654">
        <v>7.0666099773462996</v>
      </c>
      <c r="D2654">
        <v>0.107971304323147</v>
      </c>
      <c r="E2654">
        <v>0.61223068192699803</v>
      </c>
      <c r="F2654">
        <v>8</v>
      </c>
      <c r="G2654">
        <v>17</v>
      </c>
      <c r="H2654" t="s">
        <v>28</v>
      </c>
      <c r="I2654" t="s">
        <v>3438</v>
      </c>
      <c r="J2654" t="s">
        <v>2969</v>
      </c>
    </row>
    <row r="2655" spans="1:10">
      <c r="A2655" t="s">
        <v>8440</v>
      </c>
      <c r="B2655">
        <v>-0.97346721951539905</v>
      </c>
      <c r="C2655">
        <v>7.0666099773462996</v>
      </c>
      <c r="D2655">
        <v>0.107971304323147</v>
      </c>
      <c r="E2655">
        <v>0.61223068192699803</v>
      </c>
      <c r="F2655">
        <v>8</v>
      </c>
      <c r="G2655">
        <v>17</v>
      </c>
      <c r="H2655" t="s">
        <v>8441</v>
      </c>
      <c r="I2655" t="s">
        <v>8442</v>
      </c>
      <c r="J2655" t="s">
        <v>2970</v>
      </c>
    </row>
    <row r="2656" spans="1:10">
      <c r="A2656" t="s">
        <v>8443</v>
      </c>
      <c r="B2656">
        <v>1.1547945101445201</v>
      </c>
      <c r="C2656">
        <v>7.0666516440566696</v>
      </c>
      <c r="D2656">
        <v>0.107971304323147</v>
      </c>
      <c r="E2656">
        <v>0.61223068192699803</v>
      </c>
      <c r="F2656">
        <v>17</v>
      </c>
      <c r="G2656">
        <v>8</v>
      </c>
      <c r="H2656" t="s">
        <v>28</v>
      </c>
      <c r="I2656" t="s">
        <v>5445</v>
      </c>
      <c r="J2656" t="s">
        <v>2971</v>
      </c>
    </row>
    <row r="2657" spans="1:10">
      <c r="A2657" t="s">
        <v>8444</v>
      </c>
      <c r="B2657">
        <v>1.1547945101445201</v>
      </c>
      <c r="C2657">
        <v>7.0666516440566696</v>
      </c>
      <c r="D2657">
        <v>0.107971304323147</v>
      </c>
      <c r="E2657">
        <v>0.61223068192699803</v>
      </c>
      <c r="F2657">
        <v>17</v>
      </c>
      <c r="G2657">
        <v>8</v>
      </c>
      <c r="H2657" t="s">
        <v>8445</v>
      </c>
      <c r="I2657" t="s">
        <v>8446</v>
      </c>
      <c r="J2657" t="s">
        <v>2972</v>
      </c>
    </row>
    <row r="2658" spans="1:10">
      <c r="A2658" t="s">
        <v>8447</v>
      </c>
      <c r="B2658">
        <v>-0.804851667476007</v>
      </c>
      <c r="C2658">
        <v>7.9463057619412796</v>
      </c>
      <c r="D2658">
        <v>0.104201867174125</v>
      </c>
      <c r="E2658">
        <v>0.59841643719997495</v>
      </c>
      <c r="F2658">
        <v>16</v>
      </c>
      <c r="G2658">
        <v>30</v>
      </c>
      <c r="H2658" t="s">
        <v>28</v>
      </c>
      <c r="I2658" t="s">
        <v>3436</v>
      </c>
      <c r="J2658" t="s">
        <v>2973</v>
      </c>
    </row>
    <row r="2659" spans="1:10">
      <c r="A2659" t="s">
        <v>8448</v>
      </c>
      <c r="B2659">
        <v>-0.34694444352836101</v>
      </c>
      <c r="C2659">
        <v>10.0520751325761</v>
      </c>
      <c r="D2659">
        <v>0.103597407186551</v>
      </c>
      <c r="E2659">
        <v>0.59600941236484595</v>
      </c>
      <c r="F2659">
        <v>84</v>
      </c>
      <c r="G2659">
        <v>114</v>
      </c>
      <c r="H2659" t="s">
        <v>8449</v>
      </c>
      <c r="I2659" t="s">
        <v>8450</v>
      </c>
      <c r="J2659" t="s">
        <v>2974</v>
      </c>
    </row>
    <row r="2660" spans="1:10">
      <c r="A2660" t="s">
        <v>8451</v>
      </c>
      <c r="B2660">
        <v>-0.55990692473956205</v>
      </c>
      <c r="C2660">
        <v>8.8321261508398106</v>
      </c>
      <c r="D2660">
        <v>0.101851683808939</v>
      </c>
      <c r="E2660">
        <v>0.587016156146144</v>
      </c>
      <c r="F2660">
        <v>33</v>
      </c>
      <c r="G2660">
        <v>52</v>
      </c>
      <c r="H2660" t="s">
        <v>28</v>
      </c>
      <c r="I2660" t="s">
        <v>8452</v>
      </c>
      <c r="J2660" t="s">
        <v>2975</v>
      </c>
    </row>
    <row r="2661" spans="1:10">
      <c r="A2661" t="s">
        <v>8453</v>
      </c>
      <c r="B2661">
        <v>-0.58759315961736402</v>
      </c>
      <c r="C2661">
        <v>8.61256347926399</v>
      </c>
      <c r="D2661">
        <v>0.101263719467105</v>
      </c>
      <c r="E2661">
        <v>0.58467526356590405</v>
      </c>
      <c r="F2661">
        <v>28</v>
      </c>
      <c r="G2661">
        <v>45</v>
      </c>
      <c r="H2661" t="s">
        <v>8454</v>
      </c>
      <c r="I2661" t="s">
        <v>8455</v>
      </c>
      <c r="J2661" t="s">
        <v>2976</v>
      </c>
    </row>
    <row r="2662" spans="1:10">
      <c r="A2662" t="s">
        <v>8456</v>
      </c>
      <c r="B2662">
        <v>-0.58759315961736402</v>
      </c>
      <c r="C2662">
        <v>8.61256347926399</v>
      </c>
      <c r="D2662">
        <v>0.101263719467105</v>
      </c>
      <c r="E2662">
        <v>0.58467526356590405</v>
      </c>
      <c r="F2662">
        <v>28</v>
      </c>
      <c r="G2662">
        <v>45</v>
      </c>
      <c r="H2662" t="s">
        <v>321</v>
      </c>
      <c r="I2662" t="s">
        <v>6278</v>
      </c>
      <c r="J2662" t="s">
        <v>2977</v>
      </c>
    </row>
    <row r="2663" spans="1:10">
      <c r="A2663" t="s">
        <v>8457</v>
      </c>
      <c r="B2663">
        <v>0.60785409574736204</v>
      </c>
      <c r="C2663">
        <v>8.6126327578401707</v>
      </c>
      <c r="D2663">
        <v>0.101263719467105</v>
      </c>
      <c r="E2663">
        <v>0.58467526356590405</v>
      </c>
      <c r="F2663">
        <v>43</v>
      </c>
      <c r="G2663">
        <v>30</v>
      </c>
      <c r="H2663" t="s">
        <v>8458</v>
      </c>
      <c r="I2663" t="s">
        <v>8459</v>
      </c>
      <c r="J2663" t="s">
        <v>2978</v>
      </c>
    </row>
    <row r="2664" spans="1:10">
      <c r="A2664" t="s">
        <v>8460</v>
      </c>
      <c r="B2664">
        <v>0.79769739291910902</v>
      </c>
      <c r="C2664">
        <v>7.6322496983198498</v>
      </c>
      <c r="D2664">
        <v>9.9182754845909701E-2</v>
      </c>
      <c r="E2664">
        <v>0.57576126278780804</v>
      </c>
      <c r="F2664">
        <v>23</v>
      </c>
      <c r="G2664">
        <v>14</v>
      </c>
      <c r="H2664" t="s">
        <v>28</v>
      </c>
      <c r="I2664" t="s">
        <v>3438</v>
      </c>
      <c r="J2664" t="s">
        <v>2979</v>
      </c>
    </row>
    <row r="2665" spans="1:10">
      <c r="A2665" t="s">
        <v>8461</v>
      </c>
      <c r="B2665">
        <v>-0.96077508784629295</v>
      </c>
      <c r="C2665">
        <v>7.3769459215727604</v>
      </c>
      <c r="D2665">
        <v>9.8988955823719096E-2</v>
      </c>
      <c r="E2665">
        <v>0.57567537419363601</v>
      </c>
      <c r="F2665">
        <v>10</v>
      </c>
      <c r="G2665">
        <v>21</v>
      </c>
      <c r="H2665" t="s">
        <v>8462</v>
      </c>
      <c r="I2665" t="s">
        <v>3450</v>
      </c>
      <c r="J2665" t="s">
        <v>2980</v>
      </c>
    </row>
    <row r="2666" spans="1:10">
      <c r="A2666" t="s">
        <v>8463</v>
      </c>
      <c r="B2666">
        <v>1.0002423781307499</v>
      </c>
      <c r="C2666">
        <v>7.2807767423292704</v>
      </c>
      <c r="D2666">
        <v>9.8988955823719096E-2</v>
      </c>
      <c r="E2666">
        <v>0.57567537419363601</v>
      </c>
      <c r="F2666">
        <v>19</v>
      </c>
      <c r="G2666">
        <v>10</v>
      </c>
      <c r="H2666" t="s">
        <v>28</v>
      </c>
      <c r="I2666" t="s">
        <v>8464</v>
      </c>
      <c r="J2666" t="s">
        <v>2981</v>
      </c>
    </row>
    <row r="2667" spans="1:10">
      <c r="A2667" t="s">
        <v>8465</v>
      </c>
      <c r="B2667">
        <v>0.69367181506020403</v>
      </c>
      <c r="C2667">
        <v>8.1507225800902692</v>
      </c>
      <c r="D2667">
        <v>9.8815395190072194E-2</v>
      </c>
      <c r="E2667">
        <v>0.57567537419363601</v>
      </c>
      <c r="F2667">
        <v>32</v>
      </c>
      <c r="G2667">
        <v>21</v>
      </c>
      <c r="H2667" t="s">
        <v>8466</v>
      </c>
      <c r="I2667" t="s">
        <v>8467</v>
      </c>
      <c r="J2667" t="s">
        <v>2982</v>
      </c>
    </row>
    <row r="2668" spans="1:10">
      <c r="A2668" t="s">
        <v>8468</v>
      </c>
      <c r="B2668">
        <v>0.69367181506020403</v>
      </c>
      <c r="C2668">
        <v>8.1507225800902692</v>
      </c>
      <c r="D2668">
        <v>9.8815395190072194E-2</v>
      </c>
      <c r="E2668">
        <v>0.57567537419363601</v>
      </c>
      <c r="F2668">
        <v>32</v>
      </c>
      <c r="G2668">
        <v>21</v>
      </c>
      <c r="H2668" t="s">
        <v>371</v>
      </c>
      <c r="I2668" t="s">
        <v>8469</v>
      </c>
      <c r="J2668" t="s">
        <v>278</v>
      </c>
    </row>
    <row r="2669" spans="1:10">
      <c r="A2669" t="s">
        <v>8470</v>
      </c>
      <c r="B2669">
        <v>0.69367181506020403</v>
      </c>
      <c r="C2669">
        <v>8.1507225800902692</v>
      </c>
      <c r="D2669">
        <v>9.8815395190072194E-2</v>
      </c>
      <c r="E2669">
        <v>0.57567537419363601</v>
      </c>
      <c r="F2669">
        <v>32</v>
      </c>
      <c r="G2669">
        <v>21</v>
      </c>
      <c r="H2669" t="s">
        <v>8471</v>
      </c>
      <c r="I2669" t="s">
        <v>8472</v>
      </c>
      <c r="J2669" t="s">
        <v>2983</v>
      </c>
    </row>
    <row r="2670" spans="1:10">
      <c r="A2670" t="s">
        <v>8473</v>
      </c>
      <c r="B2670">
        <v>-0.66351555998489098</v>
      </c>
      <c r="C2670">
        <v>8.3769367061281095</v>
      </c>
      <c r="D2670">
        <v>9.8473742255889493E-2</v>
      </c>
      <c r="E2670">
        <v>0.57567537419363601</v>
      </c>
      <c r="F2670">
        <v>23</v>
      </c>
      <c r="G2670">
        <v>39</v>
      </c>
      <c r="H2670" t="s">
        <v>8474</v>
      </c>
      <c r="I2670" t="s">
        <v>8475</v>
      </c>
      <c r="J2670" t="s">
        <v>2984</v>
      </c>
    </row>
    <row r="2671" spans="1:10">
      <c r="A2671" t="s">
        <v>8476</v>
      </c>
      <c r="B2671">
        <v>-0.29791688803510202</v>
      </c>
      <c r="C2671">
        <v>10.562257974178801</v>
      </c>
      <c r="D2671">
        <v>9.6991887468593704E-2</v>
      </c>
      <c r="E2671">
        <v>0.57024846453198796</v>
      </c>
      <c r="F2671">
        <v>122</v>
      </c>
      <c r="G2671">
        <v>160</v>
      </c>
      <c r="H2671" t="s">
        <v>8477</v>
      </c>
      <c r="I2671" t="s">
        <v>8478</v>
      </c>
      <c r="J2671" t="s">
        <v>2985</v>
      </c>
    </row>
    <row r="2672" spans="1:10">
      <c r="A2672" t="s">
        <v>8479</v>
      </c>
      <c r="B2672">
        <v>-0.60736830484363702</v>
      </c>
      <c r="C2672">
        <v>8.5724858881131993</v>
      </c>
      <c r="D2672">
        <v>9.6512101944929998E-2</v>
      </c>
      <c r="E2672">
        <v>0.56846688618112595</v>
      </c>
      <c r="F2672">
        <v>27</v>
      </c>
      <c r="G2672">
        <v>44</v>
      </c>
      <c r="H2672" t="s">
        <v>8480</v>
      </c>
      <c r="I2672" t="s">
        <v>8481</v>
      </c>
      <c r="J2672" t="s">
        <v>2986</v>
      </c>
    </row>
    <row r="2673" spans="1:10">
      <c r="A2673" t="s">
        <v>8482</v>
      </c>
      <c r="B2673">
        <v>0.622584385435901</v>
      </c>
      <c r="C2673">
        <v>8.5725551735785697</v>
      </c>
      <c r="D2673">
        <v>9.6512101944929998E-2</v>
      </c>
      <c r="E2673">
        <v>0.56846688618112595</v>
      </c>
      <c r="F2673">
        <v>42</v>
      </c>
      <c r="G2673">
        <v>29</v>
      </c>
      <c r="H2673" t="s">
        <v>8483</v>
      </c>
      <c r="I2673" t="s">
        <v>8484</v>
      </c>
      <c r="J2673" t="s">
        <v>2987</v>
      </c>
    </row>
    <row r="2674" spans="1:10">
      <c r="A2674" t="s">
        <v>8485</v>
      </c>
      <c r="B2674">
        <v>-0.84804350602641698</v>
      </c>
      <c r="C2674">
        <v>7.8821752730283299</v>
      </c>
      <c r="D2674">
        <v>9.6506495885351998E-2</v>
      </c>
      <c r="E2674">
        <v>0.56846688618112595</v>
      </c>
      <c r="F2674">
        <v>15</v>
      </c>
      <c r="G2674">
        <v>29</v>
      </c>
      <c r="H2674" t="s">
        <v>28</v>
      </c>
      <c r="I2674" t="s">
        <v>3438</v>
      </c>
      <c r="J2674" t="s">
        <v>2988</v>
      </c>
    </row>
    <row r="2675" spans="1:10">
      <c r="A2675" t="s">
        <v>8486</v>
      </c>
      <c r="B2675">
        <v>-0.84804350602641698</v>
      </c>
      <c r="C2675">
        <v>7.8821752730283299</v>
      </c>
      <c r="D2675">
        <v>9.6506495885351998E-2</v>
      </c>
      <c r="E2675">
        <v>0.56846688618112595</v>
      </c>
      <c r="F2675">
        <v>15</v>
      </c>
      <c r="G2675">
        <v>29</v>
      </c>
      <c r="H2675" t="s">
        <v>8487</v>
      </c>
      <c r="I2675" t="s">
        <v>8488</v>
      </c>
      <c r="J2675" t="s">
        <v>2989</v>
      </c>
    </row>
    <row r="2676" spans="1:10">
      <c r="A2676" t="s">
        <v>8489</v>
      </c>
      <c r="B2676">
        <v>-1.2459462867445701</v>
      </c>
      <c r="C2676">
        <v>6.59268057717623</v>
      </c>
      <c r="D2676">
        <v>9.6401147632733303E-2</v>
      </c>
      <c r="E2676">
        <v>0.56846688618112595</v>
      </c>
      <c r="F2676">
        <v>5</v>
      </c>
      <c r="G2676">
        <v>13</v>
      </c>
      <c r="H2676" t="s">
        <v>28</v>
      </c>
      <c r="I2676" t="s">
        <v>3438</v>
      </c>
      <c r="J2676" t="s">
        <v>2990</v>
      </c>
    </row>
    <row r="2677" spans="1:10">
      <c r="A2677" t="s">
        <v>8490</v>
      </c>
      <c r="B2677">
        <v>-1.2459462867445701</v>
      </c>
      <c r="C2677">
        <v>6.59268057717623</v>
      </c>
      <c r="D2677">
        <v>9.6401147632733303E-2</v>
      </c>
      <c r="E2677">
        <v>0.56846688618112595</v>
      </c>
      <c r="F2677">
        <v>5</v>
      </c>
      <c r="G2677">
        <v>13</v>
      </c>
      <c r="H2677" t="s">
        <v>26</v>
      </c>
      <c r="I2677" t="s">
        <v>8491</v>
      </c>
      <c r="J2677" t="s">
        <v>25</v>
      </c>
    </row>
    <row r="2678" spans="1:10">
      <c r="A2678" t="s">
        <v>8492</v>
      </c>
      <c r="B2678">
        <v>-0.40713412384241898</v>
      </c>
      <c r="C2678">
        <v>9.7173430205924003</v>
      </c>
      <c r="D2678">
        <v>9.3645938193036002E-2</v>
      </c>
      <c r="E2678">
        <v>0.55771358746074795</v>
      </c>
      <c r="F2678">
        <v>65</v>
      </c>
      <c r="G2678">
        <v>92</v>
      </c>
      <c r="H2678" t="s">
        <v>28</v>
      </c>
      <c r="I2678" t="s">
        <v>3438</v>
      </c>
      <c r="J2678" t="s">
        <v>2991</v>
      </c>
    </row>
    <row r="2679" spans="1:10">
      <c r="A2679" t="s">
        <v>8493</v>
      </c>
      <c r="B2679">
        <v>-1.0739589709963699</v>
      </c>
      <c r="C2679">
        <v>6.9463155929715397</v>
      </c>
      <c r="D2679">
        <v>9.3326678984443495E-2</v>
      </c>
      <c r="E2679">
        <v>0.55684341301293205</v>
      </c>
      <c r="F2679">
        <v>7</v>
      </c>
      <c r="G2679">
        <v>16</v>
      </c>
      <c r="H2679" t="s">
        <v>28</v>
      </c>
      <c r="I2679" t="s">
        <v>3438</v>
      </c>
      <c r="J2679" t="s">
        <v>2992</v>
      </c>
    </row>
    <row r="2680" spans="1:10">
      <c r="A2680" t="s">
        <v>8494</v>
      </c>
      <c r="B2680">
        <v>1.2548160832410999</v>
      </c>
      <c r="C2680">
        <v>6.9463572638352797</v>
      </c>
      <c r="D2680">
        <v>9.3326678984443495E-2</v>
      </c>
      <c r="E2680">
        <v>0.55684341301293205</v>
      </c>
      <c r="F2680">
        <v>16</v>
      </c>
      <c r="G2680">
        <v>7</v>
      </c>
      <c r="H2680" t="s">
        <v>8495</v>
      </c>
      <c r="I2680" t="s">
        <v>8496</v>
      </c>
      <c r="J2680" t="s">
        <v>2993</v>
      </c>
    </row>
    <row r="2681" spans="1:10">
      <c r="A2681" t="s">
        <v>8497</v>
      </c>
      <c r="B2681">
        <v>0.67193884470356502</v>
      </c>
      <c r="C2681">
        <v>8.3296955414595892</v>
      </c>
      <c r="D2681">
        <v>9.2948738366920095E-2</v>
      </c>
      <c r="E2681">
        <v>0.55665389681194599</v>
      </c>
      <c r="F2681">
        <v>36</v>
      </c>
      <c r="G2681">
        <v>24</v>
      </c>
      <c r="H2681" t="s">
        <v>8498</v>
      </c>
      <c r="I2681" t="s">
        <v>5429</v>
      </c>
      <c r="J2681" t="s">
        <v>2994</v>
      </c>
    </row>
    <row r="2682" spans="1:10">
      <c r="A2682" t="s">
        <v>8499</v>
      </c>
      <c r="B2682">
        <v>0.67193884470356502</v>
      </c>
      <c r="C2682">
        <v>8.3296955414595892</v>
      </c>
      <c r="D2682">
        <v>9.2948738366920095E-2</v>
      </c>
      <c r="E2682">
        <v>0.55665389681194599</v>
      </c>
      <c r="F2682">
        <v>36</v>
      </c>
      <c r="G2682">
        <v>24</v>
      </c>
      <c r="H2682" t="s">
        <v>28</v>
      </c>
      <c r="I2682" t="s">
        <v>3438</v>
      </c>
      <c r="J2682" t="s">
        <v>2995</v>
      </c>
    </row>
    <row r="2683" spans="1:10">
      <c r="A2683" t="s">
        <v>8500</v>
      </c>
      <c r="B2683">
        <v>-0.37571940704849699</v>
      </c>
      <c r="C2683">
        <v>9.9618764060284093</v>
      </c>
      <c r="D2683">
        <v>9.2947551771695502E-2</v>
      </c>
      <c r="E2683">
        <v>0.55665389681194599</v>
      </c>
      <c r="F2683">
        <v>78</v>
      </c>
      <c r="G2683">
        <v>108</v>
      </c>
      <c r="H2683" t="s">
        <v>8501</v>
      </c>
      <c r="I2683" t="s">
        <v>8502</v>
      </c>
      <c r="J2683" t="s">
        <v>2996</v>
      </c>
    </row>
    <row r="2684" spans="1:10">
      <c r="A2684" t="s">
        <v>8503</v>
      </c>
      <c r="B2684">
        <v>-0.37571940704849699</v>
      </c>
      <c r="C2684">
        <v>9.9618764060284093</v>
      </c>
      <c r="D2684">
        <v>9.2947551771695502E-2</v>
      </c>
      <c r="E2684">
        <v>0.55665389681194599</v>
      </c>
      <c r="F2684">
        <v>78</v>
      </c>
      <c r="G2684">
        <v>108</v>
      </c>
      <c r="H2684" t="s">
        <v>8504</v>
      </c>
      <c r="I2684" t="s">
        <v>8505</v>
      </c>
      <c r="J2684" t="s">
        <v>2997</v>
      </c>
    </row>
    <row r="2685" spans="1:10">
      <c r="A2685" t="s">
        <v>8506</v>
      </c>
      <c r="B2685">
        <v>-1.5690724309069299</v>
      </c>
      <c r="C2685">
        <v>6.12319723366471</v>
      </c>
      <c r="D2685">
        <v>9.2389889951606394E-2</v>
      </c>
      <c r="E2685">
        <v>0.55665389681194599</v>
      </c>
      <c r="F2685">
        <v>3</v>
      </c>
      <c r="G2685">
        <v>10</v>
      </c>
      <c r="H2685" t="s">
        <v>28</v>
      </c>
      <c r="I2685" t="s">
        <v>3438</v>
      </c>
      <c r="J2685" t="s">
        <v>2998</v>
      </c>
    </row>
    <row r="2686" spans="1:10">
      <c r="A2686" t="s">
        <v>8507</v>
      </c>
      <c r="B2686">
        <v>1.7451600688949001</v>
      </c>
      <c r="C2686">
        <v>6.1232296604982199</v>
      </c>
      <c r="D2686">
        <v>9.2389889951606394E-2</v>
      </c>
      <c r="E2686">
        <v>0.55665389681194599</v>
      </c>
      <c r="F2686">
        <v>10</v>
      </c>
      <c r="G2686">
        <v>3</v>
      </c>
      <c r="H2686" t="s">
        <v>28</v>
      </c>
      <c r="I2686" t="s">
        <v>3438</v>
      </c>
      <c r="J2686" t="s">
        <v>2999</v>
      </c>
    </row>
    <row r="2687" spans="1:10">
      <c r="A2687" t="s">
        <v>8508</v>
      </c>
      <c r="B2687">
        <v>1.7451600688949001</v>
      </c>
      <c r="C2687">
        <v>6.1232296604982199</v>
      </c>
      <c r="D2687">
        <v>9.2389889951606394E-2</v>
      </c>
      <c r="E2687">
        <v>0.55665389681194599</v>
      </c>
      <c r="F2687">
        <v>10</v>
      </c>
      <c r="G2687">
        <v>3</v>
      </c>
      <c r="H2687" t="s">
        <v>28</v>
      </c>
      <c r="I2687" t="s">
        <v>3438</v>
      </c>
      <c r="J2687" t="s">
        <v>3000</v>
      </c>
    </row>
    <row r="2688" spans="1:10">
      <c r="A2688" t="s">
        <v>8509</v>
      </c>
      <c r="B2688">
        <v>1.7451600688949001</v>
      </c>
      <c r="C2688">
        <v>6.1232296604982199</v>
      </c>
      <c r="D2688">
        <v>9.2389889951606394E-2</v>
      </c>
      <c r="E2688">
        <v>0.55665389681194599</v>
      </c>
      <c r="F2688">
        <v>10</v>
      </c>
      <c r="G2688">
        <v>3</v>
      </c>
      <c r="H2688" t="s">
        <v>28</v>
      </c>
      <c r="I2688" t="s">
        <v>8510</v>
      </c>
      <c r="J2688" t="s">
        <v>3001</v>
      </c>
    </row>
    <row r="2689" spans="1:10">
      <c r="A2689" t="s">
        <v>8511</v>
      </c>
      <c r="B2689">
        <v>1.7451600688949001</v>
      </c>
      <c r="C2689">
        <v>6.1232296604982199</v>
      </c>
      <c r="D2689">
        <v>9.2389889951606394E-2</v>
      </c>
      <c r="E2689">
        <v>0.55665389681194599</v>
      </c>
      <c r="F2689">
        <v>10</v>
      </c>
      <c r="G2689">
        <v>3</v>
      </c>
      <c r="H2689" t="s">
        <v>28</v>
      </c>
      <c r="I2689" t="s">
        <v>3438</v>
      </c>
      <c r="J2689" t="s">
        <v>49</v>
      </c>
    </row>
    <row r="2690" spans="1:10">
      <c r="A2690" t="s">
        <v>8512</v>
      </c>
      <c r="B2690">
        <v>0.71773135589408499</v>
      </c>
      <c r="C2690">
        <v>8.0952273218633302</v>
      </c>
      <c r="D2690">
        <v>9.2327698240523406E-2</v>
      </c>
      <c r="E2690">
        <v>0.55665389681194599</v>
      </c>
      <c r="F2690">
        <v>31</v>
      </c>
      <c r="G2690">
        <v>20</v>
      </c>
      <c r="H2690" t="s">
        <v>28</v>
      </c>
      <c r="I2690" t="s">
        <v>3438</v>
      </c>
      <c r="J2690" t="s">
        <v>114</v>
      </c>
    </row>
    <row r="2691" spans="1:10">
      <c r="A2691" t="s">
        <v>8513</v>
      </c>
      <c r="B2691">
        <v>0.345226530310695</v>
      </c>
      <c r="C2691">
        <v>10.1843835456009</v>
      </c>
      <c r="D2691">
        <v>9.1936334744012096E-2</v>
      </c>
      <c r="E2691">
        <v>0.55665389681194599</v>
      </c>
      <c r="F2691">
        <v>118</v>
      </c>
      <c r="G2691">
        <v>99</v>
      </c>
      <c r="H2691" t="s">
        <v>28</v>
      </c>
      <c r="I2691" t="s">
        <v>3438</v>
      </c>
      <c r="J2691" t="s">
        <v>3002</v>
      </c>
    </row>
    <row r="2692" spans="1:10">
      <c r="A2692" t="s">
        <v>8514</v>
      </c>
      <c r="B2692">
        <v>-0.62835204911292697</v>
      </c>
      <c r="C2692">
        <v>8.5312630735810409</v>
      </c>
      <c r="D2692">
        <v>9.1743507260955995E-2</v>
      </c>
      <c r="E2692">
        <v>0.55665389681194599</v>
      </c>
      <c r="F2692">
        <v>26</v>
      </c>
      <c r="G2692">
        <v>43</v>
      </c>
      <c r="H2692" t="s">
        <v>8515</v>
      </c>
      <c r="I2692" t="s">
        <v>6174</v>
      </c>
      <c r="J2692" t="s">
        <v>3003</v>
      </c>
    </row>
    <row r="2693" spans="1:10">
      <c r="A2693" t="s">
        <v>8516</v>
      </c>
      <c r="B2693">
        <v>-0.46177959074874098</v>
      </c>
      <c r="C2693">
        <v>9.4000067329107804</v>
      </c>
      <c r="D2693">
        <v>9.1134630988292206E-2</v>
      </c>
      <c r="E2693">
        <v>0.55665389681194599</v>
      </c>
      <c r="F2693">
        <v>51</v>
      </c>
      <c r="G2693">
        <v>75</v>
      </c>
      <c r="H2693" t="s">
        <v>28</v>
      </c>
      <c r="I2693" t="s">
        <v>3438</v>
      </c>
      <c r="J2693" t="s">
        <v>3004</v>
      </c>
    </row>
    <row r="2694" spans="1:10">
      <c r="A2694" t="s">
        <v>8517</v>
      </c>
      <c r="B2694">
        <v>-0.29578868873073899</v>
      </c>
      <c r="C2694">
        <v>10.6075803701791</v>
      </c>
      <c r="D2694">
        <v>9.07116062885093E-2</v>
      </c>
      <c r="E2694">
        <v>0.55665389681194599</v>
      </c>
      <c r="F2694">
        <v>126</v>
      </c>
      <c r="G2694">
        <v>165</v>
      </c>
      <c r="H2694" t="s">
        <v>8518</v>
      </c>
      <c r="I2694" t="s">
        <v>8519</v>
      </c>
      <c r="J2694" t="s">
        <v>3005</v>
      </c>
    </row>
    <row r="2695" spans="1:10">
      <c r="A2695" t="s">
        <v>8520</v>
      </c>
      <c r="B2695">
        <v>-0.55614961483478098</v>
      </c>
      <c r="C2695">
        <v>8.9145863837605503</v>
      </c>
      <c r="D2695">
        <v>9.0031743770316197E-2</v>
      </c>
      <c r="E2695">
        <v>0.55361775901594001</v>
      </c>
      <c r="F2695">
        <v>35</v>
      </c>
      <c r="G2695">
        <v>55</v>
      </c>
      <c r="H2695" t="s">
        <v>28</v>
      </c>
      <c r="I2695" t="s">
        <v>3438</v>
      </c>
      <c r="J2695" t="s">
        <v>3006</v>
      </c>
    </row>
    <row r="2696" spans="1:10">
      <c r="A2696" t="s">
        <v>8521</v>
      </c>
      <c r="B2696">
        <v>0.55251448987208096</v>
      </c>
      <c r="C2696">
        <v>8.8822432109479603</v>
      </c>
      <c r="D2696">
        <v>9.0031743770316197E-2</v>
      </c>
      <c r="E2696">
        <v>0.55361775901594001</v>
      </c>
      <c r="F2696">
        <v>51</v>
      </c>
      <c r="G2696">
        <v>37</v>
      </c>
      <c r="H2696" t="s">
        <v>8522</v>
      </c>
      <c r="I2696" t="s">
        <v>8523</v>
      </c>
      <c r="J2696" t="s">
        <v>3007</v>
      </c>
    </row>
    <row r="2697" spans="1:10">
      <c r="A2697" t="s">
        <v>8524</v>
      </c>
      <c r="B2697">
        <v>-0.89388699459925303</v>
      </c>
      <c r="C2697">
        <v>7.5926726765602899</v>
      </c>
      <c r="D2697">
        <v>8.9810350839757497E-2</v>
      </c>
      <c r="E2697">
        <v>0.55361775901594001</v>
      </c>
      <c r="F2697">
        <v>12</v>
      </c>
      <c r="G2697">
        <v>24</v>
      </c>
      <c r="H2697" t="s">
        <v>8525</v>
      </c>
      <c r="I2697" t="s">
        <v>8526</v>
      </c>
      <c r="J2697" t="s">
        <v>3008</v>
      </c>
    </row>
    <row r="2698" spans="1:10">
      <c r="A2698" t="s">
        <v>8527</v>
      </c>
      <c r="B2698">
        <v>-0.89388699459925303</v>
      </c>
      <c r="C2698">
        <v>7.5926726765602899</v>
      </c>
      <c r="D2698">
        <v>8.9810350839757497E-2</v>
      </c>
      <c r="E2698">
        <v>0.55361775901594001</v>
      </c>
      <c r="F2698">
        <v>12</v>
      </c>
      <c r="G2698">
        <v>24</v>
      </c>
      <c r="H2698" t="s">
        <v>8528</v>
      </c>
      <c r="I2698" t="s">
        <v>8529</v>
      </c>
      <c r="J2698" t="s">
        <v>3009</v>
      </c>
    </row>
    <row r="2699" spans="1:10">
      <c r="A2699" t="s">
        <v>8530</v>
      </c>
      <c r="B2699">
        <v>0.95229708220940101</v>
      </c>
      <c r="C2699">
        <v>7.5102612682521297</v>
      </c>
      <c r="D2699">
        <v>8.9810350839757497E-2</v>
      </c>
      <c r="E2699">
        <v>0.55361775901594001</v>
      </c>
      <c r="F2699">
        <v>22</v>
      </c>
      <c r="G2699">
        <v>12</v>
      </c>
      <c r="H2699" t="s">
        <v>28</v>
      </c>
      <c r="I2699" t="s">
        <v>4727</v>
      </c>
      <c r="J2699" t="s">
        <v>3010</v>
      </c>
    </row>
    <row r="2700" spans="1:10">
      <c r="A2700" t="s">
        <v>8531</v>
      </c>
      <c r="B2700">
        <v>0.95229708220940101</v>
      </c>
      <c r="C2700">
        <v>7.5102612682521297</v>
      </c>
      <c r="D2700">
        <v>8.9810350839757497E-2</v>
      </c>
      <c r="E2700">
        <v>0.55361775901594001</v>
      </c>
      <c r="F2700">
        <v>22</v>
      </c>
      <c r="G2700">
        <v>12</v>
      </c>
      <c r="H2700" t="s">
        <v>28</v>
      </c>
      <c r="I2700" t="s">
        <v>3933</v>
      </c>
      <c r="J2700" t="s">
        <v>3011</v>
      </c>
    </row>
    <row r="2701" spans="1:10">
      <c r="A2701" t="s">
        <v>8532</v>
      </c>
      <c r="B2701">
        <v>0.95229708220940101</v>
      </c>
      <c r="C2701">
        <v>7.5102612682521297</v>
      </c>
      <c r="D2701">
        <v>8.9810350839757497E-2</v>
      </c>
      <c r="E2701">
        <v>0.55361775901594001</v>
      </c>
      <c r="F2701">
        <v>22</v>
      </c>
      <c r="G2701">
        <v>12</v>
      </c>
      <c r="H2701" t="s">
        <v>28</v>
      </c>
      <c r="I2701" t="s">
        <v>3491</v>
      </c>
      <c r="J2701" t="s">
        <v>3012</v>
      </c>
    </row>
    <row r="2702" spans="1:10">
      <c r="A2702" t="s">
        <v>8533</v>
      </c>
      <c r="B2702">
        <v>0.53058777332761498</v>
      </c>
      <c r="C2702">
        <v>9.0521713126674204</v>
      </c>
      <c r="D2702">
        <v>8.9421810159084403E-2</v>
      </c>
      <c r="E2702">
        <v>0.55361775901594001</v>
      </c>
      <c r="F2702">
        <v>57</v>
      </c>
      <c r="G2702">
        <v>42</v>
      </c>
      <c r="H2702" t="s">
        <v>8534</v>
      </c>
      <c r="I2702" t="s">
        <v>8535</v>
      </c>
      <c r="J2702" t="s">
        <v>3013</v>
      </c>
    </row>
    <row r="2703" spans="1:10">
      <c r="A2703" t="s">
        <v>8536</v>
      </c>
      <c r="B2703">
        <v>-0.58147698537132297</v>
      </c>
      <c r="C2703">
        <v>8.7081392098976291</v>
      </c>
      <c r="D2703">
        <v>8.9403431328161698E-2</v>
      </c>
      <c r="E2703">
        <v>0.55361775901594001</v>
      </c>
      <c r="F2703">
        <v>30</v>
      </c>
      <c r="G2703">
        <v>48</v>
      </c>
      <c r="H2703" t="s">
        <v>8537</v>
      </c>
      <c r="I2703" t="s">
        <v>8538</v>
      </c>
      <c r="J2703" t="s">
        <v>3014</v>
      </c>
    </row>
    <row r="2704" spans="1:10">
      <c r="A2704" t="s">
        <v>8539</v>
      </c>
      <c r="B2704">
        <v>0.78346331962981897</v>
      </c>
      <c r="C2704">
        <v>7.8151164340563097</v>
      </c>
      <c r="D2704">
        <v>8.8762697367194193E-2</v>
      </c>
      <c r="E2704">
        <v>0.55361775901594001</v>
      </c>
      <c r="F2704">
        <v>26</v>
      </c>
      <c r="G2704">
        <v>16</v>
      </c>
      <c r="H2704" t="s">
        <v>8540</v>
      </c>
      <c r="I2704" t="s">
        <v>8541</v>
      </c>
      <c r="J2704" t="s">
        <v>3015</v>
      </c>
    </row>
    <row r="2705" spans="1:10">
      <c r="A2705" t="s">
        <v>8542</v>
      </c>
      <c r="B2705">
        <v>0.78346331962981897</v>
      </c>
      <c r="C2705">
        <v>7.8151164340563097</v>
      </c>
      <c r="D2705">
        <v>8.8762697367194193E-2</v>
      </c>
      <c r="E2705">
        <v>0.55361775901594001</v>
      </c>
      <c r="F2705">
        <v>26</v>
      </c>
      <c r="G2705">
        <v>16</v>
      </c>
      <c r="H2705" t="s">
        <v>28</v>
      </c>
      <c r="I2705" t="s">
        <v>8543</v>
      </c>
      <c r="J2705" t="s">
        <v>3016</v>
      </c>
    </row>
    <row r="2706" spans="1:10">
      <c r="A2706" t="s">
        <v>8544</v>
      </c>
      <c r="B2706">
        <v>0.78346331962981897</v>
      </c>
      <c r="C2706">
        <v>7.8151164340563097</v>
      </c>
      <c r="D2706">
        <v>8.8762697367194193E-2</v>
      </c>
      <c r="E2706">
        <v>0.55361775901594001</v>
      </c>
      <c r="F2706">
        <v>26</v>
      </c>
      <c r="G2706">
        <v>16</v>
      </c>
      <c r="H2706" t="s">
        <v>8545</v>
      </c>
      <c r="I2706" t="s">
        <v>8546</v>
      </c>
      <c r="J2706" t="s">
        <v>1823</v>
      </c>
    </row>
    <row r="2707" spans="1:10">
      <c r="A2707" t="s">
        <v>8547</v>
      </c>
      <c r="B2707">
        <v>-1.0394820403818901</v>
      </c>
      <c r="C2707">
        <v>7.2807304552853402</v>
      </c>
      <c r="D2707">
        <v>8.7378540983205105E-2</v>
      </c>
      <c r="E2707">
        <v>0.54992052407434</v>
      </c>
      <c r="F2707">
        <v>9</v>
      </c>
      <c r="G2707">
        <v>20</v>
      </c>
      <c r="H2707" t="s">
        <v>28</v>
      </c>
      <c r="I2707" t="s">
        <v>3438</v>
      </c>
      <c r="J2707" t="s">
        <v>3017</v>
      </c>
    </row>
    <row r="2708" spans="1:10">
      <c r="A2708" t="s">
        <v>8548</v>
      </c>
      <c r="B2708">
        <v>1.0712239099681899</v>
      </c>
      <c r="C2708">
        <v>7.1776831029198904</v>
      </c>
      <c r="D2708">
        <v>8.7378540983205105E-2</v>
      </c>
      <c r="E2708">
        <v>0.54992052407434</v>
      </c>
      <c r="F2708">
        <v>18</v>
      </c>
      <c r="G2708">
        <v>9</v>
      </c>
      <c r="H2708" t="s">
        <v>8549</v>
      </c>
      <c r="I2708" t="s">
        <v>8550</v>
      </c>
      <c r="J2708" t="s">
        <v>3018</v>
      </c>
    </row>
    <row r="2709" spans="1:10">
      <c r="A2709" t="s">
        <v>8551</v>
      </c>
      <c r="B2709">
        <v>1.0712239099681899</v>
      </c>
      <c r="C2709">
        <v>7.1776831029198904</v>
      </c>
      <c r="D2709">
        <v>8.7378540983205105E-2</v>
      </c>
      <c r="E2709">
        <v>0.54992052407434</v>
      </c>
      <c r="F2709">
        <v>18</v>
      </c>
      <c r="G2709">
        <v>9</v>
      </c>
      <c r="H2709" t="s">
        <v>8552</v>
      </c>
      <c r="I2709" t="s">
        <v>8553</v>
      </c>
      <c r="J2709" t="s">
        <v>3019</v>
      </c>
    </row>
    <row r="2710" spans="1:10">
      <c r="A2710" t="s">
        <v>8554</v>
      </c>
      <c r="B2710">
        <v>0.53971215135920403</v>
      </c>
      <c r="C2710">
        <v>9.0227273907208794</v>
      </c>
      <c r="D2710">
        <v>8.6175190305877003E-2</v>
      </c>
      <c r="E2710">
        <v>0.54555002366870198</v>
      </c>
      <c r="F2710">
        <v>56</v>
      </c>
      <c r="G2710">
        <v>41</v>
      </c>
      <c r="H2710" t="s">
        <v>28</v>
      </c>
      <c r="I2710" t="s">
        <v>3438</v>
      </c>
      <c r="J2710" t="s">
        <v>3020</v>
      </c>
    </row>
    <row r="2711" spans="1:10">
      <c r="A2711" t="s">
        <v>8555</v>
      </c>
      <c r="B2711">
        <v>-0.81099392906319401</v>
      </c>
      <c r="C2711">
        <v>8.0374515651842895</v>
      </c>
      <c r="D2711">
        <v>8.5814878525375601E-2</v>
      </c>
      <c r="E2711">
        <v>0.54434053123788595</v>
      </c>
      <c r="F2711">
        <v>17</v>
      </c>
      <c r="G2711">
        <v>32</v>
      </c>
      <c r="H2711" t="s">
        <v>28</v>
      </c>
      <c r="I2711" t="s">
        <v>5301</v>
      </c>
      <c r="J2711" t="s">
        <v>3021</v>
      </c>
    </row>
    <row r="2712" spans="1:10">
      <c r="A2712" t="s">
        <v>8556</v>
      </c>
      <c r="B2712">
        <v>0.74383179219512896</v>
      </c>
      <c r="C2712">
        <v>8.0375116783427991</v>
      </c>
      <c r="D2712">
        <v>8.5814878525375601E-2</v>
      </c>
      <c r="E2712">
        <v>0.54434053123788595</v>
      </c>
      <c r="F2712">
        <v>30</v>
      </c>
      <c r="G2712">
        <v>19</v>
      </c>
      <c r="H2712" t="s">
        <v>8557</v>
      </c>
      <c r="I2712" t="s">
        <v>8558</v>
      </c>
      <c r="J2712" t="s">
        <v>3022</v>
      </c>
    </row>
    <row r="2713" spans="1:10">
      <c r="A2713" t="s">
        <v>8559</v>
      </c>
      <c r="B2713">
        <v>-0.25950865097393</v>
      </c>
      <c r="C2713">
        <v>11.077326884101099</v>
      </c>
      <c r="D2713">
        <v>8.3791246789623797E-2</v>
      </c>
      <c r="E2713">
        <v>0.53360920727807903</v>
      </c>
      <c r="F2713">
        <v>177</v>
      </c>
      <c r="G2713">
        <v>226</v>
      </c>
      <c r="H2713" t="s">
        <v>8560</v>
      </c>
      <c r="I2713" t="s">
        <v>8561</v>
      </c>
      <c r="J2713" t="s">
        <v>3023</v>
      </c>
    </row>
    <row r="2714" spans="1:10">
      <c r="A2714" t="s">
        <v>8562</v>
      </c>
      <c r="B2714">
        <v>0.333050748952328</v>
      </c>
      <c r="C2714">
        <v>10.3297268240563</v>
      </c>
      <c r="D2714">
        <v>8.2968721710344695E-2</v>
      </c>
      <c r="E2714">
        <v>0.52941946234220005</v>
      </c>
      <c r="F2714">
        <v>130</v>
      </c>
      <c r="G2714">
        <v>110</v>
      </c>
      <c r="H2714" t="s">
        <v>8563</v>
      </c>
      <c r="I2714" t="s">
        <v>8564</v>
      </c>
      <c r="J2714" t="s">
        <v>3024</v>
      </c>
    </row>
    <row r="2715" spans="1:10">
      <c r="A2715" t="s">
        <v>8565</v>
      </c>
      <c r="B2715">
        <v>-0.67442812119571804</v>
      </c>
      <c r="C2715">
        <v>8.4451061261293692</v>
      </c>
      <c r="D2715">
        <v>8.2176137859029802E-2</v>
      </c>
      <c r="E2715">
        <v>0.52540449175872705</v>
      </c>
      <c r="F2715">
        <v>24</v>
      </c>
      <c r="G2715">
        <v>41</v>
      </c>
      <c r="H2715" t="s">
        <v>8566</v>
      </c>
      <c r="I2715" t="s">
        <v>3734</v>
      </c>
      <c r="J2715" t="s">
        <v>3025</v>
      </c>
    </row>
    <row r="2716" spans="1:10">
      <c r="A2716" t="s">
        <v>8567</v>
      </c>
      <c r="B2716">
        <v>-0.74821100758799197</v>
      </c>
      <c r="C2716">
        <v>8.2300948625727806</v>
      </c>
      <c r="D2716">
        <v>8.1852024977517104E-2</v>
      </c>
      <c r="E2716">
        <v>0.52437472575237998</v>
      </c>
      <c r="F2716">
        <v>20</v>
      </c>
      <c r="G2716">
        <v>36</v>
      </c>
      <c r="H2716" t="s">
        <v>28</v>
      </c>
      <c r="I2716" t="s">
        <v>3438</v>
      </c>
      <c r="J2716" t="s">
        <v>3026</v>
      </c>
    </row>
    <row r="2717" spans="1:10">
      <c r="A2717" t="s">
        <v>8568</v>
      </c>
      <c r="B2717">
        <v>0.71417963656868</v>
      </c>
      <c r="C2717">
        <v>8.2301595772721292</v>
      </c>
      <c r="D2717">
        <v>8.1852024977517104E-2</v>
      </c>
      <c r="E2717">
        <v>0.52437472575237998</v>
      </c>
      <c r="F2717">
        <v>34</v>
      </c>
      <c r="G2717">
        <v>22</v>
      </c>
      <c r="H2717" t="s">
        <v>8569</v>
      </c>
      <c r="I2717" t="s">
        <v>8570</v>
      </c>
      <c r="J2717" t="s">
        <v>3027</v>
      </c>
    </row>
    <row r="2718" spans="1:10">
      <c r="A2718" t="s">
        <v>8571</v>
      </c>
      <c r="B2718">
        <v>-0.61912319672582705</v>
      </c>
      <c r="C2718">
        <v>8.6321900527751207</v>
      </c>
      <c r="D2718">
        <v>8.1065680214355604E-2</v>
      </c>
      <c r="E2718">
        <v>0.52141445513873497</v>
      </c>
      <c r="F2718">
        <v>28</v>
      </c>
      <c r="G2718">
        <v>46</v>
      </c>
      <c r="H2718" t="s">
        <v>8572</v>
      </c>
      <c r="I2718" t="s">
        <v>8573</v>
      </c>
      <c r="J2718" t="s">
        <v>3028</v>
      </c>
    </row>
    <row r="2719" spans="1:10">
      <c r="A2719" t="s">
        <v>8574</v>
      </c>
      <c r="B2719">
        <v>-0.61912319672582705</v>
      </c>
      <c r="C2719">
        <v>8.6321900527751207</v>
      </c>
      <c r="D2719">
        <v>8.1065680214355604E-2</v>
      </c>
      <c r="E2719">
        <v>0.52141445513873497</v>
      </c>
      <c r="F2719">
        <v>28</v>
      </c>
      <c r="G2719">
        <v>46</v>
      </c>
      <c r="H2719" t="s">
        <v>8575</v>
      </c>
      <c r="I2719" t="s">
        <v>8576</v>
      </c>
      <c r="J2719" t="s">
        <v>3029</v>
      </c>
    </row>
    <row r="2720" spans="1:10">
      <c r="A2720" t="s">
        <v>8577</v>
      </c>
      <c r="B2720">
        <v>0.81899553144561898</v>
      </c>
      <c r="C2720">
        <v>7.7447269601396398</v>
      </c>
      <c r="D2720">
        <v>8.0992299094081496E-2</v>
      </c>
      <c r="E2720">
        <v>0.52141445513873497</v>
      </c>
      <c r="F2720">
        <v>25</v>
      </c>
      <c r="G2720">
        <v>15</v>
      </c>
      <c r="H2720" t="s">
        <v>28</v>
      </c>
      <c r="I2720" t="s">
        <v>3631</v>
      </c>
      <c r="J2720" t="s">
        <v>3030</v>
      </c>
    </row>
    <row r="2721" spans="1:10">
      <c r="A2721" t="s">
        <v>8578</v>
      </c>
      <c r="B2721">
        <v>0.81899553144561898</v>
      </c>
      <c r="C2721">
        <v>7.7447269601396398</v>
      </c>
      <c r="D2721">
        <v>8.0992299094081496E-2</v>
      </c>
      <c r="E2721">
        <v>0.52141445513873497</v>
      </c>
      <c r="F2721">
        <v>25</v>
      </c>
      <c r="G2721">
        <v>15</v>
      </c>
      <c r="H2721" t="s">
        <v>28</v>
      </c>
      <c r="I2721" t="s">
        <v>3438</v>
      </c>
      <c r="J2721" t="s">
        <v>3031</v>
      </c>
    </row>
    <row r="2722" spans="1:10">
      <c r="A2722" t="s">
        <v>8579</v>
      </c>
      <c r="B2722">
        <v>-0.95609440490632103</v>
      </c>
      <c r="C2722">
        <v>7.5102103651849896</v>
      </c>
      <c r="D2722">
        <v>8.0391155525547806E-2</v>
      </c>
      <c r="E2722">
        <v>0.52124587937532596</v>
      </c>
      <c r="F2722">
        <v>11</v>
      </c>
      <c r="G2722">
        <v>23</v>
      </c>
      <c r="H2722" t="s">
        <v>28</v>
      </c>
      <c r="I2722" t="s">
        <v>3438</v>
      </c>
      <c r="J2722" t="s">
        <v>3032</v>
      </c>
    </row>
    <row r="2723" spans="1:10">
      <c r="A2723" t="s">
        <v>8580</v>
      </c>
      <c r="B2723">
        <v>1.00870278482709</v>
      </c>
      <c r="C2723">
        <v>7.4227982808600403</v>
      </c>
      <c r="D2723">
        <v>8.0391155525547806E-2</v>
      </c>
      <c r="E2723">
        <v>0.52124587937532596</v>
      </c>
      <c r="F2723">
        <v>21</v>
      </c>
      <c r="G2723">
        <v>11</v>
      </c>
      <c r="H2723" t="s">
        <v>28</v>
      </c>
      <c r="I2723" t="s">
        <v>8581</v>
      </c>
      <c r="J2723" t="s">
        <v>3033</v>
      </c>
    </row>
    <row r="2724" spans="1:10">
      <c r="A2724" t="s">
        <v>8582</v>
      </c>
      <c r="B2724">
        <v>-0.35596525709737198</v>
      </c>
      <c r="C2724">
        <v>10.204070735722601</v>
      </c>
      <c r="D2724">
        <v>8.0329821241107796E-2</v>
      </c>
      <c r="E2724">
        <v>0.52124587937532596</v>
      </c>
      <c r="F2724">
        <v>93</v>
      </c>
      <c r="G2724">
        <v>127</v>
      </c>
      <c r="H2724" t="s">
        <v>8583</v>
      </c>
      <c r="I2724" t="s">
        <v>8584</v>
      </c>
      <c r="J2724" t="s">
        <v>3034</v>
      </c>
    </row>
    <row r="2725" spans="1:10">
      <c r="A2725" t="s">
        <v>8585</v>
      </c>
      <c r="B2725">
        <v>0.5053351322963</v>
      </c>
      <c r="C2725">
        <v>9.1370606422443803</v>
      </c>
      <c r="D2725">
        <v>7.9267515655595394E-2</v>
      </c>
      <c r="E2725">
        <v>0.51708789117321496</v>
      </c>
      <c r="F2725">
        <v>60</v>
      </c>
      <c r="G2725">
        <v>45</v>
      </c>
      <c r="H2725" t="s">
        <v>8586</v>
      </c>
      <c r="I2725" t="s">
        <v>8587</v>
      </c>
      <c r="J2725" t="s">
        <v>3035</v>
      </c>
    </row>
    <row r="2726" spans="1:10">
      <c r="A2726" t="s">
        <v>8588</v>
      </c>
      <c r="B2726">
        <v>-0.57609820887059304</v>
      </c>
      <c r="C2726">
        <v>8.7977744939959095</v>
      </c>
      <c r="D2726">
        <v>7.9037578576082401E-2</v>
      </c>
      <c r="E2726">
        <v>0.51663587947292899</v>
      </c>
      <c r="F2726">
        <v>32</v>
      </c>
      <c r="G2726">
        <v>51</v>
      </c>
      <c r="H2726" t="s">
        <v>8589</v>
      </c>
      <c r="I2726" t="s">
        <v>8590</v>
      </c>
      <c r="J2726" t="s">
        <v>3036</v>
      </c>
    </row>
    <row r="2727" spans="1:10">
      <c r="A2727" t="s">
        <v>8591</v>
      </c>
      <c r="B2727">
        <v>-0.57609820887059304</v>
      </c>
      <c r="C2727">
        <v>8.7977744939959095</v>
      </c>
      <c r="D2727">
        <v>7.9037578576082401E-2</v>
      </c>
      <c r="E2727">
        <v>0.51663587947292899</v>
      </c>
      <c r="F2727">
        <v>32</v>
      </c>
      <c r="G2727">
        <v>51</v>
      </c>
      <c r="H2727" t="s">
        <v>8592</v>
      </c>
      <c r="I2727" t="s">
        <v>8593</v>
      </c>
      <c r="J2727" t="s">
        <v>3037</v>
      </c>
    </row>
    <row r="2728" spans="1:10">
      <c r="A2728" t="s">
        <v>8594</v>
      </c>
      <c r="B2728">
        <v>0.61618621979972599</v>
      </c>
      <c r="C2728">
        <v>8.7978529707001201</v>
      </c>
      <c r="D2728">
        <v>7.9037578576082401E-2</v>
      </c>
      <c r="E2728">
        <v>0.51663587947292899</v>
      </c>
      <c r="F2728">
        <v>49</v>
      </c>
      <c r="G2728">
        <v>34</v>
      </c>
      <c r="H2728" t="s">
        <v>8595</v>
      </c>
      <c r="I2728" t="s">
        <v>8596</v>
      </c>
      <c r="J2728" t="s">
        <v>3038</v>
      </c>
    </row>
    <row r="2729" spans="1:10">
      <c r="A2729" t="s">
        <v>8597</v>
      </c>
      <c r="B2729">
        <v>0.47335155979731403</v>
      </c>
      <c r="C2729">
        <v>9.4340487112712292</v>
      </c>
      <c r="D2729">
        <v>7.8806784115684703E-2</v>
      </c>
      <c r="E2729">
        <v>0.51663587947292899</v>
      </c>
      <c r="F2729">
        <v>73</v>
      </c>
      <c r="G2729">
        <v>56</v>
      </c>
      <c r="H2729" t="s">
        <v>8598</v>
      </c>
      <c r="I2729" t="s">
        <v>8599</v>
      </c>
      <c r="J2729" t="s">
        <v>3039</v>
      </c>
    </row>
    <row r="2730" spans="1:10">
      <c r="A2730" t="s">
        <v>8600</v>
      </c>
      <c r="B2730">
        <v>-1.1967560934194099</v>
      </c>
      <c r="C2730">
        <v>6.8150709090061898</v>
      </c>
      <c r="D2730">
        <v>7.8509136225806894E-2</v>
      </c>
      <c r="E2730">
        <v>0.51663587947292899</v>
      </c>
      <c r="F2730">
        <v>6</v>
      </c>
      <c r="G2730">
        <v>15</v>
      </c>
      <c r="H2730" t="s">
        <v>28</v>
      </c>
      <c r="I2730" t="s">
        <v>8601</v>
      </c>
      <c r="J2730" t="s">
        <v>3040</v>
      </c>
    </row>
    <row r="2731" spans="1:10">
      <c r="A2731" t="s">
        <v>8602</v>
      </c>
      <c r="B2731">
        <v>-1.1967560934194099</v>
      </c>
      <c r="C2731">
        <v>6.8150709090061898</v>
      </c>
      <c r="D2731">
        <v>7.8509136225806894E-2</v>
      </c>
      <c r="E2731">
        <v>0.51663587947292899</v>
      </c>
      <c r="F2731">
        <v>6</v>
      </c>
      <c r="G2731">
        <v>15</v>
      </c>
      <c r="H2731" t="s">
        <v>28</v>
      </c>
      <c r="I2731" t="s">
        <v>3438</v>
      </c>
      <c r="J2731" t="s">
        <v>3041</v>
      </c>
    </row>
    <row r="2732" spans="1:10">
      <c r="A2732" t="s">
        <v>8603</v>
      </c>
      <c r="B2732">
        <v>-1.1967560934194099</v>
      </c>
      <c r="C2732">
        <v>6.8150709090061898</v>
      </c>
      <c r="D2732">
        <v>7.8509136225806894E-2</v>
      </c>
      <c r="E2732">
        <v>0.51663587947292899</v>
      </c>
      <c r="F2732">
        <v>6</v>
      </c>
      <c r="G2732">
        <v>15</v>
      </c>
      <c r="H2732" t="s">
        <v>28</v>
      </c>
      <c r="I2732" t="s">
        <v>3438</v>
      </c>
      <c r="J2732" t="s">
        <v>3042</v>
      </c>
    </row>
    <row r="2733" spans="1:10">
      <c r="A2733" t="s">
        <v>8604</v>
      </c>
      <c r="B2733">
        <v>1.3770081848859801</v>
      </c>
      <c r="C2733">
        <v>6.8151125840241296</v>
      </c>
      <c r="D2733">
        <v>7.8509136225806894E-2</v>
      </c>
      <c r="E2733">
        <v>0.51663587947292899</v>
      </c>
      <c r="F2733">
        <v>15</v>
      </c>
      <c r="G2733">
        <v>6</v>
      </c>
      <c r="H2733" t="s">
        <v>28</v>
      </c>
      <c r="I2733" t="s">
        <v>4760</v>
      </c>
      <c r="J2733" t="s">
        <v>3043</v>
      </c>
    </row>
    <row r="2734" spans="1:10">
      <c r="A2734" t="s">
        <v>8605</v>
      </c>
      <c r="B2734">
        <v>1.3770081848859801</v>
      </c>
      <c r="C2734">
        <v>6.8151125840241296</v>
      </c>
      <c r="D2734">
        <v>7.8509136225806894E-2</v>
      </c>
      <c r="E2734">
        <v>0.51663587947292899</v>
      </c>
      <c r="F2734">
        <v>15</v>
      </c>
      <c r="G2734">
        <v>6</v>
      </c>
      <c r="H2734" t="s">
        <v>28</v>
      </c>
      <c r="I2734" t="s">
        <v>3438</v>
      </c>
      <c r="J2734" t="s">
        <v>3044</v>
      </c>
    </row>
    <row r="2735" spans="1:10">
      <c r="A2735" t="s">
        <v>8606</v>
      </c>
      <c r="B2735">
        <v>-0.42941833579330801</v>
      </c>
      <c r="C2735">
        <v>9.7081221144669207</v>
      </c>
      <c r="D2735">
        <v>7.8018653128443902E-2</v>
      </c>
      <c r="E2735">
        <v>0.51663587947292899</v>
      </c>
      <c r="F2735">
        <v>64</v>
      </c>
      <c r="G2735">
        <v>92</v>
      </c>
      <c r="H2735" t="s">
        <v>8607</v>
      </c>
      <c r="I2735" t="s">
        <v>8608</v>
      </c>
      <c r="J2735" t="s">
        <v>3045</v>
      </c>
    </row>
    <row r="2736" spans="1:10">
      <c r="A2736" t="s">
        <v>8609</v>
      </c>
      <c r="B2736">
        <v>-1.43818187246248</v>
      </c>
      <c r="C2736">
        <v>6.4227554252025101</v>
      </c>
      <c r="D2736">
        <v>7.69293852226869E-2</v>
      </c>
      <c r="E2736">
        <v>0.51328818024099798</v>
      </c>
      <c r="F2736">
        <v>4</v>
      </c>
      <c r="G2736">
        <v>12</v>
      </c>
      <c r="H2736" t="s">
        <v>8610</v>
      </c>
      <c r="I2736" t="s">
        <v>5343</v>
      </c>
      <c r="J2736" t="s">
        <v>3046</v>
      </c>
    </row>
    <row r="2737" spans="1:10">
      <c r="A2737" t="s">
        <v>8611</v>
      </c>
      <c r="B2737">
        <v>-1.43818187246248</v>
      </c>
      <c r="C2737">
        <v>6.4227554252025101</v>
      </c>
      <c r="D2737">
        <v>7.69293852226869E-2</v>
      </c>
      <c r="E2737">
        <v>0.51328818024099798</v>
      </c>
      <c r="F2737">
        <v>4</v>
      </c>
      <c r="G2737">
        <v>12</v>
      </c>
      <c r="H2737" t="s">
        <v>8612</v>
      </c>
      <c r="I2737" t="s">
        <v>3450</v>
      </c>
      <c r="J2737" t="s">
        <v>3047</v>
      </c>
    </row>
    <row r="2738" spans="1:10">
      <c r="A2738" t="s">
        <v>8613</v>
      </c>
      <c r="B2738">
        <v>-1.43818187246248</v>
      </c>
      <c r="C2738">
        <v>6.4227554252025101</v>
      </c>
      <c r="D2738">
        <v>7.69293852226869E-2</v>
      </c>
      <c r="E2738">
        <v>0.51328818024099798</v>
      </c>
      <c r="F2738">
        <v>4</v>
      </c>
      <c r="G2738">
        <v>12</v>
      </c>
      <c r="H2738" t="s">
        <v>8614</v>
      </c>
      <c r="I2738" t="s">
        <v>8615</v>
      </c>
      <c r="J2738" t="s">
        <v>3048</v>
      </c>
    </row>
    <row r="2739" spans="1:10">
      <c r="A2739" t="s">
        <v>8616</v>
      </c>
      <c r="B2739">
        <v>-1.43818187246248</v>
      </c>
      <c r="C2739">
        <v>6.4227554252025101</v>
      </c>
      <c r="D2739">
        <v>7.69293852226869E-2</v>
      </c>
      <c r="E2739">
        <v>0.51328818024099798</v>
      </c>
      <c r="F2739">
        <v>4</v>
      </c>
      <c r="G2739">
        <v>12</v>
      </c>
      <c r="H2739" t="s">
        <v>28</v>
      </c>
      <c r="I2739" t="s">
        <v>3438</v>
      </c>
      <c r="J2739" t="s">
        <v>3049</v>
      </c>
    </row>
    <row r="2740" spans="1:10">
      <c r="A2740" t="s">
        <v>8617</v>
      </c>
      <c r="B2740">
        <v>-1.43818187246248</v>
      </c>
      <c r="C2740">
        <v>6.4227554252025101</v>
      </c>
      <c r="D2740">
        <v>7.69293852226869E-2</v>
      </c>
      <c r="E2740">
        <v>0.51328818024099798</v>
      </c>
      <c r="F2740">
        <v>4</v>
      </c>
      <c r="G2740">
        <v>12</v>
      </c>
      <c r="H2740" t="s">
        <v>8618</v>
      </c>
      <c r="I2740" t="s">
        <v>8619</v>
      </c>
      <c r="J2740" t="s">
        <v>3050</v>
      </c>
    </row>
    <row r="2741" spans="1:10">
      <c r="A2741" t="s">
        <v>8620</v>
      </c>
      <c r="B2741">
        <v>1.61631666648386</v>
      </c>
      <c r="C2741">
        <v>6.4227924788977004</v>
      </c>
      <c r="D2741">
        <v>7.69293852226869E-2</v>
      </c>
      <c r="E2741">
        <v>0.51328818024099798</v>
      </c>
      <c r="F2741">
        <v>12</v>
      </c>
      <c r="G2741">
        <v>4</v>
      </c>
      <c r="H2741" t="s">
        <v>28</v>
      </c>
      <c r="I2741" t="s">
        <v>3631</v>
      </c>
      <c r="J2741" t="s">
        <v>3051</v>
      </c>
    </row>
    <row r="2742" spans="1:10">
      <c r="A2742" t="s">
        <v>8621</v>
      </c>
      <c r="B2742">
        <v>1.61631666648386</v>
      </c>
      <c r="C2742">
        <v>6.4227924788977004</v>
      </c>
      <c r="D2742">
        <v>7.69293852226869E-2</v>
      </c>
      <c r="E2742">
        <v>0.51328818024099798</v>
      </c>
      <c r="F2742">
        <v>12</v>
      </c>
      <c r="G2742">
        <v>4</v>
      </c>
      <c r="H2742" t="s">
        <v>44</v>
      </c>
      <c r="I2742" t="s">
        <v>3571</v>
      </c>
      <c r="J2742" t="s">
        <v>43</v>
      </c>
    </row>
    <row r="2743" spans="1:10">
      <c r="A2743" t="s">
        <v>8622</v>
      </c>
      <c r="B2743">
        <v>1.61631666648386</v>
      </c>
      <c r="C2743">
        <v>6.4227924788977004</v>
      </c>
      <c r="D2743">
        <v>7.69293852226869E-2</v>
      </c>
      <c r="E2743">
        <v>0.51328818024099798</v>
      </c>
      <c r="F2743">
        <v>12</v>
      </c>
      <c r="G2743">
        <v>4</v>
      </c>
      <c r="H2743" t="s">
        <v>8623</v>
      </c>
      <c r="I2743" t="s">
        <v>8624</v>
      </c>
      <c r="J2743" t="s">
        <v>3052</v>
      </c>
    </row>
    <row r="2744" spans="1:10">
      <c r="A2744" t="s">
        <v>8625</v>
      </c>
      <c r="B2744">
        <v>1.61631666648386</v>
      </c>
      <c r="C2744">
        <v>6.4227924788977004</v>
      </c>
      <c r="D2744">
        <v>7.69293852226869E-2</v>
      </c>
      <c r="E2744">
        <v>0.51328818024099798</v>
      </c>
      <c r="F2744">
        <v>12</v>
      </c>
      <c r="G2744">
        <v>4</v>
      </c>
      <c r="H2744" t="s">
        <v>8626</v>
      </c>
      <c r="I2744" t="s">
        <v>8627</v>
      </c>
      <c r="J2744" t="s">
        <v>3053</v>
      </c>
    </row>
    <row r="2745" spans="1:10">
      <c r="A2745" t="s">
        <v>8628</v>
      </c>
      <c r="B2745">
        <v>1.61631666648386</v>
      </c>
      <c r="C2745">
        <v>6.4227924788977004</v>
      </c>
      <c r="D2745">
        <v>7.69293852226869E-2</v>
      </c>
      <c r="E2745">
        <v>0.51328818024099798</v>
      </c>
      <c r="F2745">
        <v>12</v>
      </c>
      <c r="G2745">
        <v>4</v>
      </c>
      <c r="H2745" t="s">
        <v>28</v>
      </c>
      <c r="I2745" t="s">
        <v>3438</v>
      </c>
      <c r="J2745" t="s">
        <v>3054</v>
      </c>
    </row>
    <row r="2746" spans="1:10">
      <c r="A2746" t="s">
        <v>8629</v>
      </c>
      <c r="B2746">
        <v>1.61631666648386</v>
      </c>
      <c r="C2746">
        <v>6.4227924788977004</v>
      </c>
      <c r="D2746">
        <v>7.69293852226869E-2</v>
      </c>
      <c r="E2746">
        <v>0.51328818024099798</v>
      </c>
      <c r="F2746">
        <v>12</v>
      </c>
      <c r="G2746">
        <v>4</v>
      </c>
      <c r="H2746" t="s">
        <v>8630</v>
      </c>
      <c r="I2746" t="s">
        <v>8631</v>
      </c>
      <c r="J2746" t="s">
        <v>3055</v>
      </c>
    </row>
    <row r="2747" spans="1:10">
      <c r="A2747" t="s">
        <v>8632</v>
      </c>
      <c r="B2747">
        <v>1.61631666648386</v>
      </c>
      <c r="C2747">
        <v>6.4227924788977004</v>
      </c>
      <c r="D2747">
        <v>7.69293852226869E-2</v>
      </c>
      <c r="E2747">
        <v>0.51328818024099798</v>
      </c>
      <c r="F2747">
        <v>12</v>
      </c>
      <c r="G2747">
        <v>4</v>
      </c>
      <c r="H2747" t="s">
        <v>28</v>
      </c>
      <c r="I2747" t="s">
        <v>3491</v>
      </c>
      <c r="J2747" t="s">
        <v>3056</v>
      </c>
    </row>
    <row r="2748" spans="1:10">
      <c r="A2748" t="s">
        <v>8633</v>
      </c>
      <c r="B2748">
        <v>-1.13165953698585</v>
      </c>
      <c r="C2748">
        <v>7.1776368112629996</v>
      </c>
      <c r="D2748">
        <v>7.5707272512303705E-2</v>
      </c>
      <c r="E2748">
        <v>0.51328818024099798</v>
      </c>
      <c r="F2748">
        <v>8</v>
      </c>
      <c r="G2748">
        <v>19</v>
      </c>
      <c r="H2748" t="s">
        <v>28</v>
      </c>
      <c r="I2748" t="s">
        <v>3438</v>
      </c>
      <c r="J2748" t="s">
        <v>3057</v>
      </c>
    </row>
    <row r="2749" spans="1:10">
      <c r="A2749" t="s">
        <v>8634</v>
      </c>
      <c r="B2749">
        <v>1.2361314398016501</v>
      </c>
      <c r="C2749">
        <v>7.1232375604010496</v>
      </c>
      <c r="D2749">
        <v>7.5707272512303705E-2</v>
      </c>
      <c r="E2749">
        <v>0.51328818024099798</v>
      </c>
      <c r="F2749">
        <v>18</v>
      </c>
      <c r="G2749">
        <v>8</v>
      </c>
      <c r="H2749" t="s">
        <v>8635</v>
      </c>
      <c r="I2749" t="s">
        <v>8636</v>
      </c>
      <c r="J2749" t="s">
        <v>3058</v>
      </c>
    </row>
    <row r="2750" spans="1:10">
      <c r="A2750" t="s">
        <v>8637</v>
      </c>
      <c r="B2750">
        <v>0.49818139735620698</v>
      </c>
      <c r="C2750">
        <v>9.2557080908981302</v>
      </c>
      <c r="D2750">
        <v>7.5519156029367401E-2</v>
      </c>
      <c r="E2750">
        <v>0.51328818024099798</v>
      </c>
      <c r="F2750">
        <v>65</v>
      </c>
      <c r="G2750">
        <v>49</v>
      </c>
      <c r="H2750" t="s">
        <v>8638</v>
      </c>
      <c r="I2750" t="s">
        <v>8639</v>
      </c>
      <c r="J2750" t="s">
        <v>3059</v>
      </c>
    </row>
    <row r="2751" spans="1:10">
      <c r="A2751" t="s">
        <v>8640</v>
      </c>
      <c r="B2751">
        <v>-0.59312877204560899</v>
      </c>
      <c r="C2751">
        <v>8.7625849134502598</v>
      </c>
      <c r="D2751">
        <v>7.5375463237794496E-2</v>
      </c>
      <c r="E2751">
        <v>0.51328818024099798</v>
      </c>
      <c r="F2751">
        <v>31</v>
      </c>
      <c r="G2751">
        <v>50</v>
      </c>
      <c r="H2751" t="s">
        <v>8641</v>
      </c>
      <c r="I2751" t="s">
        <v>8642</v>
      </c>
      <c r="J2751" t="s">
        <v>3060</v>
      </c>
    </row>
    <row r="2752" spans="1:10">
      <c r="A2752" t="s">
        <v>8643</v>
      </c>
      <c r="B2752">
        <v>-0.53681903147496701</v>
      </c>
      <c r="C2752">
        <v>9.0951549302242594</v>
      </c>
      <c r="D2752">
        <v>7.34784495048037E-2</v>
      </c>
      <c r="E2752">
        <v>0.50709590902886004</v>
      </c>
      <c r="F2752">
        <v>40</v>
      </c>
      <c r="G2752">
        <v>62</v>
      </c>
      <c r="H2752" t="s">
        <v>8644</v>
      </c>
      <c r="I2752" t="s">
        <v>4234</v>
      </c>
      <c r="J2752" t="s">
        <v>3061</v>
      </c>
    </row>
    <row r="2753" spans="1:10">
      <c r="A2753" t="s">
        <v>8645</v>
      </c>
      <c r="B2753">
        <v>0.85847198481657805</v>
      </c>
      <c r="C2753">
        <v>7.6707262326414796</v>
      </c>
      <c r="D2753">
        <v>7.3222283115315395E-2</v>
      </c>
      <c r="E2753">
        <v>0.50641475806205205</v>
      </c>
      <c r="F2753">
        <v>24</v>
      </c>
      <c r="G2753">
        <v>14</v>
      </c>
      <c r="H2753" t="s">
        <v>8646</v>
      </c>
      <c r="I2753" t="s">
        <v>8647</v>
      </c>
      <c r="J2753" t="s">
        <v>3062</v>
      </c>
    </row>
    <row r="2754" spans="1:10">
      <c r="A2754" t="s">
        <v>8648</v>
      </c>
      <c r="B2754">
        <v>0.85847198481657805</v>
      </c>
      <c r="C2754">
        <v>7.6707262326414796</v>
      </c>
      <c r="D2754">
        <v>7.3222283115315395E-2</v>
      </c>
      <c r="E2754">
        <v>0.50641475806205205</v>
      </c>
      <c r="F2754">
        <v>24</v>
      </c>
      <c r="G2754">
        <v>14</v>
      </c>
      <c r="H2754" t="s">
        <v>28</v>
      </c>
      <c r="I2754" t="s">
        <v>3474</v>
      </c>
      <c r="J2754" t="s">
        <v>1399</v>
      </c>
    </row>
    <row r="2755" spans="1:10">
      <c r="A2755" t="s">
        <v>8649</v>
      </c>
      <c r="B2755">
        <v>-0.53284317352071398</v>
      </c>
      <c r="C2755">
        <v>9.2300806627916501</v>
      </c>
      <c r="D2755">
        <v>7.2922655783283497E-2</v>
      </c>
      <c r="E2755">
        <v>0.50641475806205205</v>
      </c>
      <c r="F2755">
        <v>44</v>
      </c>
      <c r="G2755">
        <v>68</v>
      </c>
      <c r="H2755" t="s">
        <v>8650</v>
      </c>
      <c r="I2755" t="s">
        <v>8651</v>
      </c>
      <c r="J2755" t="s">
        <v>3063</v>
      </c>
    </row>
    <row r="2756" spans="1:10">
      <c r="A2756" t="s">
        <v>8652</v>
      </c>
      <c r="B2756">
        <v>-0.89652893010173496</v>
      </c>
      <c r="C2756">
        <v>7.91459451401224</v>
      </c>
      <c r="D2756">
        <v>7.2774080869119503E-2</v>
      </c>
      <c r="E2756">
        <v>0.50641475806205205</v>
      </c>
      <c r="F2756">
        <v>15</v>
      </c>
      <c r="G2756">
        <v>30</v>
      </c>
      <c r="H2756" t="s">
        <v>8653</v>
      </c>
      <c r="I2756" t="s">
        <v>8654</v>
      </c>
      <c r="J2756" t="s">
        <v>3064</v>
      </c>
    </row>
    <row r="2757" spans="1:10">
      <c r="A2757" t="s">
        <v>8655</v>
      </c>
      <c r="B2757">
        <v>-0.89652893010173496</v>
      </c>
      <c r="C2757">
        <v>7.91459451401224</v>
      </c>
      <c r="D2757">
        <v>7.2774080869119503E-2</v>
      </c>
      <c r="E2757">
        <v>0.50641475806205205</v>
      </c>
      <c r="F2757">
        <v>15</v>
      </c>
      <c r="G2757">
        <v>30</v>
      </c>
      <c r="H2757" t="s">
        <v>28</v>
      </c>
      <c r="I2757" t="s">
        <v>3438</v>
      </c>
      <c r="J2757" t="s">
        <v>71</v>
      </c>
    </row>
    <row r="2758" spans="1:10">
      <c r="A2758" t="s">
        <v>8656</v>
      </c>
      <c r="B2758">
        <v>-0.89652893010173496</v>
      </c>
      <c r="C2758">
        <v>7.91459451401224</v>
      </c>
      <c r="D2758">
        <v>7.2774080869119503E-2</v>
      </c>
      <c r="E2758">
        <v>0.50641475806205205</v>
      </c>
      <c r="F2758">
        <v>15</v>
      </c>
      <c r="G2758">
        <v>30</v>
      </c>
      <c r="H2758" t="s">
        <v>8657</v>
      </c>
      <c r="I2758" t="s">
        <v>8658</v>
      </c>
      <c r="J2758" t="s">
        <v>3065</v>
      </c>
    </row>
    <row r="2759" spans="1:10">
      <c r="A2759" t="s">
        <v>8659</v>
      </c>
      <c r="B2759">
        <v>-0.89652893010173496</v>
      </c>
      <c r="C2759">
        <v>7.91459451401224</v>
      </c>
      <c r="D2759">
        <v>7.2774080869119503E-2</v>
      </c>
      <c r="E2759">
        <v>0.50641475806205205</v>
      </c>
      <c r="F2759">
        <v>15</v>
      </c>
      <c r="G2759">
        <v>30</v>
      </c>
      <c r="H2759" t="s">
        <v>28</v>
      </c>
      <c r="I2759" t="s">
        <v>3438</v>
      </c>
      <c r="J2759" t="s">
        <v>3066</v>
      </c>
    </row>
    <row r="2760" spans="1:10">
      <c r="A2760" t="s">
        <v>8660</v>
      </c>
      <c r="B2760">
        <v>0.803312705811012</v>
      </c>
      <c r="C2760">
        <v>7.9146546391417001</v>
      </c>
      <c r="D2760">
        <v>7.2774080869119503E-2</v>
      </c>
      <c r="E2760">
        <v>0.50641475806205205</v>
      </c>
      <c r="F2760">
        <v>28</v>
      </c>
      <c r="G2760">
        <v>17</v>
      </c>
      <c r="H2760" t="s">
        <v>28</v>
      </c>
      <c r="I2760" t="s">
        <v>3438</v>
      </c>
      <c r="J2760" t="s">
        <v>273</v>
      </c>
    </row>
    <row r="2761" spans="1:10">
      <c r="A2761" t="s">
        <v>8661</v>
      </c>
      <c r="B2761">
        <v>-0.66132331746748396</v>
      </c>
      <c r="C2761">
        <v>8.5520194000810008</v>
      </c>
      <c r="D2761">
        <v>7.2735424776871199E-2</v>
      </c>
      <c r="E2761">
        <v>0.50641475806205205</v>
      </c>
      <c r="F2761">
        <v>26</v>
      </c>
      <c r="G2761">
        <v>44</v>
      </c>
      <c r="H2761" t="s">
        <v>28</v>
      </c>
      <c r="I2761" t="s">
        <v>8662</v>
      </c>
      <c r="J2761" t="s">
        <v>3067</v>
      </c>
    </row>
    <row r="2762" spans="1:10">
      <c r="A2762" t="s">
        <v>8663</v>
      </c>
      <c r="B2762">
        <v>-0.33469661695665298</v>
      </c>
      <c r="C2762">
        <v>10.433932034510001</v>
      </c>
      <c r="D2762">
        <v>7.2613919948178396E-2</v>
      </c>
      <c r="E2762">
        <v>0.50641475806205205</v>
      </c>
      <c r="F2762">
        <v>110</v>
      </c>
      <c r="G2762">
        <v>148</v>
      </c>
      <c r="H2762" t="s">
        <v>28</v>
      </c>
      <c r="I2762" t="s">
        <v>3593</v>
      </c>
      <c r="J2762" t="s">
        <v>3068</v>
      </c>
    </row>
    <row r="2763" spans="1:10">
      <c r="A2763" t="s">
        <v>8664</v>
      </c>
      <c r="B2763">
        <v>-0.72696334944206797</v>
      </c>
      <c r="C2763">
        <v>8.3534753468409306</v>
      </c>
      <c r="D2763">
        <v>7.2610566810350496E-2</v>
      </c>
      <c r="E2763">
        <v>0.50641475806205205</v>
      </c>
      <c r="F2763">
        <v>22</v>
      </c>
      <c r="G2763">
        <v>39</v>
      </c>
      <c r="H2763" t="s">
        <v>8665</v>
      </c>
      <c r="I2763" t="s">
        <v>8666</v>
      </c>
      <c r="J2763" t="s">
        <v>3069</v>
      </c>
    </row>
    <row r="2764" spans="1:10">
      <c r="A2764" t="s">
        <v>8667</v>
      </c>
      <c r="B2764">
        <v>0.49207423478503498</v>
      </c>
      <c r="C2764">
        <v>9.3653355315955693</v>
      </c>
      <c r="D2764">
        <v>7.17678615935856E-2</v>
      </c>
      <c r="E2764">
        <v>0.50641475806205205</v>
      </c>
      <c r="F2764">
        <v>70</v>
      </c>
      <c r="G2764">
        <v>53</v>
      </c>
      <c r="H2764" t="s">
        <v>28</v>
      </c>
      <c r="I2764" t="s">
        <v>5853</v>
      </c>
      <c r="J2764" t="s">
        <v>3070</v>
      </c>
    </row>
    <row r="2765" spans="1:10">
      <c r="A2765" t="s">
        <v>8668</v>
      </c>
      <c r="B2765">
        <v>-0.61106689167960604</v>
      </c>
      <c r="C2765">
        <v>8.7265155066291396</v>
      </c>
      <c r="D2765">
        <v>7.1720306369241593E-2</v>
      </c>
      <c r="E2765">
        <v>0.50641475806205205</v>
      </c>
      <c r="F2765">
        <v>30</v>
      </c>
      <c r="G2765">
        <v>49</v>
      </c>
      <c r="H2765" t="s">
        <v>28</v>
      </c>
      <c r="I2765" t="s">
        <v>3438</v>
      </c>
      <c r="J2765" t="s">
        <v>3071</v>
      </c>
    </row>
    <row r="2766" spans="1:10">
      <c r="A2766" t="s">
        <v>8669</v>
      </c>
      <c r="B2766">
        <v>-1.0270930819617401</v>
      </c>
      <c r="C2766">
        <v>7.4227473727211803</v>
      </c>
      <c r="D2766">
        <v>7.0972424931815201E-2</v>
      </c>
      <c r="E2766">
        <v>0.50497194376264998</v>
      </c>
      <c r="F2766">
        <v>10</v>
      </c>
      <c r="G2766">
        <v>22</v>
      </c>
      <c r="H2766" t="s">
        <v>8670</v>
      </c>
      <c r="I2766" t="s">
        <v>8671</v>
      </c>
      <c r="J2766" t="s">
        <v>3072</v>
      </c>
    </row>
    <row r="2767" spans="1:10">
      <c r="A2767" t="s">
        <v>8672</v>
      </c>
      <c r="B2767">
        <v>-1.0270930819617401</v>
      </c>
      <c r="C2767">
        <v>7.4227473727211803</v>
      </c>
      <c r="D2767">
        <v>7.0972424931815201E-2</v>
      </c>
      <c r="E2767">
        <v>0.50497194376264998</v>
      </c>
      <c r="F2767">
        <v>10</v>
      </c>
      <c r="G2767">
        <v>22</v>
      </c>
      <c r="H2767" t="s">
        <v>8673</v>
      </c>
      <c r="I2767" t="s">
        <v>8674</v>
      </c>
      <c r="J2767" t="s">
        <v>3073</v>
      </c>
    </row>
    <row r="2768" spans="1:10">
      <c r="A2768" t="s">
        <v>8675</v>
      </c>
      <c r="B2768">
        <v>1.07333558088058</v>
      </c>
      <c r="C2768">
        <v>7.3296887302976801</v>
      </c>
      <c r="D2768">
        <v>7.0972424931815201E-2</v>
      </c>
      <c r="E2768">
        <v>0.50497194376264998</v>
      </c>
      <c r="F2768">
        <v>20</v>
      </c>
      <c r="G2768">
        <v>10</v>
      </c>
      <c r="H2768" t="s">
        <v>28</v>
      </c>
      <c r="I2768" t="s">
        <v>3436</v>
      </c>
      <c r="J2768" t="s">
        <v>3074</v>
      </c>
    </row>
    <row r="2769" spans="1:10">
      <c r="A2769" t="s">
        <v>8676</v>
      </c>
      <c r="B2769">
        <v>-2.45421105337959</v>
      </c>
      <c r="C2769">
        <v>5.4227594562841297</v>
      </c>
      <c r="D2769">
        <v>7.0367188865270505E-2</v>
      </c>
      <c r="E2769">
        <v>0.50401086723988897</v>
      </c>
      <c r="F2769">
        <v>1</v>
      </c>
      <c r="G2769">
        <v>7</v>
      </c>
      <c r="H2769" t="s">
        <v>28</v>
      </c>
      <c r="I2769" t="s">
        <v>3438</v>
      </c>
      <c r="J2769" t="s">
        <v>3075</v>
      </c>
    </row>
    <row r="2770" spans="1:10">
      <c r="A2770" t="s">
        <v>8677</v>
      </c>
      <c r="B2770">
        <v>-2.45421105337959</v>
      </c>
      <c r="C2770">
        <v>5.4227594562841297</v>
      </c>
      <c r="D2770">
        <v>7.0367188865270505E-2</v>
      </c>
      <c r="E2770">
        <v>0.50401086723988897</v>
      </c>
      <c r="F2770">
        <v>1</v>
      </c>
      <c r="G2770">
        <v>7</v>
      </c>
      <c r="H2770" t="s">
        <v>28</v>
      </c>
      <c r="I2770" t="s">
        <v>3631</v>
      </c>
      <c r="J2770" t="s">
        <v>3076</v>
      </c>
    </row>
    <row r="2771" spans="1:10">
      <c r="A2771" t="s">
        <v>8678</v>
      </c>
      <c r="B2771">
        <v>-2.45421105337959</v>
      </c>
      <c r="C2771">
        <v>5.4227594562841297</v>
      </c>
      <c r="D2771">
        <v>7.0367188865270505E-2</v>
      </c>
      <c r="E2771">
        <v>0.50401086723988897</v>
      </c>
      <c r="F2771">
        <v>1</v>
      </c>
      <c r="G2771">
        <v>7</v>
      </c>
      <c r="H2771" t="s">
        <v>8679</v>
      </c>
      <c r="I2771" t="s">
        <v>8680</v>
      </c>
      <c r="J2771" t="s">
        <v>3077</v>
      </c>
    </row>
    <row r="2772" spans="1:10">
      <c r="A2772" t="s">
        <v>8681</v>
      </c>
      <c r="B2772">
        <v>-2.45421105337959</v>
      </c>
      <c r="C2772">
        <v>5.4227594562841297</v>
      </c>
      <c r="D2772">
        <v>7.0367188865270505E-2</v>
      </c>
      <c r="E2772">
        <v>0.50401086723988897</v>
      </c>
      <c r="F2772">
        <v>1</v>
      </c>
      <c r="G2772">
        <v>7</v>
      </c>
      <c r="H2772" t="s">
        <v>28</v>
      </c>
      <c r="I2772" t="s">
        <v>3438</v>
      </c>
      <c r="J2772" t="s">
        <v>3078</v>
      </c>
    </row>
    <row r="2773" spans="1:10">
      <c r="A2773" t="s">
        <v>8682</v>
      </c>
      <c r="B2773">
        <v>2.6179525520571398</v>
      </c>
      <c r="C2773">
        <v>5.4227872576452301</v>
      </c>
      <c r="D2773">
        <v>7.0367188865270505E-2</v>
      </c>
      <c r="E2773">
        <v>0.50401086723988897</v>
      </c>
      <c r="F2773">
        <v>7</v>
      </c>
      <c r="G2773">
        <v>1</v>
      </c>
      <c r="H2773" t="s">
        <v>8683</v>
      </c>
      <c r="I2773" t="s">
        <v>3687</v>
      </c>
      <c r="J2773" t="s">
        <v>3079</v>
      </c>
    </row>
    <row r="2774" spans="1:10">
      <c r="A2774" t="s">
        <v>8684</v>
      </c>
      <c r="B2774">
        <v>2.6179525520571398</v>
      </c>
      <c r="C2774">
        <v>5.4227872576452301</v>
      </c>
      <c r="D2774">
        <v>7.0367188865270505E-2</v>
      </c>
      <c r="E2774">
        <v>0.50401086723988897</v>
      </c>
      <c r="F2774">
        <v>7</v>
      </c>
      <c r="G2774">
        <v>1</v>
      </c>
      <c r="H2774" t="s">
        <v>28</v>
      </c>
      <c r="I2774" t="s">
        <v>3438</v>
      </c>
      <c r="J2774" t="s">
        <v>3080</v>
      </c>
    </row>
    <row r="2775" spans="1:10">
      <c r="A2775" t="s">
        <v>8685</v>
      </c>
      <c r="B2775">
        <v>2.6179525520571398</v>
      </c>
      <c r="C2775">
        <v>5.4227872576452301</v>
      </c>
      <c r="D2775">
        <v>7.0367188865270505E-2</v>
      </c>
      <c r="E2775">
        <v>0.50401086723988897</v>
      </c>
      <c r="F2775">
        <v>7</v>
      </c>
      <c r="G2775">
        <v>1</v>
      </c>
      <c r="H2775" t="s">
        <v>28</v>
      </c>
      <c r="I2775" t="s">
        <v>3436</v>
      </c>
      <c r="J2775" t="s">
        <v>3081</v>
      </c>
    </row>
    <row r="2776" spans="1:10">
      <c r="A2776" t="s">
        <v>8686</v>
      </c>
      <c r="B2776">
        <v>2.6179525520571398</v>
      </c>
      <c r="C2776">
        <v>5.4227872576452301</v>
      </c>
      <c r="D2776">
        <v>7.0367188865270505E-2</v>
      </c>
      <c r="E2776">
        <v>0.50401086723988897</v>
      </c>
      <c r="F2776">
        <v>7</v>
      </c>
      <c r="G2776">
        <v>1</v>
      </c>
      <c r="H2776" t="s">
        <v>28</v>
      </c>
      <c r="I2776" t="s">
        <v>3438</v>
      </c>
      <c r="J2776" t="s">
        <v>3082</v>
      </c>
    </row>
    <row r="2777" spans="1:10">
      <c r="A2777" t="s">
        <v>8687</v>
      </c>
      <c r="B2777">
        <v>2.6179525520571398</v>
      </c>
      <c r="C2777">
        <v>5.4227872576452301</v>
      </c>
      <c r="D2777">
        <v>7.0367188865270505E-2</v>
      </c>
      <c r="E2777">
        <v>0.50401086723988897</v>
      </c>
      <c r="F2777">
        <v>7</v>
      </c>
      <c r="G2777">
        <v>1</v>
      </c>
      <c r="H2777" t="s">
        <v>28</v>
      </c>
      <c r="I2777" t="s">
        <v>3631</v>
      </c>
      <c r="J2777" t="s">
        <v>3083</v>
      </c>
    </row>
    <row r="2778" spans="1:10">
      <c r="A2778" t="s">
        <v>8688</v>
      </c>
      <c r="B2778">
        <v>0.51306279601429206</v>
      </c>
      <c r="C2778">
        <v>9.2041775030078306</v>
      </c>
      <c r="D2778">
        <v>7.0331291765186196E-2</v>
      </c>
      <c r="E2778">
        <v>0.50401086723988897</v>
      </c>
      <c r="F2778">
        <v>63</v>
      </c>
      <c r="G2778">
        <v>47</v>
      </c>
      <c r="H2778" t="s">
        <v>264</v>
      </c>
      <c r="I2778" t="s">
        <v>3438</v>
      </c>
      <c r="J2778" t="s">
        <v>265</v>
      </c>
    </row>
    <row r="2779" spans="1:10">
      <c r="A2779" t="s">
        <v>8689</v>
      </c>
      <c r="B2779">
        <v>-0.42867479588736201</v>
      </c>
      <c r="C2779">
        <v>9.8573425295272106</v>
      </c>
      <c r="D2779">
        <v>6.8926228910999601E-2</v>
      </c>
      <c r="E2779">
        <v>0.50401086723988897</v>
      </c>
      <c r="F2779">
        <v>71</v>
      </c>
      <c r="G2779">
        <v>102</v>
      </c>
      <c r="H2779" t="s">
        <v>28</v>
      </c>
      <c r="I2779" t="s">
        <v>3438</v>
      </c>
      <c r="J2779" t="s">
        <v>99</v>
      </c>
    </row>
    <row r="2780" spans="1:10">
      <c r="A2780" t="s">
        <v>8690</v>
      </c>
      <c r="B2780">
        <v>-0.20062140932237801</v>
      </c>
      <c r="C2780">
        <v>11.9344123922361</v>
      </c>
      <c r="D2780">
        <v>6.8833110357113203E-2</v>
      </c>
      <c r="E2780">
        <v>0.50401086723988897</v>
      </c>
      <c r="F2780">
        <v>328</v>
      </c>
      <c r="G2780">
        <v>402</v>
      </c>
      <c r="H2780" t="s">
        <v>8691</v>
      </c>
      <c r="I2780" t="s">
        <v>3450</v>
      </c>
      <c r="J2780" t="s">
        <v>3084</v>
      </c>
    </row>
    <row r="2781" spans="1:10">
      <c r="A2781" t="s">
        <v>8692</v>
      </c>
      <c r="B2781">
        <v>0.69017183779792102</v>
      </c>
      <c r="C2781">
        <v>8.5102729878577605</v>
      </c>
      <c r="D2781">
        <v>6.85859244596351E-2</v>
      </c>
      <c r="E2781">
        <v>0.50401086723988897</v>
      </c>
      <c r="F2781">
        <v>41</v>
      </c>
      <c r="G2781">
        <v>27</v>
      </c>
      <c r="H2781" t="s">
        <v>28</v>
      </c>
      <c r="I2781" t="s">
        <v>3438</v>
      </c>
      <c r="J2781" t="s">
        <v>3085</v>
      </c>
    </row>
    <row r="2782" spans="1:10">
      <c r="A2782" t="s">
        <v>8693</v>
      </c>
      <c r="B2782">
        <v>-0.75610517422672296</v>
      </c>
      <c r="C2782">
        <v>8.3053809066830802</v>
      </c>
      <c r="D2782">
        <v>6.7847475117864306E-2</v>
      </c>
      <c r="E2782">
        <v>0.50045293573176897</v>
      </c>
      <c r="F2782">
        <v>21</v>
      </c>
      <c r="G2782">
        <v>38</v>
      </c>
      <c r="H2782" t="s">
        <v>8694</v>
      </c>
      <c r="I2782" t="s">
        <v>8695</v>
      </c>
      <c r="J2782" t="s">
        <v>3086</v>
      </c>
    </row>
    <row r="2783" spans="1:10">
      <c r="A2783" t="s">
        <v>8696</v>
      </c>
      <c r="B2783">
        <v>0.732672328873612</v>
      </c>
      <c r="C2783">
        <v>8.3054502335122997</v>
      </c>
      <c r="D2783">
        <v>6.7847475117864306E-2</v>
      </c>
      <c r="E2783">
        <v>0.50045293573176897</v>
      </c>
      <c r="F2783">
        <v>36</v>
      </c>
      <c r="G2783">
        <v>23</v>
      </c>
      <c r="H2783" t="s">
        <v>8697</v>
      </c>
      <c r="I2783" t="s">
        <v>8698</v>
      </c>
      <c r="J2783" t="s">
        <v>3087</v>
      </c>
    </row>
    <row r="2784" spans="1:10">
      <c r="A2784" t="s">
        <v>8699</v>
      </c>
      <c r="B2784">
        <v>0.57511050914159301</v>
      </c>
      <c r="C2784">
        <v>9.00777928392937</v>
      </c>
      <c r="D2784">
        <v>6.7712988223208495E-2</v>
      </c>
      <c r="E2784">
        <v>0.50045293573176897</v>
      </c>
      <c r="F2784">
        <v>56</v>
      </c>
      <c r="G2784">
        <v>40</v>
      </c>
      <c r="H2784" t="s">
        <v>28</v>
      </c>
      <c r="I2784" t="s">
        <v>3438</v>
      </c>
      <c r="J2784" t="s">
        <v>3088</v>
      </c>
    </row>
    <row r="2785" spans="1:10">
      <c r="A2785" t="s">
        <v>8700</v>
      </c>
      <c r="B2785">
        <v>0.57511050914159301</v>
      </c>
      <c r="C2785">
        <v>9.00777928392937</v>
      </c>
      <c r="D2785">
        <v>6.7712988223208495E-2</v>
      </c>
      <c r="E2785">
        <v>0.50045293573176897</v>
      </c>
      <c r="F2785">
        <v>56</v>
      </c>
      <c r="G2785">
        <v>40</v>
      </c>
      <c r="H2785" t="s">
        <v>28</v>
      </c>
      <c r="I2785" t="s">
        <v>3438</v>
      </c>
      <c r="J2785" t="s">
        <v>3089</v>
      </c>
    </row>
    <row r="2786" spans="1:10">
      <c r="A2786" t="s">
        <v>8701</v>
      </c>
      <c r="B2786">
        <v>-0.52034881090768204</v>
      </c>
      <c r="C2786">
        <v>9.31754173463111</v>
      </c>
      <c r="D2786">
        <v>6.7097573318846193E-2</v>
      </c>
      <c r="E2786">
        <v>0.49950415692918798</v>
      </c>
      <c r="F2786">
        <v>47</v>
      </c>
      <c r="G2786">
        <v>72</v>
      </c>
      <c r="H2786" t="s">
        <v>28</v>
      </c>
      <c r="I2786" t="s">
        <v>3438</v>
      </c>
      <c r="J2786" t="s">
        <v>3090</v>
      </c>
    </row>
    <row r="2787" spans="1:10">
      <c r="A2787" t="s">
        <v>8702</v>
      </c>
      <c r="B2787">
        <v>0.83741833225366502</v>
      </c>
      <c r="C2787">
        <v>7.8490661517627904</v>
      </c>
      <c r="D2787">
        <v>6.6283510061782E-2</v>
      </c>
      <c r="E2787">
        <v>0.49458878969533798</v>
      </c>
      <c r="F2787">
        <v>27</v>
      </c>
      <c r="G2787">
        <v>16</v>
      </c>
      <c r="H2787" t="s">
        <v>28</v>
      </c>
      <c r="I2787" t="s">
        <v>3438</v>
      </c>
      <c r="J2787" t="s">
        <v>3091</v>
      </c>
    </row>
    <row r="2788" spans="1:10">
      <c r="A2788" t="s">
        <v>8703</v>
      </c>
      <c r="B2788">
        <v>-0.49028949651843101</v>
      </c>
      <c r="C2788">
        <v>9.4450903221493494</v>
      </c>
      <c r="D2788">
        <v>6.5958095451918303E-2</v>
      </c>
      <c r="E2788">
        <v>0.49330519761248698</v>
      </c>
      <c r="F2788">
        <v>52</v>
      </c>
      <c r="G2788">
        <v>78</v>
      </c>
      <c r="H2788" t="s">
        <v>8704</v>
      </c>
      <c r="I2788" t="s">
        <v>8705</v>
      </c>
      <c r="J2788" t="s">
        <v>3092</v>
      </c>
    </row>
    <row r="2789" spans="1:10">
      <c r="A2789" t="s">
        <v>8706</v>
      </c>
      <c r="B2789">
        <v>-1.9532001907265599</v>
      </c>
      <c r="C2789">
        <v>5.8821889837852996</v>
      </c>
      <c r="D2789">
        <v>6.5502200885620906E-2</v>
      </c>
      <c r="E2789">
        <v>0.49103747796773101</v>
      </c>
      <c r="F2789">
        <v>2</v>
      </c>
      <c r="G2789">
        <v>9</v>
      </c>
      <c r="H2789" t="s">
        <v>28</v>
      </c>
      <c r="I2789" t="s">
        <v>3438</v>
      </c>
      <c r="J2789" t="s">
        <v>3093</v>
      </c>
    </row>
    <row r="2790" spans="1:10">
      <c r="A2790" t="s">
        <v>8707</v>
      </c>
      <c r="B2790">
        <v>-1.9532001907265599</v>
      </c>
      <c r="C2790">
        <v>5.8821889837852996</v>
      </c>
      <c r="D2790">
        <v>6.5502200885620906E-2</v>
      </c>
      <c r="E2790">
        <v>0.49103747796773101</v>
      </c>
      <c r="F2790">
        <v>2</v>
      </c>
      <c r="G2790">
        <v>9</v>
      </c>
      <c r="H2790" t="s">
        <v>28</v>
      </c>
      <c r="I2790" t="s">
        <v>3438</v>
      </c>
      <c r="J2790" t="s">
        <v>3094</v>
      </c>
    </row>
    <row r="2791" spans="1:10">
      <c r="A2791" t="s">
        <v>8708</v>
      </c>
      <c r="B2791">
        <v>2.1258738370855998</v>
      </c>
      <c r="C2791">
        <v>5.8822214138533804</v>
      </c>
      <c r="D2791">
        <v>6.5502200885620906E-2</v>
      </c>
      <c r="E2791">
        <v>0.49103747796773101</v>
      </c>
      <c r="F2791">
        <v>9</v>
      </c>
      <c r="G2791">
        <v>2</v>
      </c>
      <c r="H2791" t="s">
        <v>8709</v>
      </c>
      <c r="I2791" t="s">
        <v>8710</v>
      </c>
      <c r="J2791" t="s">
        <v>3095</v>
      </c>
    </row>
    <row r="2792" spans="1:10">
      <c r="A2792" t="s">
        <v>8711</v>
      </c>
      <c r="B2792">
        <v>2.1258738370855998</v>
      </c>
      <c r="C2792">
        <v>5.8822214138533804</v>
      </c>
      <c r="D2792">
        <v>6.5502200885620906E-2</v>
      </c>
      <c r="E2792">
        <v>0.49103747796773101</v>
      </c>
      <c r="F2792">
        <v>9</v>
      </c>
      <c r="G2792">
        <v>2</v>
      </c>
      <c r="H2792" t="s">
        <v>28</v>
      </c>
      <c r="I2792" t="s">
        <v>3438</v>
      </c>
      <c r="J2792" t="s">
        <v>3096</v>
      </c>
    </row>
    <row r="2793" spans="1:10">
      <c r="A2793" t="s">
        <v>8712</v>
      </c>
      <c r="B2793">
        <v>2.1258738370855998</v>
      </c>
      <c r="C2793">
        <v>5.8822214138533804</v>
      </c>
      <c r="D2793">
        <v>6.5502200885620906E-2</v>
      </c>
      <c r="E2793">
        <v>0.49103747796773101</v>
      </c>
      <c r="F2793">
        <v>9</v>
      </c>
      <c r="G2793">
        <v>2</v>
      </c>
      <c r="H2793" t="s">
        <v>8713</v>
      </c>
      <c r="I2793" t="s">
        <v>8714</v>
      </c>
      <c r="J2793" t="s">
        <v>3097</v>
      </c>
    </row>
    <row r="2794" spans="1:10">
      <c r="A2794" t="s">
        <v>8715</v>
      </c>
      <c r="B2794">
        <v>-0.95216671547403497</v>
      </c>
      <c r="C2794">
        <v>7.6321988029397296</v>
      </c>
      <c r="D2794">
        <v>6.5485805934675304E-2</v>
      </c>
      <c r="E2794">
        <v>0.49103747796773101</v>
      </c>
      <c r="F2794">
        <v>12</v>
      </c>
      <c r="G2794">
        <v>25</v>
      </c>
      <c r="H2794" t="s">
        <v>28</v>
      </c>
      <c r="I2794" t="s">
        <v>8716</v>
      </c>
      <c r="J2794" t="s">
        <v>3098</v>
      </c>
    </row>
    <row r="2795" spans="1:10">
      <c r="A2795" t="s">
        <v>8717</v>
      </c>
      <c r="B2795">
        <v>-0.95216671547403497</v>
      </c>
      <c r="C2795">
        <v>7.6321988029397296</v>
      </c>
      <c r="D2795">
        <v>6.5485805934675304E-2</v>
      </c>
      <c r="E2795">
        <v>0.49103747796773101</v>
      </c>
      <c r="F2795">
        <v>12</v>
      </c>
      <c r="G2795">
        <v>25</v>
      </c>
      <c r="H2795" t="s">
        <v>28</v>
      </c>
      <c r="I2795" t="s">
        <v>3438</v>
      </c>
      <c r="J2795" t="s">
        <v>3099</v>
      </c>
    </row>
    <row r="2796" spans="1:10">
      <c r="A2796" t="s">
        <v>8718</v>
      </c>
      <c r="B2796">
        <v>1.01574487166658</v>
      </c>
      <c r="C2796">
        <v>7.5520838307097797</v>
      </c>
      <c r="D2796">
        <v>6.5485805934675304E-2</v>
      </c>
      <c r="E2796">
        <v>0.49103747796773101</v>
      </c>
      <c r="F2796">
        <v>23</v>
      </c>
      <c r="G2796">
        <v>12</v>
      </c>
      <c r="H2796" t="s">
        <v>28</v>
      </c>
      <c r="I2796" t="s">
        <v>4138</v>
      </c>
      <c r="J2796" t="s">
        <v>3100</v>
      </c>
    </row>
    <row r="2798" spans="1:10">
      <c r="A2798" t="s">
        <v>8720</v>
      </c>
      <c r="B2798">
        <v>1.01574487166658</v>
      </c>
      <c r="C2798">
        <v>7.5520838307097797</v>
      </c>
      <c r="D2798">
        <v>6.5485805934675304E-2</v>
      </c>
      <c r="E2798">
        <v>0.49103747796773101</v>
      </c>
      <c r="F2798">
        <v>23</v>
      </c>
      <c r="G2798">
        <v>12</v>
      </c>
      <c r="H2798" t="s">
        <v>428</v>
      </c>
      <c r="I2798" t="s">
        <v>3450</v>
      </c>
      <c r="J2798" t="s">
        <v>289</v>
      </c>
    </row>
    <row r="2799" spans="1:10">
      <c r="A2799" t="s">
        <v>8721</v>
      </c>
      <c r="B2799">
        <v>-0.85503830475184195</v>
      </c>
      <c r="C2799">
        <v>8.0665956747918308</v>
      </c>
      <c r="D2799">
        <v>6.5242252733618306E-2</v>
      </c>
      <c r="E2799">
        <v>0.49103747796773101</v>
      </c>
      <c r="F2799">
        <v>17</v>
      </c>
      <c r="G2799">
        <v>33</v>
      </c>
      <c r="H2799" t="s">
        <v>308</v>
      </c>
      <c r="I2799" t="s">
        <v>8722</v>
      </c>
      <c r="J2799" t="s">
        <v>309</v>
      </c>
    </row>
    <row r="2800" spans="1:10">
      <c r="A2800" t="s">
        <v>8723</v>
      </c>
      <c r="B2800">
        <v>-0.70897869518791901</v>
      </c>
      <c r="C2800">
        <v>8.4671301983633391</v>
      </c>
      <c r="D2800">
        <v>6.44548404488334E-2</v>
      </c>
      <c r="E2800">
        <v>0.49103747796773101</v>
      </c>
      <c r="F2800">
        <v>24</v>
      </c>
      <c r="G2800">
        <v>42</v>
      </c>
      <c r="H2800" t="s">
        <v>28</v>
      </c>
      <c r="I2800" t="s">
        <v>3438</v>
      </c>
      <c r="J2800" t="s">
        <v>3101</v>
      </c>
    </row>
    <row r="2801" spans="1:10">
      <c r="A2801" t="s">
        <v>8724</v>
      </c>
      <c r="B2801">
        <v>-0.649978858427814</v>
      </c>
      <c r="C2801">
        <v>8.6515531446299399</v>
      </c>
      <c r="D2801">
        <v>6.4446821256012005E-2</v>
      </c>
      <c r="E2801">
        <v>0.49103747796773101</v>
      </c>
      <c r="F2801">
        <v>28</v>
      </c>
      <c r="G2801">
        <v>47</v>
      </c>
      <c r="H2801" t="s">
        <v>8725</v>
      </c>
      <c r="I2801" t="s">
        <v>8726</v>
      </c>
      <c r="J2801" t="s">
        <v>3102</v>
      </c>
    </row>
    <row r="2802" spans="1:10">
      <c r="A2802" t="s">
        <v>8727</v>
      </c>
      <c r="B2802">
        <v>0.67308360011861001</v>
      </c>
      <c r="C2802">
        <v>8.6516316525434398</v>
      </c>
      <c r="D2802">
        <v>6.4446821256012005E-2</v>
      </c>
      <c r="E2802">
        <v>0.49103747796773101</v>
      </c>
      <c r="F2802">
        <v>45</v>
      </c>
      <c r="G2802">
        <v>30</v>
      </c>
      <c r="H2802" t="s">
        <v>28</v>
      </c>
      <c r="I2802" t="s">
        <v>3438</v>
      </c>
      <c r="J2802" t="s">
        <v>3103</v>
      </c>
    </row>
    <row r="2803" spans="1:10">
      <c r="A2803" t="s">
        <v>8728</v>
      </c>
      <c r="B2803">
        <v>-1.1600742931342101</v>
      </c>
      <c r="C2803">
        <v>7.0077138980705502</v>
      </c>
      <c r="D2803">
        <v>6.4072491256777206E-2</v>
      </c>
      <c r="E2803">
        <v>0.49103747796773101</v>
      </c>
      <c r="F2803">
        <v>7</v>
      </c>
      <c r="G2803">
        <v>17</v>
      </c>
      <c r="H2803" t="s">
        <v>28</v>
      </c>
      <c r="I2803" t="s">
        <v>3438</v>
      </c>
      <c r="J2803" t="s">
        <v>3104</v>
      </c>
    </row>
    <row r="2804" spans="1:10">
      <c r="A2804" t="s">
        <v>8729</v>
      </c>
      <c r="B2804">
        <v>1.34101408828909</v>
      </c>
      <c r="C2804">
        <v>7.0077601967227796</v>
      </c>
      <c r="D2804">
        <v>6.4072491256777206E-2</v>
      </c>
      <c r="E2804">
        <v>0.49103747796773101</v>
      </c>
      <c r="F2804">
        <v>17</v>
      </c>
      <c r="G2804">
        <v>7</v>
      </c>
      <c r="H2804" t="s">
        <v>28</v>
      </c>
      <c r="I2804" t="s">
        <v>3438</v>
      </c>
      <c r="J2804" t="s">
        <v>3105</v>
      </c>
    </row>
    <row r="2805" spans="1:10">
      <c r="A2805" t="s">
        <v>8730</v>
      </c>
      <c r="B2805">
        <v>-0.271269592173706</v>
      </c>
      <c r="C2805">
        <v>11.1161718478075</v>
      </c>
      <c r="D2805">
        <v>6.4055832090917503E-2</v>
      </c>
      <c r="E2805">
        <v>0.49103747796773101</v>
      </c>
      <c r="F2805">
        <v>181</v>
      </c>
      <c r="G2805">
        <v>233</v>
      </c>
      <c r="H2805" t="s">
        <v>8731</v>
      </c>
      <c r="I2805" t="s">
        <v>8732</v>
      </c>
      <c r="J2805" t="s">
        <v>3106</v>
      </c>
    </row>
    <row r="2806" spans="1:10">
      <c r="A2806" t="s">
        <v>8733</v>
      </c>
      <c r="B2806">
        <v>-1.35085450639718</v>
      </c>
      <c r="C2806">
        <v>6.6706808489538396</v>
      </c>
      <c r="D2806">
        <v>6.3692328062537204E-2</v>
      </c>
      <c r="E2806">
        <v>0.49103747796773101</v>
      </c>
      <c r="F2806">
        <v>5</v>
      </c>
      <c r="G2806">
        <v>14</v>
      </c>
      <c r="H2806" t="s">
        <v>28</v>
      </c>
      <c r="I2806" t="s">
        <v>3438</v>
      </c>
      <c r="J2806" t="s">
        <v>3107</v>
      </c>
    </row>
    <row r="2807" spans="1:10">
      <c r="A2807" t="s">
        <v>8734</v>
      </c>
      <c r="B2807">
        <v>-1.35085450639718</v>
      </c>
      <c r="C2807">
        <v>6.6706808489538396</v>
      </c>
      <c r="D2807">
        <v>6.3692328062537204E-2</v>
      </c>
      <c r="E2807">
        <v>0.49103747796773101</v>
      </c>
      <c r="F2807">
        <v>5</v>
      </c>
      <c r="G2807">
        <v>14</v>
      </c>
      <c r="H2807" t="s">
        <v>8735</v>
      </c>
      <c r="I2807" t="s">
        <v>8736</v>
      </c>
      <c r="J2807" t="s">
        <v>3108</v>
      </c>
    </row>
    <row r="2808" spans="1:10">
      <c r="A2808" t="s">
        <v>8737</v>
      </c>
      <c r="B2808">
        <v>1.5302935952200301</v>
      </c>
      <c r="C2808">
        <v>6.6707225281268503</v>
      </c>
      <c r="D2808">
        <v>6.3692328062537204E-2</v>
      </c>
      <c r="E2808">
        <v>0.49103747796773101</v>
      </c>
      <c r="F2808">
        <v>14</v>
      </c>
      <c r="G2808">
        <v>5</v>
      </c>
      <c r="H2808" t="s">
        <v>8738</v>
      </c>
      <c r="I2808" t="s">
        <v>3450</v>
      </c>
      <c r="J2808" t="s">
        <v>3109</v>
      </c>
    </row>
    <row r="2809" spans="1:10">
      <c r="A2809" t="s">
        <v>8739</v>
      </c>
      <c r="B2809">
        <v>1.5302935952200301</v>
      </c>
      <c r="C2809">
        <v>6.6707225281268503</v>
      </c>
      <c r="D2809">
        <v>6.3692328062537204E-2</v>
      </c>
      <c r="E2809">
        <v>0.49103747796773101</v>
      </c>
      <c r="F2809">
        <v>14</v>
      </c>
      <c r="G2809">
        <v>5</v>
      </c>
      <c r="H2809" t="s">
        <v>28</v>
      </c>
      <c r="I2809" t="s">
        <v>3438</v>
      </c>
      <c r="J2809" t="s">
        <v>3110</v>
      </c>
    </row>
    <row r="2810" spans="1:10">
      <c r="A2810" t="s">
        <v>8740</v>
      </c>
      <c r="B2810">
        <v>-0.78746185780574995</v>
      </c>
      <c r="C2810">
        <v>8.2556277194989196</v>
      </c>
      <c r="D2810">
        <v>6.3109668791854201E-2</v>
      </c>
      <c r="E2810">
        <v>0.49103747796773101</v>
      </c>
      <c r="F2810">
        <v>20</v>
      </c>
      <c r="G2810">
        <v>37</v>
      </c>
      <c r="H2810" t="s">
        <v>8741</v>
      </c>
      <c r="I2810" t="s">
        <v>8742</v>
      </c>
      <c r="J2810" t="s">
        <v>3111</v>
      </c>
    </row>
    <row r="2811" spans="1:10">
      <c r="A2811" t="s">
        <v>8743</v>
      </c>
      <c r="B2811">
        <v>-0.78746185780574995</v>
      </c>
      <c r="C2811">
        <v>8.2556277194989196</v>
      </c>
      <c r="D2811">
        <v>6.3109668791854201E-2</v>
      </c>
      <c r="E2811">
        <v>0.49103747796773101</v>
      </c>
      <c r="F2811">
        <v>20</v>
      </c>
      <c r="G2811">
        <v>37</v>
      </c>
      <c r="H2811" t="s">
        <v>8744</v>
      </c>
      <c r="I2811" t="s">
        <v>8745</v>
      </c>
      <c r="J2811" t="s">
        <v>3112</v>
      </c>
    </row>
    <row r="2812" spans="1:10">
      <c r="A2812" t="s">
        <v>8746</v>
      </c>
      <c r="B2812">
        <v>0.75570850683841895</v>
      </c>
      <c r="C2812">
        <v>8.2556970532269105</v>
      </c>
      <c r="D2812">
        <v>6.3109668791854201E-2</v>
      </c>
      <c r="E2812">
        <v>0.49103747796773101</v>
      </c>
      <c r="F2812">
        <v>35</v>
      </c>
      <c r="G2812">
        <v>22</v>
      </c>
      <c r="H2812" t="s">
        <v>8747</v>
      </c>
      <c r="I2812" t="s">
        <v>3450</v>
      </c>
      <c r="J2812" t="s">
        <v>3113</v>
      </c>
    </row>
    <row r="2813" spans="1:10">
      <c r="A2813" t="s">
        <v>8748</v>
      </c>
      <c r="B2813">
        <v>0.75570850683841895</v>
      </c>
      <c r="C2813">
        <v>8.2556970532269105</v>
      </c>
      <c r="D2813">
        <v>6.3109668791854201E-2</v>
      </c>
      <c r="E2813">
        <v>0.49103747796773101</v>
      </c>
      <c r="F2813">
        <v>35</v>
      </c>
      <c r="G2813">
        <v>22</v>
      </c>
      <c r="H2813" t="s">
        <v>28</v>
      </c>
      <c r="I2813" t="s">
        <v>5312</v>
      </c>
      <c r="J2813" t="s">
        <v>3114</v>
      </c>
    </row>
    <row r="2814" spans="1:10">
      <c r="A2814" t="s">
        <v>8749</v>
      </c>
      <c r="B2814">
        <v>-4.3488980849247696</v>
      </c>
      <c r="C2814">
        <v>4.7446896429364802</v>
      </c>
      <c r="D2814">
        <v>6.2531250780857695E-2</v>
      </c>
      <c r="E2814">
        <v>0.49103747796773101</v>
      </c>
      <c r="F2814">
        <v>0</v>
      </c>
      <c r="G2814">
        <v>5</v>
      </c>
      <c r="H2814" t="s">
        <v>8750</v>
      </c>
      <c r="I2814" t="s">
        <v>3687</v>
      </c>
      <c r="J2814" t="s">
        <v>3115</v>
      </c>
    </row>
    <row r="2815" spans="1:10">
      <c r="A2815" t="s">
        <v>8751</v>
      </c>
      <c r="B2815">
        <v>-4.3488980849247696</v>
      </c>
      <c r="C2815">
        <v>4.7446896429364802</v>
      </c>
      <c r="D2815">
        <v>6.2531250780857695E-2</v>
      </c>
      <c r="E2815">
        <v>0.49103747796773101</v>
      </c>
      <c r="F2815">
        <v>0</v>
      </c>
      <c r="G2815">
        <v>5</v>
      </c>
      <c r="H2815" t="s">
        <v>28</v>
      </c>
      <c r="I2815" t="s">
        <v>3438</v>
      </c>
      <c r="J2815" t="s">
        <v>3116</v>
      </c>
    </row>
    <row r="2816" spans="1:10">
      <c r="A2816" t="s">
        <v>8752</v>
      </c>
      <c r="B2816">
        <v>-4.3488980849247696</v>
      </c>
      <c r="C2816">
        <v>4.7446896429364802</v>
      </c>
      <c r="D2816">
        <v>6.2531250780857695E-2</v>
      </c>
      <c r="E2816">
        <v>0.49103747796773101</v>
      </c>
      <c r="F2816">
        <v>0</v>
      </c>
      <c r="G2816">
        <v>5</v>
      </c>
      <c r="H2816" t="s">
        <v>8753</v>
      </c>
      <c r="I2816" t="s">
        <v>8754</v>
      </c>
      <c r="J2816" t="s">
        <v>3117</v>
      </c>
    </row>
    <row r="2817" spans="1:10">
      <c r="A2817" t="s">
        <v>8755</v>
      </c>
      <c r="B2817">
        <v>-4.3488980849247696</v>
      </c>
      <c r="C2817">
        <v>4.7446896429364802</v>
      </c>
      <c r="D2817">
        <v>6.2531250780857695E-2</v>
      </c>
      <c r="E2817">
        <v>0.49103747796773101</v>
      </c>
      <c r="F2817">
        <v>0</v>
      </c>
      <c r="G2817">
        <v>5</v>
      </c>
      <c r="H2817" t="s">
        <v>28</v>
      </c>
      <c r="I2817" t="s">
        <v>3438</v>
      </c>
      <c r="J2817" t="s">
        <v>306</v>
      </c>
    </row>
    <row r="2818" spans="1:10">
      <c r="A2818" t="s">
        <v>8756</v>
      </c>
      <c r="B2818">
        <v>-4.3488980849247696</v>
      </c>
      <c r="C2818">
        <v>4.7446896429364802</v>
      </c>
      <c r="D2818">
        <v>6.2531250780857695E-2</v>
      </c>
      <c r="E2818">
        <v>0.49103747796773101</v>
      </c>
      <c r="F2818">
        <v>0</v>
      </c>
      <c r="G2818">
        <v>5</v>
      </c>
      <c r="H2818" t="s">
        <v>28</v>
      </c>
      <c r="I2818" t="s">
        <v>3438</v>
      </c>
      <c r="J2818" t="s">
        <v>3118</v>
      </c>
    </row>
    <row r="2819" spans="1:10">
      <c r="A2819" t="s">
        <v>8757</v>
      </c>
      <c r="B2819">
        <v>-4.3488980849247696</v>
      </c>
      <c r="C2819">
        <v>4.7446896429364802</v>
      </c>
      <c r="D2819">
        <v>6.2531250780857695E-2</v>
      </c>
      <c r="E2819">
        <v>0.49103747796773101</v>
      </c>
      <c r="F2819">
        <v>0</v>
      </c>
      <c r="G2819">
        <v>5</v>
      </c>
      <c r="H2819" t="s">
        <v>8758</v>
      </c>
      <c r="I2819" t="s">
        <v>3687</v>
      </c>
      <c r="J2819" t="s">
        <v>3119</v>
      </c>
    </row>
    <row r="2820" spans="1:10">
      <c r="A2820" t="s">
        <v>8759</v>
      </c>
      <c r="B2820">
        <v>-4.3488980849247696</v>
      </c>
      <c r="C2820">
        <v>4.7446896429364802</v>
      </c>
      <c r="D2820">
        <v>6.2531250780857695E-2</v>
      </c>
      <c r="E2820">
        <v>0.49103747796773101</v>
      </c>
      <c r="F2820">
        <v>0</v>
      </c>
      <c r="G2820">
        <v>5</v>
      </c>
      <c r="H2820" t="s">
        <v>28</v>
      </c>
      <c r="I2820" t="s">
        <v>3438</v>
      </c>
      <c r="J2820" t="s">
        <v>3120</v>
      </c>
    </row>
    <row r="2821" spans="1:10">
      <c r="A2821" t="s">
        <v>8760</v>
      </c>
      <c r="B2821">
        <v>4.4372235195548804</v>
      </c>
      <c r="C2821">
        <v>4.7447128142066397</v>
      </c>
      <c r="D2821">
        <v>6.2531250780857695E-2</v>
      </c>
      <c r="E2821">
        <v>0.49103747796773101</v>
      </c>
      <c r="F2821">
        <v>5</v>
      </c>
      <c r="G2821">
        <v>0</v>
      </c>
      <c r="H2821" t="s">
        <v>28</v>
      </c>
      <c r="I2821" t="s">
        <v>3438</v>
      </c>
      <c r="J2821" t="s">
        <v>3121</v>
      </c>
    </row>
    <row r="2822" spans="1:10">
      <c r="A2822" t="s">
        <v>8761</v>
      </c>
      <c r="B2822">
        <v>4.4372235195548804</v>
      </c>
      <c r="C2822">
        <v>4.7447128142066397</v>
      </c>
      <c r="D2822">
        <v>6.2531250780857695E-2</v>
      </c>
      <c r="E2822">
        <v>0.49103747796773101</v>
      </c>
      <c r="F2822">
        <v>5</v>
      </c>
      <c r="G2822">
        <v>0</v>
      </c>
      <c r="H2822" t="s">
        <v>28</v>
      </c>
      <c r="I2822" t="s">
        <v>3906</v>
      </c>
      <c r="J2822" t="s">
        <v>3122</v>
      </c>
    </row>
    <row r="2823" spans="1:10">
      <c r="A2823" t="s">
        <v>8762</v>
      </c>
      <c r="B2823">
        <v>4.4372235195548804</v>
      </c>
      <c r="C2823">
        <v>4.7447128142066397</v>
      </c>
      <c r="D2823">
        <v>6.2531250780857695E-2</v>
      </c>
      <c r="E2823">
        <v>0.49103747796773101</v>
      </c>
      <c r="F2823">
        <v>5</v>
      </c>
      <c r="G2823">
        <v>0</v>
      </c>
      <c r="H2823" t="s">
        <v>8763</v>
      </c>
      <c r="I2823" t="s">
        <v>8764</v>
      </c>
      <c r="J2823" t="s">
        <v>1426</v>
      </c>
    </row>
    <row r="2824" spans="1:10">
      <c r="A2824" t="s">
        <v>8765</v>
      </c>
      <c r="B2824">
        <v>4.4372235195548804</v>
      </c>
      <c r="C2824">
        <v>4.7447128142066397</v>
      </c>
      <c r="D2824">
        <v>6.2531250780857695E-2</v>
      </c>
      <c r="E2824">
        <v>0.49103747796773101</v>
      </c>
      <c r="F2824">
        <v>5</v>
      </c>
      <c r="G2824">
        <v>0</v>
      </c>
      <c r="H2824" t="s">
        <v>8766</v>
      </c>
      <c r="I2824" t="s">
        <v>3687</v>
      </c>
      <c r="J2824" t="s">
        <v>3123</v>
      </c>
    </row>
    <row r="2825" spans="1:10">
      <c r="A2825" t="s">
        <v>8767</v>
      </c>
      <c r="B2825">
        <v>4.4372235195548804</v>
      </c>
      <c r="C2825">
        <v>4.7447128142066397</v>
      </c>
      <c r="D2825">
        <v>6.2531250780857695E-2</v>
      </c>
      <c r="E2825">
        <v>0.49103747796773101</v>
      </c>
      <c r="F2825">
        <v>5</v>
      </c>
      <c r="G2825">
        <v>0</v>
      </c>
      <c r="H2825" t="s">
        <v>8768</v>
      </c>
      <c r="I2825" t="s">
        <v>3438</v>
      </c>
      <c r="J2825" t="s">
        <v>3124</v>
      </c>
    </row>
    <row r="2826" spans="1:10">
      <c r="A2826" t="s">
        <v>8769</v>
      </c>
      <c r="B2826">
        <v>-0.54226139374537696</v>
      </c>
      <c r="C2826">
        <v>9.2682137164135501</v>
      </c>
      <c r="D2826">
        <v>6.2455698594098601E-2</v>
      </c>
      <c r="E2826">
        <v>0.49103747796773101</v>
      </c>
      <c r="F2826">
        <v>45</v>
      </c>
      <c r="G2826">
        <v>70</v>
      </c>
      <c r="H2826" t="s">
        <v>8770</v>
      </c>
      <c r="I2826" t="s">
        <v>8771</v>
      </c>
      <c r="J2826" t="s">
        <v>3125</v>
      </c>
    </row>
    <row r="2827" spans="1:10">
      <c r="A2827" t="s">
        <v>8772</v>
      </c>
      <c r="B2827">
        <v>-0.433175997218611</v>
      </c>
      <c r="C2827">
        <v>9.7977554945509908</v>
      </c>
      <c r="D2827">
        <v>6.2447872499576999E-2</v>
      </c>
      <c r="E2827">
        <v>0.49103747796773101</v>
      </c>
      <c r="F2827">
        <v>68</v>
      </c>
      <c r="G2827">
        <v>98</v>
      </c>
      <c r="H2827" t="s">
        <v>8773</v>
      </c>
      <c r="I2827" t="s">
        <v>8774</v>
      </c>
      <c r="J2827" t="s">
        <v>3126</v>
      </c>
    </row>
    <row r="2828" spans="1:10">
      <c r="A2828" t="s">
        <v>8775</v>
      </c>
      <c r="B2828">
        <v>-1.10899605357793</v>
      </c>
      <c r="C2828">
        <v>7.3296378170860699</v>
      </c>
      <c r="D2828">
        <v>6.1614922272945703E-2</v>
      </c>
      <c r="E2828">
        <v>0.49103747796773101</v>
      </c>
      <c r="F2828">
        <v>9</v>
      </c>
      <c r="G2828">
        <v>21</v>
      </c>
      <c r="H2828" t="s">
        <v>8776</v>
      </c>
      <c r="I2828" t="s">
        <v>4748</v>
      </c>
      <c r="J2828" t="s">
        <v>3127</v>
      </c>
    </row>
    <row r="2829" spans="1:10">
      <c r="A2829" t="s">
        <v>8777</v>
      </c>
      <c r="B2829">
        <v>-0.46679458579916999</v>
      </c>
      <c r="C2829">
        <v>9.6611219520158294</v>
      </c>
      <c r="D2829">
        <v>6.0986571880590798E-2</v>
      </c>
      <c r="E2829">
        <v>0.49103747796773101</v>
      </c>
      <c r="F2829">
        <v>61</v>
      </c>
      <c r="G2829">
        <v>90</v>
      </c>
      <c r="H2829" t="s">
        <v>28</v>
      </c>
      <c r="I2829" t="s">
        <v>3438</v>
      </c>
      <c r="J2829" t="s">
        <v>3128</v>
      </c>
    </row>
    <row r="2830" spans="1:10">
      <c r="A2830" t="s">
        <v>8778</v>
      </c>
      <c r="B2830">
        <v>-0.67113289242101204</v>
      </c>
      <c r="C2830">
        <v>8.6125588608096706</v>
      </c>
      <c r="D2830">
        <v>6.0837431510137797E-2</v>
      </c>
      <c r="E2830">
        <v>0.49103747796773101</v>
      </c>
      <c r="F2830">
        <v>27</v>
      </c>
      <c r="G2830">
        <v>46</v>
      </c>
      <c r="H2830" t="s">
        <v>28</v>
      </c>
      <c r="I2830" t="s">
        <v>3438</v>
      </c>
      <c r="J2830" t="s">
        <v>3129</v>
      </c>
    </row>
    <row r="2831" spans="1:10">
      <c r="A2831" t="s">
        <v>8779</v>
      </c>
      <c r="B2831">
        <v>0.68932289858444495</v>
      </c>
      <c r="C2831">
        <v>8.6126373765293707</v>
      </c>
      <c r="D2831">
        <v>6.0837431510137797E-2</v>
      </c>
      <c r="E2831">
        <v>0.49103747796773101</v>
      </c>
      <c r="F2831">
        <v>44</v>
      </c>
      <c r="G2831">
        <v>29</v>
      </c>
      <c r="H2831" t="s">
        <v>28</v>
      </c>
      <c r="I2831" t="s">
        <v>8780</v>
      </c>
      <c r="J2831" t="s">
        <v>3130</v>
      </c>
    </row>
    <row r="2832" spans="1:10">
      <c r="A2832" t="s">
        <v>8781</v>
      </c>
      <c r="B2832">
        <v>-0.28036801111533399</v>
      </c>
      <c r="C2832">
        <v>11.0808956001311</v>
      </c>
      <c r="D2832">
        <v>6.0773092178504899E-2</v>
      </c>
      <c r="E2832">
        <v>0.49103747796773101</v>
      </c>
      <c r="F2832">
        <v>176</v>
      </c>
      <c r="G2832">
        <v>228</v>
      </c>
      <c r="H2832" t="s">
        <v>8782</v>
      </c>
      <c r="I2832" t="s">
        <v>8783</v>
      </c>
      <c r="J2832" t="s">
        <v>3131</v>
      </c>
    </row>
    <row r="2833" spans="1:10">
      <c r="A2833" t="s">
        <v>8784</v>
      </c>
      <c r="B2833">
        <v>-0.73520271309318597</v>
      </c>
      <c r="C2833">
        <v>8.4227359268939104</v>
      </c>
      <c r="D2833">
        <v>6.0348992949881303E-2</v>
      </c>
      <c r="E2833">
        <v>0.49103747796773101</v>
      </c>
      <c r="F2833">
        <v>23</v>
      </c>
      <c r="G2833">
        <v>41</v>
      </c>
      <c r="H2833" t="s">
        <v>8785</v>
      </c>
      <c r="I2833" t="s">
        <v>8786</v>
      </c>
      <c r="J2833" t="s">
        <v>3132</v>
      </c>
    </row>
    <row r="2834" spans="1:10">
      <c r="A2834" t="s">
        <v>8787</v>
      </c>
      <c r="B2834">
        <v>-0.62155268123275198</v>
      </c>
      <c r="C2834">
        <v>8.7802846830402199</v>
      </c>
      <c r="D2834">
        <v>6.0330669252381501E-2</v>
      </c>
      <c r="E2834">
        <v>0.49103747796773101</v>
      </c>
      <c r="F2834">
        <v>31</v>
      </c>
      <c r="G2834">
        <v>51</v>
      </c>
      <c r="H2834" t="s">
        <v>28</v>
      </c>
      <c r="I2834" t="s">
        <v>3657</v>
      </c>
      <c r="J2834" t="s">
        <v>3133</v>
      </c>
    </row>
    <row r="2835" spans="1:10">
      <c r="A2835" t="s">
        <v>8788</v>
      </c>
      <c r="B2835">
        <v>-0.62155268123275198</v>
      </c>
      <c r="C2835">
        <v>8.7802846830402199</v>
      </c>
      <c r="D2835">
        <v>6.0330669252381501E-2</v>
      </c>
      <c r="E2835">
        <v>0.49103747796773101</v>
      </c>
      <c r="F2835">
        <v>31</v>
      </c>
      <c r="G2835">
        <v>51</v>
      </c>
      <c r="H2835" t="s">
        <v>28</v>
      </c>
      <c r="I2835" t="s">
        <v>3438</v>
      </c>
      <c r="J2835" t="s">
        <v>347</v>
      </c>
    </row>
    <row r="2836" spans="1:10">
      <c r="A2836" t="s">
        <v>8789</v>
      </c>
      <c r="B2836">
        <v>0.65892569370905496</v>
      </c>
      <c r="C2836">
        <v>8.7803677801503692</v>
      </c>
      <c r="D2836">
        <v>6.0330669252381501E-2</v>
      </c>
      <c r="E2836">
        <v>0.49103747796773101</v>
      </c>
      <c r="F2836">
        <v>49</v>
      </c>
      <c r="G2836">
        <v>33</v>
      </c>
      <c r="H2836" t="s">
        <v>8790</v>
      </c>
      <c r="I2836" t="s">
        <v>8791</v>
      </c>
      <c r="J2836" t="s">
        <v>3134</v>
      </c>
    </row>
    <row r="2837" spans="1:10">
      <c r="A2837" t="s">
        <v>8792</v>
      </c>
      <c r="B2837">
        <v>-0.55382574701993204</v>
      </c>
      <c r="C2837">
        <v>9.2429024749118192</v>
      </c>
      <c r="D2837">
        <v>6.0148580496519798E-2</v>
      </c>
      <c r="E2837">
        <v>0.49103747796773101</v>
      </c>
      <c r="F2837">
        <v>44</v>
      </c>
      <c r="G2837">
        <v>69</v>
      </c>
      <c r="H2837" t="s">
        <v>8793</v>
      </c>
      <c r="I2837" t="s">
        <v>8794</v>
      </c>
      <c r="J2837" t="s">
        <v>3135</v>
      </c>
    </row>
    <row r="2838" spans="1:10">
      <c r="A2838" t="s">
        <v>8795</v>
      </c>
      <c r="B2838">
        <v>0.87504705568221397</v>
      </c>
      <c r="C2838">
        <v>7.7803532558984001</v>
      </c>
      <c r="D2838">
        <v>5.9843570002700297E-2</v>
      </c>
      <c r="E2838">
        <v>0.49103747796773101</v>
      </c>
      <c r="F2838">
        <v>26</v>
      </c>
      <c r="G2838">
        <v>15</v>
      </c>
      <c r="H2838" t="s">
        <v>28</v>
      </c>
      <c r="I2838" t="s">
        <v>3438</v>
      </c>
      <c r="J2838" t="s">
        <v>3136</v>
      </c>
    </row>
    <row r="2839" spans="1:10">
      <c r="A2839" t="s">
        <v>8796</v>
      </c>
      <c r="B2839">
        <v>-0.89719193411118403</v>
      </c>
      <c r="C2839">
        <v>8.0077018338450792</v>
      </c>
      <c r="D2839">
        <v>5.9767319622285001E-2</v>
      </c>
      <c r="E2839">
        <v>0.49103747796773101</v>
      </c>
      <c r="F2839">
        <v>16</v>
      </c>
      <c r="G2839">
        <v>32</v>
      </c>
      <c r="H2839" t="s">
        <v>8797</v>
      </c>
      <c r="I2839" t="s">
        <v>8798</v>
      </c>
      <c r="J2839" t="s">
        <v>3137</v>
      </c>
    </row>
    <row r="2840" spans="1:10">
      <c r="A2840" t="s">
        <v>8799</v>
      </c>
      <c r="B2840">
        <v>-0.32441460891158902</v>
      </c>
      <c r="C2840">
        <v>10.7446193763232</v>
      </c>
      <c r="D2840">
        <v>5.8765546037318497E-2</v>
      </c>
      <c r="E2840">
        <v>0.49103747796773101</v>
      </c>
      <c r="F2840">
        <v>137</v>
      </c>
      <c r="G2840">
        <v>183</v>
      </c>
      <c r="H2840" t="s">
        <v>8800</v>
      </c>
      <c r="I2840" t="s">
        <v>8801</v>
      </c>
      <c r="J2840" t="s">
        <v>3138</v>
      </c>
    </row>
    <row r="2841" spans="1:10">
      <c r="A2841" t="s">
        <v>8802</v>
      </c>
      <c r="B2841">
        <v>0.78049763068412503</v>
      </c>
      <c r="C2841">
        <v>8.2041666074696398</v>
      </c>
      <c r="D2841">
        <v>5.8407714550685802E-2</v>
      </c>
      <c r="E2841">
        <v>0.49103747796773101</v>
      </c>
      <c r="F2841">
        <v>34</v>
      </c>
      <c r="G2841">
        <v>21</v>
      </c>
      <c r="H2841" t="s">
        <v>8803</v>
      </c>
      <c r="I2841" t="s">
        <v>8804</v>
      </c>
      <c r="J2841" t="s">
        <v>3139</v>
      </c>
    </row>
    <row r="2842" spans="1:10">
      <c r="A2842" t="s">
        <v>8805</v>
      </c>
      <c r="B2842">
        <v>0.78049763068412503</v>
      </c>
      <c r="C2842">
        <v>8.2041666074696398</v>
      </c>
      <c r="D2842">
        <v>5.8407714550685802E-2</v>
      </c>
      <c r="E2842">
        <v>0.49103747796773101</v>
      </c>
      <c r="F2842">
        <v>34</v>
      </c>
      <c r="G2842">
        <v>21</v>
      </c>
      <c r="H2842" t="s">
        <v>8806</v>
      </c>
      <c r="I2842" t="s">
        <v>8807</v>
      </c>
      <c r="J2842" t="s">
        <v>3140</v>
      </c>
    </row>
    <row r="2843" spans="1:10">
      <c r="A2843" t="s">
        <v>8808</v>
      </c>
      <c r="B2843">
        <v>0.78049763068412503</v>
      </c>
      <c r="C2843">
        <v>8.2041666074696398</v>
      </c>
      <c r="D2843">
        <v>5.8407714550685802E-2</v>
      </c>
      <c r="E2843">
        <v>0.49103747796773101</v>
      </c>
      <c r="F2843">
        <v>34</v>
      </c>
      <c r="G2843">
        <v>21</v>
      </c>
      <c r="H2843" t="s">
        <v>8809</v>
      </c>
      <c r="I2843" t="s">
        <v>8810</v>
      </c>
      <c r="J2843" t="s">
        <v>3141</v>
      </c>
    </row>
    <row r="2844" spans="1:10">
      <c r="A2844" t="s">
        <v>8811</v>
      </c>
      <c r="B2844">
        <v>0.53569662251167904</v>
      </c>
      <c r="C2844">
        <v>9.2172360326552791</v>
      </c>
      <c r="D2844">
        <v>5.7852509400352602E-2</v>
      </c>
      <c r="E2844">
        <v>0.49103747796773101</v>
      </c>
      <c r="F2844">
        <v>64</v>
      </c>
      <c r="G2844">
        <v>47</v>
      </c>
      <c r="H2844" t="s">
        <v>8812</v>
      </c>
      <c r="I2844" t="s">
        <v>4945</v>
      </c>
      <c r="J2844" t="s">
        <v>3142</v>
      </c>
    </row>
    <row r="2845" spans="1:10">
      <c r="A2845" t="s">
        <v>8813</v>
      </c>
      <c r="B2845">
        <v>1.07506979848215</v>
      </c>
      <c r="C2845">
        <v>7.46719478722662</v>
      </c>
      <c r="D2845">
        <v>5.7823386867992502E-2</v>
      </c>
      <c r="E2845">
        <v>0.49103747796773101</v>
      </c>
      <c r="F2845">
        <v>22</v>
      </c>
      <c r="G2845">
        <v>11</v>
      </c>
      <c r="H2845" t="s">
        <v>219</v>
      </c>
      <c r="I2845" t="s">
        <v>8814</v>
      </c>
      <c r="J2845" t="s">
        <v>218</v>
      </c>
    </row>
    <row r="2846" spans="1:10">
      <c r="A2846" t="s">
        <v>8815</v>
      </c>
      <c r="B2846">
        <v>1.07506979848215</v>
      </c>
      <c r="C2846">
        <v>7.46719478722662</v>
      </c>
      <c r="D2846">
        <v>5.7823386867992502E-2</v>
      </c>
      <c r="E2846">
        <v>0.49103747796773101</v>
      </c>
      <c r="F2846">
        <v>22</v>
      </c>
      <c r="G2846">
        <v>11</v>
      </c>
      <c r="H2846" t="s">
        <v>28</v>
      </c>
      <c r="I2846" t="s">
        <v>3438</v>
      </c>
      <c r="J2846" t="s">
        <v>3143</v>
      </c>
    </row>
    <row r="2847" spans="1:10">
      <c r="A2847" t="s">
        <v>8816</v>
      </c>
      <c r="B2847">
        <v>1.8795617326030001</v>
      </c>
      <c r="C2847">
        <v>6.2301472540891902</v>
      </c>
      <c r="D2847">
        <v>5.7458590084465397E-2</v>
      </c>
      <c r="E2847">
        <v>0.49103747796773101</v>
      </c>
      <c r="F2847">
        <v>11</v>
      </c>
      <c r="G2847">
        <v>3</v>
      </c>
      <c r="H2847" t="s">
        <v>28</v>
      </c>
      <c r="I2847" t="s">
        <v>3438</v>
      </c>
      <c r="J2847" t="s">
        <v>3144</v>
      </c>
    </row>
    <row r="2848" spans="1:10">
      <c r="A2848" t="s">
        <v>8817</v>
      </c>
      <c r="B2848">
        <v>-0.64006208157151201</v>
      </c>
      <c r="C2848">
        <v>8.7446606209816196</v>
      </c>
      <c r="D2848">
        <v>5.71576972580249E-2</v>
      </c>
      <c r="E2848">
        <v>0.49103747796773101</v>
      </c>
      <c r="F2848">
        <v>30</v>
      </c>
      <c r="G2848">
        <v>50</v>
      </c>
      <c r="H2848" t="s">
        <v>8818</v>
      </c>
      <c r="I2848" t="s">
        <v>8819</v>
      </c>
      <c r="J2848" t="s">
        <v>3145</v>
      </c>
    </row>
    <row r="2849" spans="1:10">
      <c r="A2849" t="s">
        <v>8820</v>
      </c>
      <c r="B2849">
        <v>0.74943431646208103</v>
      </c>
      <c r="C2849">
        <v>8.3770060227220799</v>
      </c>
      <c r="D2849">
        <v>5.6275929686852001E-2</v>
      </c>
      <c r="E2849">
        <v>0.49046989125451501</v>
      </c>
      <c r="F2849">
        <v>38</v>
      </c>
      <c r="G2849">
        <v>24</v>
      </c>
      <c r="H2849" t="s">
        <v>28</v>
      </c>
      <c r="I2849" t="s">
        <v>3438</v>
      </c>
      <c r="J2849" t="s">
        <v>3146</v>
      </c>
    </row>
    <row r="2850" spans="1:10">
      <c r="A2850" t="s">
        <v>8821</v>
      </c>
      <c r="B2850">
        <v>0.74943431646208103</v>
      </c>
      <c r="C2850">
        <v>8.3770060227220799</v>
      </c>
      <c r="D2850">
        <v>5.6275929686852001E-2</v>
      </c>
      <c r="E2850">
        <v>0.49046989125451501</v>
      </c>
      <c r="F2850">
        <v>38</v>
      </c>
      <c r="G2850">
        <v>24</v>
      </c>
      <c r="H2850" t="s">
        <v>28</v>
      </c>
      <c r="I2850" t="s">
        <v>8822</v>
      </c>
      <c r="J2850" t="s">
        <v>3147</v>
      </c>
    </row>
    <row r="2851" spans="1:10">
      <c r="A2851" t="s">
        <v>8823</v>
      </c>
      <c r="B2851">
        <v>-0.46035937753665201</v>
      </c>
      <c r="C2851">
        <v>9.7264961978449893</v>
      </c>
      <c r="D2851">
        <v>5.6047384663007002E-2</v>
      </c>
      <c r="E2851">
        <v>0.49046989125451501</v>
      </c>
      <c r="F2851">
        <v>64</v>
      </c>
      <c r="G2851">
        <v>94</v>
      </c>
      <c r="H2851" t="s">
        <v>28</v>
      </c>
      <c r="I2851" t="s">
        <v>3438</v>
      </c>
      <c r="J2851" t="s">
        <v>3148</v>
      </c>
    </row>
    <row r="2852" spans="1:10">
      <c r="A2852" t="s">
        <v>8824</v>
      </c>
      <c r="B2852">
        <v>-0.29591689326010101</v>
      </c>
      <c r="C2852">
        <v>11.0225957213057</v>
      </c>
      <c r="D2852">
        <v>5.5573079583964298E-2</v>
      </c>
      <c r="E2852">
        <v>0.488314273065654</v>
      </c>
      <c r="F2852">
        <v>168</v>
      </c>
      <c r="G2852">
        <v>220</v>
      </c>
      <c r="H2852" t="s">
        <v>8825</v>
      </c>
      <c r="I2852" t="s">
        <v>3438</v>
      </c>
      <c r="J2852" t="s">
        <v>3149</v>
      </c>
    </row>
    <row r="2853" spans="1:10">
      <c r="A2853" t="s">
        <v>8826</v>
      </c>
      <c r="B2853">
        <v>-0.57828943284272605</v>
      </c>
      <c r="C2853">
        <v>9.1909075312373503</v>
      </c>
      <c r="D2853">
        <v>5.55689582947195E-2</v>
      </c>
      <c r="E2853">
        <v>0.488314273065654</v>
      </c>
      <c r="F2853">
        <v>42</v>
      </c>
      <c r="G2853">
        <v>67</v>
      </c>
      <c r="H2853" t="s">
        <v>8827</v>
      </c>
      <c r="I2853" t="s">
        <v>8828</v>
      </c>
      <c r="J2853" t="s">
        <v>3150</v>
      </c>
    </row>
    <row r="2854" spans="1:10">
      <c r="A2854" t="s">
        <v>8829</v>
      </c>
      <c r="B2854">
        <v>-0.54017779338096805</v>
      </c>
      <c r="C2854">
        <v>9.3296123395591994</v>
      </c>
      <c r="D2854">
        <v>5.5505758130099198E-2</v>
      </c>
      <c r="E2854">
        <v>0.488314273065654</v>
      </c>
      <c r="F2854">
        <v>47</v>
      </c>
      <c r="G2854">
        <v>73</v>
      </c>
      <c r="H2854" t="s">
        <v>8830</v>
      </c>
      <c r="I2854" t="s">
        <v>8831</v>
      </c>
      <c r="J2854" t="s">
        <v>3151</v>
      </c>
    </row>
    <row r="2855" spans="1:10">
      <c r="A2855" t="s">
        <v>8832</v>
      </c>
      <c r="B2855">
        <v>-0.46760562946165402</v>
      </c>
      <c r="C2855">
        <v>9.7081175150701107</v>
      </c>
      <c r="D2855">
        <v>5.4463051177779498E-2</v>
      </c>
      <c r="E2855">
        <v>0.482515626963468</v>
      </c>
      <c r="F2855">
        <v>63</v>
      </c>
      <c r="G2855">
        <v>93</v>
      </c>
      <c r="H2855" t="s">
        <v>8833</v>
      </c>
      <c r="I2855" t="s">
        <v>8467</v>
      </c>
      <c r="J2855" t="s">
        <v>3152</v>
      </c>
    </row>
    <row r="2856" spans="1:10">
      <c r="A2856" t="s">
        <v>8834</v>
      </c>
      <c r="B2856">
        <v>0.85351249128401097</v>
      </c>
      <c r="C2856">
        <v>7.9463658841734901</v>
      </c>
      <c r="D2856">
        <v>5.4350895793769699E-2</v>
      </c>
      <c r="E2856">
        <v>0.482515626963468</v>
      </c>
      <c r="F2856">
        <v>29</v>
      </c>
      <c r="G2856">
        <v>17</v>
      </c>
      <c r="H2856" t="s">
        <v>75</v>
      </c>
      <c r="I2856" t="s">
        <v>8835</v>
      </c>
      <c r="J2856" t="s">
        <v>74</v>
      </c>
    </row>
    <row r="2857" spans="1:10">
      <c r="A2857" t="s">
        <v>8836</v>
      </c>
      <c r="B2857">
        <v>0.72473571043743601</v>
      </c>
      <c r="C2857">
        <v>8.5313369855449004</v>
      </c>
      <c r="D2857">
        <v>5.3698906944500899E-2</v>
      </c>
      <c r="E2857">
        <v>0.478381398153781</v>
      </c>
      <c r="F2857">
        <v>42</v>
      </c>
      <c r="G2857">
        <v>27</v>
      </c>
      <c r="H2857" t="s">
        <v>254</v>
      </c>
      <c r="I2857" t="s">
        <v>8837</v>
      </c>
      <c r="J2857" t="s">
        <v>253</v>
      </c>
    </row>
    <row r="2858" spans="1:10">
      <c r="A2858" t="s">
        <v>8838</v>
      </c>
      <c r="B2858">
        <v>-0.64043831095872406</v>
      </c>
      <c r="C2858">
        <v>8.8821601388703595</v>
      </c>
      <c r="D2858">
        <v>5.3518323847378903E-2</v>
      </c>
      <c r="E2858">
        <v>0.47809702636991802</v>
      </c>
      <c r="F2858">
        <v>33</v>
      </c>
      <c r="G2858">
        <v>55</v>
      </c>
      <c r="H2858" t="s">
        <v>8839</v>
      </c>
      <c r="I2858" t="s">
        <v>8840</v>
      </c>
      <c r="J2858" t="s">
        <v>3153</v>
      </c>
    </row>
    <row r="2859" spans="1:10">
      <c r="A2859" t="s">
        <v>8841</v>
      </c>
      <c r="B2859">
        <v>0.91678955736081502</v>
      </c>
      <c r="C2859">
        <v>7.7082033243331196</v>
      </c>
      <c r="D2859">
        <v>5.3482478328720003E-2</v>
      </c>
      <c r="E2859">
        <v>0.47809702636991802</v>
      </c>
      <c r="F2859">
        <v>25</v>
      </c>
      <c r="G2859">
        <v>14</v>
      </c>
      <c r="H2859" t="s">
        <v>28</v>
      </c>
      <c r="I2859" t="s">
        <v>3436</v>
      </c>
      <c r="J2859" t="s">
        <v>3154</v>
      </c>
    </row>
    <row r="2860" spans="1:10">
      <c r="A2860" t="s">
        <v>8842</v>
      </c>
      <c r="B2860">
        <v>-0.551215078437712</v>
      </c>
      <c r="C2860">
        <v>9.3053646401873493</v>
      </c>
      <c r="D2860">
        <v>5.3445894206356301E-2</v>
      </c>
      <c r="E2860">
        <v>0.47809702636991802</v>
      </c>
      <c r="F2860">
        <v>46</v>
      </c>
      <c r="G2860">
        <v>72</v>
      </c>
      <c r="H2860" t="s">
        <v>8843</v>
      </c>
      <c r="I2860" t="s">
        <v>8844</v>
      </c>
      <c r="J2860" t="s">
        <v>3155</v>
      </c>
    </row>
    <row r="2861" spans="1:10">
      <c r="A2861" t="s">
        <v>8845</v>
      </c>
      <c r="B2861">
        <v>-0.44408934085360602</v>
      </c>
      <c r="C2861">
        <v>9.9065259452071395</v>
      </c>
      <c r="D2861">
        <v>5.27181945790079E-2</v>
      </c>
      <c r="E2861">
        <v>0.474906761249551</v>
      </c>
      <c r="F2861">
        <v>73</v>
      </c>
      <c r="G2861">
        <v>106</v>
      </c>
      <c r="H2861" t="s">
        <v>8846</v>
      </c>
      <c r="I2861" t="s">
        <v>8847</v>
      </c>
      <c r="J2861" t="s">
        <v>3156</v>
      </c>
    </row>
    <row r="2862" spans="1:10">
      <c r="A2862" t="s">
        <v>8848</v>
      </c>
      <c r="B2862">
        <v>1.4686854475116999</v>
      </c>
      <c r="C2862">
        <v>6.8822291683514303</v>
      </c>
      <c r="D2862">
        <v>5.2606897553456697E-2</v>
      </c>
      <c r="E2862">
        <v>0.474906761249551</v>
      </c>
      <c r="F2862">
        <v>16</v>
      </c>
      <c r="G2862">
        <v>6</v>
      </c>
      <c r="H2862" t="s">
        <v>8849</v>
      </c>
      <c r="I2862" t="s">
        <v>4297</v>
      </c>
      <c r="J2862" t="s">
        <v>3157</v>
      </c>
    </row>
    <row r="2863" spans="1:10">
      <c r="A2863" t="s">
        <v>8850</v>
      </c>
      <c r="B2863">
        <v>1.4686854475116999</v>
      </c>
      <c r="C2863">
        <v>6.8822291683514303</v>
      </c>
      <c r="D2863">
        <v>5.2606897553456697E-2</v>
      </c>
      <c r="E2863">
        <v>0.474906761249551</v>
      </c>
      <c r="F2863">
        <v>16</v>
      </c>
      <c r="G2863">
        <v>6</v>
      </c>
      <c r="H2863" t="s">
        <v>28</v>
      </c>
      <c r="I2863" t="s">
        <v>3438</v>
      </c>
      <c r="J2863" t="s">
        <v>3158</v>
      </c>
    </row>
    <row r="2864" spans="1:10">
      <c r="A2864" t="s">
        <v>8851</v>
      </c>
      <c r="B2864">
        <v>-1.2046932828128001</v>
      </c>
      <c r="C2864">
        <v>7.2301019922613703</v>
      </c>
      <c r="D2864">
        <v>5.2396163140933399E-2</v>
      </c>
      <c r="E2864">
        <v>0.474906761249551</v>
      </c>
      <c r="F2864">
        <v>8</v>
      </c>
      <c r="G2864">
        <v>20</v>
      </c>
      <c r="H2864" t="s">
        <v>8852</v>
      </c>
      <c r="I2864" t="s">
        <v>8853</v>
      </c>
      <c r="J2864" t="s">
        <v>3159</v>
      </c>
    </row>
    <row r="2865" spans="1:10">
      <c r="A2865" t="s">
        <v>8854</v>
      </c>
      <c r="B2865">
        <v>-0.79333036309713001</v>
      </c>
      <c r="C2865">
        <v>8.3296262181896292</v>
      </c>
      <c r="D2865">
        <v>5.2243987152234002E-2</v>
      </c>
      <c r="E2865">
        <v>0.474906761249551</v>
      </c>
      <c r="F2865">
        <v>21</v>
      </c>
      <c r="G2865">
        <v>39</v>
      </c>
      <c r="H2865" t="s">
        <v>8855</v>
      </c>
      <c r="I2865" t="s">
        <v>8856</v>
      </c>
      <c r="J2865" t="s">
        <v>3160</v>
      </c>
    </row>
    <row r="2866" spans="1:10">
      <c r="A2866" t="s">
        <v>8857</v>
      </c>
      <c r="B2866">
        <v>-0.79333036309713001</v>
      </c>
      <c r="C2866">
        <v>8.3296262181896292</v>
      </c>
      <c r="D2866">
        <v>5.2243987152234002E-2</v>
      </c>
      <c r="E2866">
        <v>0.474906761249551</v>
      </c>
      <c r="F2866">
        <v>21</v>
      </c>
      <c r="G2866">
        <v>39</v>
      </c>
      <c r="H2866" t="s">
        <v>8858</v>
      </c>
      <c r="I2866" t="s">
        <v>8859</v>
      </c>
      <c r="J2866" t="s">
        <v>3161</v>
      </c>
    </row>
    <row r="2867" spans="1:10">
      <c r="A2867" t="s">
        <v>8860</v>
      </c>
      <c r="B2867">
        <v>0.77194034330263195</v>
      </c>
      <c r="C2867">
        <v>8.3297001631286793</v>
      </c>
      <c r="D2867">
        <v>5.2243987152234002E-2</v>
      </c>
      <c r="E2867">
        <v>0.474906761249551</v>
      </c>
      <c r="F2867">
        <v>37</v>
      </c>
      <c r="G2867">
        <v>23</v>
      </c>
      <c r="H2867" t="s">
        <v>28</v>
      </c>
      <c r="I2867" t="s">
        <v>4138</v>
      </c>
      <c r="J2867" t="s">
        <v>3162</v>
      </c>
    </row>
    <row r="2868" spans="1:10">
      <c r="A2868" t="s">
        <v>8861</v>
      </c>
      <c r="B2868">
        <v>0.42370203742989299</v>
      </c>
      <c r="C2868">
        <v>10.007799930794301</v>
      </c>
      <c r="D2868">
        <v>5.2179225422900502E-2</v>
      </c>
      <c r="E2868">
        <v>0.474906761249551</v>
      </c>
      <c r="F2868">
        <v>107</v>
      </c>
      <c r="G2868">
        <v>85</v>
      </c>
      <c r="H2868" t="s">
        <v>8862</v>
      </c>
      <c r="I2868" t="s">
        <v>8863</v>
      </c>
      <c r="J2868" t="s">
        <v>3163</v>
      </c>
    </row>
    <row r="2869" spans="1:10">
      <c r="A2869" t="s">
        <v>8864</v>
      </c>
      <c r="B2869">
        <v>0.54174304582445698</v>
      </c>
      <c r="C2869">
        <v>9.2808038243008095</v>
      </c>
      <c r="D2869">
        <v>5.1398958679417697E-2</v>
      </c>
      <c r="E2869">
        <v>0.47363624960747103</v>
      </c>
      <c r="F2869">
        <v>67</v>
      </c>
      <c r="G2869">
        <v>49</v>
      </c>
      <c r="H2869" t="s">
        <v>28</v>
      </c>
      <c r="I2869" t="s">
        <v>3438</v>
      </c>
      <c r="J2869" t="s">
        <v>3164</v>
      </c>
    </row>
    <row r="2870" spans="1:10">
      <c r="A2870" t="s">
        <v>8865</v>
      </c>
      <c r="B2870">
        <v>-0.68018838922589298</v>
      </c>
      <c r="C2870">
        <v>8.6706597347911707</v>
      </c>
      <c r="D2870">
        <v>5.0888715383747903E-2</v>
      </c>
      <c r="E2870">
        <v>0.470281921477394</v>
      </c>
      <c r="F2870">
        <v>28</v>
      </c>
      <c r="G2870">
        <v>48</v>
      </c>
      <c r="H2870" t="s">
        <v>28</v>
      </c>
      <c r="I2870" t="s">
        <v>3438</v>
      </c>
      <c r="J2870" t="s">
        <v>3165</v>
      </c>
    </row>
    <row r="2871" spans="1:10">
      <c r="A2871" t="s">
        <v>8866</v>
      </c>
      <c r="B2871">
        <v>0.70462471182101205</v>
      </c>
      <c r="C2871">
        <v>8.6707428566851608</v>
      </c>
      <c r="D2871">
        <v>5.0888715383747903E-2</v>
      </c>
      <c r="E2871">
        <v>0.470281921477394</v>
      </c>
      <c r="F2871">
        <v>46</v>
      </c>
      <c r="G2871">
        <v>30</v>
      </c>
      <c r="H2871" t="s">
        <v>28</v>
      </c>
      <c r="I2871" t="s">
        <v>3611</v>
      </c>
      <c r="J2871" t="s">
        <v>3166</v>
      </c>
    </row>
    <row r="2872" spans="1:10">
      <c r="A2872" t="s">
        <v>8867</v>
      </c>
      <c r="B2872">
        <v>-1.0904960686144101</v>
      </c>
      <c r="C2872">
        <v>7.4671392538416201</v>
      </c>
      <c r="D2872">
        <v>5.0284265803121897E-2</v>
      </c>
      <c r="E2872">
        <v>0.46738207752265898</v>
      </c>
      <c r="F2872">
        <v>10</v>
      </c>
      <c r="G2872">
        <v>23</v>
      </c>
      <c r="H2872" t="s">
        <v>28</v>
      </c>
      <c r="I2872" t="s">
        <v>4138</v>
      </c>
      <c r="J2872" t="s">
        <v>3167</v>
      </c>
    </row>
    <row r="2873" spans="1:10">
      <c r="A2873" t="s">
        <v>8868</v>
      </c>
      <c r="B2873">
        <v>-1.0904960686144101</v>
      </c>
      <c r="C2873">
        <v>7.4671392538416201</v>
      </c>
      <c r="D2873">
        <v>5.0284265803121897E-2</v>
      </c>
      <c r="E2873">
        <v>0.46738207752265898</v>
      </c>
      <c r="F2873">
        <v>10</v>
      </c>
      <c r="G2873">
        <v>23</v>
      </c>
      <c r="H2873" t="s">
        <v>8869</v>
      </c>
      <c r="I2873" t="s">
        <v>8870</v>
      </c>
      <c r="J2873" t="s">
        <v>3168</v>
      </c>
    </row>
    <row r="2874" spans="1:10">
      <c r="A2874" t="s">
        <v>8871</v>
      </c>
      <c r="B2874">
        <v>1.14290345505298</v>
      </c>
      <c r="C2874">
        <v>7.3769968323293096</v>
      </c>
      <c r="D2874">
        <v>5.0284265803121897E-2</v>
      </c>
      <c r="E2874">
        <v>0.46738207752265898</v>
      </c>
      <c r="F2874">
        <v>21</v>
      </c>
      <c r="G2874">
        <v>10</v>
      </c>
      <c r="H2874" t="s">
        <v>28</v>
      </c>
      <c r="I2874" t="s">
        <v>3770</v>
      </c>
      <c r="J2874" t="s">
        <v>3169</v>
      </c>
    </row>
    <row r="2875" spans="1:10">
      <c r="A2875" t="s">
        <v>8872</v>
      </c>
      <c r="B2875">
        <v>-0.37597532066850797</v>
      </c>
      <c r="C2875">
        <v>10.3768957419252</v>
      </c>
      <c r="D2875">
        <v>5.0192122725011501E-2</v>
      </c>
      <c r="E2875">
        <v>0.46738207752265898</v>
      </c>
      <c r="F2875">
        <v>104</v>
      </c>
      <c r="G2875">
        <v>144</v>
      </c>
      <c r="H2875" t="s">
        <v>28</v>
      </c>
      <c r="I2875" t="s">
        <v>8873</v>
      </c>
      <c r="J2875" t="s">
        <v>3170</v>
      </c>
    </row>
    <row r="2876" spans="1:10">
      <c r="A2876" t="s">
        <v>8874</v>
      </c>
      <c r="B2876">
        <v>-1.5513211315573301</v>
      </c>
      <c r="C2876">
        <v>6.5102160260133202</v>
      </c>
      <c r="D2876">
        <v>4.9136185935632397E-2</v>
      </c>
      <c r="E2876">
        <v>0.46205255546489399</v>
      </c>
      <c r="F2876">
        <v>4</v>
      </c>
      <c r="G2876">
        <v>13</v>
      </c>
      <c r="H2876" t="s">
        <v>8875</v>
      </c>
      <c r="I2876" t="s">
        <v>8876</v>
      </c>
      <c r="J2876" t="s">
        <v>3171</v>
      </c>
    </row>
    <row r="2877" spans="1:10">
      <c r="A2877" t="s">
        <v>8877</v>
      </c>
      <c r="B2877">
        <v>-1.5513211315573301</v>
      </c>
      <c r="C2877">
        <v>6.5102160260133202</v>
      </c>
      <c r="D2877">
        <v>4.9136185935632397E-2</v>
      </c>
      <c r="E2877">
        <v>0.46205255546489399</v>
      </c>
      <c r="F2877">
        <v>4</v>
      </c>
      <c r="G2877">
        <v>13</v>
      </c>
      <c r="H2877" t="s">
        <v>28</v>
      </c>
      <c r="I2877" t="s">
        <v>4138</v>
      </c>
      <c r="J2877" t="s">
        <v>3172</v>
      </c>
    </row>
    <row r="2878" spans="1:10">
      <c r="A2878" t="s">
        <v>8878</v>
      </c>
      <c r="B2878">
        <v>-1.5513211315573301</v>
      </c>
      <c r="C2878">
        <v>6.5102160260133202</v>
      </c>
      <c r="D2878">
        <v>4.9136185935632397E-2</v>
      </c>
      <c r="E2878">
        <v>0.46205255546489399</v>
      </c>
      <c r="F2878">
        <v>4</v>
      </c>
      <c r="G2878">
        <v>13</v>
      </c>
      <c r="H2878" t="s">
        <v>8879</v>
      </c>
      <c r="I2878" t="s">
        <v>8880</v>
      </c>
      <c r="J2878" t="s">
        <v>3173</v>
      </c>
    </row>
    <row r="2879" spans="1:10">
      <c r="A2879" t="s">
        <v>8881</v>
      </c>
      <c r="B2879">
        <v>-1.5513211315573301</v>
      </c>
      <c r="C2879">
        <v>6.5102160260133202</v>
      </c>
      <c r="D2879">
        <v>4.9136185935632397E-2</v>
      </c>
      <c r="E2879">
        <v>0.46205255546489399</v>
      </c>
      <c r="F2879">
        <v>4</v>
      </c>
      <c r="G2879">
        <v>13</v>
      </c>
      <c r="H2879" t="s">
        <v>28</v>
      </c>
      <c r="I2879" t="s">
        <v>3438</v>
      </c>
      <c r="J2879" t="s">
        <v>3174</v>
      </c>
    </row>
    <row r="2880" spans="1:10">
      <c r="A2880" t="s">
        <v>8882</v>
      </c>
      <c r="B2880">
        <v>1.7295987183835999</v>
      </c>
      <c r="C2880">
        <v>6.51025770934229</v>
      </c>
      <c r="D2880">
        <v>4.9136185935632397E-2</v>
      </c>
      <c r="E2880">
        <v>0.46205255546489399</v>
      </c>
      <c r="F2880">
        <v>13</v>
      </c>
      <c r="G2880">
        <v>4</v>
      </c>
      <c r="H2880" t="s">
        <v>28</v>
      </c>
      <c r="I2880" t="s">
        <v>8883</v>
      </c>
      <c r="J2880" t="s">
        <v>3175</v>
      </c>
    </row>
    <row r="2881" spans="1:10">
      <c r="A2881" t="s">
        <v>8884</v>
      </c>
      <c r="B2881">
        <v>0.88942802794885001</v>
      </c>
      <c r="C2881">
        <v>7.8822354012472404</v>
      </c>
      <c r="D2881">
        <v>4.9013232448312599E-2</v>
      </c>
      <c r="E2881">
        <v>0.46205255546489399</v>
      </c>
      <c r="F2881">
        <v>28</v>
      </c>
      <c r="G2881">
        <v>16</v>
      </c>
      <c r="H2881" t="s">
        <v>28</v>
      </c>
      <c r="I2881" t="s">
        <v>3659</v>
      </c>
      <c r="J2881" t="s">
        <v>3176</v>
      </c>
    </row>
    <row r="2882" spans="1:10">
      <c r="A2882" t="s">
        <v>8885</v>
      </c>
      <c r="B2882">
        <v>-0.58243585444099499</v>
      </c>
      <c r="C2882">
        <v>9.1231648475354898</v>
      </c>
      <c r="D2882">
        <v>4.88094026421333E-2</v>
      </c>
      <c r="E2882">
        <v>0.46205255546489399</v>
      </c>
      <c r="F2882">
        <v>40</v>
      </c>
      <c r="G2882">
        <v>64</v>
      </c>
      <c r="H2882" t="s">
        <v>8886</v>
      </c>
      <c r="I2882" t="s">
        <v>8887</v>
      </c>
      <c r="J2882" t="s">
        <v>3177</v>
      </c>
    </row>
    <row r="2883" spans="1:10">
      <c r="A2883" t="s">
        <v>8888</v>
      </c>
      <c r="B2883">
        <v>-0.82567304839912403</v>
      </c>
      <c r="C2883">
        <v>8.2807164655068295</v>
      </c>
      <c r="D2883">
        <v>4.8262353049473898E-2</v>
      </c>
      <c r="E2883">
        <v>0.46205255546489399</v>
      </c>
      <c r="F2883">
        <v>20</v>
      </c>
      <c r="G2883">
        <v>38</v>
      </c>
      <c r="H2883" t="s">
        <v>28</v>
      </c>
      <c r="I2883" t="s">
        <v>3438</v>
      </c>
      <c r="J2883" t="s">
        <v>3178</v>
      </c>
    </row>
    <row r="2884" spans="1:10">
      <c r="A2884" t="s">
        <v>8889</v>
      </c>
      <c r="B2884">
        <v>0.79607531552628596</v>
      </c>
      <c r="C2884">
        <v>8.2807904178038392</v>
      </c>
      <c r="D2884">
        <v>4.8262353049473898E-2</v>
      </c>
      <c r="E2884">
        <v>0.46205255546489399</v>
      </c>
      <c r="F2884">
        <v>36</v>
      </c>
      <c r="G2884">
        <v>22</v>
      </c>
      <c r="H2884" t="s">
        <v>8890</v>
      </c>
      <c r="I2884" t="s">
        <v>8891</v>
      </c>
      <c r="J2884" t="s">
        <v>3179</v>
      </c>
    </row>
    <row r="2885" spans="1:10">
      <c r="A2885" t="s">
        <v>8892</v>
      </c>
      <c r="B2885">
        <v>-0.67677371058144598</v>
      </c>
      <c r="C2885">
        <v>8.8150456375903001</v>
      </c>
      <c r="D2885">
        <v>4.7984109098739E-2</v>
      </c>
      <c r="E2885">
        <v>0.46205255546489399</v>
      </c>
      <c r="F2885">
        <v>31</v>
      </c>
      <c r="G2885">
        <v>53</v>
      </c>
      <c r="H2885" t="s">
        <v>8893</v>
      </c>
      <c r="I2885" t="s">
        <v>8894</v>
      </c>
      <c r="J2885" t="s">
        <v>294</v>
      </c>
    </row>
    <row r="2886" spans="1:10">
      <c r="A2886" t="s">
        <v>8895</v>
      </c>
      <c r="B2886">
        <v>-0.64942738687143897</v>
      </c>
      <c r="C2886">
        <v>8.7977698778510405</v>
      </c>
      <c r="D2886">
        <v>4.7984109098739E-2</v>
      </c>
      <c r="E2886">
        <v>0.46205255546489399</v>
      </c>
      <c r="F2886">
        <v>31</v>
      </c>
      <c r="G2886">
        <v>52</v>
      </c>
      <c r="H2886" t="s">
        <v>8896</v>
      </c>
      <c r="I2886" t="s">
        <v>8897</v>
      </c>
      <c r="J2886" t="s">
        <v>3180</v>
      </c>
    </row>
    <row r="2887" spans="1:10">
      <c r="A2887" t="s">
        <v>8898</v>
      </c>
      <c r="B2887">
        <v>0.96338020446919204</v>
      </c>
      <c r="C2887">
        <v>7.6322543252613304</v>
      </c>
      <c r="D2887">
        <v>4.7233291941090702E-2</v>
      </c>
      <c r="E2887">
        <v>0.45891923529470602</v>
      </c>
      <c r="F2887">
        <v>24</v>
      </c>
      <c r="G2887">
        <v>13</v>
      </c>
      <c r="H2887" t="s">
        <v>8899</v>
      </c>
      <c r="I2887" t="s">
        <v>8900</v>
      </c>
      <c r="J2887" t="s">
        <v>3181</v>
      </c>
    </row>
    <row r="2888" spans="1:10">
      <c r="A2888" t="s">
        <v>8901</v>
      </c>
      <c r="B2888">
        <v>0.96338020446919204</v>
      </c>
      <c r="C2888">
        <v>7.6322543252613304</v>
      </c>
      <c r="D2888">
        <v>4.7233291941090702E-2</v>
      </c>
      <c r="E2888">
        <v>0.45891923529470602</v>
      </c>
      <c r="F2888">
        <v>24</v>
      </c>
      <c r="G2888">
        <v>13</v>
      </c>
      <c r="H2888" t="s">
        <v>8902</v>
      </c>
      <c r="I2888" t="s">
        <v>8903</v>
      </c>
      <c r="J2888" t="s">
        <v>3182</v>
      </c>
    </row>
    <row r="2889" spans="1:10">
      <c r="A2889" t="s">
        <v>8904</v>
      </c>
      <c r="B2889">
        <v>0.96338020446919204</v>
      </c>
      <c r="C2889">
        <v>7.6322543252613304</v>
      </c>
      <c r="D2889">
        <v>4.7233291941090702E-2</v>
      </c>
      <c r="E2889">
        <v>0.45891923529470602</v>
      </c>
      <c r="F2889">
        <v>24</v>
      </c>
      <c r="G2889">
        <v>13</v>
      </c>
      <c r="H2889" t="s">
        <v>28</v>
      </c>
      <c r="I2889" t="s">
        <v>3631</v>
      </c>
      <c r="J2889" t="s">
        <v>3183</v>
      </c>
    </row>
    <row r="2890" spans="1:10">
      <c r="A2890" t="s">
        <v>8905</v>
      </c>
      <c r="B2890">
        <v>1.07651946356405</v>
      </c>
      <c r="C2890">
        <v>7.5927282017360804</v>
      </c>
      <c r="D2890">
        <v>4.7233291941090702E-2</v>
      </c>
      <c r="E2890">
        <v>0.45891923529470602</v>
      </c>
      <c r="F2890">
        <v>24</v>
      </c>
      <c r="G2890">
        <v>12</v>
      </c>
      <c r="H2890" t="s">
        <v>8906</v>
      </c>
      <c r="I2890" t="s">
        <v>8907</v>
      </c>
      <c r="J2890" t="s">
        <v>3184</v>
      </c>
    </row>
    <row r="2891" spans="1:10">
      <c r="A2891" t="s">
        <v>8908</v>
      </c>
      <c r="B2891">
        <v>1.07651946356405</v>
      </c>
      <c r="C2891">
        <v>7.5927282017360804</v>
      </c>
      <c r="D2891">
        <v>4.7233291941090702E-2</v>
      </c>
      <c r="E2891">
        <v>0.45891923529470602</v>
      </c>
      <c r="F2891">
        <v>24</v>
      </c>
      <c r="G2891">
        <v>12</v>
      </c>
      <c r="H2891" t="s">
        <v>188</v>
      </c>
      <c r="I2891" t="s">
        <v>3450</v>
      </c>
      <c r="J2891" t="s">
        <v>187</v>
      </c>
    </row>
    <row r="2892" spans="1:10">
      <c r="A2892" t="s">
        <v>8909</v>
      </c>
      <c r="B2892">
        <v>0.76469868840068</v>
      </c>
      <c r="C2892">
        <v>8.44518005279755</v>
      </c>
      <c r="D2892">
        <v>4.6707027381663498E-2</v>
      </c>
      <c r="E2892">
        <v>0.45891923529470602</v>
      </c>
      <c r="F2892">
        <v>40</v>
      </c>
      <c r="G2892">
        <v>25</v>
      </c>
      <c r="H2892" t="s">
        <v>28</v>
      </c>
      <c r="I2892" t="s">
        <v>3438</v>
      </c>
      <c r="J2892" t="s">
        <v>3185</v>
      </c>
    </row>
    <row r="2893" spans="1:10">
      <c r="A2893" t="s">
        <v>8910</v>
      </c>
      <c r="B2893">
        <v>-0.59611119730574802</v>
      </c>
      <c r="C2893">
        <v>9.0951503184550706</v>
      </c>
      <c r="D2893">
        <v>4.6592347942935597E-2</v>
      </c>
      <c r="E2893">
        <v>0.45891923529470602</v>
      </c>
      <c r="F2893">
        <v>39</v>
      </c>
      <c r="G2893">
        <v>63</v>
      </c>
      <c r="H2893" t="s">
        <v>8911</v>
      </c>
      <c r="I2893" t="s">
        <v>8912</v>
      </c>
      <c r="J2893" t="s">
        <v>3186</v>
      </c>
    </row>
    <row r="2894" spans="1:10">
      <c r="A2894" t="s">
        <v>8913</v>
      </c>
      <c r="B2894">
        <v>-0.94123630979983297</v>
      </c>
      <c r="C2894">
        <v>8.0374469411984109</v>
      </c>
      <c r="D2894">
        <v>4.4642930581781599E-2</v>
      </c>
      <c r="E2894">
        <v>0.44312242207101699</v>
      </c>
      <c r="F2894">
        <v>16</v>
      </c>
      <c r="G2894">
        <v>33</v>
      </c>
      <c r="H2894" t="s">
        <v>28</v>
      </c>
      <c r="I2894" t="s">
        <v>3436</v>
      </c>
      <c r="J2894" t="s">
        <v>3187</v>
      </c>
    </row>
    <row r="2895" spans="1:10">
      <c r="A2895" t="s">
        <v>8914</v>
      </c>
      <c r="B2895">
        <v>-0.94123630979983297</v>
      </c>
      <c r="C2895">
        <v>8.0374469411984109</v>
      </c>
      <c r="D2895">
        <v>4.4642930581781599E-2</v>
      </c>
      <c r="E2895">
        <v>0.44312242207101699</v>
      </c>
      <c r="F2895">
        <v>16</v>
      </c>
      <c r="G2895">
        <v>33</v>
      </c>
      <c r="H2895" t="s">
        <v>28</v>
      </c>
      <c r="I2895" t="s">
        <v>3438</v>
      </c>
      <c r="J2895" t="s">
        <v>142</v>
      </c>
    </row>
    <row r="2896" spans="1:10">
      <c r="A2896" t="s">
        <v>8915</v>
      </c>
      <c r="B2896">
        <v>0.86769411130180596</v>
      </c>
      <c r="C2896">
        <v>8.0375163025351899</v>
      </c>
      <c r="D2896">
        <v>4.4642930581781599E-2</v>
      </c>
      <c r="E2896">
        <v>0.44312242207101699</v>
      </c>
      <c r="F2896">
        <v>31</v>
      </c>
      <c r="G2896">
        <v>18</v>
      </c>
      <c r="H2896" t="s">
        <v>8916</v>
      </c>
      <c r="I2896" t="s">
        <v>8917</v>
      </c>
      <c r="J2896" t="s">
        <v>3188</v>
      </c>
    </row>
    <row r="2897" spans="1:10">
      <c r="A2897" t="s">
        <v>8918</v>
      </c>
      <c r="B2897">
        <v>-1.05097515641067</v>
      </c>
      <c r="C2897">
        <v>7.8150563000415199</v>
      </c>
      <c r="D2897">
        <v>4.3777388133535898E-2</v>
      </c>
      <c r="E2897">
        <v>0.43859215027243398</v>
      </c>
      <c r="F2897">
        <v>13</v>
      </c>
      <c r="G2897">
        <v>29</v>
      </c>
      <c r="H2897" t="s">
        <v>28</v>
      </c>
      <c r="I2897" t="s">
        <v>3438</v>
      </c>
      <c r="J2897" t="s">
        <v>3189</v>
      </c>
    </row>
    <row r="2898" spans="1:10">
      <c r="A2898" t="s">
        <v>8919</v>
      </c>
      <c r="B2898">
        <v>-0.38594161236779601</v>
      </c>
      <c r="C2898">
        <v>10.382699151655601</v>
      </c>
      <c r="D2898">
        <v>4.3639443046689499E-2</v>
      </c>
      <c r="E2898">
        <v>0.43857640261922898</v>
      </c>
      <c r="F2898">
        <v>104</v>
      </c>
      <c r="G2898">
        <v>145</v>
      </c>
      <c r="H2898" t="s">
        <v>8920</v>
      </c>
      <c r="I2898" t="s">
        <v>8921</v>
      </c>
      <c r="J2898" t="s">
        <v>3190</v>
      </c>
    </row>
    <row r="2899" spans="1:10">
      <c r="A2899" t="s">
        <v>8922</v>
      </c>
      <c r="B2899">
        <v>-0.50744858621555999</v>
      </c>
      <c r="C2899">
        <v>9.5622677980922504</v>
      </c>
      <c r="D2899">
        <v>4.3612287746909298E-2</v>
      </c>
      <c r="E2899">
        <v>0.43857640261922898</v>
      </c>
      <c r="F2899">
        <v>56</v>
      </c>
      <c r="G2899">
        <v>85</v>
      </c>
      <c r="H2899" t="s">
        <v>8923</v>
      </c>
      <c r="I2899" t="s">
        <v>8924</v>
      </c>
      <c r="J2899" t="s">
        <v>3191</v>
      </c>
    </row>
    <row r="2900" spans="1:10">
      <c r="A2900" t="s">
        <v>8925</v>
      </c>
      <c r="B2900">
        <v>-1.3182666106046601</v>
      </c>
      <c r="C2900">
        <v>7.1231866370408898</v>
      </c>
      <c r="D2900">
        <v>4.34142262843671E-2</v>
      </c>
      <c r="E2900">
        <v>0.43857640261922898</v>
      </c>
      <c r="F2900">
        <v>7</v>
      </c>
      <c r="G2900">
        <v>19</v>
      </c>
      <c r="H2900" t="s">
        <v>8926</v>
      </c>
      <c r="I2900" t="s">
        <v>5748</v>
      </c>
      <c r="J2900" t="s">
        <v>269</v>
      </c>
    </row>
    <row r="2901" spans="1:10">
      <c r="A2901" t="s">
        <v>8927</v>
      </c>
      <c r="B2901">
        <v>1.42235101794622</v>
      </c>
      <c r="C2901">
        <v>7.0666562737653802</v>
      </c>
      <c r="D2901">
        <v>4.34142262843671E-2</v>
      </c>
      <c r="E2901">
        <v>0.43857640261922898</v>
      </c>
      <c r="F2901">
        <v>18</v>
      </c>
      <c r="G2901">
        <v>7</v>
      </c>
      <c r="H2901" t="s">
        <v>28</v>
      </c>
      <c r="I2901" t="s">
        <v>3438</v>
      </c>
      <c r="J2901" t="s">
        <v>3192</v>
      </c>
    </row>
    <row r="2902" spans="1:10">
      <c r="A2902" t="s">
        <v>8928</v>
      </c>
      <c r="B2902">
        <v>1.42235101794622</v>
      </c>
      <c r="C2902">
        <v>7.0666562737653802</v>
      </c>
      <c r="D2902">
        <v>4.34142262843671E-2</v>
      </c>
      <c r="E2902">
        <v>0.43857640261922898</v>
      </c>
      <c r="F2902">
        <v>18</v>
      </c>
      <c r="G2902">
        <v>7</v>
      </c>
      <c r="H2902" t="s">
        <v>28</v>
      </c>
      <c r="I2902" t="s">
        <v>3438</v>
      </c>
      <c r="J2902" t="s">
        <v>3193</v>
      </c>
    </row>
    <row r="2903" spans="1:10">
      <c r="A2903" t="s">
        <v>8929</v>
      </c>
      <c r="B2903">
        <v>1.42235101794622</v>
      </c>
      <c r="C2903">
        <v>7.0666562737653802</v>
      </c>
      <c r="D2903">
        <v>4.34142262843671E-2</v>
      </c>
      <c r="E2903">
        <v>0.43857640261922898</v>
      </c>
      <c r="F2903">
        <v>18</v>
      </c>
      <c r="G2903">
        <v>7</v>
      </c>
      <c r="H2903" t="s">
        <v>237</v>
      </c>
      <c r="I2903" t="s">
        <v>8930</v>
      </c>
      <c r="J2903" t="s">
        <v>236</v>
      </c>
    </row>
    <row r="2904" spans="1:10">
      <c r="A2904" t="s">
        <v>8931</v>
      </c>
      <c r="B2904">
        <v>-0.79865050255036296</v>
      </c>
      <c r="C2904">
        <v>8.4000134639531208</v>
      </c>
      <c r="D2904">
        <v>4.32829266863691E-2</v>
      </c>
      <c r="E2904">
        <v>0.43857640261922898</v>
      </c>
      <c r="F2904">
        <v>22</v>
      </c>
      <c r="G2904">
        <v>41</v>
      </c>
      <c r="H2904" t="s">
        <v>8932</v>
      </c>
      <c r="I2904" t="s">
        <v>7014</v>
      </c>
      <c r="J2904" t="s">
        <v>3194</v>
      </c>
    </row>
    <row r="2905" spans="1:10">
      <c r="A2905" t="s">
        <v>8933</v>
      </c>
      <c r="B2905">
        <v>-1.1753140476933699</v>
      </c>
      <c r="C2905">
        <v>7.3769412934109502</v>
      </c>
      <c r="D2905">
        <v>4.29279054975601E-2</v>
      </c>
      <c r="E2905">
        <v>0.43857640261922898</v>
      </c>
      <c r="F2905">
        <v>9</v>
      </c>
      <c r="G2905">
        <v>22</v>
      </c>
      <c r="H2905" t="s">
        <v>8934</v>
      </c>
      <c r="I2905" t="s">
        <v>8935</v>
      </c>
      <c r="J2905" t="s">
        <v>3195</v>
      </c>
    </row>
    <row r="2906" spans="1:10">
      <c r="A2906" t="s">
        <v>8936</v>
      </c>
      <c r="B2906">
        <v>1.22131209505003</v>
      </c>
      <c r="C2906">
        <v>7.2807813711151796</v>
      </c>
      <c r="D2906">
        <v>4.29279054975601E-2</v>
      </c>
      <c r="E2906">
        <v>0.43857640261922898</v>
      </c>
      <c r="F2906">
        <v>20</v>
      </c>
      <c r="G2906">
        <v>9</v>
      </c>
      <c r="H2906" t="s">
        <v>28</v>
      </c>
      <c r="I2906" t="s">
        <v>8937</v>
      </c>
      <c r="J2906" t="s">
        <v>3196</v>
      </c>
    </row>
    <row r="2907" spans="1:10">
      <c r="A2907" t="s">
        <v>8938</v>
      </c>
      <c r="B2907">
        <v>1.22131209505003</v>
      </c>
      <c r="C2907">
        <v>7.2807813711151796</v>
      </c>
      <c r="D2907">
        <v>4.29279054975601E-2</v>
      </c>
      <c r="E2907">
        <v>0.43857640261922898</v>
      </c>
      <c r="F2907">
        <v>20</v>
      </c>
      <c r="G2907">
        <v>9</v>
      </c>
      <c r="H2907" t="s">
        <v>8939</v>
      </c>
      <c r="I2907" t="s">
        <v>8940</v>
      </c>
      <c r="J2907" t="s">
        <v>3197</v>
      </c>
    </row>
    <row r="2908" spans="1:10">
      <c r="A2908" t="s">
        <v>8941</v>
      </c>
      <c r="B2908">
        <v>-0.68857369995308304</v>
      </c>
      <c r="C2908">
        <v>8.7265108895666295</v>
      </c>
      <c r="D2908">
        <v>4.2570408219094101E-2</v>
      </c>
      <c r="E2908">
        <v>0.43857640261922898</v>
      </c>
      <c r="F2908">
        <v>29</v>
      </c>
      <c r="G2908">
        <v>50</v>
      </c>
      <c r="H2908" t="s">
        <v>28</v>
      </c>
      <c r="I2908" t="s">
        <v>3438</v>
      </c>
      <c r="J2908" t="s">
        <v>3198</v>
      </c>
    </row>
    <row r="2909" spans="1:10">
      <c r="A2909" t="s">
        <v>8942</v>
      </c>
      <c r="B2909">
        <v>1.62819427424907</v>
      </c>
      <c r="C2909">
        <v>6.7447254982848497</v>
      </c>
      <c r="D2909">
        <v>4.14892966681744E-2</v>
      </c>
      <c r="E2909">
        <v>0.43181093231342699</v>
      </c>
      <c r="F2909">
        <v>15</v>
      </c>
      <c r="G2909">
        <v>5</v>
      </c>
      <c r="H2909" t="s">
        <v>28</v>
      </c>
      <c r="I2909" t="s">
        <v>3631</v>
      </c>
      <c r="J2909" t="s">
        <v>3199</v>
      </c>
    </row>
    <row r="2910" spans="1:10">
      <c r="A2910" t="s">
        <v>8943</v>
      </c>
      <c r="B2910">
        <v>1.62819427424907</v>
      </c>
      <c r="C2910">
        <v>6.7447254982848497</v>
      </c>
      <c r="D2910">
        <v>4.14892966681744E-2</v>
      </c>
      <c r="E2910">
        <v>0.43181093231342699</v>
      </c>
      <c r="F2910">
        <v>15</v>
      </c>
      <c r="G2910">
        <v>5</v>
      </c>
      <c r="H2910" t="s">
        <v>28</v>
      </c>
      <c r="I2910" t="s">
        <v>3438</v>
      </c>
      <c r="J2910" t="s">
        <v>3200</v>
      </c>
    </row>
    <row r="2911" spans="1:10">
      <c r="A2911" t="s">
        <v>8944</v>
      </c>
      <c r="B2911">
        <v>-1.0751076099511501</v>
      </c>
      <c r="C2911">
        <v>7.5926680495584096</v>
      </c>
      <c r="D2911">
        <v>4.1134536100112903E-2</v>
      </c>
      <c r="E2911">
        <v>0.43090771367414599</v>
      </c>
      <c r="F2911">
        <v>11</v>
      </c>
      <c r="G2911">
        <v>25</v>
      </c>
      <c r="H2911" t="s">
        <v>8945</v>
      </c>
      <c r="I2911" t="s">
        <v>8946</v>
      </c>
      <c r="J2911" t="s">
        <v>3201</v>
      </c>
    </row>
    <row r="2912" spans="1:10">
      <c r="A2912" t="s">
        <v>8947</v>
      </c>
      <c r="B2912">
        <v>1.1385175879393299</v>
      </c>
      <c r="C2912">
        <v>7.5102658958925099</v>
      </c>
      <c r="D2912">
        <v>4.1134536100112903E-2</v>
      </c>
      <c r="E2912">
        <v>0.43090771367414599</v>
      </c>
      <c r="F2912">
        <v>23</v>
      </c>
      <c r="G2912">
        <v>11</v>
      </c>
      <c r="H2912" t="s">
        <v>8948</v>
      </c>
      <c r="I2912" t="s">
        <v>3571</v>
      </c>
      <c r="J2912" t="s">
        <v>3202</v>
      </c>
    </row>
    <row r="2913" spans="1:10">
      <c r="A2913" t="s">
        <v>8949</v>
      </c>
      <c r="B2913">
        <v>-0.35644164713396798</v>
      </c>
      <c r="C2913">
        <v>10.6075666638696</v>
      </c>
      <c r="D2913">
        <v>4.11071473948574E-2</v>
      </c>
      <c r="E2913">
        <v>0.43090771367414599</v>
      </c>
      <c r="F2913">
        <v>123</v>
      </c>
      <c r="G2913">
        <v>168</v>
      </c>
      <c r="H2913" t="s">
        <v>8950</v>
      </c>
      <c r="I2913" t="s">
        <v>8951</v>
      </c>
      <c r="J2913" t="s">
        <v>3203</v>
      </c>
    </row>
    <row r="2914" spans="1:10">
      <c r="A2914" t="s">
        <v>8952</v>
      </c>
      <c r="B2914">
        <v>-0.89829919266983804</v>
      </c>
      <c r="C2914">
        <v>8.1776226680481194</v>
      </c>
      <c r="D2914">
        <v>4.0491386193197802E-2</v>
      </c>
      <c r="E2914">
        <v>0.42835624341225098</v>
      </c>
      <c r="F2914">
        <v>18</v>
      </c>
      <c r="G2914">
        <v>36</v>
      </c>
      <c r="H2914" t="s">
        <v>8953</v>
      </c>
      <c r="I2914" t="s">
        <v>8954</v>
      </c>
      <c r="J2914" t="s">
        <v>3204</v>
      </c>
    </row>
    <row r="2915" spans="1:10">
      <c r="A2915" t="s">
        <v>8955</v>
      </c>
      <c r="B2915">
        <v>-0.89829919266983804</v>
      </c>
      <c r="C2915">
        <v>8.1776226680481194</v>
      </c>
      <c r="D2915">
        <v>4.0491386193197802E-2</v>
      </c>
      <c r="E2915">
        <v>0.42835624341225098</v>
      </c>
      <c r="F2915">
        <v>18</v>
      </c>
      <c r="G2915">
        <v>36</v>
      </c>
      <c r="H2915" t="s">
        <v>28</v>
      </c>
      <c r="I2915" t="s">
        <v>3438</v>
      </c>
      <c r="J2915" t="s">
        <v>3205</v>
      </c>
    </row>
    <row r="2916" spans="1:10">
      <c r="A2916" t="s">
        <v>8956</v>
      </c>
      <c r="B2916">
        <v>-2.6404306315241701</v>
      </c>
      <c r="C2916">
        <v>5.5926822161844498</v>
      </c>
      <c r="D2916">
        <v>3.9104692770833602E-2</v>
      </c>
      <c r="E2916">
        <v>0.41642613228808301</v>
      </c>
      <c r="F2916">
        <v>1</v>
      </c>
      <c r="G2916">
        <v>8</v>
      </c>
      <c r="H2916" t="s">
        <v>28</v>
      </c>
      <c r="I2916" t="s">
        <v>3438</v>
      </c>
      <c r="J2916" t="s">
        <v>3206</v>
      </c>
    </row>
    <row r="2917" spans="1:10">
      <c r="A2917" t="s">
        <v>8957</v>
      </c>
      <c r="B2917">
        <v>-2.6404306315241701</v>
      </c>
      <c r="C2917">
        <v>5.5926822161844498</v>
      </c>
      <c r="D2917">
        <v>3.9104692770833602E-2</v>
      </c>
      <c r="E2917">
        <v>0.41642613228808301</v>
      </c>
      <c r="F2917">
        <v>1</v>
      </c>
      <c r="G2917">
        <v>8</v>
      </c>
      <c r="H2917" t="s">
        <v>28</v>
      </c>
      <c r="I2917" t="s">
        <v>3438</v>
      </c>
      <c r="J2917" t="s">
        <v>3207</v>
      </c>
    </row>
    <row r="2918" spans="1:10">
      <c r="A2918" t="s">
        <v>8958</v>
      </c>
      <c r="B2918">
        <v>-2.6404306315241701</v>
      </c>
      <c r="C2918">
        <v>5.5926822161844498</v>
      </c>
      <c r="D2918">
        <v>3.9104692770833602E-2</v>
      </c>
      <c r="E2918">
        <v>0.41642613228808301</v>
      </c>
      <c r="F2918">
        <v>1</v>
      </c>
      <c r="G2918">
        <v>8</v>
      </c>
      <c r="H2918" t="s">
        <v>28</v>
      </c>
      <c r="I2918" t="s">
        <v>3438</v>
      </c>
      <c r="J2918" t="s">
        <v>3208</v>
      </c>
    </row>
    <row r="2919" spans="1:10">
      <c r="A2919" t="s">
        <v>8959</v>
      </c>
      <c r="B2919">
        <v>-2.6404306315241701</v>
      </c>
      <c r="C2919">
        <v>5.5926822161844498</v>
      </c>
      <c r="D2919">
        <v>3.9104692770833602E-2</v>
      </c>
      <c r="E2919">
        <v>0.41642613228808301</v>
      </c>
      <c r="F2919">
        <v>1</v>
      </c>
      <c r="G2919">
        <v>8</v>
      </c>
      <c r="H2919" t="s">
        <v>8960</v>
      </c>
      <c r="I2919" t="s">
        <v>3450</v>
      </c>
      <c r="J2919" t="s">
        <v>3209</v>
      </c>
    </row>
    <row r="2920" spans="1:10">
      <c r="A2920" t="s">
        <v>8961</v>
      </c>
      <c r="B2920">
        <v>-2.6404306315241701</v>
      </c>
      <c r="C2920">
        <v>5.5926822161844498</v>
      </c>
      <c r="D2920">
        <v>3.9104692770833602E-2</v>
      </c>
      <c r="E2920">
        <v>0.41642613228808301</v>
      </c>
      <c r="F2920">
        <v>1</v>
      </c>
      <c r="G2920">
        <v>8</v>
      </c>
      <c r="H2920" t="s">
        <v>28</v>
      </c>
      <c r="I2920" t="s">
        <v>3438</v>
      </c>
      <c r="J2920" t="s">
        <v>3210</v>
      </c>
    </row>
    <row r="2921" spans="1:10">
      <c r="A2921" t="s">
        <v>8962</v>
      </c>
      <c r="B2921">
        <v>2.80455962567595</v>
      </c>
      <c r="C2921">
        <v>5.5927146494882702</v>
      </c>
      <c r="D2921">
        <v>3.9104692770833602E-2</v>
      </c>
      <c r="E2921">
        <v>0.41642613228808301</v>
      </c>
      <c r="F2921">
        <v>8</v>
      </c>
      <c r="G2921">
        <v>1</v>
      </c>
      <c r="H2921" t="s">
        <v>28</v>
      </c>
      <c r="I2921" t="s">
        <v>3438</v>
      </c>
      <c r="J2921" t="s">
        <v>3211</v>
      </c>
    </row>
    <row r="2922" spans="1:10">
      <c r="A2922" t="s">
        <v>8963</v>
      </c>
      <c r="B2922">
        <v>2.80455962567595</v>
      </c>
      <c r="C2922">
        <v>5.5927146494882702</v>
      </c>
      <c r="D2922">
        <v>3.9104692770833602E-2</v>
      </c>
      <c r="E2922">
        <v>0.41642613228808301</v>
      </c>
      <c r="F2922">
        <v>8</v>
      </c>
      <c r="G2922">
        <v>1</v>
      </c>
      <c r="H2922" t="s">
        <v>28</v>
      </c>
      <c r="I2922" t="s">
        <v>8964</v>
      </c>
      <c r="J2922" t="s">
        <v>3212</v>
      </c>
    </row>
    <row r="2923" spans="1:10">
      <c r="A2923" t="s">
        <v>8965</v>
      </c>
      <c r="B2923">
        <v>2.80455962567595</v>
      </c>
      <c r="C2923">
        <v>5.5927146494882702</v>
      </c>
      <c r="D2923">
        <v>3.9104692770833602E-2</v>
      </c>
      <c r="E2923">
        <v>0.41642613228808301</v>
      </c>
      <c r="F2923">
        <v>8</v>
      </c>
      <c r="G2923">
        <v>1</v>
      </c>
      <c r="H2923" t="s">
        <v>8966</v>
      </c>
      <c r="I2923" t="s">
        <v>3687</v>
      </c>
      <c r="J2923" t="s">
        <v>3213</v>
      </c>
    </row>
    <row r="2924" spans="1:10">
      <c r="A2924" t="s">
        <v>8967</v>
      </c>
      <c r="B2924">
        <v>2.80455962567595</v>
      </c>
      <c r="C2924">
        <v>5.5927146494882702</v>
      </c>
      <c r="D2924">
        <v>3.9104692770833602E-2</v>
      </c>
      <c r="E2924">
        <v>0.41642613228808301</v>
      </c>
      <c r="F2924">
        <v>8</v>
      </c>
      <c r="G2924">
        <v>1</v>
      </c>
      <c r="H2924" t="s">
        <v>8968</v>
      </c>
      <c r="I2924" t="s">
        <v>3450</v>
      </c>
      <c r="J2924" t="s">
        <v>3214</v>
      </c>
    </row>
    <row r="2925" spans="1:10">
      <c r="A2925" t="s">
        <v>8969</v>
      </c>
      <c r="B2925">
        <v>0.97284108159741001</v>
      </c>
      <c r="C2925">
        <v>7.7447315863972399</v>
      </c>
      <c r="D2925">
        <v>3.8669497916602499E-2</v>
      </c>
      <c r="E2925">
        <v>0.41642613228808301</v>
      </c>
      <c r="F2925">
        <v>26</v>
      </c>
      <c r="G2925">
        <v>14</v>
      </c>
      <c r="H2925" t="s">
        <v>28</v>
      </c>
      <c r="I2925" t="s">
        <v>3438</v>
      </c>
      <c r="J2925" t="s">
        <v>3215</v>
      </c>
    </row>
    <row r="2926" spans="1:10">
      <c r="A2926" t="s">
        <v>8970</v>
      </c>
      <c r="B2926">
        <v>-2.1011767048960199</v>
      </c>
      <c r="C2926">
        <v>6.0077176247705397</v>
      </c>
      <c r="D2926">
        <v>3.86306250971361E-2</v>
      </c>
      <c r="E2926">
        <v>0.41642613228808301</v>
      </c>
      <c r="F2926">
        <v>2</v>
      </c>
      <c r="G2926">
        <v>10</v>
      </c>
      <c r="H2926" t="s">
        <v>28</v>
      </c>
      <c r="I2926" t="s">
        <v>3438</v>
      </c>
      <c r="J2926" t="s">
        <v>3216</v>
      </c>
    </row>
    <row r="2927" spans="1:10">
      <c r="A2927" t="s">
        <v>8971</v>
      </c>
      <c r="B2927">
        <v>-2.1011767048960199</v>
      </c>
      <c r="C2927">
        <v>6.0077176247705397</v>
      </c>
      <c r="D2927">
        <v>3.86306250971361E-2</v>
      </c>
      <c r="E2927">
        <v>0.41642613228808301</v>
      </c>
      <c r="F2927">
        <v>2</v>
      </c>
      <c r="G2927">
        <v>10</v>
      </c>
      <c r="H2927" t="s">
        <v>8972</v>
      </c>
      <c r="I2927" t="s">
        <v>8973</v>
      </c>
      <c r="J2927" t="s">
        <v>3217</v>
      </c>
    </row>
    <row r="2928" spans="1:10">
      <c r="A2928" t="s">
        <v>8974</v>
      </c>
      <c r="B2928">
        <v>-2.1011767048960199</v>
      </c>
      <c r="C2928">
        <v>6.0077176247705397</v>
      </c>
      <c r="D2928">
        <v>3.86306250971361E-2</v>
      </c>
      <c r="E2928">
        <v>0.41642613228808301</v>
      </c>
      <c r="F2928">
        <v>2</v>
      </c>
      <c r="G2928">
        <v>10</v>
      </c>
      <c r="H2928" t="s">
        <v>318</v>
      </c>
      <c r="I2928" t="s">
        <v>8975</v>
      </c>
      <c r="J2928" t="s">
        <v>319</v>
      </c>
    </row>
    <row r="2929" spans="1:10">
      <c r="A2929" t="s">
        <v>8976</v>
      </c>
      <c r="B2929">
        <v>-2.1011767048960199</v>
      </c>
      <c r="C2929">
        <v>6.0077176247705397</v>
      </c>
      <c r="D2929">
        <v>3.86306250971361E-2</v>
      </c>
      <c r="E2929">
        <v>0.41642613228808301</v>
      </c>
      <c r="F2929">
        <v>2</v>
      </c>
      <c r="G2929">
        <v>10</v>
      </c>
      <c r="H2929" t="s">
        <v>28</v>
      </c>
      <c r="I2929" t="s">
        <v>3438</v>
      </c>
      <c r="J2929" t="s">
        <v>3218</v>
      </c>
    </row>
    <row r="2930" spans="1:10">
      <c r="A2930" t="s">
        <v>8977</v>
      </c>
      <c r="B2930">
        <v>2.2740948028172401</v>
      </c>
      <c r="C2930">
        <v>6.0077546858574404</v>
      </c>
      <c r="D2930">
        <v>3.86306250971361E-2</v>
      </c>
      <c r="E2930">
        <v>0.41642613228808301</v>
      </c>
      <c r="F2930">
        <v>10</v>
      </c>
      <c r="G2930">
        <v>2</v>
      </c>
      <c r="H2930" t="s">
        <v>28</v>
      </c>
      <c r="I2930" t="s">
        <v>4138</v>
      </c>
      <c r="J2930" t="s">
        <v>3219</v>
      </c>
    </row>
    <row r="2931" spans="1:10">
      <c r="A2931" t="s">
        <v>8978</v>
      </c>
      <c r="B2931">
        <v>2.2740948028172401</v>
      </c>
      <c r="C2931">
        <v>6.0077546858574404</v>
      </c>
      <c r="D2931">
        <v>3.86306250971361E-2</v>
      </c>
      <c r="E2931">
        <v>0.41642613228808301</v>
      </c>
      <c r="F2931">
        <v>10</v>
      </c>
      <c r="G2931">
        <v>2</v>
      </c>
      <c r="H2931" t="s">
        <v>8979</v>
      </c>
      <c r="I2931" t="s">
        <v>8980</v>
      </c>
      <c r="J2931" t="s">
        <v>3220</v>
      </c>
    </row>
    <row r="2932" spans="1:10">
      <c r="A2932" t="s">
        <v>8981</v>
      </c>
      <c r="B2932">
        <v>2.2740948028172401</v>
      </c>
      <c r="C2932">
        <v>6.0077546858574404</v>
      </c>
      <c r="D2932">
        <v>3.86306250971361E-2</v>
      </c>
      <c r="E2932">
        <v>0.41642613228808301</v>
      </c>
      <c r="F2932">
        <v>10</v>
      </c>
      <c r="G2932">
        <v>2</v>
      </c>
      <c r="H2932" t="s">
        <v>28</v>
      </c>
      <c r="I2932" t="s">
        <v>3438</v>
      </c>
      <c r="J2932" t="s">
        <v>3221</v>
      </c>
    </row>
    <row r="2933" spans="1:10">
      <c r="A2933" t="s">
        <v>8982</v>
      </c>
      <c r="B2933">
        <v>2.2740948028172401</v>
      </c>
      <c r="C2933">
        <v>6.0077546858574404</v>
      </c>
      <c r="D2933">
        <v>3.86306250971361E-2</v>
      </c>
      <c r="E2933">
        <v>0.41642613228808301</v>
      </c>
      <c r="F2933">
        <v>10</v>
      </c>
      <c r="G2933">
        <v>2</v>
      </c>
      <c r="H2933" t="s">
        <v>28</v>
      </c>
      <c r="I2933" t="s">
        <v>3474</v>
      </c>
      <c r="J2933" t="s">
        <v>3222</v>
      </c>
    </row>
    <row r="2934" spans="1:10">
      <c r="A2934" t="s">
        <v>8983</v>
      </c>
      <c r="B2934">
        <v>2.2740948028172401</v>
      </c>
      <c r="C2934">
        <v>6.0077546858574404</v>
      </c>
      <c r="D2934">
        <v>3.86306250971361E-2</v>
      </c>
      <c r="E2934">
        <v>0.41642613228808301</v>
      </c>
      <c r="F2934">
        <v>10</v>
      </c>
      <c r="G2934">
        <v>2</v>
      </c>
      <c r="H2934" t="s">
        <v>8984</v>
      </c>
      <c r="I2934" t="s">
        <v>4945</v>
      </c>
      <c r="J2934" t="s">
        <v>3223</v>
      </c>
    </row>
    <row r="2935" spans="1:10">
      <c r="A2935" t="s">
        <v>8985</v>
      </c>
      <c r="B2935">
        <v>0.28428759006262799</v>
      </c>
      <c r="C2935">
        <v>11.335769574306299</v>
      </c>
      <c r="D2935">
        <v>3.8501302285003598E-2</v>
      </c>
      <c r="E2935">
        <v>0.41642613228808301</v>
      </c>
      <c r="F2935">
        <v>257</v>
      </c>
      <c r="G2935">
        <v>225</v>
      </c>
      <c r="H2935" t="s">
        <v>18</v>
      </c>
      <c r="I2935" t="s">
        <v>4748</v>
      </c>
      <c r="J2935" t="s">
        <v>17</v>
      </c>
    </row>
    <row r="2936" spans="1:10">
      <c r="A2936" t="s">
        <v>8986</v>
      </c>
      <c r="B2936">
        <v>-0.70361131188132897</v>
      </c>
      <c r="C2936">
        <v>8.8321169194820595</v>
      </c>
      <c r="D2936">
        <v>3.7928893974679898E-2</v>
      </c>
      <c r="E2936">
        <v>0.41642613228808301</v>
      </c>
      <c r="F2936">
        <v>31</v>
      </c>
      <c r="G2936">
        <v>54</v>
      </c>
      <c r="H2936" t="s">
        <v>8987</v>
      </c>
      <c r="I2936" t="s">
        <v>8988</v>
      </c>
      <c r="J2936" t="s">
        <v>3224</v>
      </c>
    </row>
    <row r="2937" spans="1:10">
      <c r="A2937" t="s">
        <v>8989</v>
      </c>
      <c r="B2937">
        <v>-0.57903641138649098</v>
      </c>
      <c r="C2937">
        <v>9.3534546274422397</v>
      </c>
      <c r="D2937">
        <v>3.74520616878471E-2</v>
      </c>
      <c r="E2937">
        <v>0.41642613228808301</v>
      </c>
      <c r="F2937">
        <v>47</v>
      </c>
      <c r="G2937">
        <v>75</v>
      </c>
      <c r="H2937" t="s">
        <v>8990</v>
      </c>
      <c r="I2937" t="s">
        <v>8991</v>
      </c>
      <c r="J2937" t="s">
        <v>3225</v>
      </c>
    </row>
    <row r="2938" spans="1:10">
      <c r="A2938" t="s">
        <v>8992</v>
      </c>
      <c r="B2938">
        <v>-0.73219808492107796</v>
      </c>
      <c r="C2938">
        <v>8.6515485266494405</v>
      </c>
      <c r="D2938">
        <v>3.73076273796836E-2</v>
      </c>
      <c r="E2938">
        <v>0.41642613228808301</v>
      </c>
      <c r="F2938">
        <v>27</v>
      </c>
      <c r="G2938">
        <v>48</v>
      </c>
      <c r="H2938" t="s">
        <v>28</v>
      </c>
      <c r="I2938" t="s">
        <v>4087</v>
      </c>
      <c r="J2938" t="s">
        <v>3226</v>
      </c>
    </row>
    <row r="2939" spans="1:10">
      <c r="A2939" t="s">
        <v>8993</v>
      </c>
      <c r="B2939">
        <v>0.75311013589633002</v>
      </c>
      <c r="C2939">
        <v>8.6516362707880692</v>
      </c>
      <c r="D2939">
        <v>3.73076273796836E-2</v>
      </c>
      <c r="E2939">
        <v>0.41642613228808301</v>
      </c>
      <c r="F2939">
        <v>46</v>
      </c>
      <c r="G2939">
        <v>29</v>
      </c>
      <c r="H2939" t="s">
        <v>28</v>
      </c>
      <c r="I2939" t="s">
        <v>3438</v>
      </c>
      <c r="J2939" t="s">
        <v>118</v>
      </c>
    </row>
    <row r="2940" spans="1:10">
      <c r="A2940" t="s">
        <v>8994</v>
      </c>
      <c r="B2940">
        <v>0.45411394741216299</v>
      </c>
      <c r="C2940">
        <v>10.0078045223812</v>
      </c>
      <c r="D2940">
        <v>3.6976972659218302E-2</v>
      </c>
      <c r="E2940">
        <v>0.41642613228808301</v>
      </c>
      <c r="F2940">
        <v>108</v>
      </c>
      <c r="G2940">
        <v>84</v>
      </c>
      <c r="H2940" t="s">
        <v>8995</v>
      </c>
      <c r="I2940" t="s">
        <v>8996</v>
      </c>
      <c r="J2940" t="s">
        <v>3227</v>
      </c>
    </row>
    <row r="2941" spans="1:10">
      <c r="A2941" t="s">
        <v>8997</v>
      </c>
      <c r="B2941">
        <v>-1.0413384007861399</v>
      </c>
      <c r="C2941">
        <v>7.9145898891056001</v>
      </c>
      <c r="D2941">
        <v>3.5903798836833901E-2</v>
      </c>
      <c r="E2941">
        <v>0.41642613228808301</v>
      </c>
      <c r="F2941">
        <v>14</v>
      </c>
      <c r="G2941">
        <v>31</v>
      </c>
      <c r="H2941" t="s">
        <v>28</v>
      </c>
      <c r="I2941" t="s">
        <v>3657</v>
      </c>
      <c r="J2941" t="s">
        <v>3228</v>
      </c>
    </row>
    <row r="2942" spans="1:10">
      <c r="A2942" t="s">
        <v>8998</v>
      </c>
      <c r="B2942">
        <v>0.93962781342184898</v>
      </c>
      <c r="C2942">
        <v>7.91465926425502</v>
      </c>
      <c r="D2942">
        <v>3.5903798836833901E-2</v>
      </c>
      <c r="E2942">
        <v>0.41642613228808301</v>
      </c>
      <c r="F2942">
        <v>29</v>
      </c>
      <c r="G2942">
        <v>16</v>
      </c>
      <c r="H2942" t="s">
        <v>8999</v>
      </c>
      <c r="I2942" t="s">
        <v>9000</v>
      </c>
      <c r="J2942" t="s">
        <v>3229</v>
      </c>
    </row>
    <row r="2943" spans="1:10">
      <c r="A2943" t="s">
        <v>9001</v>
      </c>
      <c r="B2943">
        <v>-1.27420729600884</v>
      </c>
      <c r="C2943">
        <v>7.2807258266623496</v>
      </c>
      <c r="D2943">
        <v>3.5825563110384297E-2</v>
      </c>
      <c r="E2943">
        <v>0.41642613228808301</v>
      </c>
      <c r="F2943">
        <v>8</v>
      </c>
      <c r="G2943">
        <v>21</v>
      </c>
      <c r="H2943" t="s">
        <v>28</v>
      </c>
      <c r="I2943" t="s">
        <v>3438</v>
      </c>
      <c r="J2943" t="s">
        <v>3230</v>
      </c>
    </row>
    <row r="2944" spans="1:10">
      <c r="A2944" t="s">
        <v>9002</v>
      </c>
      <c r="B2944">
        <v>1.31312642213367</v>
      </c>
      <c r="C2944">
        <v>7.1776877321671497</v>
      </c>
      <c r="D2944">
        <v>3.5825563110384297E-2</v>
      </c>
      <c r="E2944">
        <v>0.41642613228808301</v>
      </c>
      <c r="F2944">
        <v>19</v>
      </c>
      <c r="G2944">
        <v>8</v>
      </c>
      <c r="H2944" t="s">
        <v>9003</v>
      </c>
      <c r="I2944" t="s">
        <v>3450</v>
      </c>
      <c r="J2944" t="s">
        <v>3231</v>
      </c>
    </row>
    <row r="2945" spans="1:10">
      <c r="A2945" t="s">
        <v>9004</v>
      </c>
      <c r="B2945">
        <v>1.31312642213367</v>
      </c>
      <c r="C2945">
        <v>7.1776877321671497</v>
      </c>
      <c r="D2945">
        <v>3.5825563110384297E-2</v>
      </c>
      <c r="E2945">
        <v>0.41642613228808301</v>
      </c>
      <c r="F2945">
        <v>19</v>
      </c>
      <c r="G2945">
        <v>8</v>
      </c>
      <c r="H2945" t="s">
        <v>9005</v>
      </c>
      <c r="I2945" t="s">
        <v>9006</v>
      </c>
      <c r="J2945" t="s">
        <v>3232</v>
      </c>
    </row>
    <row r="2946" spans="1:10">
      <c r="A2946" t="s">
        <v>9007</v>
      </c>
      <c r="B2946">
        <v>-0.69636069639734199</v>
      </c>
      <c r="C2946">
        <v>8.7802800666732992</v>
      </c>
      <c r="D2946">
        <v>3.5615396026160602E-2</v>
      </c>
      <c r="E2946">
        <v>0.41642613228808301</v>
      </c>
      <c r="F2946">
        <v>30</v>
      </c>
      <c r="G2946">
        <v>52</v>
      </c>
      <c r="H2946" t="s">
        <v>28</v>
      </c>
      <c r="I2946" t="s">
        <v>3438</v>
      </c>
      <c r="J2946" t="s">
        <v>3233</v>
      </c>
    </row>
    <row r="2947" spans="1:10">
      <c r="A2947" t="s">
        <v>9008</v>
      </c>
      <c r="B2947">
        <v>-1.82604581740557</v>
      </c>
      <c r="C2947">
        <v>6.3296436295940897</v>
      </c>
      <c r="D2947">
        <v>3.5222917040228799E-2</v>
      </c>
      <c r="E2947">
        <v>0.41642613228808301</v>
      </c>
      <c r="F2947">
        <v>3</v>
      </c>
      <c r="G2947">
        <v>12</v>
      </c>
      <c r="H2947" t="s">
        <v>28</v>
      </c>
      <c r="I2947" t="s">
        <v>3438</v>
      </c>
      <c r="J2947" t="s">
        <v>3234</v>
      </c>
    </row>
    <row r="2948" spans="1:10">
      <c r="A2948" t="s">
        <v>9009</v>
      </c>
      <c r="B2948">
        <v>-1.82604581740557</v>
      </c>
      <c r="C2948">
        <v>6.3296436295940897</v>
      </c>
      <c r="D2948">
        <v>3.5222917040228799E-2</v>
      </c>
      <c r="E2948">
        <v>0.41642613228808301</v>
      </c>
      <c r="F2948">
        <v>3</v>
      </c>
      <c r="G2948">
        <v>12</v>
      </c>
      <c r="H2948" t="s">
        <v>9010</v>
      </c>
      <c r="I2948" t="s">
        <v>9011</v>
      </c>
      <c r="J2948" t="s">
        <v>3235</v>
      </c>
    </row>
    <row r="2949" spans="1:10">
      <c r="A2949" t="s">
        <v>9012</v>
      </c>
      <c r="B2949">
        <v>2.0025026270801098</v>
      </c>
      <c r="C2949">
        <v>6.3296853170799796</v>
      </c>
      <c r="D2949">
        <v>3.5222917040228799E-2</v>
      </c>
      <c r="E2949">
        <v>0.41642613228808301</v>
      </c>
      <c r="F2949">
        <v>12</v>
      </c>
      <c r="G2949">
        <v>3</v>
      </c>
      <c r="H2949" t="s">
        <v>28</v>
      </c>
      <c r="I2949" t="s">
        <v>3438</v>
      </c>
      <c r="J2949" t="s">
        <v>3236</v>
      </c>
    </row>
    <row r="2950" spans="1:10">
      <c r="A2950" t="s">
        <v>9013</v>
      </c>
      <c r="B2950">
        <v>2.0025026270801098</v>
      </c>
      <c r="C2950">
        <v>6.3296853170799796</v>
      </c>
      <c r="D2950">
        <v>3.5222917040228799E-2</v>
      </c>
      <c r="E2950">
        <v>0.41642613228808301</v>
      </c>
      <c r="F2950">
        <v>12</v>
      </c>
      <c r="G2950">
        <v>3</v>
      </c>
      <c r="H2950" t="s">
        <v>28</v>
      </c>
      <c r="I2950" t="s">
        <v>3438</v>
      </c>
      <c r="J2950" t="s">
        <v>276</v>
      </c>
    </row>
    <row r="2951" spans="1:10">
      <c r="A2951" t="s">
        <v>9014</v>
      </c>
      <c r="B2951">
        <v>-1.3744551516096399</v>
      </c>
      <c r="C2951">
        <v>6.9463109629496502</v>
      </c>
      <c r="D2951">
        <v>3.47919931773987E-2</v>
      </c>
      <c r="E2951">
        <v>0.41642613228808301</v>
      </c>
      <c r="F2951">
        <v>6</v>
      </c>
      <c r="G2951">
        <v>17</v>
      </c>
      <c r="H2951" t="s">
        <v>28</v>
      </c>
      <c r="I2951" t="s">
        <v>3438</v>
      </c>
      <c r="J2951" t="s">
        <v>3237</v>
      </c>
    </row>
    <row r="2952" spans="1:10">
      <c r="A2952" t="s">
        <v>9015</v>
      </c>
      <c r="B2952">
        <v>1.5548834525597</v>
      </c>
      <c r="C2952">
        <v>6.9463618940055403</v>
      </c>
      <c r="D2952">
        <v>3.47919931773987E-2</v>
      </c>
      <c r="E2952">
        <v>0.41642613228808301</v>
      </c>
      <c r="F2952">
        <v>17</v>
      </c>
      <c r="G2952">
        <v>6</v>
      </c>
      <c r="H2952" t="s">
        <v>9016</v>
      </c>
      <c r="I2952" t="s">
        <v>9017</v>
      </c>
      <c r="J2952" t="s">
        <v>3238</v>
      </c>
    </row>
    <row r="2953" spans="1:10">
      <c r="A2953" t="s">
        <v>9018</v>
      </c>
      <c r="B2953">
        <v>-0.41228336646213698</v>
      </c>
      <c r="C2953">
        <v>10.3415576258366</v>
      </c>
      <c r="D2953">
        <v>3.4756888547756701E-2</v>
      </c>
      <c r="E2953">
        <v>0.41642613228808301</v>
      </c>
      <c r="F2953">
        <v>100</v>
      </c>
      <c r="G2953">
        <v>142</v>
      </c>
      <c r="H2953" t="s">
        <v>28</v>
      </c>
      <c r="I2953" t="s">
        <v>9019</v>
      </c>
      <c r="J2953" t="s">
        <v>3239</v>
      </c>
    </row>
    <row r="2954" spans="1:10">
      <c r="A2954" t="s">
        <v>9020</v>
      </c>
      <c r="B2954">
        <v>1.13483703610828</v>
      </c>
      <c r="C2954">
        <v>7.6322589522176303</v>
      </c>
      <c r="D2954">
        <v>3.3719016530495298E-2</v>
      </c>
      <c r="E2954">
        <v>0.41075892864421598</v>
      </c>
      <c r="F2954">
        <v>25</v>
      </c>
      <c r="G2954">
        <v>12</v>
      </c>
      <c r="H2954" t="s">
        <v>9021</v>
      </c>
      <c r="I2954" t="s">
        <v>9022</v>
      </c>
      <c r="J2954" t="s">
        <v>3240</v>
      </c>
    </row>
    <row r="2955" spans="1:10">
      <c r="A2955" t="s">
        <v>9023</v>
      </c>
      <c r="B2955">
        <v>1.13483703610828</v>
      </c>
      <c r="C2955">
        <v>7.6322589522176303</v>
      </c>
      <c r="D2955">
        <v>3.3719016530495298E-2</v>
      </c>
      <c r="E2955">
        <v>0.41075892864421598</v>
      </c>
      <c r="F2955">
        <v>25</v>
      </c>
      <c r="G2955">
        <v>12</v>
      </c>
      <c r="H2955" t="s">
        <v>9024</v>
      </c>
      <c r="I2955" t="s">
        <v>9025</v>
      </c>
      <c r="J2955" t="s">
        <v>3241</v>
      </c>
    </row>
    <row r="2956" spans="1:10">
      <c r="A2956" t="s">
        <v>9026</v>
      </c>
      <c r="B2956">
        <v>-0.39378139350915897</v>
      </c>
      <c r="C2956">
        <v>10.4941519787267</v>
      </c>
      <c r="D2956">
        <v>3.3488558732442497E-2</v>
      </c>
      <c r="E2956">
        <v>0.41075892864421598</v>
      </c>
      <c r="F2956">
        <v>112</v>
      </c>
      <c r="G2956">
        <v>157</v>
      </c>
      <c r="H2956" t="s">
        <v>9027</v>
      </c>
      <c r="I2956" t="s">
        <v>9028</v>
      </c>
      <c r="J2956" t="s">
        <v>3242</v>
      </c>
    </row>
    <row r="2957" spans="1:10">
      <c r="A2957" t="s">
        <v>9029</v>
      </c>
      <c r="B2957">
        <v>0.60768304529365402</v>
      </c>
      <c r="C2957">
        <v>9.1642914767519006</v>
      </c>
      <c r="D2957">
        <v>3.3414015615812899E-2</v>
      </c>
      <c r="E2957">
        <v>0.41075892864421598</v>
      </c>
      <c r="F2957">
        <v>63</v>
      </c>
      <c r="G2957">
        <v>44</v>
      </c>
      <c r="H2957" t="s">
        <v>9030</v>
      </c>
      <c r="I2957" t="s">
        <v>9031</v>
      </c>
      <c r="J2957" t="s">
        <v>3243</v>
      </c>
    </row>
    <row r="2958" spans="1:10">
      <c r="A2958" t="s">
        <v>9032</v>
      </c>
      <c r="B2958">
        <v>-0.89876625114895003</v>
      </c>
      <c r="C2958">
        <v>8.2556230973681899</v>
      </c>
      <c r="D2958">
        <v>3.3392813004514701E-2</v>
      </c>
      <c r="E2958">
        <v>0.41075892864421598</v>
      </c>
      <c r="F2958">
        <v>19</v>
      </c>
      <c r="G2958">
        <v>38</v>
      </c>
      <c r="H2958" t="s">
        <v>28</v>
      </c>
      <c r="I2958" t="s">
        <v>3438</v>
      </c>
      <c r="J2958" t="s">
        <v>3244</v>
      </c>
    </row>
    <row r="2959" spans="1:10">
      <c r="A2959" t="s">
        <v>9033</v>
      </c>
      <c r="B2959">
        <v>-0.71699760914022603</v>
      </c>
      <c r="C2959">
        <v>8.7446560041558907</v>
      </c>
      <c r="D2959">
        <v>3.3341715153648699E-2</v>
      </c>
      <c r="E2959">
        <v>0.41075892864421598</v>
      </c>
      <c r="F2959">
        <v>29</v>
      </c>
      <c r="G2959">
        <v>51</v>
      </c>
      <c r="H2959" t="s">
        <v>28</v>
      </c>
      <c r="I2959" t="s">
        <v>9034</v>
      </c>
      <c r="J2959" t="s">
        <v>3245</v>
      </c>
    </row>
    <row r="2960" spans="1:10">
      <c r="A2960" t="s">
        <v>9035</v>
      </c>
      <c r="B2960">
        <v>-0.36399053131603498</v>
      </c>
      <c r="C2960">
        <v>10.6466890472238</v>
      </c>
      <c r="D2960">
        <v>3.3193734164761603E-2</v>
      </c>
      <c r="E2960">
        <v>0.41075892864421598</v>
      </c>
      <c r="F2960">
        <v>126</v>
      </c>
      <c r="G2960">
        <v>173</v>
      </c>
      <c r="H2960" t="s">
        <v>9036</v>
      </c>
      <c r="I2960" t="s">
        <v>9037</v>
      </c>
      <c r="J2960" t="s">
        <v>3246</v>
      </c>
    </row>
    <row r="2961" spans="1:10">
      <c r="A2961" t="s">
        <v>9038</v>
      </c>
      <c r="B2961">
        <v>-0.98397578370916094</v>
      </c>
      <c r="C2961">
        <v>8.0665910510434493</v>
      </c>
      <c r="D2961">
        <v>3.3055811871372298E-2</v>
      </c>
      <c r="E2961">
        <v>0.41075892864421598</v>
      </c>
      <c r="F2961">
        <v>16</v>
      </c>
      <c r="G2961">
        <v>34</v>
      </c>
      <c r="H2961" t="s">
        <v>9039</v>
      </c>
      <c r="I2961" t="s">
        <v>9040</v>
      </c>
      <c r="J2961" t="s">
        <v>3247</v>
      </c>
    </row>
    <row r="2962" spans="1:10">
      <c r="A2962" t="s">
        <v>9041</v>
      </c>
      <c r="B2962">
        <v>0.91314858366396501</v>
      </c>
      <c r="C2962">
        <v>8.0666650327869203</v>
      </c>
      <c r="D2962">
        <v>3.3055811871372298E-2</v>
      </c>
      <c r="E2962">
        <v>0.41075892864421598</v>
      </c>
      <c r="F2962">
        <v>32</v>
      </c>
      <c r="G2962">
        <v>18</v>
      </c>
      <c r="H2962" t="s">
        <v>28</v>
      </c>
      <c r="I2962" t="s">
        <v>9042</v>
      </c>
      <c r="J2962" t="s">
        <v>3248</v>
      </c>
    </row>
    <row r="2963" spans="1:10">
      <c r="A2963" t="s">
        <v>9043</v>
      </c>
      <c r="B2963">
        <v>0.91314858366396501</v>
      </c>
      <c r="C2963">
        <v>8.0666650327869203</v>
      </c>
      <c r="D2963">
        <v>3.3055811871372298E-2</v>
      </c>
      <c r="E2963">
        <v>0.41075892864421598</v>
      </c>
      <c r="F2963">
        <v>32</v>
      </c>
      <c r="G2963">
        <v>18</v>
      </c>
      <c r="H2963" t="s">
        <v>28</v>
      </c>
      <c r="I2963" t="s">
        <v>9044</v>
      </c>
      <c r="J2963" t="s">
        <v>3249</v>
      </c>
    </row>
    <row r="2964" spans="1:10">
      <c r="A2964" t="s">
        <v>9045</v>
      </c>
      <c r="B2964">
        <v>-0.48379527766956398</v>
      </c>
      <c r="C2964">
        <v>9.8489720862695904</v>
      </c>
      <c r="D2964">
        <v>3.2687817559193998E-2</v>
      </c>
      <c r="E2964">
        <v>0.41075892864421598</v>
      </c>
      <c r="F2964">
        <v>69</v>
      </c>
      <c r="G2964">
        <v>103</v>
      </c>
      <c r="H2964" t="s">
        <v>28</v>
      </c>
      <c r="I2964" t="s">
        <v>6703</v>
      </c>
      <c r="J2964" t="s">
        <v>3250</v>
      </c>
    </row>
    <row r="2965" spans="1:10">
      <c r="A2965" t="s">
        <v>9046</v>
      </c>
      <c r="B2965">
        <v>-0.41497219902558502</v>
      </c>
      <c r="C2965">
        <v>10.2992130835365</v>
      </c>
      <c r="D2965">
        <v>3.1745627603936899E-2</v>
      </c>
      <c r="E2965">
        <v>0.40353335325794898</v>
      </c>
      <c r="F2965">
        <v>97</v>
      </c>
      <c r="G2965">
        <v>138</v>
      </c>
      <c r="H2965" t="s">
        <v>9047</v>
      </c>
      <c r="I2965" t="s">
        <v>9048</v>
      </c>
      <c r="J2965" t="s">
        <v>3251</v>
      </c>
    </row>
    <row r="2966" spans="1:10">
      <c r="A2966" t="s">
        <v>9049</v>
      </c>
      <c r="B2966">
        <v>-1.0994605804859801</v>
      </c>
      <c r="C2966">
        <v>7.8490013952789104</v>
      </c>
      <c r="D2966">
        <v>3.1720537100548098E-2</v>
      </c>
      <c r="E2966">
        <v>0.40353335325794898</v>
      </c>
      <c r="F2966">
        <v>13</v>
      </c>
      <c r="G2966">
        <v>30</v>
      </c>
      <c r="H2966" t="s">
        <v>9050</v>
      </c>
      <c r="I2966" t="s">
        <v>9051</v>
      </c>
      <c r="J2966" t="s">
        <v>3252</v>
      </c>
    </row>
    <row r="2967" spans="1:10">
      <c r="A2967" t="s">
        <v>9052</v>
      </c>
      <c r="B2967">
        <v>-4.6000841742878702</v>
      </c>
      <c r="C2967">
        <v>5.0077218067847102</v>
      </c>
      <c r="D2967">
        <v>3.1273439843166002E-2</v>
      </c>
      <c r="E2967">
        <v>0.40069873520168098</v>
      </c>
      <c r="F2967">
        <v>0</v>
      </c>
      <c r="G2967">
        <v>6</v>
      </c>
      <c r="H2967" t="s">
        <v>28</v>
      </c>
      <c r="I2967" t="s">
        <v>3438</v>
      </c>
      <c r="J2967" t="s">
        <v>3253</v>
      </c>
    </row>
    <row r="2968" spans="1:10">
      <c r="A2968" t="s">
        <v>9053</v>
      </c>
      <c r="B2968">
        <v>-4.6000841742878702</v>
      </c>
      <c r="C2968">
        <v>5.0077218067847102</v>
      </c>
      <c r="D2968">
        <v>3.1273439843166002E-2</v>
      </c>
      <c r="E2968">
        <v>0.40069873520168098</v>
      </c>
      <c r="F2968">
        <v>0</v>
      </c>
      <c r="G2968">
        <v>6</v>
      </c>
      <c r="H2968" t="s">
        <v>28</v>
      </c>
      <c r="I2968" t="s">
        <v>3438</v>
      </c>
      <c r="J2968" t="s">
        <v>3254</v>
      </c>
    </row>
    <row r="2969" spans="1:10">
      <c r="A2969" t="s">
        <v>9054</v>
      </c>
      <c r="B2969">
        <v>-4.6000841742878702</v>
      </c>
      <c r="C2969">
        <v>5.0077218067847102</v>
      </c>
      <c r="D2969">
        <v>3.1273439843166002E-2</v>
      </c>
      <c r="E2969">
        <v>0.40069873520168098</v>
      </c>
      <c r="F2969">
        <v>0</v>
      </c>
      <c r="G2969">
        <v>6</v>
      </c>
      <c r="H2969" t="s">
        <v>9055</v>
      </c>
      <c r="I2969" t="s">
        <v>9056</v>
      </c>
      <c r="J2969" t="s">
        <v>3255</v>
      </c>
    </row>
    <row r="2970" spans="1:10">
      <c r="A2970" t="s">
        <v>9057</v>
      </c>
      <c r="B2970">
        <v>4.6891159584478501</v>
      </c>
      <c r="C2970">
        <v>5.00774961092191</v>
      </c>
      <c r="D2970">
        <v>3.1273439843166002E-2</v>
      </c>
      <c r="E2970">
        <v>0.40069873520168098</v>
      </c>
      <c r="F2970">
        <v>6</v>
      </c>
      <c r="G2970">
        <v>0</v>
      </c>
      <c r="H2970" t="s">
        <v>28</v>
      </c>
      <c r="I2970" t="s">
        <v>3438</v>
      </c>
      <c r="J2970" t="s">
        <v>3256</v>
      </c>
    </row>
    <row r="2971" spans="1:10">
      <c r="A2971" t="s">
        <v>9058</v>
      </c>
      <c r="B2971">
        <v>4.6891159584478501</v>
      </c>
      <c r="C2971">
        <v>5.00774961092191</v>
      </c>
      <c r="D2971">
        <v>3.1273439843166002E-2</v>
      </c>
      <c r="E2971">
        <v>0.40069873520168098</v>
      </c>
      <c r="F2971">
        <v>6</v>
      </c>
      <c r="G2971">
        <v>0</v>
      </c>
      <c r="H2971" t="s">
        <v>9059</v>
      </c>
      <c r="I2971" t="s">
        <v>9060</v>
      </c>
      <c r="J2971" t="s">
        <v>3257</v>
      </c>
    </row>
    <row r="2972" spans="1:10">
      <c r="A2972" t="s">
        <v>9061</v>
      </c>
      <c r="B2972">
        <v>4.6891159584478501</v>
      </c>
      <c r="C2972">
        <v>5.00774961092191</v>
      </c>
      <c r="D2972">
        <v>3.1273439843166002E-2</v>
      </c>
      <c r="E2972">
        <v>0.40069873520168098</v>
      </c>
      <c r="F2972">
        <v>6</v>
      </c>
      <c r="G2972">
        <v>0</v>
      </c>
      <c r="H2972" t="s">
        <v>28</v>
      </c>
      <c r="I2972" t="s">
        <v>3438</v>
      </c>
      <c r="J2972" t="s">
        <v>3258</v>
      </c>
    </row>
    <row r="2973" spans="1:10">
      <c r="A2973" t="s">
        <v>9062</v>
      </c>
      <c r="B2973">
        <v>4.6891159584478501</v>
      </c>
      <c r="C2973">
        <v>5.00774961092191</v>
      </c>
      <c r="D2973">
        <v>3.1273439843166002E-2</v>
      </c>
      <c r="E2973">
        <v>0.40069873520168098</v>
      </c>
      <c r="F2973">
        <v>6</v>
      </c>
      <c r="G2973">
        <v>0</v>
      </c>
      <c r="H2973" t="s">
        <v>28</v>
      </c>
      <c r="I2973" t="s">
        <v>3438</v>
      </c>
      <c r="J2973" t="s">
        <v>3259</v>
      </c>
    </row>
    <row r="2974" spans="1:10">
      <c r="A2974" t="s">
        <v>9063</v>
      </c>
      <c r="B2974">
        <v>-0.54816863346179401</v>
      </c>
      <c r="C2974">
        <v>9.6125344856710395</v>
      </c>
      <c r="D2974">
        <v>3.1084033020822101E-2</v>
      </c>
      <c r="E2974">
        <v>0.40069873520168098</v>
      </c>
      <c r="F2974">
        <v>57</v>
      </c>
      <c r="G2974">
        <v>89</v>
      </c>
      <c r="H2974" t="s">
        <v>9064</v>
      </c>
      <c r="I2974" t="s">
        <v>9065</v>
      </c>
      <c r="J2974" t="s">
        <v>3260</v>
      </c>
    </row>
    <row r="2975" spans="1:10">
      <c r="A2975" t="s">
        <v>9066</v>
      </c>
      <c r="B2975">
        <v>-1.65622935120995</v>
      </c>
      <c r="C2975">
        <v>6.5926759459928297</v>
      </c>
      <c r="D2975">
        <v>3.09573545136675E-2</v>
      </c>
      <c r="E2975">
        <v>0.40069873520168098</v>
      </c>
      <c r="F2975">
        <v>4</v>
      </c>
      <c r="G2975">
        <v>14</v>
      </c>
      <c r="H2975" t="s">
        <v>28</v>
      </c>
      <c r="I2975" t="s">
        <v>3438</v>
      </c>
      <c r="J2975" t="s">
        <v>3261</v>
      </c>
    </row>
    <row r="2976" spans="1:10">
      <c r="A2976" t="s">
        <v>9067</v>
      </c>
      <c r="B2976">
        <v>1.8346296897387999</v>
      </c>
      <c r="C2976">
        <v>6.5927222584940104</v>
      </c>
      <c r="D2976">
        <v>3.09573545136675E-2</v>
      </c>
      <c r="E2976">
        <v>0.40069873520168098</v>
      </c>
      <c r="F2976">
        <v>14</v>
      </c>
      <c r="G2976">
        <v>4</v>
      </c>
      <c r="H2976" t="s">
        <v>28</v>
      </c>
      <c r="I2976" t="s">
        <v>3438</v>
      </c>
      <c r="J2976" t="s">
        <v>3262</v>
      </c>
    </row>
    <row r="2977" spans="1:10">
      <c r="A2977" t="s">
        <v>9068</v>
      </c>
      <c r="B2977">
        <v>1.8346296897387999</v>
      </c>
      <c r="C2977">
        <v>6.5927222584940104</v>
      </c>
      <c r="D2977">
        <v>3.09573545136675E-2</v>
      </c>
      <c r="E2977">
        <v>0.40069873520168098</v>
      </c>
      <c r="F2977">
        <v>14</v>
      </c>
      <c r="G2977">
        <v>4</v>
      </c>
      <c r="H2977" t="s">
        <v>28</v>
      </c>
      <c r="I2977" t="s">
        <v>3438</v>
      </c>
      <c r="J2977" t="s">
        <v>3263</v>
      </c>
    </row>
    <row r="2978" spans="1:10">
      <c r="A2978" t="s">
        <v>9069</v>
      </c>
      <c r="B2978">
        <v>-0.55734040984470801</v>
      </c>
      <c r="C2978">
        <v>9.5926347741348508</v>
      </c>
      <c r="D2978">
        <v>2.9910206120118899E-2</v>
      </c>
      <c r="E2978">
        <v>0.40069873520168098</v>
      </c>
      <c r="F2978">
        <v>56</v>
      </c>
      <c r="G2978">
        <v>88</v>
      </c>
      <c r="H2978" t="s">
        <v>9070</v>
      </c>
      <c r="I2978" t="s">
        <v>9071</v>
      </c>
      <c r="J2978" t="s">
        <v>3264</v>
      </c>
    </row>
    <row r="2979" spans="1:10">
      <c r="A2979" t="s">
        <v>9072</v>
      </c>
      <c r="B2979">
        <v>0.30112684644757498</v>
      </c>
      <c r="C2979">
        <v>11.2589311702123</v>
      </c>
      <c r="D2979">
        <v>2.9781490270950801E-2</v>
      </c>
      <c r="E2979">
        <v>0.40069873520168098</v>
      </c>
      <c r="F2979">
        <v>245</v>
      </c>
      <c r="G2979">
        <v>212</v>
      </c>
      <c r="H2979" t="s">
        <v>9073</v>
      </c>
      <c r="I2979" t="s">
        <v>9074</v>
      </c>
      <c r="J2979" t="s">
        <v>3265</v>
      </c>
    </row>
    <row r="2980" spans="1:10">
      <c r="A2980" t="s">
        <v>9075</v>
      </c>
      <c r="B2980">
        <v>0.94895741919148402</v>
      </c>
      <c r="C2980">
        <v>8.0077711987451607</v>
      </c>
      <c r="D2980">
        <v>2.9497403331577202E-2</v>
      </c>
      <c r="E2980">
        <v>0.39858676098467399</v>
      </c>
      <c r="F2980">
        <v>31</v>
      </c>
      <c r="G2980">
        <v>17</v>
      </c>
      <c r="H2980" t="s">
        <v>28</v>
      </c>
      <c r="I2980" t="s">
        <v>7951</v>
      </c>
      <c r="J2980" t="s">
        <v>3266</v>
      </c>
    </row>
    <row r="2981" spans="1:10">
      <c r="A2981" t="s">
        <v>9076</v>
      </c>
      <c r="B2981">
        <v>-0.36238562062240498</v>
      </c>
      <c r="C2981">
        <v>10.7977179612312</v>
      </c>
      <c r="D2981">
        <v>2.9052869623552101E-2</v>
      </c>
      <c r="E2981">
        <v>0.394236408056302</v>
      </c>
      <c r="F2981">
        <v>140</v>
      </c>
      <c r="G2981">
        <v>192</v>
      </c>
      <c r="H2981" t="s">
        <v>9077</v>
      </c>
      <c r="I2981" t="s">
        <v>9078</v>
      </c>
      <c r="J2981" t="s">
        <v>3267</v>
      </c>
    </row>
    <row r="2982" spans="1:10">
      <c r="A2982" t="s">
        <v>9079</v>
      </c>
      <c r="B2982">
        <v>-1.13112416645529</v>
      </c>
      <c r="C2982">
        <v>7.6321941761756698</v>
      </c>
      <c r="D2982">
        <v>2.89589011828317E-2</v>
      </c>
      <c r="E2982">
        <v>0.394236408056302</v>
      </c>
      <c r="F2982">
        <v>11</v>
      </c>
      <c r="G2982">
        <v>26</v>
      </c>
      <c r="H2982" t="s">
        <v>9080</v>
      </c>
      <c r="I2982" t="s">
        <v>4128</v>
      </c>
      <c r="J2982" t="s">
        <v>3268</v>
      </c>
    </row>
    <row r="2983" spans="1:10">
      <c r="A2983" t="s">
        <v>9081</v>
      </c>
      <c r="B2983">
        <v>-1.13112416645529</v>
      </c>
      <c r="C2983">
        <v>7.6321941761756698</v>
      </c>
      <c r="D2983">
        <v>2.89589011828317E-2</v>
      </c>
      <c r="E2983">
        <v>0.394236408056302</v>
      </c>
      <c r="F2983">
        <v>11</v>
      </c>
      <c r="G2983">
        <v>26</v>
      </c>
      <c r="H2983" t="s">
        <v>28</v>
      </c>
      <c r="I2983" t="s">
        <v>9082</v>
      </c>
      <c r="J2983" t="s">
        <v>3269</v>
      </c>
    </row>
    <row r="2984" spans="1:10">
      <c r="A2984" t="s">
        <v>9083</v>
      </c>
      <c r="B2984">
        <v>1.1992921798367999</v>
      </c>
      <c r="C2984">
        <v>7.5520884581270504</v>
      </c>
      <c r="D2984">
        <v>2.89589011828317E-2</v>
      </c>
      <c r="E2984">
        <v>0.394236408056302</v>
      </c>
      <c r="F2984">
        <v>24</v>
      </c>
      <c r="G2984">
        <v>11</v>
      </c>
      <c r="H2984" t="s">
        <v>28</v>
      </c>
      <c r="I2984" t="s">
        <v>5350</v>
      </c>
      <c r="J2984" t="s">
        <v>3270</v>
      </c>
    </row>
    <row r="2985" spans="1:10">
      <c r="A2985" t="s">
        <v>9084</v>
      </c>
      <c r="B2985">
        <v>0.496532475195267</v>
      </c>
      <c r="C2985">
        <v>9.8491053682169394</v>
      </c>
      <c r="D2985">
        <v>2.7384320995063299E-2</v>
      </c>
      <c r="E2985">
        <v>0.37797414729666801</v>
      </c>
      <c r="F2985">
        <v>98</v>
      </c>
      <c r="G2985">
        <v>74</v>
      </c>
      <c r="H2985" t="s">
        <v>28</v>
      </c>
      <c r="I2985" t="s">
        <v>3438</v>
      </c>
      <c r="J2985" t="s">
        <v>126</v>
      </c>
    </row>
    <row r="2986" spans="1:10">
      <c r="A2986" t="s">
        <v>9085</v>
      </c>
      <c r="B2986">
        <v>-0.83646700614578395</v>
      </c>
      <c r="C2986">
        <v>8.4888184157748903</v>
      </c>
      <c r="D2986">
        <v>2.7375538107580501E-2</v>
      </c>
      <c r="E2986">
        <v>0.37797414729666801</v>
      </c>
      <c r="F2986">
        <v>23</v>
      </c>
      <c r="G2986">
        <v>44</v>
      </c>
      <c r="H2986" t="s">
        <v>28</v>
      </c>
      <c r="I2986" t="s">
        <v>9086</v>
      </c>
      <c r="J2986" t="s">
        <v>3271</v>
      </c>
    </row>
    <row r="2987" spans="1:10">
      <c r="A2987" t="s">
        <v>9087</v>
      </c>
      <c r="B2987">
        <v>-0.49740119854741199</v>
      </c>
      <c r="C2987">
        <v>9.9384011273532593</v>
      </c>
      <c r="D2987">
        <v>2.6995237098522501E-2</v>
      </c>
      <c r="E2987">
        <v>0.37582979441059899</v>
      </c>
      <c r="F2987">
        <v>73</v>
      </c>
      <c r="G2987">
        <v>110</v>
      </c>
      <c r="H2987" t="s">
        <v>9088</v>
      </c>
      <c r="I2987" t="s">
        <v>9089</v>
      </c>
      <c r="J2987" t="s">
        <v>3272</v>
      </c>
    </row>
    <row r="2988" spans="1:10">
      <c r="A2988" t="s">
        <v>9090</v>
      </c>
      <c r="B2988">
        <v>-1.54023226836477</v>
      </c>
      <c r="C2988">
        <v>6.8150662785227203</v>
      </c>
      <c r="D2988">
        <v>2.66813608451235E-2</v>
      </c>
      <c r="E2988">
        <v>0.37307502816485699</v>
      </c>
      <c r="F2988">
        <v>5</v>
      </c>
      <c r="G2988">
        <v>16</v>
      </c>
      <c r="H2988" t="s">
        <v>28</v>
      </c>
      <c r="I2988" t="s">
        <v>3657</v>
      </c>
      <c r="J2988" t="s">
        <v>3273</v>
      </c>
    </row>
    <row r="2989" spans="1:10">
      <c r="A2989" t="s">
        <v>9091</v>
      </c>
      <c r="B2989">
        <v>-0.55515234551457504</v>
      </c>
      <c r="C2989">
        <v>9.6418763778606706</v>
      </c>
      <c r="D2989">
        <v>2.66786989535817E-2</v>
      </c>
      <c r="E2989">
        <v>0.37307502816485699</v>
      </c>
      <c r="F2989">
        <v>58</v>
      </c>
      <c r="G2989">
        <v>91</v>
      </c>
      <c r="H2989" t="s">
        <v>28</v>
      </c>
      <c r="I2989" t="s">
        <v>3438</v>
      </c>
      <c r="J2989" t="s">
        <v>3274</v>
      </c>
    </row>
    <row r="2990" spans="1:10">
      <c r="A2990" t="s">
        <v>9092</v>
      </c>
      <c r="B2990">
        <v>0.71419764975118205</v>
      </c>
      <c r="C2990">
        <v>8.8985566330771597</v>
      </c>
      <c r="D2990">
        <v>2.6638571587213802E-2</v>
      </c>
      <c r="E2990">
        <v>0.37307502816485699</v>
      </c>
      <c r="F2990">
        <v>54</v>
      </c>
      <c r="G2990">
        <v>35</v>
      </c>
      <c r="H2990" t="s">
        <v>9093</v>
      </c>
      <c r="I2990" t="s">
        <v>9094</v>
      </c>
      <c r="J2990" t="s">
        <v>3275</v>
      </c>
    </row>
    <row r="2991" spans="1:10">
      <c r="A2991" t="s">
        <v>9095</v>
      </c>
      <c r="B2991">
        <v>-0.63483129822288298</v>
      </c>
      <c r="C2991">
        <v>9.2930793213772809</v>
      </c>
      <c r="D2991">
        <v>2.651177639762E-2</v>
      </c>
      <c r="E2991">
        <v>0.37307502816485699</v>
      </c>
      <c r="F2991">
        <v>44</v>
      </c>
      <c r="G2991">
        <v>73</v>
      </c>
      <c r="H2991" t="s">
        <v>9096</v>
      </c>
      <c r="I2991" t="s">
        <v>9097</v>
      </c>
      <c r="J2991" t="s">
        <v>3276</v>
      </c>
    </row>
    <row r="2992" spans="1:10">
      <c r="A2992" t="s">
        <v>9098</v>
      </c>
      <c r="B2992">
        <v>-0.77221863848891903</v>
      </c>
      <c r="C2992">
        <v>8.7802754503210405</v>
      </c>
      <c r="D2992">
        <v>2.59521425150297E-2</v>
      </c>
      <c r="E2992">
        <v>0.36930128463865303</v>
      </c>
      <c r="F2992">
        <v>29</v>
      </c>
      <c r="G2992">
        <v>53</v>
      </c>
      <c r="H2992" t="s">
        <v>28</v>
      </c>
      <c r="I2992" t="s">
        <v>3438</v>
      </c>
      <c r="J2992" t="s">
        <v>3277</v>
      </c>
    </row>
    <row r="2993" spans="1:10">
      <c r="A2993" t="s">
        <v>9099</v>
      </c>
      <c r="B2993">
        <v>-0.484670367392457</v>
      </c>
      <c r="C2993">
        <v>10.0076621898521</v>
      </c>
      <c r="D2993">
        <v>2.5714172881429301E-2</v>
      </c>
      <c r="E2993">
        <v>0.36754124438523</v>
      </c>
      <c r="F2993">
        <v>77</v>
      </c>
      <c r="G2993">
        <v>115</v>
      </c>
      <c r="H2993" t="s">
        <v>9100</v>
      </c>
      <c r="I2993" t="s">
        <v>9078</v>
      </c>
      <c r="J2993" t="s">
        <v>3278</v>
      </c>
    </row>
    <row r="2994" spans="1:10">
      <c r="A2994" t="s">
        <v>9101</v>
      </c>
      <c r="B2994">
        <v>-0.64826562271431998</v>
      </c>
      <c r="C2994">
        <v>9.1641854291948999</v>
      </c>
      <c r="D2994">
        <v>2.5405152498016999E-2</v>
      </c>
      <c r="E2994">
        <v>0.36474540372153003</v>
      </c>
      <c r="F2994">
        <v>40</v>
      </c>
      <c r="G2994">
        <v>67</v>
      </c>
      <c r="H2994" t="s">
        <v>28</v>
      </c>
      <c r="I2994" t="s">
        <v>3438</v>
      </c>
      <c r="J2994" t="s">
        <v>3279</v>
      </c>
    </row>
    <row r="2995" spans="1:10">
      <c r="A2995" t="s">
        <v>9102</v>
      </c>
      <c r="B2995">
        <v>0.45594180912993798</v>
      </c>
      <c r="C2995">
        <v>10.1710433667625</v>
      </c>
      <c r="D2995">
        <v>2.52945095390767E-2</v>
      </c>
      <c r="E2995">
        <v>0.36474540372153003</v>
      </c>
      <c r="F2995">
        <v>121</v>
      </c>
      <c r="G2995">
        <v>94</v>
      </c>
      <c r="H2995" t="s">
        <v>9103</v>
      </c>
      <c r="I2995" t="s">
        <v>6468</v>
      </c>
      <c r="J2995" t="s">
        <v>3280</v>
      </c>
    </row>
    <row r="2996" spans="1:10">
      <c r="A2996" t="s">
        <v>9104</v>
      </c>
      <c r="B2996">
        <v>-0.93599144001935597</v>
      </c>
      <c r="C2996">
        <v>8.2807118436134104</v>
      </c>
      <c r="D2996">
        <v>2.4953344330349E-2</v>
      </c>
      <c r="E2996">
        <v>0.36148628543424599</v>
      </c>
      <c r="F2996">
        <v>19</v>
      </c>
      <c r="G2996">
        <v>39</v>
      </c>
      <c r="H2996" t="s">
        <v>9105</v>
      </c>
      <c r="I2996" t="s">
        <v>9106</v>
      </c>
      <c r="J2996" t="s">
        <v>3281</v>
      </c>
    </row>
    <row r="2997" spans="1:10">
      <c r="A2997" t="s">
        <v>9107</v>
      </c>
      <c r="B2997">
        <v>-1.2095092736592401</v>
      </c>
      <c r="C2997">
        <v>7.5520236756320802</v>
      </c>
      <c r="D2997">
        <v>2.44256807163909E-2</v>
      </c>
      <c r="E2997">
        <v>0.355443389972458</v>
      </c>
      <c r="F2997">
        <v>10</v>
      </c>
      <c r="G2997">
        <v>25</v>
      </c>
      <c r="H2997" t="s">
        <v>28</v>
      </c>
      <c r="I2997" t="s">
        <v>3438</v>
      </c>
      <c r="J2997" t="s">
        <v>354</v>
      </c>
    </row>
    <row r="2998" spans="1:10">
      <c r="A2998" t="s">
        <v>9108</v>
      </c>
      <c r="B2998">
        <v>-1.3405252901242799</v>
      </c>
      <c r="C2998">
        <v>7.3296331887010702</v>
      </c>
      <c r="D2998">
        <v>2.4220351487231499E-2</v>
      </c>
      <c r="E2998">
        <v>0.35405750174062101</v>
      </c>
      <c r="F2998">
        <v>8</v>
      </c>
      <c r="G2998">
        <v>22</v>
      </c>
      <c r="H2998" t="s">
        <v>28</v>
      </c>
      <c r="I2998" t="s">
        <v>3438</v>
      </c>
      <c r="J2998" t="s">
        <v>3282</v>
      </c>
    </row>
    <row r="2999" spans="1:10">
      <c r="A2999" t="s">
        <v>9109</v>
      </c>
      <c r="B2999">
        <v>-1.3405252901242799</v>
      </c>
      <c r="C2999">
        <v>7.3296331887010702</v>
      </c>
      <c r="D2999">
        <v>2.4220351487231499E-2</v>
      </c>
      <c r="E2999">
        <v>0.35405750174062101</v>
      </c>
      <c r="F2999">
        <v>8</v>
      </c>
      <c r="G2999">
        <v>22</v>
      </c>
      <c r="H2999" t="s">
        <v>9110</v>
      </c>
      <c r="I2999" t="s">
        <v>9111</v>
      </c>
      <c r="J2999" t="s">
        <v>3283</v>
      </c>
    </row>
    <row r="3000" spans="1:10">
      <c r="A3000" t="s">
        <v>9112</v>
      </c>
      <c r="B3000">
        <v>1.3862196248834899</v>
      </c>
      <c r="C3000">
        <v>7.23015753957075</v>
      </c>
      <c r="D3000">
        <v>2.4220351487231499E-2</v>
      </c>
      <c r="E3000">
        <v>0.35405750174062101</v>
      </c>
      <c r="F3000">
        <v>20</v>
      </c>
      <c r="G3000">
        <v>8</v>
      </c>
      <c r="H3000" t="s">
        <v>28</v>
      </c>
      <c r="I3000" t="s">
        <v>3438</v>
      </c>
      <c r="J3000" t="s">
        <v>3284</v>
      </c>
    </row>
    <row r="3001" spans="1:10">
      <c r="A3001" t="s">
        <v>9113</v>
      </c>
      <c r="B3001">
        <v>-0.767197394613224</v>
      </c>
      <c r="C3001">
        <v>8.7265062725187903</v>
      </c>
      <c r="D3001">
        <v>2.4095540017590001E-2</v>
      </c>
      <c r="E3001">
        <v>0.35405750174062101</v>
      </c>
      <c r="F3001">
        <v>28</v>
      </c>
      <c r="G3001">
        <v>51</v>
      </c>
      <c r="H3001" t="s">
        <v>28</v>
      </c>
      <c r="I3001" t="s">
        <v>9114</v>
      </c>
      <c r="J3001" t="s">
        <v>3285</v>
      </c>
    </row>
    <row r="3002" spans="1:10">
      <c r="A3002" t="s">
        <v>9115</v>
      </c>
      <c r="B3002">
        <v>1.0777493012500201</v>
      </c>
      <c r="C3002">
        <v>7.7082079508285402</v>
      </c>
      <c r="D3002">
        <v>2.3837285631383601E-2</v>
      </c>
      <c r="E3002">
        <v>0.35405750174062101</v>
      </c>
      <c r="F3002">
        <v>26</v>
      </c>
      <c r="G3002">
        <v>13</v>
      </c>
      <c r="H3002" t="s">
        <v>28</v>
      </c>
      <c r="I3002" t="s">
        <v>3438</v>
      </c>
      <c r="J3002" t="s">
        <v>3286</v>
      </c>
    </row>
    <row r="3003" spans="1:10">
      <c r="A3003" t="s">
        <v>9116</v>
      </c>
      <c r="B3003">
        <v>1.19088856034488</v>
      </c>
      <c r="C3003">
        <v>7.6707354860931698</v>
      </c>
      <c r="D3003">
        <v>2.3837285631383601E-2</v>
      </c>
      <c r="E3003">
        <v>0.35405750174062101</v>
      </c>
      <c r="F3003">
        <v>26</v>
      </c>
      <c r="G3003">
        <v>12</v>
      </c>
      <c r="H3003" t="s">
        <v>9117</v>
      </c>
      <c r="I3003" t="s">
        <v>9118</v>
      </c>
      <c r="J3003" t="s">
        <v>3287</v>
      </c>
    </row>
    <row r="3004" spans="1:10">
      <c r="A3004" t="s">
        <v>9119</v>
      </c>
      <c r="B3004">
        <v>-0.70486445063759295</v>
      </c>
      <c r="C3004">
        <v>9.0076824051614093</v>
      </c>
      <c r="D3004">
        <v>2.3816866727613201E-2</v>
      </c>
      <c r="E3004">
        <v>0.35405750174062101</v>
      </c>
      <c r="F3004">
        <v>35</v>
      </c>
      <c r="G3004">
        <v>61</v>
      </c>
      <c r="H3004" t="s">
        <v>9120</v>
      </c>
      <c r="I3004" t="s">
        <v>9121</v>
      </c>
      <c r="J3004" t="s">
        <v>3288</v>
      </c>
    </row>
    <row r="3005" spans="1:10">
      <c r="A3005" t="s">
        <v>9122</v>
      </c>
      <c r="B3005">
        <v>-0.58322277104395603</v>
      </c>
      <c r="C3005">
        <v>9.5825787312434905</v>
      </c>
      <c r="D3005">
        <v>2.3613482902058999E-2</v>
      </c>
      <c r="E3005">
        <v>0.35405750174062101</v>
      </c>
      <c r="F3005">
        <v>55</v>
      </c>
      <c r="G3005">
        <v>88</v>
      </c>
      <c r="H3005" t="s">
        <v>9123</v>
      </c>
      <c r="I3005" t="s">
        <v>9124</v>
      </c>
      <c r="J3005" t="s">
        <v>3289</v>
      </c>
    </row>
    <row r="3006" spans="1:10">
      <c r="A3006" t="s">
        <v>9125</v>
      </c>
      <c r="B3006">
        <v>-0.43361871417759201</v>
      </c>
      <c r="C3006">
        <v>10.3826899952186</v>
      </c>
      <c r="D3006">
        <v>2.3172440704406098E-2</v>
      </c>
      <c r="E3006">
        <v>0.35152155332721602</v>
      </c>
      <c r="F3006">
        <v>102</v>
      </c>
      <c r="G3006">
        <v>147</v>
      </c>
      <c r="H3006" t="s">
        <v>28</v>
      </c>
      <c r="I3006" t="s">
        <v>3438</v>
      </c>
      <c r="J3006" t="s">
        <v>3290</v>
      </c>
    </row>
    <row r="3007" spans="1:10">
      <c r="A3007" t="s">
        <v>9126</v>
      </c>
      <c r="B3007">
        <v>-0.89956809019762696</v>
      </c>
      <c r="C3007">
        <v>8.4000088432164404</v>
      </c>
      <c r="D3007">
        <v>2.2786279727682601E-2</v>
      </c>
      <c r="E3007">
        <v>0.34730178011482099</v>
      </c>
      <c r="F3007">
        <v>21</v>
      </c>
      <c r="G3007">
        <v>42</v>
      </c>
      <c r="H3007" t="s">
        <v>9127</v>
      </c>
      <c r="I3007" t="s">
        <v>9128</v>
      </c>
      <c r="J3007" t="s">
        <v>3291</v>
      </c>
    </row>
    <row r="3008" spans="1:10">
      <c r="A3008" t="s">
        <v>9129</v>
      </c>
      <c r="B3008">
        <v>-1.5326474690801</v>
      </c>
      <c r="C3008">
        <v>7.0666007182402302</v>
      </c>
      <c r="D3008">
        <v>2.2735317497656001E-2</v>
      </c>
      <c r="E3008">
        <v>0.34730178011482099</v>
      </c>
      <c r="F3008">
        <v>6</v>
      </c>
      <c r="G3008">
        <v>19</v>
      </c>
      <c r="H3008" t="s">
        <v>9130</v>
      </c>
      <c r="I3008" t="s">
        <v>9131</v>
      </c>
      <c r="J3008" t="s">
        <v>3292</v>
      </c>
    </row>
    <row r="3009" spans="1:10">
      <c r="A3009" t="s">
        <v>9132</v>
      </c>
      <c r="B3009">
        <v>-1.45571845949932</v>
      </c>
      <c r="C3009">
        <v>7.0077092682867903</v>
      </c>
      <c r="D3009">
        <v>2.2735317497656001E-2</v>
      </c>
      <c r="E3009">
        <v>0.34730178011482099</v>
      </c>
      <c r="F3009">
        <v>6</v>
      </c>
      <c r="G3009">
        <v>18</v>
      </c>
      <c r="H3009" t="s">
        <v>28</v>
      </c>
      <c r="I3009" t="s">
        <v>3438</v>
      </c>
      <c r="J3009" t="s">
        <v>3293</v>
      </c>
    </row>
    <row r="3010" spans="1:10">
      <c r="A3010" t="s">
        <v>9133</v>
      </c>
      <c r="B3010">
        <v>1.63622038221683</v>
      </c>
      <c r="C3010">
        <v>7.0077648266697201</v>
      </c>
      <c r="D3010">
        <v>2.2735317497656001E-2</v>
      </c>
      <c r="E3010">
        <v>0.34730178011482099</v>
      </c>
      <c r="F3010">
        <v>18</v>
      </c>
      <c r="G3010">
        <v>6</v>
      </c>
      <c r="H3010" t="s">
        <v>9134</v>
      </c>
      <c r="I3010" t="s">
        <v>4748</v>
      </c>
      <c r="J3010" t="s">
        <v>3294</v>
      </c>
    </row>
    <row r="3011" spans="1:10">
      <c r="A3011" t="s">
        <v>9135</v>
      </c>
      <c r="B3011">
        <v>-2.2353773751218999</v>
      </c>
      <c r="C3011">
        <v>6.1231926013190501</v>
      </c>
      <c r="D3011">
        <v>2.25028456407955E-2</v>
      </c>
      <c r="E3011">
        <v>0.34730178011482099</v>
      </c>
      <c r="F3011">
        <v>2</v>
      </c>
      <c r="G3011">
        <v>11</v>
      </c>
      <c r="H3011" t="s">
        <v>9136</v>
      </c>
      <c r="I3011" t="s">
        <v>9137</v>
      </c>
      <c r="J3011" t="s">
        <v>3295</v>
      </c>
    </row>
    <row r="3012" spans="1:10">
      <c r="A3012" t="s">
        <v>9138</v>
      </c>
      <c r="B3012">
        <v>2.4084964665253299</v>
      </c>
      <c r="C3012">
        <v>6.12323429296295</v>
      </c>
      <c r="D3012">
        <v>2.25028456407955E-2</v>
      </c>
      <c r="E3012">
        <v>0.34730178011482099</v>
      </c>
      <c r="F3012">
        <v>11</v>
      </c>
      <c r="G3012">
        <v>2</v>
      </c>
      <c r="H3012" t="s">
        <v>28</v>
      </c>
      <c r="I3012" t="s">
        <v>3438</v>
      </c>
      <c r="J3012" t="s">
        <v>3296</v>
      </c>
    </row>
    <row r="3013" spans="1:10">
      <c r="A3013" t="s">
        <v>9139</v>
      </c>
      <c r="B3013">
        <v>2.4084964665253299</v>
      </c>
      <c r="C3013">
        <v>6.12323429296295</v>
      </c>
      <c r="D3013">
        <v>2.25028456407955E-2</v>
      </c>
      <c r="E3013">
        <v>0.34730178011482099</v>
      </c>
      <c r="F3013">
        <v>11</v>
      </c>
      <c r="G3013">
        <v>2</v>
      </c>
      <c r="H3013" t="s">
        <v>28</v>
      </c>
      <c r="I3013" t="s">
        <v>3438</v>
      </c>
      <c r="J3013" t="s">
        <v>3297</v>
      </c>
    </row>
    <row r="3014" spans="1:10">
      <c r="A3014" t="s">
        <v>9140</v>
      </c>
      <c r="B3014">
        <v>2.4084964665253299</v>
      </c>
      <c r="C3014">
        <v>6.12323429296295</v>
      </c>
      <c r="D3014">
        <v>2.25028456407955E-2</v>
      </c>
      <c r="E3014">
        <v>0.34730178011482099</v>
      </c>
      <c r="F3014">
        <v>11</v>
      </c>
      <c r="G3014">
        <v>2</v>
      </c>
      <c r="H3014" t="s">
        <v>9141</v>
      </c>
      <c r="I3014" t="s">
        <v>3687</v>
      </c>
      <c r="J3014" t="s">
        <v>3298</v>
      </c>
    </row>
    <row r="3015" spans="1:10">
      <c r="A3015" t="s">
        <v>9142</v>
      </c>
      <c r="B3015">
        <v>0.62510846755170202</v>
      </c>
      <c r="C3015">
        <v>9.3297229268761104</v>
      </c>
      <c r="D3015">
        <v>2.2481259786535202E-2</v>
      </c>
      <c r="E3015">
        <v>0.34730178011482099</v>
      </c>
      <c r="F3015">
        <v>71</v>
      </c>
      <c r="G3015">
        <v>49</v>
      </c>
      <c r="H3015" t="s">
        <v>9143</v>
      </c>
      <c r="I3015" t="s">
        <v>9144</v>
      </c>
      <c r="J3015" t="s">
        <v>3299</v>
      </c>
    </row>
    <row r="3016" spans="1:10">
      <c r="A3016" t="s">
        <v>9145</v>
      </c>
      <c r="B3016">
        <v>2.9697708681068602</v>
      </c>
      <c r="C3016">
        <v>5.7447201330993503</v>
      </c>
      <c r="D3016">
        <v>2.1515144406641099E-2</v>
      </c>
      <c r="E3016">
        <v>0.34253814065226601</v>
      </c>
      <c r="F3016">
        <v>9</v>
      </c>
      <c r="G3016">
        <v>1</v>
      </c>
      <c r="H3016" t="s">
        <v>28</v>
      </c>
      <c r="I3016" t="s">
        <v>3438</v>
      </c>
      <c r="J3016" t="s">
        <v>3300</v>
      </c>
    </row>
    <row r="3017" spans="1:10">
      <c r="A3017" t="s">
        <v>9146</v>
      </c>
      <c r="B3017">
        <v>-1.0756530463348899</v>
      </c>
      <c r="C3017">
        <v>8.0374423172272706</v>
      </c>
      <c r="D3017">
        <v>2.1451341979906498E-2</v>
      </c>
      <c r="E3017">
        <v>0.34253814065226601</v>
      </c>
      <c r="F3017">
        <v>15</v>
      </c>
      <c r="G3017">
        <v>34</v>
      </c>
      <c r="H3017" t="s">
        <v>28</v>
      </c>
      <c r="I3017" t="s">
        <v>3438</v>
      </c>
      <c r="J3017" t="s">
        <v>350</v>
      </c>
    </row>
    <row r="3018" spans="1:10">
      <c r="A3018" t="s">
        <v>9147</v>
      </c>
      <c r="B3018">
        <v>2.1157846789798498</v>
      </c>
      <c r="C3018">
        <v>6.4227971106767896</v>
      </c>
      <c r="D3018">
        <v>2.1320760979409999E-2</v>
      </c>
      <c r="E3018">
        <v>0.34253814065226601</v>
      </c>
      <c r="F3018">
        <v>13</v>
      </c>
      <c r="G3018">
        <v>3</v>
      </c>
      <c r="H3018" t="s">
        <v>28</v>
      </c>
      <c r="I3018" t="s">
        <v>3438</v>
      </c>
      <c r="J3018" t="s">
        <v>153</v>
      </c>
    </row>
    <row r="3019" spans="1:10">
      <c r="A3019" t="s">
        <v>9148</v>
      </c>
      <c r="B3019">
        <v>0.91081141401302101</v>
      </c>
      <c r="C3019">
        <v>8.3535539096805298</v>
      </c>
      <c r="D3019">
        <v>2.0605153312220199E-2</v>
      </c>
      <c r="E3019">
        <v>0.33299584448291503</v>
      </c>
      <c r="F3019">
        <v>39</v>
      </c>
      <c r="G3019">
        <v>22</v>
      </c>
      <c r="H3019" t="s">
        <v>28</v>
      </c>
      <c r="I3019" t="s">
        <v>3657</v>
      </c>
      <c r="J3019" t="s">
        <v>3301</v>
      </c>
    </row>
    <row r="3020" spans="1:10">
      <c r="A3020" t="s">
        <v>9149</v>
      </c>
      <c r="B3020">
        <v>1.2576097523810399</v>
      </c>
      <c r="C3020">
        <v>7.59273282893027</v>
      </c>
      <c r="D3020">
        <v>2.0187193618866801E-2</v>
      </c>
      <c r="E3020">
        <v>0.32788896302159298</v>
      </c>
      <c r="F3020">
        <v>25</v>
      </c>
      <c r="G3020">
        <v>11</v>
      </c>
      <c r="H3020" t="s">
        <v>28</v>
      </c>
      <c r="I3020" t="s">
        <v>4727</v>
      </c>
      <c r="J3020" t="s">
        <v>168</v>
      </c>
    </row>
    <row r="3021" spans="1:10">
      <c r="A3021" t="s">
        <v>9150</v>
      </c>
      <c r="B3021">
        <v>1.2576097523810399</v>
      </c>
      <c r="C3021">
        <v>7.59273282893027</v>
      </c>
      <c r="D3021">
        <v>2.0187193618866801E-2</v>
      </c>
      <c r="E3021">
        <v>0.32788896302159298</v>
      </c>
      <c r="F3021">
        <v>25</v>
      </c>
      <c r="G3021">
        <v>11</v>
      </c>
      <c r="H3021" t="s">
        <v>28</v>
      </c>
      <c r="I3021" t="s">
        <v>3631</v>
      </c>
      <c r="J3021" t="s">
        <v>3302</v>
      </c>
    </row>
    <row r="3022" spans="1:10">
      <c r="A3022" t="s">
        <v>9151</v>
      </c>
      <c r="B3022">
        <v>-1.2994505185160901</v>
      </c>
      <c r="C3022">
        <v>7.4671346261556799</v>
      </c>
      <c r="D3022">
        <v>2.0159329992950299E-2</v>
      </c>
      <c r="E3022">
        <v>0.32788896302159298</v>
      </c>
      <c r="F3022">
        <v>9</v>
      </c>
      <c r="G3022">
        <v>24</v>
      </c>
      <c r="H3022" t="s">
        <v>9152</v>
      </c>
      <c r="I3022" t="s">
        <v>9153</v>
      </c>
      <c r="J3022" t="s">
        <v>3303</v>
      </c>
    </row>
    <row r="3023" spans="1:10">
      <c r="A3023" t="s">
        <v>9154</v>
      </c>
      <c r="B3023">
        <v>-0.607523483734555</v>
      </c>
      <c r="C3023">
        <v>9.4887981921994093</v>
      </c>
      <c r="D3023">
        <v>1.9742288008990201E-2</v>
      </c>
      <c r="E3023">
        <v>0.32559588839442399</v>
      </c>
      <c r="F3023">
        <v>51</v>
      </c>
      <c r="G3023">
        <v>83</v>
      </c>
      <c r="H3023" t="s">
        <v>28</v>
      </c>
      <c r="I3023" t="s">
        <v>3438</v>
      </c>
      <c r="J3023" t="s">
        <v>3304</v>
      </c>
    </row>
    <row r="3024" spans="1:10">
      <c r="A3024" t="s">
        <v>9155</v>
      </c>
      <c r="B3024">
        <v>1.07880578991644</v>
      </c>
      <c r="C3024">
        <v>7.8151256856648397</v>
      </c>
      <c r="D3024">
        <v>1.9646830074503099E-2</v>
      </c>
      <c r="E3024">
        <v>0.32559588839442399</v>
      </c>
      <c r="F3024">
        <v>28</v>
      </c>
      <c r="G3024">
        <v>14</v>
      </c>
      <c r="H3024" t="s">
        <v>9156</v>
      </c>
      <c r="I3024" t="s">
        <v>9157</v>
      </c>
      <c r="J3024" t="s">
        <v>3305</v>
      </c>
    </row>
    <row r="3025" spans="1:10">
      <c r="A3025" t="s">
        <v>9158</v>
      </c>
      <c r="B3025">
        <v>1.07880578991644</v>
      </c>
      <c r="C3025">
        <v>7.8151256856648397</v>
      </c>
      <c r="D3025">
        <v>1.9646830074503099E-2</v>
      </c>
      <c r="E3025">
        <v>0.32559588839442399</v>
      </c>
      <c r="F3025">
        <v>28</v>
      </c>
      <c r="G3025">
        <v>14</v>
      </c>
      <c r="H3025" t="s">
        <v>28</v>
      </c>
      <c r="I3025" t="s">
        <v>9159</v>
      </c>
      <c r="J3025" t="s">
        <v>3306</v>
      </c>
    </row>
    <row r="3026" spans="1:10">
      <c r="A3026" t="s">
        <v>9160</v>
      </c>
      <c r="B3026">
        <v>1.4993460002782399</v>
      </c>
      <c r="C3026">
        <v>7.1232421898864802</v>
      </c>
      <c r="D3026">
        <v>1.9236749990272601E-2</v>
      </c>
      <c r="E3026">
        <v>0.322215562337067</v>
      </c>
      <c r="F3026">
        <v>19</v>
      </c>
      <c r="G3026">
        <v>7</v>
      </c>
      <c r="H3026" t="s">
        <v>9161</v>
      </c>
      <c r="I3026" t="s">
        <v>3450</v>
      </c>
      <c r="J3026" t="s">
        <v>3307</v>
      </c>
    </row>
    <row r="3027" spans="1:10">
      <c r="A3027" t="s">
        <v>9162</v>
      </c>
      <c r="B3027">
        <v>-0.68174082889814103</v>
      </c>
      <c r="C3027">
        <v>9.2556020806740893</v>
      </c>
      <c r="D3027">
        <v>1.9148470961364999E-2</v>
      </c>
      <c r="E3027">
        <v>0.322215562337067</v>
      </c>
      <c r="F3027">
        <v>42</v>
      </c>
      <c r="G3027">
        <v>72</v>
      </c>
      <c r="H3027" t="s">
        <v>9163</v>
      </c>
      <c r="I3027" t="s">
        <v>9164</v>
      </c>
      <c r="J3027" t="s">
        <v>3308</v>
      </c>
    </row>
    <row r="3028" spans="1:10">
      <c r="A3028" t="s">
        <v>9165</v>
      </c>
      <c r="B3028">
        <v>-0.54938973241886102</v>
      </c>
      <c r="C3028">
        <v>9.7802541218423205</v>
      </c>
      <c r="D3028">
        <v>1.8987835276490998E-2</v>
      </c>
      <c r="E3028">
        <v>0.32139409604839497</v>
      </c>
      <c r="F3028">
        <v>64</v>
      </c>
      <c r="G3028">
        <v>100</v>
      </c>
      <c r="H3028" t="s">
        <v>9166</v>
      </c>
      <c r="I3028" t="s">
        <v>9167</v>
      </c>
      <c r="J3028" t="s">
        <v>3309</v>
      </c>
    </row>
    <row r="3029" spans="1:10">
      <c r="A3029" t="s">
        <v>9168</v>
      </c>
      <c r="B3029">
        <v>-0.54938973241886102</v>
      </c>
      <c r="C3029">
        <v>9.7802541218423205</v>
      </c>
      <c r="D3029">
        <v>1.8987835276490998E-2</v>
      </c>
      <c r="E3029">
        <v>0.32139409604839497</v>
      </c>
      <c r="F3029">
        <v>64</v>
      </c>
      <c r="G3029">
        <v>100</v>
      </c>
      <c r="H3029" t="s">
        <v>9169</v>
      </c>
      <c r="I3029" t="s">
        <v>9170</v>
      </c>
      <c r="J3029" t="s">
        <v>3310</v>
      </c>
    </row>
    <row r="3030" spans="1:10">
      <c r="A3030" t="s">
        <v>9171</v>
      </c>
      <c r="B3030">
        <v>-0.842204621781519</v>
      </c>
      <c r="C3030">
        <v>8.6125496239450694</v>
      </c>
      <c r="D3030">
        <v>1.8831510708161799E-2</v>
      </c>
      <c r="E3030">
        <v>0.32139409604839497</v>
      </c>
      <c r="F3030">
        <v>25</v>
      </c>
      <c r="G3030">
        <v>48</v>
      </c>
      <c r="H3030" t="s">
        <v>9172</v>
      </c>
      <c r="I3030" t="s">
        <v>9173</v>
      </c>
      <c r="J3030" t="s">
        <v>3311</v>
      </c>
    </row>
    <row r="3031" spans="1:10">
      <c r="A3031" t="s">
        <v>9174</v>
      </c>
      <c r="B3031">
        <v>0.93988878140024801</v>
      </c>
      <c r="C3031">
        <v>8.3054594773398396</v>
      </c>
      <c r="D3031">
        <v>1.8507559565652199E-2</v>
      </c>
      <c r="E3031">
        <v>0.31829043616650998</v>
      </c>
      <c r="F3031">
        <v>38</v>
      </c>
      <c r="G3031">
        <v>21</v>
      </c>
      <c r="H3031" t="s">
        <v>28</v>
      </c>
      <c r="I3031" t="s">
        <v>9175</v>
      </c>
      <c r="J3031" t="s">
        <v>3312</v>
      </c>
    </row>
    <row r="3032" spans="1:10">
      <c r="A3032" t="s">
        <v>9176</v>
      </c>
      <c r="B3032">
        <v>0.51077990760801895</v>
      </c>
      <c r="C3032">
        <v>10.0227641868176</v>
      </c>
      <c r="D3032">
        <v>1.8146877020975099E-2</v>
      </c>
      <c r="E3032">
        <v>0.31376535752395601</v>
      </c>
      <c r="F3032">
        <v>111</v>
      </c>
      <c r="G3032">
        <v>83</v>
      </c>
      <c r="H3032" t="s">
        <v>9177</v>
      </c>
      <c r="I3032" t="s">
        <v>9178</v>
      </c>
      <c r="J3032" t="s">
        <v>3313</v>
      </c>
    </row>
    <row r="3033" spans="1:10">
      <c r="A3033" t="s">
        <v>9179</v>
      </c>
      <c r="B3033">
        <v>0.381681252884217</v>
      </c>
      <c r="C3033">
        <v>10.8322660835323</v>
      </c>
      <c r="D3033">
        <v>1.8009203721484499E-2</v>
      </c>
      <c r="E3033">
        <v>0.313068103612402</v>
      </c>
      <c r="F3033">
        <v>187</v>
      </c>
      <c r="G3033">
        <v>153</v>
      </c>
      <c r="H3033" t="s">
        <v>28</v>
      </c>
      <c r="I3033" t="s">
        <v>3438</v>
      </c>
      <c r="J3033" t="s">
        <v>3314</v>
      </c>
    </row>
    <row r="3034" spans="1:10">
      <c r="A3034" t="s">
        <v>9180</v>
      </c>
      <c r="B3034">
        <v>0.72135110986822704</v>
      </c>
      <c r="C3034">
        <v>9.0952563928388503</v>
      </c>
      <c r="D3034">
        <v>1.7899780325666699E-2</v>
      </c>
      <c r="E3034">
        <v>0.312857030039913</v>
      </c>
      <c r="F3034">
        <v>62</v>
      </c>
      <c r="G3034">
        <v>40</v>
      </c>
      <c r="H3034" t="s">
        <v>28</v>
      </c>
      <c r="I3034" t="s">
        <v>3773</v>
      </c>
      <c r="J3034" t="s">
        <v>3315</v>
      </c>
    </row>
    <row r="3035" spans="1:10">
      <c r="A3035" t="s">
        <v>9181</v>
      </c>
      <c r="B3035">
        <v>0.30718519201755001</v>
      </c>
      <c r="C3035">
        <v>11.4590725568022</v>
      </c>
      <c r="D3035">
        <v>1.7835646898229401E-2</v>
      </c>
      <c r="E3035">
        <v>0.312857030039913</v>
      </c>
      <c r="F3035">
        <v>282</v>
      </c>
      <c r="G3035">
        <v>243</v>
      </c>
      <c r="H3035" t="s">
        <v>28</v>
      </c>
      <c r="I3035" t="s">
        <v>3438</v>
      </c>
      <c r="J3035" t="s">
        <v>55</v>
      </c>
    </row>
    <row r="3036" spans="1:10">
      <c r="A3036" t="s">
        <v>9182</v>
      </c>
      <c r="B3036">
        <v>-1.0658341273749601</v>
      </c>
      <c r="C3036">
        <v>8.1231701084594992</v>
      </c>
      <c r="D3036">
        <v>1.76784465059736E-2</v>
      </c>
      <c r="E3036">
        <v>0.31238397781984101</v>
      </c>
      <c r="F3036">
        <v>16</v>
      </c>
      <c r="G3036">
        <v>36</v>
      </c>
      <c r="H3036" t="s">
        <v>28</v>
      </c>
      <c r="I3036" t="s">
        <v>4138</v>
      </c>
      <c r="J3036" t="s">
        <v>3316</v>
      </c>
    </row>
    <row r="3037" spans="1:10">
      <c r="A3037" t="s">
        <v>9183</v>
      </c>
      <c r="B3037">
        <v>-1.0658341273749601</v>
      </c>
      <c r="C3037">
        <v>8.1231701084594992</v>
      </c>
      <c r="D3037">
        <v>1.76784465059736E-2</v>
      </c>
      <c r="E3037">
        <v>0.31238397781984101</v>
      </c>
      <c r="F3037">
        <v>16</v>
      </c>
      <c r="G3037">
        <v>36</v>
      </c>
      <c r="H3037" t="s">
        <v>9184</v>
      </c>
      <c r="I3037" t="s">
        <v>9185</v>
      </c>
      <c r="J3037" t="s">
        <v>3317</v>
      </c>
    </row>
    <row r="3038" spans="1:10">
      <c r="A3038" t="s">
        <v>9186</v>
      </c>
      <c r="B3038">
        <v>-0.81920709030840899</v>
      </c>
      <c r="C3038">
        <v>8.7081253580437092</v>
      </c>
      <c r="D3038">
        <v>1.70657763111902E-2</v>
      </c>
      <c r="E3038">
        <v>0.30490853675993201</v>
      </c>
      <c r="F3038">
        <v>27</v>
      </c>
      <c r="G3038">
        <v>51</v>
      </c>
      <c r="H3038" t="s">
        <v>9187</v>
      </c>
      <c r="I3038" t="s">
        <v>9188</v>
      </c>
      <c r="J3038" t="s">
        <v>3318</v>
      </c>
    </row>
    <row r="3039" spans="1:10">
      <c r="A3039" t="s">
        <v>9189</v>
      </c>
      <c r="B3039">
        <v>1.8060695419227899</v>
      </c>
      <c r="C3039">
        <v>6.8822337987600104</v>
      </c>
      <c r="D3039">
        <v>1.6959284579498399E-2</v>
      </c>
      <c r="E3039">
        <v>0.30469865479143499</v>
      </c>
      <c r="F3039">
        <v>17</v>
      </c>
      <c r="G3039">
        <v>5</v>
      </c>
      <c r="H3039" t="s">
        <v>28</v>
      </c>
      <c r="I3039" t="s">
        <v>3438</v>
      </c>
      <c r="J3039" t="s">
        <v>3319</v>
      </c>
    </row>
    <row r="3040" spans="1:10">
      <c r="A3040" t="s">
        <v>9190</v>
      </c>
      <c r="B3040">
        <v>1.3334928500626799</v>
      </c>
      <c r="C3040">
        <v>7.5102705235477396</v>
      </c>
      <c r="D3040">
        <v>1.6767455332184399E-2</v>
      </c>
      <c r="E3040">
        <v>0.302944586226433</v>
      </c>
      <c r="F3040">
        <v>24</v>
      </c>
      <c r="G3040">
        <v>10</v>
      </c>
      <c r="H3040" t="s">
        <v>9191</v>
      </c>
      <c r="I3040" t="s">
        <v>9192</v>
      </c>
      <c r="J3040" t="s">
        <v>3320</v>
      </c>
    </row>
    <row r="3041" spans="1:10">
      <c r="A3041" t="s">
        <v>9193</v>
      </c>
      <c r="B3041">
        <v>1.3334928500626799</v>
      </c>
      <c r="C3041">
        <v>7.5102705235477396</v>
      </c>
      <c r="D3041">
        <v>1.6767455332184399E-2</v>
      </c>
      <c r="E3041">
        <v>0.302944586226433</v>
      </c>
      <c r="F3041">
        <v>24</v>
      </c>
      <c r="G3041">
        <v>10</v>
      </c>
      <c r="H3041" t="s">
        <v>28</v>
      </c>
      <c r="I3041" t="s">
        <v>9194</v>
      </c>
      <c r="J3041" t="s">
        <v>3321</v>
      </c>
    </row>
    <row r="3042" spans="1:10">
      <c r="A3042" t="s">
        <v>9195</v>
      </c>
      <c r="B3042">
        <v>-0.80276698614306596</v>
      </c>
      <c r="C3042">
        <v>8.8489838913843695</v>
      </c>
      <c r="D3042">
        <v>1.6737352293735401E-2</v>
      </c>
      <c r="E3042">
        <v>0.302944586226433</v>
      </c>
      <c r="F3042">
        <v>30</v>
      </c>
      <c r="G3042">
        <v>56</v>
      </c>
      <c r="H3042" t="s">
        <v>28</v>
      </c>
      <c r="I3042" t="s">
        <v>3438</v>
      </c>
      <c r="J3042" t="s">
        <v>3322</v>
      </c>
    </row>
    <row r="3043" spans="1:10">
      <c r="A3043" t="s">
        <v>9196</v>
      </c>
      <c r="B3043">
        <v>1.2448435729687299</v>
      </c>
      <c r="C3043">
        <v>7.7082125773387702</v>
      </c>
      <c r="D3043">
        <v>1.6695850086648902E-2</v>
      </c>
      <c r="E3043">
        <v>0.302944586226433</v>
      </c>
      <c r="F3043">
        <v>27</v>
      </c>
      <c r="G3043">
        <v>12</v>
      </c>
      <c r="H3043" t="s">
        <v>9197</v>
      </c>
      <c r="I3043" t="s">
        <v>3450</v>
      </c>
      <c r="J3043" t="s">
        <v>3323</v>
      </c>
    </row>
    <row r="3044" spans="1:10">
      <c r="A3044" t="s">
        <v>9198</v>
      </c>
      <c r="B3044">
        <v>-1.1918008471211601</v>
      </c>
      <c r="C3044">
        <v>7.9145852642136996</v>
      </c>
      <c r="D3044">
        <v>1.62121598418975E-2</v>
      </c>
      <c r="E3044">
        <v>0.29964543707782998</v>
      </c>
      <c r="F3044">
        <v>13</v>
      </c>
      <c r="G3044">
        <v>32</v>
      </c>
      <c r="H3044" t="s">
        <v>28</v>
      </c>
      <c r="I3044" t="s">
        <v>3438</v>
      </c>
      <c r="J3044" t="s">
        <v>3324</v>
      </c>
    </row>
    <row r="3045" spans="1:10">
      <c r="A3045" t="s">
        <v>9199</v>
      </c>
      <c r="B3045">
        <v>-0.21507399803496399</v>
      </c>
      <c r="C3045">
        <v>12.5987578710777</v>
      </c>
      <c r="D3045">
        <v>1.6209413811483199E-2</v>
      </c>
      <c r="E3045">
        <v>0.29964543707782998</v>
      </c>
      <c r="F3045">
        <v>517</v>
      </c>
      <c r="G3045">
        <v>640</v>
      </c>
      <c r="H3045" t="s">
        <v>9200</v>
      </c>
      <c r="I3045" t="s">
        <v>9201</v>
      </c>
      <c r="J3045" t="s">
        <v>3325</v>
      </c>
    </row>
    <row r="3046" spans="1:10">
      <c r="A3046" t="s">
        <v>9202</v>
      </c>
      <c r="B3046">
        <v>-1.4039282767769601</v>
      </c>
      <c r="C3046">
        <v>7.3769366652639201</v>
      </c>
      <c r="D3046">
        <v>1.6202828339948201E-2</v>
      </c>
      <c r="E3046">
        <v>0.29964543707782998</v>
      </c>
      <c r="F3046">
        <v>8</v>
      </c>
      <c r="G3046">
        <v>23</v>
      </c>
      <c r="H3046" t="s">
        <v>28</v>
      </c>
      <c r="I3046" t="s">
        <v>3438</v>
      </c>
      <c r="J3046" t="s">
        <v>3326</v>
      </c>
    </row>
    <row r="3047" spans="1:10">
      <c r="A3047" t="s">
        <v>9203</v>
      </c>
      <c r="B3047">
        <v>-0.35932208764885498</v>
      </c>
      <c r="C3047">
        <v>11.0844373049163</v>
      </c>
      <c r="D3047">
        <v>1.56878147938012E-2</v>
      </c>
      <c r="E3047">
        <v>0.29504100805184102</v>
      </c>
      <c r="F3047">
        <v>171</v>
      </c>
      <c r="G3047">
        <v>234</v>
      </c>
      <c r="H3047" t="s">
        <v>9204</v>
      </c>
      <c r="I3047" t="s">
        <v>9205</v>
      </c>
      <c r="J3047" t="s">
        <v>3327</v>
      </c>
    </row>
    <row r="3048" spans="1:10">
      <c r="A3048" t="s">
        <v>9206</v>
      </c>
      <c r="B3048">
        <v>-4.8139535385584704</v>
      </c>
      <c r="C3048">
        <v>5.2301119863629602</v>
      </c>
      <c r="D3048">
        <v>1.5641409530675499E-2</v>
      </c>
      <c r="E3048">
        <v>0.29504100805184102</v>
      </c>
      <c r="F3048">
        <v>0</v>
      </c>
      <c r="G3048">
        <v>7</v>
      </c>
      <c r="H3048" t="s">
        <v>28</v>
      </c>
      <c r="I3048" t="s">
        <v>3438</v>
      </c>
      <c r="J3048" t="s">
        <v>3328</v>
      </c>
    </row>
    <row r="3049" spans="1:10">
      <c r="A3049" t="s">
        <v>9207</v>
      </c>
      <c r="B3049">
        <v>-0.96913596437002703</v>
      </c>
      <c r="C3049">
        <v>8.3769228432065006</v>
      </c>
      <c r="D3049">
        <v>1.52899372118526E-2</v>
      </c>
      <c r="E3049">
        <v>0.29096117203146599</v>
      </c>
      <c r="F3049">
        <v>20</v>
      </c>
      <c r="G3049">
        <v>42</v>
      </c>
      <c r="H3049" t="s">
        <v>9208</v>
      </c>
      <c r="I3049" t="s">
        <v>9209</v>
      </c>
      <c r="J3049" t="s">
        <v>3329</v>
      </c>
    </row>
    <row r="3050" spans="1:10">
      <c r="A3050" t="s">
        <v>9210</v>
      </c>
      <c r="B3050">
        <v>0.78206251661558901</v>
      </c>
      <c r="C3050">
        <v>8.8985612481389396</v>
      </c>
      <c r="D3050">
        <v>1.50910303396383E-2</v>
      </c>
      <c r="E3050">
        <v>0.28888543793021798</v>
      </c>
      <c r="F3050">
        <v>55</v>
      </c>
      <c r="G3050">
        <v>34</v>
      </c>
      <c r="H3050" t="s">
        <v>28</v>
      </c>
      <c r="I3050" t="s">
        <v>3438</v>
      </c>
      <c r="J3050" t="s">
        <v>3330</v>
      </c>
    </row>
    <row r="3051" spans="1:10">
      <c r="A3051" t="s">
        <v>9211</v>
      </c>
      <c r="B3051">
        <v>0.62482226369032701</v>
      </c>
      <c r="C3051">
        <v>9.5725902185435405</v>
      </c>
      <c r="D3051">
        <v>1.5008345426407801E-2</v>
      </c>
      <c r="E3051">
        <v>0.28888543793021798</v>
      </c>
      <c r="F3051">
        <v>84</v>
      </c>
      <c r="G3051">
        <v>58</v>
      </c>
      <c r="H3051" t="s">
        <v>9212</v>
      </c>
      <c r="I3051" t="s">
        <v>9213</v>
      </c>
      <c r="J3051" t="s">
        <v>3331</v>
      </c>
    </row>
    <row r="3052" spans="1:10">
      <c r="A3052" t="s">
        <v>9214</v>
      </c>
      <c r="B3052">
        <v>0.64768362836905002</v>
      </c>
      <c r="C3052">
        <v>9.4562630223621102</v>
      </c>
      <c r="D3052">
        <v>1.4433372984524601E-2</v>
      </c>
      <c r="E3052">
        <v>0.27962486456765601</v>
      </c>
      <c r="F3052">
        <v>78</v>
      </c>
      <c r="G3052">
        <v>53</v>
      </c>
      <c r="H3052" t="s">
        <v>209</v>
      </c>
      <c r="I3052" t="s">
        <v>9215</v>
      </c>
      <c r="J3052" t="s">
        <v>208</v>
      </c>
    </row>
    <row r="3053" spans="1:10">
      <c r="A3053" t="s">
        <v>9216</v>
      </c>
      <c r="B3053">
        <v>-1.23702636608508</v>
      </c>
      <c r="C3053">
        <v>7.7081385549498203</v>
      </c>
      <c r="D3053">
        <v>1.39417368904232E-2</v>
      </c>
      <c r="E3053">
        <v>0.27173712630061297</v>
      </c>
      <c r="F3053">
        <v>11</v>
      </c>
      <c r="G3053">
        <v>28</v>
      </c>
      <c r="H3053" t="s">
        <v>9217</v>
      </c>
      <c r="I3053" t="s">
        <v>9218</v>
      </c>
      <c r="J3053" t="s">
        <v>3332</v>
      </c>
    </row>
    <row r="3054" spans="1:10">
      <c r="A3054" t="s">
        <v>9219</v>
      </c>
      <c r="B3054">
        <v>-1.3577302393908799</v>
      </c>
      <c r="C3054">
        <v>7.5102011102741102</v>
      </c>
      <c r="D3054">
        <v>1.3606507841229199E-2</v>
      </c>
      <c r="E3054">
        <v>0.26682030010605501</v>
      </c>
      <c r="F3054">
        <v>9</v>
      </c>
      <c r="G3054">
        <v>25</v>
      </c>
      <c r="H3054" t="s">
        <v>9220</v>
      </c>
      <c r="I3054" t="s">
        <v>9221</v>
      </c>
      <c r="J3054" t="s">
        <v>3333</v>
      </c>
    </row>
    <row r="3055" spans="1:10">
      <c r="A3055" t="s">
        <v>9222</v>
      </c>
      <c r="B3055">
        <v>-1.1735537253639301</v>
      </c>
      <c r="C3055">
        <v>8.0076925854424896</v>
      </c>
      <c r="D3055">
        <v>1.33924274950857E-2</v>
      </c>
      <c r="E3055">
        <v>0.26423341609935902</v>
      </c>
      <c r="F3055">
        <v>14</v>
      </c>
      <c r="G3055">
        <v>34</v>
      </c>
      <c r="H3055" t="s">
        <v>28</v>
      </c>
      <c r="I3055" t="s">
        <v>4697</v>
      </c>
      <c r="J3055" t="s">
        <v>3334</v>
      </c>
    </row>
    <row r="3056" spans="1:10">
      <c r="A3056" t="s">
        <v>9223</v>
      </c>
      <c r="B3056">
        <v>-0.73842596049564002</v>
      </c>
      <c r="C3056">
        <v>9.1092140513391495</v>
      </c>
      <c r="D3056">
        <v>1.3149933585144999E-2</v>
      </c>
      <c r="E3056">
        <v>0.26105053339398998</v>
      </c>
      <c r="F3056">
        <v>37</v>
      </c>
      <c r="G3056">
        <v>66</v>
      </c>
      <c r="H3056" t="s">
        <v>9224</v>
      </c>
      <c r="I3056" t="s">
        <v>9225</v>
      </c>
      <c r="J3056" t="s">
        <v>3335</v>
      </c>
    </row>
    <row r="3057" spans="1:10">
      <c r="A3057" t="s">
        <v>9226</v>
      </c>
      <c r="B3057">
        <v>0.81564554805787304</v>
      </c>
      <c r="C3057">
        <v>8.8322184676389099</v>
      </c>
      <c r="D3057">
        <v>1.28628631647254E-2</v>
      </c>
      <c r="E3057">
        <v>0.25693768905439002</v>
      </c>
      <c r="F3057">
        <v>53</v>
      </c>
      <c r="G3057">
        <v>32</v>
      </c>
      <c r="H3057" t="s">
        <v>28</v>
      </c>
      <c r="I3057" t="s">
        <v>9227</v>
      </c>
      <c r="J3057" t="s">
        <v>3336</v>
      </c>
    </row>
    <row r="3058" spans="1:10">
      <c r="A3058" t="s">
        <v>9228</v>
      </c>
      <c r="B3058">
        <v>2.22081565033506</v>
      </c>
      <c r="C3058">
        <v>6.5102623408979499</v>
      </c>
      <c r="D3058">
        <v>1.2762168685188801E-2</v>
      </c>
      <c r="E3058">
        <v>0.25651959057229501</v>
      </c>
      <c r="F3058">
        <v>14</v>
      </c>
      <c r="G3058">
        <v>3</v>
      </c>
      <c r="H3058" t="s">
        <v>9229</v>
      </c>
      <c r="I3058" t="s">
        <v>9230</v>
      </c>
      <c r="J3058" t="s">
        <v>3337</v>
      </c>
    </row>
    <row r="3059" spans="1:10">
      <c r="A3059" t="s">
        <v>9231</v>
      </c>
      <c r="B3059">
        <v>0.95368808331710297</v>
      </c>
      <c r="C3059">
        <v>8.4451892938957993</v>
      </c>
      <c r="D3059">
        <v>1.26444685634939E-2</v>
      </c>
      <c r="E3059">
        <v>0.255752269812555</v>
      </c>
      <c r="F3059">
        <v>42</v>
      </c>
      <c r="G3059">
        <v>23</v>
      </c>
      <c r="H3059" t="s">
        <v>28</v>
      </c>
      <c r="I3059" t="s">
        <v>3631</v>
      </c>
      <c r="J3059" t="s">
        <v>3338</v>
      </c>
    </row>
    <row r="3060" spans="1:10">
      <c r="A3060" t="s">
        <v>9232</v>
      </c>
      <c r="B3060">
        <v>-1.52713236374309</v>
      </c>
      <c r="C3060">
        <v>7.2807211980541204</v>
      </c>
      <c r="D3060">
        <v>1.26012247422284E-2</v>
      </c>
      <c r="E3060">
        <v>0.255752269812555</v>
      </c>
      <c r="F3060">
        <v>7</v>
      </c>
      <c r="G3060">
        <v>22</v>
      </c>
      <c r="H3060" t="s">
        <v>28</v>
      </c>
      <c r="I3060" t="s">
        <v>3438</v>
      </c>
      <c r="J3060" t="s">
        <v>3339</v>
      </c>
    </row>
    <row r="3061" spans="1:10">
      <c r="A3061" t="s">
        <v>9233</v>
      </c>
      <c r="B3061">
        <v>1.5724392030280701</v>
      </c>
      <c r="C3061">
        <v>7.17769236142931</v>
      </c>
      <c r="D3061">
        <v>1.26012247422284E-2</v>
      </c>
      <c r="E3061">
        <v>0.255752269812555</v>
      </c>
      <c r="F3061">
        <v>20</v>
      </c>
      <c r="G3061">
        <v>7</v>
      </c>
      <c r="H3061" t="s">
        <v>9234</v>
      </c>
      <c r="I3061" t="s">
        <v>9235</v>
      </c>
      <c r="J3061" t="s">
        <v>3340</v>
      </c>
    </row>
    <row r="3062" spans="1:10">
      <c r="A3062" t="s">
        <v>9236</v>
      </c>
      <c r="B3062">
        <v>1.5724392030280701</v>
      </c>
      <c r="C3062">
        <v>7.17769236142931</v>
      </c>
      <c r="D3062">
        <v>1.26012247422284E-2</v>
      </c>
      <c r="E3062">
        <v>0.255752269812555</v>
      </c>
      <c r="F3062">
        <v>20</v>
      </c>
      <c r="G3062">
        <v>7</v>
      </c>
      <c r="H3062" t="s">
        <v>28</v>
      </c>
      <c r="I3062" t="s">
        <v>3438</v>
      </c>
      <c r="J3062" t="s">
        <v>3341</v>
      </c>
    </row>
    <row r="3063" spans="1:10">
      <c r="A3063" t="s">
        <v>9237</v>
      </c>
      <c r="B3063">
        <v>-0.75575410249988995</v>
      </c>
      <c r="C3063">
        <v>9.0809248528371107</v>
      </c>
      <c r="D3063">
        <v>1.22463015005415E-2</v>
      </c>
      <c r="E3063">
        <v>0.25409100403704099</v>
      </c>
      <c r="F3063">
        <v>36</v>
      </c>
      <c r="G3063">
        <v>65</v>
      </c>
      <c r="H3063" t="s">
        <v>9238</v>
      </c>
      <c r="I3063" t="s">
        <v>9239</v>
      </c>
      <c r="J3063" t="s">
        <v>3342</v>
      </c>
    </row>
    <row r="3064" spans="1:10">
      <c r="A3064" t="s">
        <v>9240</v>
      </c>
      <c r="B3064">
        <v>-1.84560711317754</v>
      </c>
      <c r="C3064">
        <v>6.7446745596940199</v>
      </c>
      <c r="D3064">
        <v>1.1858624486515699E-2</v>
      </c>
      <c r="E3064">
        <v>0.247645041224899</v>
      </c>
      <c r="F3064">
        <v>4</v>
      </c>
      <c r="G3064">
        <v>16</v>
      </c>
      <c r="H3064" t="s">
        <v>28</v>
      </c>
      <c r="I3064" t="s">
        <v>3438</v>
      </c>
      <c r="J3064" t="s">
        <v>3343</v>
      </c>
    </row>
    <row r="3065" spans="1:10">
      <c r="A3065" t="s">
        <v>9241</v>
      </c>
      <c r="B3065">
        <v>2.02420763139357</v>
      </c>
      <c r="C3065">
        <v>6.7447301291551804</v>
      </c>
      <c r="D3065">
        <v>1.1858624486515699E-2</v>
      </c>
      <c r="E3065">
        <v>0.247645041224899</v>
      </c>
      <c r="F3065">
        <v>16</v>
      </c>
      <c r="G3065">
        <v>4</v>
      </c>
      <c r="H3065" t="s">
        <v>28</v>
      </c>
      <c r="I3065" t="s">
        <v>3438</v>
      </c>
      <c r="J3065" t="s">
        <v>3344</v>
      </c>
    </row>
    <row r="3066" spans="1:10">
      <c r="A3066" t="s">
        <v>9242</v>
      </c>
      <c r="B3066">
        <v>0.89396749681063803</v>
      </c>
      <c r="C3066">
        <v>8.6896135005124293</v>
      </c>
      <c r="D3066">
        <v>1.18327821880478E-2</v>
      </c>
      <c r="E3066">
        <v>0.247645041224899</v>
      </c>
      <c r="F3066">
        <v>49</v>
      </c>
      <c r="G3066">
        <v>28</v>
      </c>
      <c r="H3066" t="s">
        <v>9243</v>
      </c>
      <c r="I3066" t="s">
        <v>3438</v>
      </c>
      <c r="J3066" t="s">
        <v>3345</v>
      </c>
    </row>
    <row r="3067" spans="1:10">
      <c r="A3067" t="s">
        <v>9244</v>
      </c>
      <c r="B3067">
        <v>-0.57537279200907498</v>
      </c>
      <c r="C3067">
        <v>9.8405482795540706</v>
      </c>
      <c r="D3067">
        <v>1.1500597901505399E-2</v>
      </c>
      <c r="E3067">
        <v>0.24493988643206099</v>
      </c>
      <c r="F3067">
        <v>66</v>
      </c>
      <c r="G3067">
        <v>105</v>
      </c>
      <c r="H3067" t="s">
        <v>9245</v>
      </c>
      <c r="I3067" t="s">
        <v>9246</v>
      </c>
      <c r="J3067" t="s">
        <v>3346</v>
      </c>
    </row>
    <row r="3068" spans="1:10">
      <c r="A3068" t="s">
        <v>9247</v>
      </c>
      <c r="B3068">
        <v>1.12665647738172</v>
      </c>
      <c r="C3068">
        <v>7.9463751339691697</v>
      </c>
      <c r="D3068">
        <v>1.14444885751698E-2</v>
      </c>
      <c r="E3068">
        <v>0.24493988643206099</v>
      </c>
      <c r="F3068">
        <v>31</v>
      </c>
      <c r="G3068">
        <v>15</v>
      </c>
      <c r="H3068" t="s">
        <v>28</v>
      </c>
      <c r="I3068" t="s">
        <v>4074</v>
      </c>
      <c r="J3068" t="s">
        <v>3347</v>
      </c>
    </row>
    <row r="3069" spans="1:10">
      <c r="A3069" t="s">
        <v>9248</v>
      </c>
      <c r="B3069">
        <v>1.3918104226069199</v>
      </c>
      <c r="C3069">
        <v>7.5520930855591804</v>
      </c>
      <c r="D3069">
        <v>1.1403219157899399E-2</v>
      </c>
      <c r="E3069">
        <v>0.24493988643206099</v>
      </c>
      <c r="F3069">
        <v>25</v>
      </c>
      <c r="G3069">
        <v>10</v>
      </c>
      <c r="H3069" t="s">
        <v>28</v>
      </c>
      <c r="I3069" t="s">
        <v>9249</v>
      </c>
      <c r="J3069" t="s">
        <v>3348</v>
      </c>
    </row>
    <row r="3070" spans="1:10">
      <c r="A3070" t="s">
        <v>9250</v>
      </c>
      <c r="B3070">
        <v>-1.0028784150758701</v>
      </c>
      <c r="C3070">
        <v>8.4000042224944593</v>
      </c>
      <c r="D3070">
        <v>1.1267509520431601E-2</v>
      </c>
      <c r="E3070">
        <v>0.24483993660613501</v>
      </c>
      <c r="F3070">
        <v>20</v>
      </c>
      <c r="G3070">
        <v>43</v>
      </c>
      <c r="H3070" t="s">
        <v>28</v>
      </c>
      <c r="I3070" t="s">
        <v>3438</v>
      </c>
      <c r="J3070" t="s">
        <v>3349</v>
      </c>
    </row>
    <row r="3071" spans="1:10">
      <c r="A3071" t="s">
        <v>9251</v>
      </c>
      <c r="B3071">
        <v>-1.70761089839229</v>
      </c>
      <c r="C3071">
        <v>6.9463063329425099</v>
      </c>
      <c r="D3071">
        <v>1.0665387427298299E-2</v>
      </c>
      <c r="E3071">
        <v>0.23333255759313801</v>
      </c>
      <c r="F3071">
        <v>5</v>
      </c>
      <c r="G3071">
        <v>18</v>
      </c>
      <c r="H3071" t="s">
        <v>9252</v>
      </c>
      <c r="I3071" t="s">
        <v>9253</v>
      </c>
      <c r="J3071" t="s">
        <v>3350</v>
      </c>
    </row>
    <row r="3072" spans="1:10">
      <c r="A3072" t="s">
        <v>9254</v>
      </c>
      <c r="B3072">
        <v>-1.70761089839229</v>
      </c>
      <c r="C3072">
        <v>6.9463063329425099</v>
      </c>
      <c r="D3072">
        <v>1.0665387427298299E-2</v>
      </c>
      <c r="E3072">
        <v>0.23333255759313801</v>
      </c>
      <c r="F3072">
        <v>5</v>
      </c>
      <c r="G3072">
        <v>18</v>
      </c>
      <c r="H3072" t="s">
        <v>28</v>
      </c>
      <c r="I3072" t="s">
        <v>3436</v>
      </c>
      <c r="J3072" t="s">
        <v>3351</v>
      </c>
    </row>
    <row r="3073" spans="1:10">
      <c r="A3073" t="s">
        <v>9255</v>
      </c>
      <c r="B3073">
        <v>1.8874064715799199</v>
      </c>
      <c r="C3073">
        <v>6.9463665241907799</v>
      </c>
      <c r="D3073">
        <v>1.0665387427298299E-2</v>
      </c>
      <c r="E3073">
        <v>0.23333255759313801</v>
      </c>
      <c r="F3073">
        <v>18</v>
      </c>
      <c r="G3073">
        <v>5</v>
      </c>
      <c r="H3073" t="s">
        <v>9256</v>
      </c>
      <c r="I3073" t="s">
        <v>9257</v>
      </c>
      <c r="J3073" t="s">
        <v>3352</v>
      </c>
    </row>
    <row r="3074" spans="1:10">
      <c r="A3074" t="s">
        <v>9258</v>
      </c>
      <c r="B3074">
        <v>-0.46127521074956301</v>
      </c>
      <c r="C3074">
        <v>10.5467934176894</v>
      </c>
      <c r="D3074">
        <v>1.0298149436256799E-2</v>
      </c>
      <c r="E3074">
        <v>0.229992004076401</v>
      </c>
      <c r="F3074">
        <v>113</v>
      </c>
      <c r="G3074">
        <v>166</v>
      </c>
      <c r="H3074" t="s">
        <v>28</v>
      </c>
      <c r="I3074" t="s">
        <v>3438</v>
      </c>
      <c r="J3074" t="s">
        <v>3353</v>
      </c>
    </row>
    <row r="3075" spans="1:10">
      <c r="A3075" t="s">
        <v>9259</v>
      </c>
      <c r="B3075">
        <v>-1.04222916711985</v>
      </c>
      <c r="C3075">
        <v>8.3534614832518308</v>
      </c>
      <c r="D3075">
        <v>9.9646433641636094E-3</v>
      </c>
      <c r="E3075">
        <v>0.22409995146258899</v>
      </c>
      <c r="F3075">
        <v>19</v>
      </c>
      <c r="G3075">
        <v>42</v>
      </c>
      <c r="H3075" t="s">
        <v>28</v>
      </c>
      <c r="I3075" t="s">
        <v>3438</v>
      </c>
      <c r="J3075" t="s">
        <v>3354</v>
      </c>
    </row>
    <row r="3076" spans="1:10">
      <c r="A3076" t="s">
        <v>9260</v>
      </c>
      <c r="B3076">
        <v>0.90123322406410999</v>
      </c>
      <c r="C3076">
        <v>8.7447575777082101</v>
      </c>
      <c r="D3076">
        <v>9.8273305054027496E-3</v>
      </c>
      <c r="E3076">
        <v>0.22256827398151599</v>
      </c>
      <c r="F3076">
        <v>51</v>
      </c>
      <c r="G3076">
        <v>29</v>
      </c>
      <c r="H3076" t="s">
        <v>28</v>
      </c>
      <c r="I3076" t="s">
        <v>3438</v>
      </c>
      <c r="J3076" t="s">
        <v>82</v>
      </c>
    </row>
    <row r="3077" spans="1:10">
      <c r="A3077" t="s">
        <v>9261</v>
      </c>
      <c r="B3077">
        <v>-0.74042842937694997</v>
      </c>
      <c r="C3077">
        <v>9.2930701048179998</v>
      </c>
      <c r="D3077">
        <v>9.5473710947454899E-3</v>
      </c>
      <c r="E3077">
        <v>0.21776131518228001</v>
      </c>
      <c r="F3077">
        <v>42</v>
      </c>
      <c r="G3077">
        <v>75</v>
      </c>
      <c r="H3077" t="s">
        <v>9262</v>
      </c>
      <c r="I3077" t="s">
        <v>9263</v>
      </c>
      <c r="J3077" t="s">
        <v>3355</v>
      </c>
    </row>
    <row r="3078" spans="1:10">
      <c r="A3078" t="s">
        <v>9264</v>
      </c>
      <c r="B3078">
        <v>-1.2871981027875199</v>
      </c>
      <c r="C3078">
        <v>7.7446621940850902</v>
      </c>
      <c r="D3078">
        <v>9.5437152277740803E-3</v>
      </c>
      <c r="E3078">
        <v>0.21776131518228001</v>
      </c>
      <c r="F3078">
        <v>11</v>
      </c>
      <c r="G3078">
        <v>29</v>
      </c>
      <c r="H3078" t="s">
        <v>28</v>
      </c>
      <c r="I3078" t="s">
        <v>3438</v>
      </c>
      <c r="J3078" t="s">
        <v>3356</v>
      </c>
    </row>
    <row r="3079" spans="1:10">
      <c r="A3079" t="s">
        <v>9265</v>
      </c>
      <c r="B3079">
        <v>-0.68218570971633097</v>
      </c>
      <c r="C3079">
        <v>9.4779844531948907</v>
      </c>
      <c r="D3079">
        <v>9.2597597460875401E-3</v>
      </c>
      <c r="E3079">
        <v>0.214240196715234</v>
      </c>
      <c r="F3079">
        <v>49</v>
      </c>
      <c r="G3079">
        <v>84</v>
      </c>
      <c r="H3079" t="s">
        <v>6456</v>
      </c>
      <c r="I3079" t="s">
        <v>6457</v>
      </c>
      <c r="J3079" t="s">
        <v>3357</v>
      </c>
    </row>
    <row r="3080" spans="1:10">
      <c r="A3080" t="s">
        <v>9266</v>
      </c>
      <c r="B3080">
        <v>-0.61838517800132897</v>
      </c>
      <c r="C3080">
        <v>9.7536118659303206</v>
      </c>
      <c r="D3080">
        <v>9.1463780129717401E-3</v>
      </c>
      <c r="E3080">
        <v>0.21315037456316799</v>
      </c>
      <c r="F3080">
        <v>61</v>
      </c>
      <c r="G3080">
        <v>100</v>
      </c>
      <c r="H3080" t="s">
        <v>9267</v>
      </c>
      <c r="I3080" t="s">
        <v>9268</v>
      </c>
      <c r="J3080" t="s">
        <v>3358</v>
      </c>
    </row>
    <row r="3081" spans="1:10">
      <c r="A3081" t="s">
        <v>9269</v>
      </c>
      <c r="B3081">
        <v>1.4814693642321399</v>
      </c>
      <c r="C3081">
        <v>7.4672040429981896</v>
      </c>
      <c r="D3081">
        <v>9.0985191432450992E-3</v>
      </c>
      <c r="E3081">
        <v>0.21315037456316799</v>
      </c>
      <c r="F3081">
        <v>24</v>
      </c>
      <c r="G3081">
        <v>9</v>
      </c>
      <c r="H3081" t="s">
        <v>28</v>
      </c>
      <c r="I3081" t="s">
        <v>9270</v>
      </c>
      <c r="J3081" t="s">
        <v>3359</v>
      </c>
    </row>
    <row r="3082" spans="1:10">
      <c r="A3082" t="s">
        <v>9271</v>
      </c>
      <c r="B3082">
        <v>1.0170910699697799</v>
      </c>
      <c r="C3082">
        <v>8.4228237194583198</v>
      </c>
      <c r="D3082">
        <v>8.2478317716233995E-3</v>
      </c>
      <c r="E3082">
        <v>0.195036963070153</v>
      </c>
      <c r="F3082">
        <v>42</v>
      </c>
      <c r="G3082">
        <v>22</v>
      </c>
      <c r="H3082" t="s">
        <v>28</v>
      </c>
      <c r="I3082" t="s">
        <v>3657</v>
      </c>
      <c r="J3082" t="s">
        <v>3360</v>
      </c>
    </row>
    <row r="3083" spans="1:10">
      <c r="A3083" t="s">
        <v>9272</v>
      </c>
      <c r="B3083">
        <v>1.0170910699697799</v>
      </c>
      <c r="C3083">
        <v>8.4228237194583198</v>
      </c>
      <c r="D3083">
        <v>8.2478317716233995E-3</v>
      </c>
      <c r="E3083">
        <v>0.195036963070153</v>
      </c>
      <c r="F3083">
        <v>42</v>
      </c>
      <c r="G3083">
        <v>22</v>
      </c>
      <c r="H3083" t="s">
        <v>28</v>
      </c>
      <c r="I3083" t="s">
        <v>3438</v>
      </c>
      <c r="J3083" t="s">
        <v>3361</v>
      </c>
    </row>
    <row r="3084" spans="1:10">
      <c r="A3084" t="s">
        <v>9273</v>
      </c>
      <c r="B3084">
        <v>1.64200707720047</v>
      </c>
      <c r="C3084">
        <v>7.23016216860968</v>
      </c>
      <c r="D3084">
        <v>8.1748907441319199E-3</v>
      </c>
      <c r="E3084">
        <v>0.195036963070153</v>
      </c>
      <c r="F3084">
        <v>21</v>
      </c>
      <c r="G3084">
        <v>7</v>
      </c>
      <c r="H3084" t="s">
        <v>28</v>
      </c>
      <c r="I3084" t="s">
        <v>9274</v>
      </c>
      <c r="J3084" t="s">
        <v>3362</v>
      </c>
    </row>
    <row r="3085" spans="1:10">
      <c r="A3085" t="s">
        <v>9275</v>
      </c>
      <c r="B3085">
        <v>1.23391379504205</v>
      </c>
      <c r="C3085">
        <v>7.81513031149131</v>
      </c>
      <c r="D3085">
        <v>7.9801439835805905E-3</v>
      </c>
      <c r="E3085">
        <v>0.192963481587934</v>
      </c>
      <c r="F3085">
        <v>29</v>
      </c>
      <c r="G3085">
        <v>13</v>
      </c>
      <c r="H3085" t="s">
        <v>28</v>
      </c>
      <c r="I3085" t="s">
        <v>4727</v>
      </c>
      <c r="J3085" t="s">
        <v>3363</v>
      </c>
    </row>
    <row r="3086" spans="1:10">
      <c r="A3086" t="s">
        <v>9276</v>
      </c>
      <c r="B3086">
        <v>-0.78132942668372896</v>
      </c>
      <c r="C3086">
        <v>9.1369545848305993</v>
      </c>
      <c r="D3086">
        <v>7.9593584288919408E-3</v>
      </c>
      <c r="E3086">
        <v>0.192963481587934</v>
      </c>
      <c r="F3086">
        <v>37</v>
      </c>
      <c r="G3086">
        <v>68</v>
      </c>
      <c r="H3086" t="s">
        <v>9277</v>
      </c>
      <c r="I3086" t="s">
        <v>8467</v>
      </c>
      <c r="J3086" t="s">
        <v>3364</v>
      </c>
    </row>
    <row r="3087" spans="1:10">
      <c r="A3087" t="s">
        <v>9278</v>
      </c>
      <c r="B3087">
        <v>-0.59646809987823701</v>
      </c>
      <c r="C3087">
        <v>9.9383873478187592</v>
      </c>
      <c r="D3087">
        <v>7.8933466499066102E-3</v>
      </c>
      <c r="E3087">
        <v>0.192963481587934</v>
      </c>
      <c r="F3087">
        <v>70</v>
      </c>
      <c r="G3087">
        <v>113</v>
      </c>
      <c r="H3087" t="s">
        <v>9279</v>
      </c>
      <c r="I3087" t="s">
        <v>9280</v>
      </c>
      <c r="J3087" t="s">
        <v>3365</v>
      </c>
    </row>
    <row r="3088" spans="1:10">
      <c r="A3088" t="s">
        <v>9281</v>
      </c>
      <c r="B3088">
        <v>-1.13061214733441</v>
      </c>
      <c r="C3088">
        <v>8.2556138531508907</v>
      </c>
      <c r="D3088">
        <v>7.59239614201891E-3</v>
      </c>
      <c r="E3088">
        <v>0.18782419994409899</v>
      </c>
      <c r="F3088">
        <v>17</v>
      </c>
      <c r="G3088">
        <v>40</v>
      </c>
      <c r="H3088" t="s">
        <v>9282</v>
      </c>
      <c r="I3088" t="s">
        <v>9283</v>
      </c>
      <c r="J3088" t="s">
        <v>3366</v>
      </c>
    </row>
    <row r="3089" spans="1:10">
      <c r="A3089" t="s">
        <v>9284</v>
      </c>
      <c r="B3089">
        <v>-0.57458444930042096</v>
      </c>
      <c r="C3089">
        <v>10.080893589808699</v>
      </c>
      <c r="D3089">
        <v>7.49686504561747E-3</v>
      </c>
      <c r="E3089">
        <v>0.18689858904423101</v>
      </c>
      <c r="F3089">
        <v>78</v>
      </c>
      <c r="G3089">
        <v>124</v>
      </c>
      <c r="H3089" t="s">
        <v>9285</v>
      </c>
      <c r="I3089" t="s">
        <v>9286</v>
      </c>
      <c r="J3089" t="s">
        <v>3367</v>
      </c>
    </row>
    <row r="3090" spans="1:10">
      <c r="A3090" t="s">
        <v>9287</v>
      </c>
      <c r="B3090">
        <v>-2.4712893504895099</v>
      </c>
      <c r="C3090">
        <v>6.3296389977250502</v>
      </c>
      <c r="D3090">
        <v>7.4060967305925396E-3</v>
      </c>
      <c r="E3090">
        <v>0.18607818035613799</v>
      </c>
      <c r="F3090">
        <v>2</v>
      </c>
      <c r="G3090">
        <v>13</v>
      </c>
      <c r="H3090" t="s">
        <v>28</v>
      </c>
      <c r="I3090" t="s">
        <v>3657</v>
      </c>
      <c r="J3090" t="s">
        <v>115</v>
      </c>
    </row>
    <row r="3091" spans="1:10">
      <c r="A3091" t="s">
        <v>9288</v>
      </c>
      <c r="B3091">
        <v>2.6447194129021798</v>
      </c>
      <c r="C3091">
        <v>6.3296899490977898</v>
      </c>
      <c r="D3091">
        <v>7.4060967305925396E-3</v>
      </c>
      <c r="E3091">
        <v>0.18607818035613799</v>
      </c>
      <c r="F3091">
        <v>13</v>
      </c>
      <c r="G3091">
        <v>2</v>
      </c>
      <c r="H3091" t="s">
        <v>9289</v>
      </c>
      <c r="I3091" t="s">
        <v>9290</v>
      </c>
      <c r="J3091" t="s">
        <v>3368</v>
      </c>
    </row>
    <row r="3092" spans="1:10">
      <c r="A3092" t="s">
        <v>9291</v>
      </c>
      <c r="B3092">
        <v>-1.9317224353153699</v>
      </c>
      <c r="C3092">
        <v>6.8150616480539501</v>
      </c>
      <c r="D3092">
        <v>7.2265193744511999E-3</v>
      </c>
      <c r="E3092">
        <v>0.18444830403361201</v>
      </c>
      <c r="F3092">
        <v>4</v>
      </c>
      <c r="G3092">
        <v>17</v>
      </c>
      <c r="H3092" t="s">
        <v>28</v>
      </c>
      <c r="I3092" t="s">
        <v>3438</v>
      </c>
      <c r="J3092" t="s">
        <v>3369</v>
      </c>
    </row>
    <row r="3093" spans="1:10">
      <c r="A3093" t="s">
        <v>9292</v>
      </c>
      <c r="B3093">
        <v>-1.9317224353153699</v>
      </c>
      <c r="C3093">
        <v>6.8150616480539501</v>
      </c>
      <c r="D3093">
        <v>7.2265193744511999E-3</v>
      </c>
      <c r="E3093">
        <v>0.18444830403361201</v>
      </c>
      <c r="F3093">
        <v>4</v>
      </c>
      <c r="G3093">
        <v>17</v>
      </c>
      <c r="H3093" t="s">
        <v>28</v>
      </c>
      <c r="I3093" t="s">
        <v>3438</v>
      </c>
      <c r="J3093" t="s">
        <v>3370</v>
      </c>
    </row>
    <row r="3094" spans="1:10">
      <c r="A3094" t="s">
        <v>9293</v>
      </c>
      <c r="B3094">
        <v>2.1104056364415702</v>
      </c>
      <c r="C3094">
        <v>6.8151218453030298</v>
      </c>
      <c r="D3094">
        <v>7.2265193744511999E-3</v>
      </c>
      <c r="E3094">
        <v>0.18444830403361201</v>
      </c>
      <c r="F3094">
        <v>17</v>
      </c>
      <c r="G3094">
        <v>4</v>
      </c>
      <c r="H3094" t="s">
        <v>28</v>
      </c>
      <c r="I3094" t="s">
        <v>4138</v>
      </c>
      <c r="J3094" t="s">
        <v>113</v>
      </c>
    </row>
    <row r="3095" spans="1:10">
      <c r="A3095" t="s">
        <v>9294</v>
      </c>
      <c r="B3095">
        <v>2.1104056364415702</v>
      </c>
      <c r="C3095">
        <v>6.8151218453030298</v>
      </c>
      <c r="D3095">
        <v>7.2265193744511999E-3</v>
      </c>
      <c r="E3095">
        <v>0.18444830403361201</v>
      </c>
      <c r="F3095">
        <v>17</v>
      </c>
      <c r="G3095">
        <v>4</v>
      </c>
      <c r="H3095" t="s">
        <v>28</v>
      </c>
      <c r="I3095" t="s">
        <v>9159</v>
      </c>
      <c r="J3095" t="s">
        <v>3371</v>
      </c>
    </row>
    <row r="3096" spans="1:10">
      <c r="A3096" t="s">
        <v>9295</v>
      </c>
      <c r="B3096">
        <v>0.45109705932504801</v>
      </c>
      <c r="C3096">
        <v>10.722092868501999</v>
      </c>
      <c r="D3096">
        <v>7.1876473951947998E-3</v>
      </c>
      <c r="E3096">
        <v>0.18444830403361201</v>
      </c>
      <c r="F3096">
        <v>177</v>
      </c>
      <c r="G3096">
        <v>138</v>
      </c>
      <c r="H3096" t="s">
        <v>9296</v>
      </c>
      <c r="I3096" t="s">
        <v>9297</v>
      </c>
      <c r="J3096" t="s">
        <v>3372</v>
      </c>
    </row>
    <row r="3097" spans="1:10">
      <c r="A3097" t="s">
        <v>9298</v>
      </c>
      <c r="B3097">
        <v>-0.44780602036245898</v>
      </c>
      <c r="C3097">
        <v>10.784601549288301</v>
      </c>
      <c r="D3097">
        <v>7.1868776854555798E-3</v>
      </c>
      <c r="E3097">
        <v>0.18444830403361201</v>
      </c>
      <c r="F3097">
        <v>134</v>
      </c>
      <c r="G3097">
        <v>195</v>
      </c>
      <c r="H3097" t="s">
        <v>9299</v>
      </c>
      <c r="I3097" t="s">
        <v>9300</v>
      </c>
      <c r="J3097" t="s">
        <v>3373</v>
      </c>
    </row>
    <row r="3098" spans="1:10">
      <c r="A3098" t="s">
        <v>9301</v>
      </c>
      <c r="B3098">
        <v>-0.38350537272837898</v>
      </c>
      <c r="C3098">
        <v>11.242816922852899</v>
      </c>
      <c r="D3098">
        <v>6.8482510103438097E-3</v>
      </c>
      <c r="E3098">
        <v>0.183533127077214</v>
      </c>
      <c r="F3098">
        <v>189</v>
      </c>
      <c r="G3098">
        <v>263</v>
      </c>
      <c r="H3098" t="s">
        <v>9302</v>
      </c>
      <c r="I3098" t="s">
        <v>4297</v>
      </c>
      <c r="J3098" t="s">
        <v>3374</v>
      </c>
    </row>
    <row r="3099" spans="1:10">
      <c r="A3099" t="s">
        <v>9303</v>
      </c>
      <c r="B3099">
        <v>1.22445050329691</v>
      </c>
      <c r="C3099">
        <v>7.9146685145260403</v>
      </c>
      <c r="D3099">
        <v>6.6687235984828697E-3</v>
      </c>
      <c r="E3099">
        <v>0.180223656241352</v>
      </c>
      <c r="F3099">
        <v>31</v>
      </c>
      <c r="G3099">
        <v>14</v>
      </c>
      <c r="H3099" t="s">
        <v>9304</v>
      </c>
      <c r="I3099" t="s">
        <v>9305</v>
      </c>
      <c r="J3099" t="s">
        <v>3375</v>
      </c>
    </row>
    <row r="3100" spans="1:10">
      <c r="A3100" t="s">
        <v>9306</v>
      </c>
      <c r="B3100">
        <v>-1.85757365380001</v>
      </c>
      <c r="C3100">
        <v>7.0665960887092902</v>
      </c>
      <c r="D3100">
        <v>6.6420774038462201E-3</v>
      </c>
      <c r="E3100">
        <v>0.180223656241352</v>
      </c>
      <c r="F3100">
        <v>5</v>
      </c>
      <c r="G3100">
        <v>20</v>
      </c>
      <c r="H3100" t="s">
        <v>9307</v>
      </c>
      <c r="I3100" t="s">
        <v>9308</v>
      </c>
      <c r="J3100" t="s">
        <v>3376</v>
      </c>
    </row>
    <row r="3101" spans="1:10">
      <c r="A3101" t="s">
        <v>9309</v>
      </c>
      <c r="B3101">
        <v>-1.7845399079730699</v>
      </c>
      <c r="C3101">
        <v>7.0077046385177599</v>
      </c>
      <c r="D3101">
        <v>6.6420774038462201E-3</v>
      </c>
      <c r="E3101">
        <v>0.180223656241352</v>
      </c>
      <c r="F3101">
        <v>5</v>
      </c>
      <c r="G3101">
        <v>19</v>
      </c>
      <c r="H3101" t="s">
        <v>9310</v>
      </c>
      <c r="I3101" t="s">
        <v>9311</v>
      </c>
      <c r="J3101" t="s">
        <v>3377</v>
      </c>
    </row>
    <row r="3102" spans="1:10">
      <c r="A3102" t="s">
        <v>9312</v>
      </c>
      <c r="B3102">
        <v>-1.7845399079730699</v>
      </c>
      <c r="C3102">
        <v>7.0077046385177599</v>
      </c>
      <c r="D3102">
        <v>6.6420774038462201E-3</v>
      </c>
      <c r="E3102">
        <v>0.180223656241352</v>
      </c>
      <c r="F3102">
        <v>5</v>
      </c>
      <c r="G3102">
        <v>19</v>
      </c>
      <c r="H3102" t="s">
        <v>28</v>
      </c>
      <c r="I3102" t="s">
        <v>3438</v>
      </c>
      <c r="J3102" t="s">
        <v>3378</v>
      </c>
    </row>
    <row r="3103" spans="1:10">
      <c r="A3103" t="s">
        <v>9313</v>
      </c>
      <c r="B3103">
        <v>1.9644014539119401</v>
      </c>
      <c r="C3103">
        <v>7.0077694566316602</v>
      </c>
      <c r="D3103">
        <v>6.6420774038462201E-3</v>
      </c>
      <c r="E3103">
        <v>0.180223656241352</v>
      </c>
      <c r="F3103">
        <v>19</v>
      </c>
      <c r="G3103">
        <v>5</v>
      </c>
      <c r="H3103" t="s">
        <v>28</v>
      </c>
      <c r="I3103" t="s">
        <v>3438</v>
      </c>
      <c r="J3103" t="s">
        <v>217</v>
      </c>
    </row>
    <row r="3104" spans="1:10">
      <c r="A3104" t="s">
        <v>9314</v>
      </c>
      <c r="B3104">
        <v>-0.70791602348160498</v>
      </c>
      <c r="C3104">
        <v>9.5519786723506197</v>
      </c>
      <c r="D3104">
        <v>6.6195203216856601E-3</v>
      </c>
      <c r="E3104">
        <v>0.180223656241352</v>
      </c>
      <c r="F3104">
        <v>51</v>
      </c>
      <c r="G3104">
        <v>89</v>
      </c>
      <c r="H3104" t="s">
        <v>28</v>
      </c>
      <c r="I3104" t="s">
        <v>3438</v>
      </c>
      <c r="J3104" t="s">
        <v>3379</v>
      </c>
    </row>
    <row r="3105" spans="1:10">
      <c r="A3105" t="s">
        <v>9315</v>
      </c>
      <c r="B3105">
        <v>-1.1805213570565001</v>
      </c>
      <c r="C3105">
        <v>8.2040833991136104</v>
      </c>
      <c r="D3105">
        <v>6.5279976359676603E-3</v>
      </c>
      <c r="E3105">
        <v>0.180223656241352</v>
      </c>
      <c r="F3105">
        <v>16</v>
      </c>
      <c r="G3105">
        <v>39</v>
      </c>
      <c r="H3105" t="s">
        <v>28</v>
      </c>
      <c r="I3105" t="s">
        <v>4184</v>
      </c>
      <c r="J3105" t="s">
        <v>3380</v>
      </c>
    </row>
    <row r="3106" spans="1:10">
      <c r="A3106" t="s">
        <v>9316</v>
      </c>
      <c r="B3106">
        <v>-3.08751534575297</v>
      </c>
      <c r="C3106">
        <v>6.0077129922008297</v>
      </c>
      <c r="D3106">
        <v>6.36216654081631E-3</v>
      </c>
      <c r="E3106">
        <v>0.180223656241352</v>
      </c>
      <c r="F3106">
        <v>1</v>
      </c>
      <c r="G3106">
        <v>11</v>
      </c>
      <c r="H3106" t="s">
        <v>28</v>
      </c>
      <c r="I3106" t="s">
        <v>3438</v>
      </c>
      <c r="J3106" t="s">
        <v>3381</v>
      </c>
    </row>
    <row r="3107" spans="1:10">
      <c r="A3107" t="s">
        <v>9317</v>
      </c>
      <c r="B3107">
        <v>0.74441548868624496</v>
      </c>
      <c r="C3107">
        <v>9.3417071590309693</v>
      </c>
      <c r="D3107">
        <v>6.30573466940762E-3</v>
      </c>
      <c r="E3107">
        <v>0.180223656241352</v>
      </c>
      <c r="F3107">
        <v>74</v>
      </c>
      <c r="G3107">
        <v>47</v>
      </c>
      <c r="H3107" t="s">
        <v>28</v>
      </c>
      <c r="I3107" t="s">
        <v>9318</v>
      </c>
      <c r="J3107" t="s">
        <v>3382</v>
      </c>
    </row>
    <row r="3108" spans="1:10">
      <c r="A3108" t="s">
        <v>9319</v>
      </c>
      <c r="B3108">
        <v>-0.72009451279438297</v>
      </c>
      <c r="C3108">
        <v>9.5312199566252094</v>
      </c>
      <c r="D3108">
        <v>6.22607306153267E-3</v>
      </c>
      <c r="E3108">
        <v>0.180223656241352</v>
      </c>
      <c r="F3108">
        <v>50</v>
      </c>
      <c r="G3108">
        <v>88</v>
      </c>
      <c r="H3108" t="s">
        <v>9320</v>
      </c>
      <c r="I3108" t="s">
        <v>9321</v>
      </c>
      <c r="J3108" t="s">
        <v>3383</v>
      </c>
    </row>
    <row r="3109" spans="1:10">
      <c r="A3109" t="s">
        <v>9322</v>
      </c>
      <c r="B3109">
        <v>1.5397869367763799</v>
      </c>
      <c r="C3109">
        <v>7.5102751512178303</v>
      </c>
      <c r="D3109">
        <v>6.0309446676691499E-3</v>
      </c>
      <c r="E3109">
        <v>0.177940532580036</v>
      </c>
      <c r="F3109">
        <v>25</v>
      </c>
      <c r="G3109">
        <v>9</v>
      </c>
      <c r="H3109" t="s">
        <v>28</v>
      </c>
      <c r="I3109" t="s">
        <v>3438</v>
      </c>
      <c r="J3109" t="s">
        <v>3384</v>
      </c>
    </row>
    <row r="3110" spans="1:10">
      <c r="A3110" t="s">
        <v>9323</v>
      </c>
      <c r="B3110">
        <v>-0.47140848499656401</v>
      </c>
      <c r="C3110">
        <v>10.651481024375499</v>
      </c>
      <c r="D3110">
        <v>5.7685753071308301E-3</v>
      </c>
      <c r="E3110">
        <v>0.171775353590118</v>
      </c>
      <c r="F3110">
        <v>121</v>
      </c>
      <c r="G3110">
        <v>179</v>
      </c>
      <c r="H3110" t="s">
        <v>28</v>
      </c>
      <c r="I3110" t="s">
        <v>5312</v>
      </c>
      <c r="J3110" t="s">
        <v>3385</v>
      </c>
    </row>
    <row r="3111" spans="1:10">
      <c r="A3111" t="s">
        <v>9324</v>
      </c>
      <c r="B3111">
        <v>-0.68251975863770797</v>
      </c>
      <c r="C3111">
        <v>9.6706195013180007</v>
      </c>
      <c r="D3111">
        <v>5.6597470845081996E-3</v>
      </c>
      <c r="E3111">
        <v>0.17010978153063899</v>
      </c>
      <c r="F3111">
        <v>56</v>
      </c>
      <c r="G3111">
        <v>96</v>
      </c>
      <c r="H3111" t="s">
        <v>9325</v>
      </c>
      <c r="I3111" t="s">
        <v>9326</v>
      </c>
      <c r="J3111" t="s">
        <v>3386</v>
      </c>
    </row>
    <row r="3112" spans="1:10">
      <c r="A3112" t="s">
        <v>9327</v>
      </c>
      <c r="B3112">
        <v>0.89472872741281295</v>
      </c>
      <c r="C3112">
        <v>8.8822662873667309</v>
      </c>
      <c r="D3112">
        <v>5.6495323087493001E-3</v>
      </c>
      <c r="E3112">
        <v>0.17010978153063899</v>
      </c>
      <c r="F3112">
        <v>56</v>
      </c>
      <c r="G3112">
        <v>32</v>
      </c>
      <c r="H3112" t="s">
        <v>9328</v>
      </c>
      <c r="I3112" t="s">
        <v>9329</v>
      </c>
      <c r="J3112" t="s">
        <v>3387</v>
      </c>
    </row>
    <row r="3113" spans="1:10">
      <c r="A3113" t="s">
        <v>9330</v>
      </c>
      <c r="B3113">
        <v>1.16313338613517</v>
      </c>
      <c r="C3113">
        <v>8.1507410732661292</v>
      </c>
      <c r="D3113">
        <v>5.5475082102779899E-3</v>
      </c>
      <c r="E3113">
        <v>0.16991225146908601</v>
      </c>
      <c r="F3113">
        <v>36</v>
      </c>
      <c r="G3113">
        <v>17</v>
      </c>
      <c r="H3113" t="s">
        <v>9331</v>
      </c>
      <c r="I3113" t="s">
        <v>9332</v>
      </c>
      <c r="J3113" t="s">
        <v>3388</v>
      </c>
    </row>
    <row r="3114" spans="1:10">
      <c r="A3114" t="s">
        <v>9333</v>
      </c>
      <c r="B3114">
        <v>-0.95348808569282095</v>
      </c>
      <c r="C3114">
        <v>8.7977514134180392</v>
      </c>
      <c r="D3114">
        <v>5.5306508502989803E-3</v>
      </c>
      <c r="E3114">
        <v>0.16991225146908601</v>
      </c>
      <c r="F3114">
        <v>27</v>
      </c>
      <c r="G3114">
        <v>56</v>
      </c>
      <c r="H3114" t="s">
        <v>9334</v>
      </c>
      <c r="I3114" t="s">
        <v>9335</v>
      </c>
      <c r="J3114" t="s">
        <v>3389</v>
      </c>
    </row>
    <row r="3115" spans="1:10">
      <c r="A3115" t="s">
        <v>9336</v>
      </c>
      <c r="B3115">
        <v>-1.1660105051167999</v>
      </c>
      <c r="C3115">
        <v>8.2807025998707093</v>
      </c>
      <c r="D3115">
        <v>5.42064771400615E-3</v>
      </c>
      <c r="E3115">
        <v>0.16925051503149299</v>
      </c>
      <c r="F3115">
        <v>17</v>
      </c>
      <c r="G3115">
        <v>41</v>
      </c>
      <c r="H3115" t="s">
        <v>9337</v>
      </c>
      <c r="I3115" t="s">
        <v>9338</v>
      </c>
      <c r="J3115" t="s">
        <v>3390</v>
      </c>
    </row>
    <row r="3116" spans="1:10">
      <c r="A3116" t="s">
        <v>9339</v>
      </c>
      <c r="B3116">
        <v>-0.87956879037401003</v>
      </c>
      <c r="C3116">
        <v>8.9925639026996205</v>
      </c>
      <c r="D3116">
        <v>5.1815821717651504E-3</v>
      </c>
      <c r="E3116">
        <v>0.163372237886242</v>
      </c>
      <c r="F3116">
        <v>32</v>
      </c>
      <c r="G3116">
        <v>63</v>
      </c>
      <c r="H3116" t="s">
        <v>9340</v>
      </c>
      <c r="I3116" t="s">
        <v>9341</v>
      </c>
      <c r="J3116" t="s">
        <v>3391</v>
      </c>
    </row>
    <row r="3117" spans="1:10">
      <c r="A3117" t="s">
        <v>9342</v>
      </c>
      <c r="B3117">
        <v>-0.98156819479010504</v>
      </c>
      <c r="C3117">
        <v>8.7625618305785906</v>
      </c>
      <c r="D3117">
        <v>4.9528177739105702E-3</v>
      </c>
      <c r="E3117">
        <v>0.15770556396927099</v>
      </c>
      <c r="F3117">
        <v>26</v>
      </c>
      <c r="G3117">
        <v>55</v>
      </c>
      <c r="H3117" t="s">
        <v>9343</v>
      </c>
      <c r="I3117" t="s">
        <v>9344</v>
      </c>
      <c r="J3117" t="s">
        <v>3392</v>
      </c>
    </row>
    <row r="3118" spans="1:10">
      <c r="A3118" t="s">
        <v>9345</v>
      </c>
      <c r="B3118">
        <v>-1.0198818824234099</v>
      </c>
      <c r="C3118">
        <v>8.6125403871391804</v>
      </c>
      <c r="D3118">
        <v>4.70036261842124E-3</v>
      </c>
      <c r="E3118">
        <v>0.151163661808427</v>
      </c>
      <c r="F3118">
        <v>23</v>
      </c>
      <c r="G3118">
        <v>50</v>
      </c>
      <c r="H3118" t="s">
        <v>9346</v>
      </c>
      <c r="I3118" t="s">
        <v>9347</v>
      </c>
      <c r="J3118" t="s">
        <v>3393</v>
      </c>
    </row>
    <row r="3119" spans="1:10">
      <c r="A3119" t="s">
        <v>9348</v>
      </c>
      <c r="B3119">
        <v>1.20888189958514</v>
      </c>
      <c r="C3119">
        <v>8.0952458168801797</v>
      </c>
      <c r="D3119">
        <v>4.6524457528456598E-3</v>
      </c>
      <c r="E3119">
        <v>0.151133995365168</v>
      </c>
      <c r="F3119">
        <v>35</v>
      </c>
      <c r="G3119">
        <v>16</v>
      </c>
      <c r="H3119" t="s">
        <v>9349</v>
      </c>
      <c r="I3119" t="s">
        <v>9350</v>
      </c>
      <c r="J3119" t="s">
        <v>3394</v>
      </c>
    </row>
    <row r="3120" spans="1:10">
      <c r="A3120" t="s">
        <v>9351</v>
      </c>
      <c r="B3120">
        <v>-2.2334710581206298</v>
      </c>
      <c r="C3120">
        <v>6.6706715870781403</v>
      </c>
      <c r="D3120">
        <v>4.4428112643220804E-3</v>
      </c>
      <c r="E3120">
        <v>0.145796745163876</v>
      </c>
      <c r="F3120">
        <v>3</v>
      </c>
      <c r="G3120">
        <v>16</v>
      </c>
      <c r="H3120" t="s">
        <v>28</v>
      </c>
      <c r="I3120" t="s">
        <v>3438</v>
      </c>
      <c r="J3120" t="s">
        <v>3395</v>
      </c>
    </row>
    <row r="3121" spans="1:10">
      <c r="A3121" t="s">
        <v>9352</v>
      </c>
      <c r="B3121">
        <v>-0.60197246247452196</v>
      </c>
      <c r="C3121">
        <v>10.1161625739496</v>
      </c>
      <c r="D3121">
        <v>4.3660280544992099E-3</v>
      </c>
      <c r="E3121">
        <v>0.14475408477597401</v>
      </c>
      <c r="F3121">
        <v>79</v>
      </c>
      <c r="G3121">
        <v>128</v>
      </c>
      <c r="H3121" t="s">
        <v>28</v>
      </c>
      <c r="I3121" t="s">
        <v>4138</v>
      </c>
      <c r="J3121" t="s">
        <v>3396</v>
      </c>
    </row>
    <row r="3122" spans="1:10">
      <c r="A3122" t="s">
        <v>9353</v>
      </c>
      <c r="B3122">
        <v>-2.01298574320505</v>
      </c>
      <c r="C3122">
        <v>6.88217360460796</v>
      </c>
      <c r="D3122">
        <v>4.36394137296675E-3</v>
      </c>
      <c r="E3122">
        <v>0.14475408477597401</v>
      </c>
      <c r="F3122">
        <v>4</v>
      </c>
      <c r="G3122">
        <v>18</v>
      </c>
      <c r="H3122" t="s">
        <v>28</v>
      </c>
      <c r="I3122" t="s">
        <v>3438</v>
      </c>
      <c r="J3122" t="s">
        <v>3397</v>
      </c>
    </row>
    <row r="3123" spans="1:10">
      <c r="A3123" t="s">
        <v>9354</v>
      </c>
      <c r="B3123">
        <v>2.1917425660987</v>
      </c>
      <c r="C3123">
        <v>6.8822384291836398</v>
      </c>
      <c r="D3123">
        <v>4.36394137296675E-3</v>
      </c>
      <c r="E3123">
        <v>0.14475408477597401</v>
      </c>
      <c r="F3123">
        <v>18</v>
      </c>
      <c r="G3123">
        <v>4</v>
      </c>
      <c r="H3123" t="s">
        <v>28</v>
      </c>
      <c r="I3123" t="s">
        <v>3438</v>
      </c>
      <c r="J3123" t="s">
        <v>238</v>
      </c>
    </row>
    <row r="3124" spans="1:10">
      <c r="A3124" t="s">
        <v>9355</v>
      </c>
      <c r="B3124">
        <v>-1.3825923185182001</v>
      </c>
      <c r="C3124">
        <v>7.8150470488761004</v>
      </c>
      <c r="D3124">
        <v>4.3628953189397803E-3</v>
      </c>
      <c r="E3124">
        <v>0.14475408477597401</v>
      </c>
      <c r="F3124">
        <v>11</v>
      </c>
      <c r="G3124">
        <v>31</v>
      </c>
      <c r="H3124" t="s">
        <v>215</v>
      </c>
      <c r="I3124" t="s">
        <v>9356</v>
      </c>
      <c r="J3124" t="s">
        <v>216</v>
      </c>
    </row>
    <row r="3125" spans="1:10">
      <c r="A3125" t="s">
        <v>9357</v>
      </c>
      <c r="B3125">
        <v>-0.84158001461196696</v>
      </c>
      <c r="C3125">
        <v>9.1369499738137208</v>
      </c>
      <c r="D3125">
        <v>4.3314706466505296E-3</v>
      </c>
      <c r="E3125">
        <v>0.14475408477597401</v>
      </c>
      <c r="F3125">
        <v>36</v>
      </c>
      <c r="G3125">
        <v>69</v>
      </c>
      <c r="H3125" t="s">
        <v>9358</v>
      </c>
      <c r="I3125" t="s">
        <v>9359</v>
      </c>
      <c r="J3125" t="s">
        <v>3398</v>
      </c>
    </row>
    <row r="3126" spans="1:10">
      <c r="A3126" t="s">
        <v>9360</v>
      </c>
      <c r="B3126">
        <v>0.69952790779881702</v>
      </c>
      <c r="C3126">
        <v>9.6420236160580295</v>
      </c>
      <c r="D3126">
        <v>4.2536173709027498E-3</v>
      </c>
      <c r="E3126">
        <v>0.14475408477597401</v>
      </c>
      <c r="F3126">
        <v>90</v>
      </c>
      <c r="G3126">
        <v>59</v>
      </c>
      <c r="H3126" t="s">
        <v>28</v>
      </c>
      <c r="I3126" t="s">
        <v>3465</v>
      </c>
      <c r="J3126" t="s">
        <v>3399</v>
      </c>
    </row>
    <row r="3127" spans="1:10">
      <c r="A3127" t="s">
        <v>9361</v>
      </c>
      <c r="B3127">
        <v>-0.81283166651792504</v>
      </c>
      <c r="C3127">
        <v>9.3053415999319906</v>
      </c>
      <c r="D3127">
        <v>4.2338701984614398E-3</v>
      </c>
      <c r="E3127">
        <v>0.14475408477597401</v>
      </c>
      <c r="F3127">
        <v>41</v>
      </c>
      <c r="G3127">
        <v>77</v>
      </c>
      <c r="H3127" t="s">
        <v>9362</v>
      </c>
      <c r="I3127" t="s">
        <v>9363</v>
      </c>
      <c r="J3127" t="s">
        <v>3400</v>
      </c>
    </row>
    <row r="3128" spans="1:10">
      <c r="A3128" t="s">
        <v>9364</v>
      </c>
      <c r="B3128">
        <v>-0.64232622146034601</v>
      </c>
      <c r="C3128">
        <v>9.8821162845497597</v>
      </c>
      <c r="D3128">
        <v>4.1025930543509498E-3</v>
      </c>
      <c r="E3128">
        <v>0.14475408477597401</v>
      </c>
      <c r="F3128">
        <v>66</v>
      </c>
      <c r="G3128">
        <v>110</v>
      </c>
      <c r="H3128" t="s">
        <v>28</v>
      </c>
      <c r="I3128" t="s">
        <v>9365</v>
      </c>
      <c r="J3128" t="s">
        <v>3401</v>
      </c>
    </row>
    <row r="3129" spans="1:10">
      <c r="A3129" t="s">
        <v>9366</v>
      </c>
      <c r="B3129">
        <v>-0.55810645916716195</v>
      </c>
      <c r="C3129">
        <v>10.2930355804772</v>
      </c>
      <c r="D3129">
        <v>4.0588179750297203E-3</v>
      </c>
      <c r="E3129">
        <v>0.14475408477597401</v>
      </c>
      <c r="F3129">
        <v>91</v>
      </c>
      <c r="G3129">
        <v>143</v>
      </c>
      <c r="H3129" t="s">
        <v>9367</v>
      </c>
      <c r="I3129" t="s">
        <v>9368</v>
      </c>
      <c r="J3129" t="s">
        <v>3402</v>
      </c>
    </row>
    <row r="3130" spans="1:10">
      <c r="A3130" t="s">
        <v>9369</v>
      </c>
      <c r="B3130">
        <v>-0.75902660091250895</v>
      </c>
      <c r="C3130">
        <v>9.4670891523445508</v>
      </c>
      <c r="D3130">
        <v>4.0233396278119898E-3</v>
      </c>
      <c r="E3130">
        <v>0.14475408477597401</v>
      </c>
      <c r="F3130">
        <v>47</v>
      </c>
      <c r="G3130">
        <v>85</v>
      </c>
      <c r="H3130" t="s">
        <v>9370</v>
      </c>
      <c r="I3130" t="s">
        <v>9371</v>
      </c>
      <c r="J3130" t="s">
        <v>3403</v>
      </c>
    </row>
    <row r="3131" spans="1:10">
      <c r="A3131" t="s">
        <v>9372</v>
      </c>
      <c r="B3131">
        <v>5.2553151329730099</v>
      </c>
      <c r="C3131">
        <v>5.5927192828788304</v>
      </c>
      <c r="D3131">
        <v>3.9132845897381597E-3</v>
      </c>
      <c r="E3131">
        <v>0.14465658897239</v>
      </c>
      <c r="F3131">
        <v>9</v>
      </c>
      <c r="G3131">
        <v>0</v>
      </c>
      <c r="H3131" t="s">
        <v>28</v>
      </c>
      <c r="I3131" t="s">
        <v>3438</v>
      </c>
      <c r="J3131" t="s">
        <v>3404</v>
      </c>
    </row>
    <row r="3132" spans="1:10">
      <c r="A3132" t="s">
        <v>9373</v>
      </c>
      <c r="B3132">
        <v>-0.82944835547693796</v>
      </c>
      <c r="C3132">
        <v>9.28067939025639</v>
      </c>
      <c r="D3132">
        <v>3.9084994625270299E-3</v>
      </c>
      <c r="E3132">
        <v>0.14465658897239</v>
      </c>
      <c r="F3132">
        <v>40</v>
      </c>
      <c r="G3132">
        <v>76</v>
      </c>
      <c r="H3132" t="s">
        <v>28</v>
      </c>
      <c r="I3132" t="s">
        <v>3438</v>
      </c>
      <c r="J3132" t="s">
        <v>3405</v>
      </c>
    </row>
    <row r="3133" spans="1:10">
      <c r="A3133" t="s">
        <v>9374</v>
      </c>
      <c r="B3133">
        <v>1.15598063323662</v>
      </c>
      <c r="C3133">
        <v>8.3054687212263492</v>
      </c>
      <c r="D3133">
        <v>3.8445601389842298E-3</v>
      </c>
      <c r="E3133">
        <v>0.14465658897239</v>
      </c>
      <c r="F3133">
        <v>40</v>
      </c>
      <c r="G3133">
        <v>19</v>
      </c>
      <c r="H3133" t="s">
        <v>9375</v>
      </c>
      <c r="I3133" t="s">
        <v>4945</v>
      </c>
      <c r="J3133" t="s">
        <v>3406</v>
      </c>
    </row>
    <row r="3134" spans="1:10">
      <c r="A3134" t="s">
        <v>9376</v>
      </c>
      <c r="B3134">
        <v>1.2589367653678001</v>
      </c>
      <c r="C3134">
        <v>8.0375301752010095</v>
      </c>
      <c r="D3134">
        <v>3.8437696141562102E-3</v>
      </c>
      <c r="E3134">
        <v>0.14465658897239</v>
      </c>
      <c r="F3134">
        <v>34</v>
      </c>
      <c r="G3134">
        <v>15</v>
      </c>
      <c r="H3134" t="s">
        <v>3626</v>
      </c>
      <c r="I3134" t="s">
        <v>3627</v>
      </c>
      <c r="J3134" t="s">
        <v>3407</v>
      </c>
    </row>
    <row r="3135" spans="1:10">
      <c r="A3135" t="s">
        <v>9377</v>
      </c>
      <c r="B3135">
        <v>1.08421383377753</v>
      </c>
      <c r="C3135">
        <v>8.5313554641237008</v>
      </c>
      <c r="D3135">
        <v>3.6013178128727601E-3</v>
      </c>
      <c r="E3135">
        <v>0.13954021790600901</v>
      </c>
      <c r="F3135">
        <v>46</v>
      </c>
      <c r="G3135">
        <v>23</v>
      </c>
      <c r="H3135" t="s">
        <v>28</v>
      </c>
      <c r="I3135" t="s">
        <v>3438</v>
      </c>
      <c r="J3135" t="s">
        <v>91</v>
      </c>
    </row>
    <row r="3136" spans="1:10">
      <c r="A3136" t="s">
        <v>9378</v>
      </c>
      <c r="B3136">
        <v>0.77864580891539104</v>
      </c>
      <c r="C3136">
        <v>9.4228513243223198</v>
      </c>
      <c r="D3136">
        <v>3.47609742023466E-3</v>
      </c>
      <c r="E3136">
        <v>0.136330845164325</v>
      </c>
      <c r="F3136">
        <v>79</v>
      </c>
      <c r="G3136">
        <v>49</v>
      </c>
      <c r="H3136" t="s">
        <v>112</v>
      </c>
      <c r="I3136" t="s">
        <v>9379</v>
      </c>
      <c r="J3136" t="s">
        <v>111</v>
      </c>
    </row>
    <row r="3137" spans="1:10">
      <c r="A3137" t="s">
        <v>9380</v>
      </c>
      <c r="B3137">
        <v>-3.2102880620257301</v>
      </c>
      <c r="C3137">
        <v>6.1231879689876703</v>
      </c>
      <c r="D3137">
        <v>3.4274976135480798E-3</v>
      </c>
      <c r="E3137">
        <v>0.136084349693465</v>
      </c>
      <c r="F3137">
        <v>1</v>
      </c>
      <c r="G3137">
        <v>12</v>
      </c>
      <c r="H3137" t="s">
        <v>9381</v>
      </c>
      <c r="I3137" t="s">
        <v>9382</v>
      </c>
      <c r="J3137" t="s">
        <v>3408</v>
      </c>
    </row>
    <row r="3138" spans="1:10">
      <c r="A3138" t="s">
        <v>9383</v>
      </c>
      <c r="B3138">
        <v>-3.2102880620257301</v>
      </c>
      <c r="C3138">
        <v>6.1231879689876703</v>
      </c>
      <c r="D3138">
        <v>3.4274976135480798E-3</v>
      </c>
      <c r="E3138">
        <v>0.136084349693465</v>
      </c>
      <c r="F3138">
        <v>1</v>
      </c>
      <c r="G3138">
        <v>12</v>
      </c>
      <c r="H3138" t="s">
        <v>28</v>
      </c>
      <c r="I3138" t="s">
        <v>3438</v>
      </c>
      <c r="J3138" t="s">
        <v>3409</v>
      </c>
    </row>
    <row r="3139" spans="1:10">
      <c r="A3139" t="s">
        <v>9384</v>
      </c>
      <c r="B3139">
        <v>-0.976430017829093</v>
      </c>
      <c r="C3139">
        <v>8.8656511714276505</v>
      </c>
      <c r="D3139">
        <v>3.4209146552231398E-3</v>
      </c>
      <c r="E3139">
        <v>0.136084349693465</v>
      </c>
      <c r="F3139">
        <v>28</v>
      </c>
      <c r="G3139">
        <v>59</v>
      </c>
      <c r="H3139" t="s">
        <v>9385</v>
      </c>
      <c r="I3139" t="s">
        <v>3436</v>
      </c>
      <c r="J3139" t="s">
        <v>3410</v>
      </c>
    </row>
    <row r="3140" spans="1:10">
      <c r="A3140" t="s">
        <v>9386</v>
      </c>
      <c r="B3140">
        <v>1.5538266551625499</v>
      </c>
      <c r="C3140">
        <v>7.6707447396042099</v>
      </c>
      <c r="D3140">
        <v>3.4081088046825901E-3</v>
      </c>
      <c r="E3140">
        <v>0.136084349693465</v>
      </c>
      <c r="F3140">
        <v>28</v>
      </c>
      <c r="G3140">
        <v>10</v>
      </c>
      <c r="H3140" t="s">
        <v>9387</v>
      </c>
      <c r="I3140" t="s">
        <v>9388</v>
      </c>
      <c r="J3140" t="s">
        <v>3411</v>
      </c>
    </row>
    <row r="3141" spans="1:10">
      <c r="A3141" t="s">
        <v>9389</v>
      </c>
      <c r="B3141">
        <v>1.19660617673223</v>
      </c>
      <c r="C3141">
        <v>8.2557155427808802</v>
      </c>
      <c r="D3141">
        <v>3.2443468087535298E-3</v>
      </c>
      <c r="E3141">
        <v>0.135504147233134</v>
      </c>
      <c r="F3141">
        <v>39</v>
      </c>
      <c r="G3141">
        <v>18</v>
      </c>
      <c r="H3141" t="s">
        <v>28</v>
      </c>
      <c r="I3141" t="s">
        <v>3438</v>
      </c>
      <c r="J3141" t="s">
        <v>3412</v>
      </c>
    </row>
    <row r="3142" spans="1:10">
      <c r="A3142" t="s">
        <v>9390</v>
      </c>
      <c r="B3142">
        <v>1.0312679099214099</v>
      </c>
      <c r="C3142">
        <v>8.7266170857137801</v>
      </c>
      <c r="D3142">
        <v>3.2424846042749798E-3</v>
      </c>
      <c r="E3142">
        <v>0.135504147233134</v>
      </c>
      <c r="F3142">
        <v>52</v>
      </c>
      <c r="G3142">
        <v>27</v>
      </c>
      <c r="H3142" t="s">
        <v>9391</v>
      </c>
      <c r="I3142" t="s">
        <v>9392</v>
      </c>
      <c r="J3142" t="s">
        <v>3413</v>
      </c>
    </row>
    <row r="3143" spans="1:10">
      <c r="A3143" t="s">
        <v>9393</v>
      </c>
      <c r="B3143">
        <v>1.15292307728126</v>
      </c>
      <c r="C3143">
        <v>8.3770245077064107</v>
      </c>
      <c r="D3143">
        <v>3.2021734924566601E-3</v>
      </c>
      <c r="E3143">
        <v>0.135504147233134</v>
      </c>
      <c r="F3143">
        <v>42</v>
      </c>
      <c r="G3143">
        <v>20</v>
      </c>
      <c r="H3143" t="s">
        <v>9394</v>
      </c>
      <c r="I3143" t="s">
        <v>9395</v>
      </c>
      <c r="J3143" t="s">
        <v>3414</v>
      </c>
    </row>
    <row r="3144" spans="1:10">
      <c r="A3144" t="s">
        <v>9396</v>
      </c>
      <c r="B3144">
        <v>-0.31471839960652198</v>
      </c>
      <c r="C3144">
        <v>12.062825224490201</v>
      </c>
      <c r="D3144">
        <v>3.1052834002067101E-3</v>
      </c>
      <c r="E3144">
        <v>0.13495393804141601</v>
      </c>
      <c r="F3144">
        <v>343</v>
      </c>
      <c r="G3144">
        <v>455</v>
      </c>
      <c r="H3144" t="s">
        <v>33</v>
      </c>
      <c r="I3144" t="s">
        <v>9397</v>
      </c>
      <c r="J3144" t="s">
        <v>32</v>
      </c>
    </row>
    <row r="3145" spans="1:10">
      <c r="A3145" t="s">
        <v>9398</v>
      </c>
      <c r="B3145">
        <v>0.47731710082462397</v>
      </c>
      <c r="C3145">
        <v>10.8280416145071</v>
      </c>
      <c r="D3145">
        <v>3.0404057877956299E-3</v>
      </c>
      <c r="E3145">
        <v>0.13394445224042101</v>
      </c>
      <c r="F3145">
        <v>192</v>
      </c>
      <c r="G3145">
        <v>147</v>
      </c>
      <c r="H3145" t="s">
        <v>373</v>
      </c>
      <c r="I3145" t="s">
        <v>9399</v>
      </c>
      <c r="J3145" t="s">
        <v>374</v>
      </c>
    </row>
    <row r="3146" spans="1:10">
      <c r="A3146" t="s">
        <v>9400</v>
      </c>
      <c r="B3146">
        <v>-0.41829295256995203</v>
      </c>
      <c r="C3146">
        <v>11.2555146968702</v>
      </c>
      <c r="D3146">
        <v>2.9656669091308501E-3</v>
      </c>
      <c r="E3146">
        <v>0.13246645527451101</v>
      </c>
      <c r="F3146">
        <v>188</v>
      </c>
      <c r="G3146">
        <v>268</v>
      </c>
      <c r="H3146" t="s">
        <v>9401</v>
      </c>
      <c r="I3146" t="s">
        <v>9402</v>
      </c>
      <c r="J3146" t="s">
        <v>3415</v>
      </c>
    </row>
    <row r="3147" spans="1:10">
      <c r="A3147" t="s">
        <v>9403</v>
      </c>
      <c r="B3147">
        <v>1.5183373887912299</v>
      </c>
      <c r="C3147">
        <v>7.7803717601258002</v>
      </c>
      <c r="D3147">
        <v>2.9159958530833199E-3</v>
      </c>
      <c r="E3147">
        <v>0.13208229103543601</v>
      </c>
      <c r="F3147">
        <v>30</v>
      </c>
      <c r="G3147">
        <v>11</v>
      </c>
      <c r="H3147" t="s">
        <v>28</v>
      </c>
      <c r="I3147" t="s">
        <v>3438</v>
      </c>
      <c r="J3147" t="s">
        <v>3416</v>
      </c>
    </row>
    <row r="3148" spans="1:10">
      <c r="A3148" t="s">
        <v>9404</v>
      </c>
      <c r="B3148">
        <v>-1.30848741500813</v>
      </c>
      <c r="C3148">
        <v>8.2040787765670693</v>
      </c>
      <c r="D3148">
        <v>2.7028269882583599E-3</v>
      </c>
      <c r="E3148">
        <v>0.124175594203413</v>
      </c>
      <c r="F3148">
        <v>15</v>
      </c>
      <c r="G3148">
        <v>40</v>
      </c>
      <c r="H3148" t="s">
        <v>28</v>
      </c>
      <c r="I3148" t="s">
        <v>3438</v>
      </c>
      <c r="J3148" t="s">
        <v>3417</v>
      </c>
    </row>
    <row r="3149" spans="1:10">
      <c r="A3149" t="s">
        <v>9405</v>
      </c>
      <c r="B3149">
        <v>-2.1629484986127698</v>
      </c>
      <c r="C3149">
        <v>7.0077000087633996</v>
      </c>
      <c r="D3149">
        <v>2.6135396912079401E-3</v>
      </c>
      <c r="E3149">
        <v>0.12181367604238701</v>
      </c>
      <c r="F3149">
        <v>4</v>
      </c>
      <c r="G3149">
        <v>20</v>
      </c>
      <c r="H3149" t="s">
        <v>9406</v>
      </c>
      <c r="I3149" t="s">
        <v>9407</v>
      </c>
      <c r="J3149" t="s">
        <v>3418</v>
      </c>
    </row>
    <row r="3150" spans="1:10">
      <c r="A3150" t="s">
        <v>9408</v>
      </c>
      <c r="B3150">
        <v>-2.31958638025846</v>
      </c>
      <c r="C3150">
        <v>6.7446699290016801</v>
      </c>
      <c r="D3150">
        <v>2.58885795877341E-3</v>
      </c>
      <c r="E3150">
        <v>0.12181367604238701</v>
      </c>
      <c r="F3150">
        <v>3</v>
      </c>
      <c r="G3150">
        <v>17</v>
      </c>
      <c r="H3150" t="s">
        <v>28</v>
      </c>
      <c r="I3150" t="s">
        <v>3438</v>
      </c>
      <c r="J3150" t="s">
        <v>3419</v>
      </c>
    </row>
    <row r="3151" spans="1:10">
      <c r="A3151" t="s">
        <v>9409</v>
      </c>
      <c r="B3151">
        <v>2.03749465666177</v>
      </c>
      <c r="C3151">
        <v>7.0666655332276802</v>
      </c>
      <c r="D3151">
        <v>2.5093846325643702E-3</v>
      </c>
      <c r="E3151">
        <v>0.12045046236309</v>
      </c>
      <c r="F3151">
        <v>20</v>
      </c>
      <c r="G3151">
        <v>5</v>
      </c>
      <c r="H3151" t="s">
        <v>28</v>
      </c>
      <c r="I3151" t="s">
        <v>9410</v>
      </c>
      <c r="J3151" t="s">
        <v>3420</v>
      </c>
    </row>
    <row r="3152" spans="1:10">
      <c r="A3152" t="s">
        <v>9411</v>
      </c>
      <c r="B3152">
        <v>2.8476510632864298</v>
      </c>
      <c r="C3152">
        <v>6.5102669724689202</v>
      </c>
      <c r="D3152">
        <v>2.3592028684001698E-3</v>
      </c>
      <c r="E3152">
        <v>0.114957521587499</v>
      </c>
      <c r="F3152">
        <v>15</v>
      </c>
      <c r="G3152">
        <v>2</v>
      </c>
      <c r="H3152" t="s">
        <v>9412</v>
      </c>
      <c r="I3152" t="s">
        <v>9413</v>
      </c>
      <c r="J3152" t="s">
        <v>3421</v>
      </c>
    </row>
    <row r="3153" spans="1:10">
      <c r="A3153" t="s">
        <v>9414</v>
      </c>
      <c r="B3153">
        <v>-0.50225768886012701</v>
      </c>
      <c r="C3153">
        <v>10.8063465060696</v>
      </c>
      <c r="D3153">
        <v>2.2875044874042199E-3</v>
      </c>
      <c r="E3153">
        <v>0.113178683561415</v>
      </c>
      <c r="F3153">
        <v>133</v>
      </c>
      <c r="G3153">
        <v>201</v>
      </c>
      <c r="H3153" t="s">
        <v>9415</v>
      </c>
      <c r="I3153" t="s">
        <v>3488</v>
      </c>
      <c r="J3153" t="s">
        <v>3422</v>
      </c>
    </row>
    <row r="3154" spans="1:10">
      <c r="A3154" t="s">
        <v>9416</v>
      </c>
      <c r="B3154">
        <v>-0.58051637145050505</v>
      </c>
      <c r="C3154">
        <v>10.4282811994645</v>
      </c>
      <c r="D3154">
        <v>2.2763220356885102E-3</v>
      </c>
      <c r="E3154">
        <v>0.113178683561415</v>
      </c>
      <c r="F3154">
        <v>99</v>
      </c>
      <c r="G3154">
        <v>158</v>
      </c>
      <c r="H3154" t="s">
        <v>28</v>
      </c>
      <c r="I3154" t="s">
        <v>3438</v>
      </c>
      <c r="J3154" t="s">
        <v>3423</v>
      </c>
    </row>
    <row r="3155" spans="1:10">
      <c r="A3155" t="s">
        <v>9417</v>
      </c>
      <c r="B3155">
        <v>0.92293414335823698</v>
      </c>
      <c r="C3155">
        <v>9.1093477908735601</v>
      </c>
      <c r="D3155">
        <v>2.2679175843102E-3</v>
      </c>
      <c r="E3155">
        <v>0.113178683561415</v>
      </c>
      <c r="F3155">
        <v>66</v>
      </c>
      <c r="G3155">
        <v>37</v>
      </c>
      <c r="H3155" t="s">
        <v>9418</v>
      </c>
      <c r="I3155" t="s">
        <v>9419</v>
      </c>
      <c r="J3155" t="s">
        <v>3424</v>
      </c>
    </row>
    <row r="3156" spans="1:10">
      <c r="A3156" t="s">
        <v>9420</v>
      </c>
      <c r="B3156">
        <v>0.41965896236776101</v>
      </c>
      <c r="C3156">
        <v>11.3237965809338</v>
      </c>
      <c r="D3156">
        <v>2.1035973152550101E-3</v>
      </c>
      <c r="E3156">
        <v>0.109115628481615</v>
      </c>
      <c r="F3156">
        <v>266</v>
      </c>
      <c r="G3156">
        <v>212</v>
      </c>
      <c r="H3156" t="s">
        <v>28</v>
      </c>
      <c r="I3156" t="s">
        <v>3438</v>
      </c>
      <c r="J3156" t="s">
        <v>3425</v>
      </c>
    </row>
    <row r="3157" spans="1:10">
      <c r="A3157" t="s">
        <v>9421</v>
      </c>
      <c r="B3157">
        <v>-1.2672747981693999</v>
      </c>
      <c r="C3157">
        <v>8.3534522409326204</v>
      </c>
      <c r="D3157">
        <v>1.89761124543835E-3</v>
      </c>
      <c r="E3157">
        <v>0.100044553529996</v>
      </c>
      <c r="F3157">
        <v>17</v>
      </c>
      <c r="G3157">
        <v>44</v>
      </c>
      <c r="H3157" t="s">
        <v>9422</v>
      </c>
      <c r="I3157" t="s">
        <v>9423</v>
      </c>
      <c r="J3157" t="s">
        <v>3426</v>
      </c>
    </row>
    <row r="3158" spans="1:10">
      <c r="A3158" t="s">
        <v>9424</v>
      </c>
      <c r="B3158">
        <v>-0.64267707678444397</v>
      </c>
      <c r="C3158">
        <v>10.1775523607943</v>
      </c>
      <c r="D3158">
        <v>1.7396185615486299E-3</v>
      </c>
      <c r="E3158">
        <v>9.3243554899006598E-2</v>
      </c>
      <c r="F3158">
        <v>81</v>
      </c>
      <c r="G3158">
        <v>135</v>
      </c>
      <c r="H3158" t="s">
        <v>9425</v>
      </c>
      <c r="I3158" t="s">
        <v>9426</v>
      </c>
      <c r="J3158" t="s">
        <v>458</v>
      </c>
    </row>
    <row r="3159" spans="1:10">
      <c r="A3159" t="s">
        <v>9427</v>
      </c>
      <c r="B3159">
        <v>-0.42353450544996701</v>
      </c>
      <c r="C3159">
        <v>11.3621908594406</v>
      </c>
      <c r="D3159">
        <v>1.73351243621237E-3</v>
      </c>
      <c r="E3159">
        <v>9.3243554899006598E-2</v>
      </c>
      <c r="F3159">
        <v>202</v>
      </c>
      <c r="G3159">
        <v>289</v>
      </c>
      <c r="H3159" t="s">
        <v>9428</v>
      </c>
      <c r="I3159" t="s">
        <v>9429</v>
      </c>
      <c r="J3159" t="s">
        <v>455</v>
      </c>
    </row>
    <row r="3160" spans="1:10">
      <c r="A3160" t="s">
        <v>9430</v>
      </c>
      <c r="B3160">
        <v>-1.2497024560896399</v>
      </c>
      <c r="C3160">
        <v>8.4227128244697695</v>
      </c>
      <c r="D3160">
        <v>1.5895234330468E-3</v>
      </c>
      <c r="E3160">
        <v>8.8136333804801695E-2</v>
      </c>
      <c r="F3160">
        <v>18</v>
      </c>
      <c r="G3160">
        <v>46</v>
      </c>
      <c r="H3160" t="s">
        <v>28</v>
      </c>
      <c r="I3160" t="s">
        <v>3438</v>
      </c>
      <c r="J3160" t="s">
        <v>467</v>
      </c>
    </row>
    <row r="3161" spans="1:10">
      <c r="A3161" t="s">
        <v>9431</v>
      </c>
      <c r="B3161">
        <v>2.5779285266949499</v>
      </c>
      <c r="C3161">
        <v>6.8151264759651697</v>
      </c>
      <c r="D3161">
        <v>1.4976435080257899E-3</v>
      </c>
      <c r="E3161">
        <v>8.4498623189665806E-2</v>
      </c>
      <c r="F3161">
        <v>18</v>
      </c>
      <c r="G3161">
        <v>3</v>
      </c>
      <c r="H3161" t="s">
        <v>9432</v>
      </c>
      <c r="I3161" t="s">
        <v>3450</v>
      </c>
      <c r="J3161" t="s">
        <v>434</v>
      </c>
    </row>
    <row r="3162" spans="1:10">
      <c r="A3162" t="s">
        <v>9433</v>
      </c>
      <c r="B3162">
        <v>0.86395115638497</v>
      </c>
      <c r="C3162">
        <v>9.3535928487491393</v>
      </c>
      <c r="D3162">
        <v>1.4760808711530001E-3</v>
      </c>
      <c r="E3162">
        <v>8.4498623189665806E-2</v>
      </c>
      <c r="F3162">
        <v>77</v>
      </c>
      <c r="G3162">
        <v>45</v>
      </c>
      <c r="H3162" t="s">
        <v>9434</v>
      </c>
      <c r="I3162" t="s">
        <v>9435</v>
      </c>
      <c r="J3162" t="s">
        <v>452</v>
      </c>
    </row>
    <row r="3163" spans="1:10">
      <c r="A3163" t="s">
        <v>9436</v>
      </c>
      <c r="B3163">
        <v>1.6525380590171199</v>
      </c>
      <c r="C3163">
        <v>7.7447500915759004</v>
      </c>
      <c r="D3163">
        <v>1.4663502989389599E-3</v>
      </c>
      <c r="E3163">
        <v>8.4498623189665806E-2</v>
      </c>
      <c r="F3163">
        <v>30</v>
      </c>
      <c r="G3163">
        <v>10</v>
      </c>
      <c r="H3163" t="s">
        <v>9437</v>
      </c>
      <c r="I3163" t="s">
        <v>3450</v>
      </c>
      <c r="J3163" t="s">
        <v>438</v>
      </c>
    </row>
    <row r="3164" spans="1:10">
      <c r="A3164" t="s">
        <v>9438</v>
      </c>
      <c r="B3164">
        <v>-1.1781205947228</v>
      </c>
      <c r="C3164">
        <v>8.5926338247592504</v>
      </c>
      <c r="D3164">
        <v>1.3193531496233199E-3</v>
      </c>
      <c r="E3164">
        <v>7.8574809799788606E-2</v>
      </c>
      <c r="F3164">
        <v>21</v>
      </c>
      <c r="G3164">
        <v>51</v>
      </c>
      <c r="H3164" t="s">
        <v>28</v>
      </c>
      <c r="I3164" t="s">
        <v>4138</v>
      </c>
      <c r="J3164" t="s">
        <v>466</v>
      </c>
    </row>
    <row r="3165" spans="1:10">
      <c r="A3165" t="s">
        <v>9439</v>
      </c>
      <c r="B3165">
        <v>1.1748994579894001</v>
      </c>
      <c r="C3165">
        <v>8.5927631511981399</v>
      </c>
      <c r="D3165">
        <v>1.3193531496233199E-3</v>
      </c>
      <c r="E3165">
        <v>7.8574809799788606E-2</v>
      </c>
      <c r="F3165">
        <v>49</v>
      </c>
      <c r="G3165">
        <v>23</v>
      </c>
      <c r="H3165" t="s">
        <v>53</v>
      </c>
      <c r="I3165" t="s">
        <v>3450</v>
      </c>
      <c r="J3165" t="s">
        <v>52</v>
      </c>
    </row>
    <row r="3166" spans="1:10">
      <c r="A3166" t="s">
        <v>9440</v>
      </c>
      <c r="B3166">
        <v>-2.7655753321097101</v>
      </c>
      <c r="C3166">
        <v>6.5926666836698002</v>
      </c>
      <c r="D3166">
        <v>1.31833460952686E-3</v>
      </c>
      <c r="E3166">
        <v>7.8574809799788606E-2</v>
      </c>
      <c r="F3166">
        <v>2</v>
      </c>
      <c r="G3166">
        <v>16</v>
      </c>
      <c r="H3166" t="s">
        <v>28</v>
      </c>
      <c r="I3166" t="s">
        <v>3438</v>
      </c>
      <c r="J3166" t="s">
        <v>220</v>
      </c>
    </row>
    <row r="3167" spans="1:10">
      <c r="A3167" t="s">
        <v>9441</v>
      </c>
      <c r="B3167">
        <v>-1.15671188346841</v>
      </c>
      <c r="C3167">
        <v>8.7081068891104305</v>
      </c>
      <c r="D3167">
        <v>1.29029025666479E-3</v>
      </c>
      <c r="E3167">
        <v>7.8574809799788606E-2</v>
      </c>
      <c r="F3167">
        <v>23</v>
      </c>
      <c r="G3167">
        <v>55</v>
      </c>
      <c r="H3167" t="s">
        <v>28</v>
      </c>
      <c r="I3167" t="s">
        <v>5445</v>
      </c>
      <c r="J3167" t="s">
        <v>465</v>
      </c>
    </row>
    <row r="3168" spans="1:10">
      <c r="A3168" t="s">
        <v>9442</v>
      </c>
      <c r="B3168">
        <v>1.4879524544065399</v>
      </c>
      <c r="C3168">
        <v>7.8822539027401204</v>
      </c>
      <c r="D3168">
        <v>1.27519811876831E-3</v>
      </c>
      <c r="E3168">
        <v>7.8574809799788606E-2</v>
      </c>
      <c r="F3168">
        <v>32</v>
      </c>
      <c r="G3168">
        <v>12</v>
      </c>
      <c r="H3168" t="s">
        <v>28</v>
      </c>
      <c r="I3168" t="s">
        <v>3438</v>
      </c>
      <c r="J3168" t="s">
        <v>441</v>
      </c>
    </row>
    <row r="3169" spans="1:10">
      <c r="A3169" t="s">
        <v>9443</v>
      </c>
      <c r="B3169">
        <v>1.4616390109356101</v>
      </c>
      <c r="C3169">
        <v>7.9774136636239001</v>
      </c>
      <c r="D3169">
        <v>1.1028935715464701E-3</v>
      </c>
      <c r="E3169">
        <v>7.2385831144764406E-2</v>
      </c>
      <c r="F3169">
        <v>34</v>
      </c>
      <c r="G3169">
        <v>13</v>
      </c>
      <c r="H3169" t="s">
        <v>28</v>
      </c>
      <c r="I3169" t="s">
        <v>3438</v>
      </c>
      <c r="J3169" t="s">
        <v>442</v>
      </c>
    </row>
    <row r="3170" spans="1:10">
      <c r="A3170" t="s">
        <v>9444</v>
      </c>
      <c r="B3170">
        <v>-1.6652149479579299</v>
      </c>
      <c r="C3170">
        <v>7.7446529420278098</v>
      </c>
      <c r="D3170">
        <v>1.07662486338807E-3</v>
      </c>
      <c r="E3170">
        <v>7.21338658470006E-2</v>
      </c>
      <c r="F3170">
        <v>9</v>
      </c>
      <c r="G3170">
        <v>31</v>
      </c>
      <c r="H3170" t="s">
        <v>28</v>
      </c>
      <c r="I3170" t="s">
        <v>3438</v>
      </c>
      <c r="J3170" t="s">
        <v>470</v>
      </c>
    </row>
    <row r="3171" spans="1:10">
      <c r="A3171" t="s">
        <v>9445</v>
      </c>
      <c r="B3171">
        <v>3.5936474152786402</v>
      </c>
      <c r="C3171">
        <v>6.3296945811311902</v>
      </c>
      <c r="D3171">
        <v>9.8041252266230596E-4</v>
      </c>
      <c r="E3171">
        <v>6.7085248359190996E-2</v>
      </c>
      <c r="F3171">
        <v>14</v>
      </c>
      <c r="G3171">
        <v>1</v>
      </c>
      <c r="H3171" t="s">
        <v>233</v>
      </c>
      <c r="I3171" t="s">
        <v>9446</v>
      </c>
      <c r="J3171" t="s">
        <v>232</v>
      </c>
    </row>
    <row r="3172" spans="1:10">
      <c r="A3172" t="s">
        <v>9447</v>
      </c>
      <c r="B3172">
        <v>-0.83175142415478498</v>
      </c>
      <c r="C3172">
        <v>9.6321312384602304</v>
      </c>
      <c r="D3172">
        <v>9.4591937095673E-4</v>
      </c>
      <c r="E3172">
        <v>6.6132102108626994E-2</v>
      </c>
      <c r="F3172">
        <v>51</v>
      </c>
      <c r="G3172">
        <v>97</v>
      </c>
      <c r="H3172" t="s">
        <v>9448</v>
      </c>
      <c r="I3172" t="s">
        <v>9449</v>
      </c>
      <c r="J3172" t="s">
        <v>463</v>
      </c>
    </row>
    <row r="3173" spans="1:10">
      <c r="A3173" t="s">
        <v>9450</v>
      </c>
      <c r="B3173">
        <v>1.2448010820756801</v>
      </c>
      <c r="C3173">
        <v>8.5103007071486605</v>
      </c>
      <c r="D3173">
        <v>9.3253797127830604E-4</v>
      </c>
      <c r="E3173">
        <v>6.6132102108626994E-2</v>
      </c>
      <c r="F3173">
        <v>47</v>
      </c>
      <c r="G3173">
        <v>21</v>
      </c>
      <c r="H3173" t="s">
        <v>9451</v>
      </c>
      <c r="I3173" t="s">
        <v>9452</v>
      </c>
      <c r="J3173" t="s">
        <v>447</v>
      </c>
    </row>
    <row r="3174" spans="1:10">
      <c r="A3174" t="s">
        <v>9453</v>
      </c>
      <c r="B3174">
        <v>1.5320184441762601</v>
      </c>
      <c r="C3174">
        <v>7.91467776485631</v>
      </c>
      <c r="D3174">
        <v>8.3491941891844902E-4</v>
      </c>
      <c r="E3174">
        <v>6.1025019346403003E-2</v>
      </c>
      <c r="F3174">
        <v>33</v>
      </c>
      <c r="G3174">
        <v>12</v>
      </c>
      <c r="H3174" t="s">
        <v>9454</v>
      </c>
      <c r="I3174" t="s">
        <v>9455</v>
      </c>
      <c r="J3174" t="s">
        <v>439</v>
      </c>
    </row>
    <row r="3175" spans="1:10">
      <c r="A3175" t="s">
        <v>9456</v>
      </c>
      <c r="B3175">
        <v>1.28344882774169</v>
      </c>
      <c r="C3175">
        <v>8.4672318432856404</v>
      </c>
      <c r="D3175">
        <v>7.7108485564142501E-4</v>
      </c>
      <c r="E3175">
        <v>5.7669974319600498E-2</v>
      </c>
      <c r="F3175">
        <v>46</v>
      </c>
      <c r="G3175">
        <v>20</v>
      </c>
      <c r="H3175" t="s">
        <v>28</v>
      </c>
      <c r="I3175" t="s">
        <v>3657</v>
      </c>
      <c r="J3175" t="s">
        <v>446</v>
      </c>
    </row>
    <row r="3176" spans="1:10">
      <c r="A3176" t="s">
        <v>9457</v>
      </c>
      <c r="B3176">
        <v>-1.3857073536863</v>
      </c>
      <c r="C3176">
        <v>8.3534476197950696</v>
      </c>
      <c r="D3176">
        <v>7.4330378604836296E-4</v>
      </c>
      <c r="E3176">
        <v>5.6915832760274697E-2</v>
      </c>
      <c r="F3176">
        <v>16</v>
      </c>
      <c r="G3176">
        <v>45</v>
      </c>
      <c r="H3176" t="s">
        <v>9458</v>
      </c>
      <c r="I3176" t="s">
        <v>3599</v>
      </c>
      <c r="J3176" t="s">
        <v>469</v>
      </c>
    </row>
    <row r="3177" spans="1:10">
      <c r="A3177" t="s">
        <v>9459</v>
      </c>
      <c r="B3177">
        <v>1.33664096707576</v>
      </c>
      <c r="C3177">
        <v>8.3535723956729608</v>
      </c>
      <c r="D3177">
        <v>7.4330378604836296E-4</v>
      </c>
      <c r="E3177">
        <v>5.6915832760274697E-2</v>
      </c>
      <c r="F3177">
        <v>43</v>
      </c>
      <c r="G3177">
        <v>18</v>
      </c>
      <c r="H3177" t="s">
        <v>9460</v>
      </c>
      <c r="I3177" t="s">
        <v>9461</v>
      </c>
      <c r="J3177" t="s">
        <v>445</v>
      </c>
    </row>
    <row r="3178" spans="1:10">
      <c r="A3178" t="s">
        <v>9462</v>
      </c>
      <c r="B3178">
        <v>1.3696243458375299</v>
      </c>
      <c r="C3178">
        <v>8.3770337502870298</v>
      </c>
      <c r="D3178">
        <v>5.0690120407818396E-4</v>
      </c>
      <c r="E3178">
        <v>4.0754856807886E-2</v>
      </c>
      <c r="F3178">
        <v>44</v>
      </c>
      <c r="G3178">
        <v>18</v>
      </c>
      <c r="H3178" t="s">
        <v>28</v>
      </c>
      <c r="I3178" t="s">
        <v>3438</v>
      </c>
      <c r="J3178" t="s">
        <v>444</v>
      </c>
    </row>
    <row r="3179" spans="1:10">
      <c r="A3179" t="s">
        <v>9463</v>
      </c>
      <c r="B3179">
        <v>-0.49166856408944898</v>
      </c>
      <c r="C3179">
        <v>11.2523224121851</v>
      </c>
      <c r="D3179">
        <v>4.8639033971226202E-4</v>
      </c>
      <c r="E3179">
        <v>4.0108495705503497E-2</v>
      </c>
      <c r="F3179">
        <v>182</v>
      </c>
      <c r="G3179">
        <v>273</v>
      </c>
      <c r="H3179" t="s">
        <v>9464</v>
      </c>
      <c r="I3179" t="s">
        <v>9465</v>
      </c>
      <c r="J3179" t="s">
        <v>456</v>
      </c>
    </row>
    <row r="3180" spans="1:10">
      <c r="A3180" t="s">
        <v>9466</v>
      </c>
      <c r="B3180">
        <v>0.47334606151303099</v>
      </c>
      <c r="C3180">
        <v>11.374240475757</v>
      </c>
      <c r="D3180">
        <v>4.4632669969891701E-4</v>
      </c>
      <c r="E3180">
        <v>3.7773333321887301E-2</v>
      </c>
      <c r="F3180">
        <v>280</v>
      </c>
      <c r="G3180">
        <v>215</v>
      </c>
      <c r="H3180" t="s">
        <v>9467</v>
      </c>
      <c r="I3180" t="s">
        <v>9468</v>
      </c>
      <c r="J3180" t="s">
        <v>454</v>
      </c>
    </row>
    <row r="3181" spans="1:10">
      <c r="A3181" t="s">
        <v>9469</v>
      </c>
      <c r="B3181">
        <v>-0.51993838388320601</v>
      </c>
      <c r="C3181">
        <v>11.153920805375201</v>
      </c>
      <c r="D3181">
        <v>3.58094941599183E-4</v>
      </c>
      <c r="E3181">
        <v>3.1125225194134399E-2</v>
      </c>
      <c r="F3181">
        <v>168</v>
      </c>
      <c r="G3181">
        <v>257</v>
      </c>
      <c r="H3181" t="s">
        <v>9470</v>
      </c>
      <c r="I3181" t="s">
        <v>9471</v>
      </c>
      <c r="J3181" t="s">
        <v>457</v>
      </c>
    </row>
    <row r="3182" spans="1:10">
      <c r="A3182" t="s">
        <v>9472</v>
      </c>
      <c r="B3182">
        <v>0.87815334075128404</v>
      </c>
      <c r="C3182">
        <v>9.6516945614616692</v>
      </c>
      <c r="D3182">
        <v>3.28896120829091E-4</v>
      </c>
      <c r="E3182">
        <v>2.93813867940655E-2</v>
      </c>
      <c r="F3182">
        <v>95</v>
      </c>
      <c r="G3182">
        <v>55</v>
      </c>
      <c r="H3182" t="s">
        <v>9473</v>
      </c>
      <c r="I3182" t="s">
        <v>9474</v>
      </c>
      <c r="J3182" t="s">
        <v>451</v>
      </c>
    </row>
    <row r="3183" spans="1:10">
      <c r="A3183" t="s">
        <v>9475</v>
      </c>
      <c r="B3183">
        <v>-0.68742835148858294</v>
      </c>
      <c r="C3183">
        <v>10.3415072488364</v>
      </c>
      <c r="D3183">
        <v>3.1687793995376101E-4</v>
      </c>
      <c r="E3183">
        <v>2.9116555854037E-2</v>
      </c>
      <c r="F3183">
        <v>89</v>
      </c>
      <c r="G3183">
        <v>153</v>
      </c>
      <c r="H3183" t="s">
        <v>9476</v>
      </c>
      <c r="I3183" t="s">
        <v>9477</v>
      </c>
      <c r="J3183" t="s">
        <v>461</v>
      </c>
    </row>
    <row r="3184" spans="1:10">
      <c r="A3184" t="s">
        <v>9478</v>
      </c>
      <c r="B3184">
        <v>3.78322535693342</v>
      </c>
      <c r="C3184">
        <v>6.5102716040554602</v>
      </c>
      <c r="D3184">
        <v>2.7611349248873998E-4</v>
      </c>
      <c r="E3184">
        <v>2.6117087995405502E-2</v>
      </c>
      <c r="F3184">
        <v>16</v>
      </c>
      <c r="G3184">
        <v>1</v>
      </c>
      <c r="H3184" t="s">
        <v>192</v>
      </c>
      <c r="I3184" t="s">
        <v>9479</v>
      </c>
      <c r="J3184" t="s">
        <v>191</v>
      </c>
    </row>
    <row r="3185" spans="1:10">
      <c r="A3185" t="s">
        <v>9480</v>
      </c>
      <c r="B3185">
        <v>1.52728432612938</v>
      </c>
      <c r="C3185">
        <v>8.2301919357051503</v>
      </c>
      <c r="D3185">
        <v>2.3904560369105199E-4</v>
      </c>
      <c r="E3185">
        <v>2.3296080650618799E-2</v>
      </c>
      <c r="F3185">
        <v>41</v>
      </c>
      <c r="G3185">
        <v>15</v>
      </c>
      <c r="H3185" t="s">
        <v>28</v>
      </c>
      <c r="I3185" t="s">
        <v>3438</v>
      </c>
      <c r="J3185" t="s">
        <v>440</v>
      </c>
    </row>
    <row r="3186" spans="1:10">
      <c r="A3186" t="s">
        <v>9481</v>
      </c>
      <c r="B3186">
        <v>-1.33782058892519</v>
      </c>
      <c r="C3186">
        <v>8.7080976547317306</v>
      </c>
      <c r="D3186">
        <v>2.2278724058226199E-4</v>
      </c>
      <c r="E3186">
        <v>2.2390117678517299E-2</v>
      </c>
      <c r="F3186">
        <v>21</v>
      </c>
      <c r="G3186">
        <v>57</v>
      </c>
      <c r="H3186" t="s">
        <v>28</v>
      </c>
      <c r="I3186" t="s">
        <v>9482</v>
      </c>
      <c r="J3186" t="s">
        <v>468</v>
      </c>
    </row>
    <row r="3187" spans="1:10">
      <c r="A3187" t="s">
        <v>9483</v>
      </c>
      <c r="B3187">
        <v>1.24204038247209</v>
      </c>
      <c r="C3187">
        <v>8.8151702722532299</v>
      </c>
      <c r="D3187">
        <v>1.9261938720482199E-4</v>
      </c>
      <c r="E3187">
        <v>1.9982708040345399E-2</v>
      </c>
      <c r="F3187">
        <v>58</v>
      </c>
      <c r="G3187">
        <v>26</v>
      </c>
      <c r="H3187" t="s">
        <v>28</v>
      </c>
      <c r="I3187" t="s">
        <v>4727</v>
      </c>
      <c r="J3187" t="s">
        <v>161</v>
      </c>
    </row>
    <row r="3188" spans="1:10">
      <c r="A3188" t="s">
        <v>9484</v>
      </c>
      <c r="B3188">
        <v>-0.65580853093921498</v>
      </c>
      <c r="C3188">
        <v>10.6657931776918</v>
      </c>
      <c r="D3188">
        <v>1.2216119410038599E-4</v>
      </c>
      <c r="E3188">
        <v>1.30956800075614E-2</v>
      </c>
      <c r="F3188">
        <v>113</v>
      </c>
      <c r="G3188">
        <v>190</v>
      </c>
      <c r="H3188" t="s">
        <v>9485</v>
      </c>
      <c r="I3188" t="s">
        <v>9486</v>
      </c>
      <c r="J3188" t="s">
        <v>459</v>
      </c>
    </row>
    <row r="3189" spans="1:10">
      <c r="A3189" t="s">
        <v>9487</v>
      </c>
      <c r="B3189">
        <v>1.4944975476857401</v>
      </c>
      <c r="C3189">
        <v>8.4672410840863108</v>
      </c>
      <c r="D3189">
        <v>1.04091648387712E-4</v>
      </c>
      <c r="E3189">
        <v>1.1543404869478699E-2</v>
      </c>
      <c r="F3189">
        <v>48</v>
      </c>
      <c r="G3189">
        <v>18</v>
      </c>
      <c r="H3189" t="s">
        <v>28</v>
      </c>
      <c r="I3189" t="s">
        <v>4348</v>
      </c>
      <c r="J3189" t="s">
        <v>100</v>
      </c>
    </row>
    <row r="3190" spans="1:10">
      <c r="A3190" t="s">
        <v>9488</v>
      </c>
      <c r="B3190">
        <v>-0.67837954580503701</v>
      </c>
      <c r="C3190">
        <v>10.680000431872401</v>
      </c>
      <c r="D3190" s="14">
        <v>8.0134579109337404E-5</v>
      </c>
      <c r="E3190">
        <v>9.2040288005581904E-3</v>
      </c>
      <c r="F3190">
        <v>113</v>
      </c>
      <c r="G3190">
        <v>193</v>
      </c>
      <c r="H3190" t="s">
        <v>28</v>
      </c>
      <c r="I3190" t="s">
        <v>9489</v>
      </c>
      <c r="J3190" t="s">
        <v>460</v>
      </c>
    </row>
    <row r="3191" spans="1:10">
      <c r="A3191" t="s">
        <v>9490</v>
      </c>
      <c r="B3191">
        <v>-0.75908916335917398</v>
      </c>
      <c r="C3191">
        <v>10.370995617940601</v>
      </c>
      <c r="D3191" s="14">
        <v>7.5781303421431696E-5</v>
      </c>
      <c r="E3191">
        <v>9.0263952519749804E-3</v>
      </c>
      <c r="F3191">
        <v>88</v>
      </c>
      <c r="G3191">
        <v>159</v>
      </c>
      <c r="H3191" t="s">
        <v>28</v>
      </c>
      <c r="I3191" t="s">
        <v>3438</v>
      </c>
      <c r="J3191" t="s">
        <v>462</v>
      </c>
    </row>
    <row r="3192" spans="1:10">
      <c r="A3192" t="s">
        <v>9491</v>
      </c>
      <c r="B3192">
        <v>1.7645504443367099</v>
      </c>
      <c r="C3192">
        <v>8.2042035904946307</v>
      </c>
      <c r="D3192" s="14">
        <v>3.3846449781590202E-5</v>
      </c>
      <c r="E3192">
        <v>4.1865454806766997E-3</v>
      </c>
      <c r="F3192">
        <v>42</v>
      </c>
      <c r="G3192">
        <v>13</v>
      </c>
      <c r="H3192" t="s">
        <v>9492</v>
      </c>
      <c r="I3192" t="s">
        <v>9493</v>
      </c>
      <c r="J3192" t="s">
        <v>436</v>
      </c>
    </row>
    <row r="3193" spans="1:10">
      <c r="A3193" t="s">
        <v>9494</v>
      </c>
      <c r="B3193">
        <v>1.0068189771832801</v>
      </c>
      <c r="C3193">
        <v>9.7082969022450794</v>
      </c>
      <c r="D3193" s="14">
        <v>3.0297290356940099E-5</v>
      </c>
      <c r="E3193">
        <v>3.8974434315167802E-3</v>
      </c>
      <c r="F3193">
        <v>102</v>
      </c>
      <c r="G3193">
        <v>54</v>
      </c>
      <c r="H3193" t="s">
        <v>214</v>
      </c>
      <c r="I3193" t="s">
        <v>9495</v>
      </c>
      <c r="J3193" t="s">
        <v>449</v>
      </c>
    </row>
    <row r="3194" spans="1:10">
      <c r="A3194" t="s">
        <v>9496</v>
      </c>
      <c r="B3194">
        <v>-0.74667039498816601</v>
      </c>
      <c r="C3194">
        <v>10.6846915386589</v>
      </c>
      <c r="D3194" s="14">
        <v>1.4189489250240201E-5</v>
      </c>
      <c r="E3194">
        <v>1.90139155953219E-3</v>
      </c>
      <c r="F3194">
        <v>110</v>
      </c>
      <c r="G3194">
        <v>197</v>
      </c>
      <c r="H3194" t="s">
        <v>90</v>
      </c>
      <c r="I3194" t="s">
        <v>9497</v>
      </c>
      <c r="J3194" t="s">
        <v>89</v>
      </c>
    </row>
    <row r="3195" spans="1:10">
      <c r="A3195" t="s">
        <v>9498</v>
      </c>
      <c r="B3195">
        <v>2.6636304443242098</v>
      </c>
      <c r="C3195">
        <v>7.5927605924084602</v>
      </c>
      <c r="D3195" s="14">
        <v>7.5604042330627796E-6</v>
      </c>
      <c r="E3195">
        <v>1.0571417397186901E-3</v>
      </c>
      <c r="F3195">
        <v>31</v>
      </c>
      <c r="G3195">
        <v>5</v>
      </c>
      <c r="H3195" t="s">
        <v>201</v>
      </c>
      <c r="I3195" t="s">
        <v>4297</v>
      </c>
      <c r="J3195" t="s">
        <v>200</v>
      </c>
    </row>
    <row r="3196" spans="1:10">
      <c r="A3196" t="s">
        <v>9499</v>
      </c>
      <c r="B3196">
        <v>-1.0641577046639501</v>
      </c>
      <c r="C3196">
        <v>9.7889623466160405</v>
      </c>
      <c r="D3196" s="14">
        <v>7.55222994212758E-6</v>
      </c>
      <c r="E3196">
        <v>1.0571417397186901E-3</v>
      </c>
      <c r="F3196">
        <v>51</v>
      </c>
      <c r="G3196">
        <v>114</v>
      </c>
      <c r="H3196" t="s">
        <v>9500</v>
      </c>
      <c r="I3196" t="s">
        <v>9501</v>
      </c>
      <c r="J3196" t="s">
        <v>464</v>
      </c>
    </row>
    <row r="3197" spans="1:10">
      <c r="A3197" t="s">
        <v>9502</v>
      </c>
      <c r="B3197">
        <v>0.736361274010634</v>
      </c>
      <c r="C3197">
        <v>10.930776144083501</v>
      </c>
      <c r="D3197" s="14">
        <v>2.7066841134789998E-6</v>
      </c>
      <c r="E3197">
        <v>4.1450933852135599E-4</v>
      </c>
      <c r="F3197">
        <v>222</v>
      </c>
      <c r="G3197">
        <v>142</v>
      </c>
      <c r="H3197" t="s">
        <v>28</v>
      </c>
      <c r="I3197" t="s">
        <v>5822</v>
      </c>
      <c r="J3197" t="s">
        <v>453</v>
      </c>
    </row>
    <row r="3198" spans="1:10">
      <c r="A3198" t="s">
        <v>9503</v>
      </c>
      <c r="B3198">
        <v>2.0082154538919901</v>
      </c>
      <c r="C3198">
        <v>8.2808366399057807</v>
      </c>
      <c r="D3198" s="14">
        <v>2.0974294372741998E-6</v>
      </c>
      <c r="E3198">
        <v>3.3726665351369202E-4</v>
      </c>
      <c r="F3198">
        <v>46</v>
      </c>
      <c r="G3198">
        <v>12</v>
      </c>
      <c r="H3198" t="s">
        <v>205</v>
      </c>
      <c r="I3198" t="s">
        <v>4297</v>
      </c>
      <c r="J3198" t="s">
        <v>204</v>
      </c>
    </row>
    <row r="3199" spans="1:10">
      <c r="A3199" t="s">
        <v>9504</v>
      </c>
      <c r="B3199">
        <v>1.4253068419885799</v>
      </c>
      <c r="C3199">
        <v>9.2430730266803192</v>
      </c>
      <c r="D3199" s="14">
        <v>1.26252259113365E-6</v>
      </c>
      <c r="E3199">
        <v>2.1369856068872601E-4</v>
      </c>
      <c r="F3199">
        <v>81</v>
      </c>
      <c r="G3199">
        <v>32</v>
      </c>
      <c r="H3199" t="s">
        <v>28</v>
      </c>
      <c r="I3199" t="s">
        <v>3438</v>
      </c>
      <c r="J3199" t="s">
        <v>3427</v>
      </c>
    </row>
    <row r="3200" spans="1:10">
      <c r="A3200" t="s">
        <v>9505</v>
      </c>
      <c r="B3200">
        <v>4.3610057459024896</v>
      </c>
      <c r="C3200">
        <v>7.0666840523343399</v>
      </c>
      <c r="D3200" s="14">
        <v>8.1586443620954298E-7</v>
      </c>
      <c r="E3200">
        <v>1.45767779269438E-4</v>
      </c>
      <c r="F3200">
        <v>24</v>
      </c>
      <c r="G3200">
        <v>1</v>
      </c>
      <c r="H3200" t="s">
        <v>9506</v>
      </c>
      <c r="I3200" t="s">
        <v>9507</v>
      </c>
      <c r="J3200" t="s">
        <v>433</v>
      </c>
    </row>
    <row r="3201" spans="1:10">
      <c r="A3201" t="s">
        <v>9508</v>
      </c>
      <c r="B3201">
        <v>-1.99420149707655</v>
      </c>
      <c r="C3201">
        <v>8.5312030228788895</v>
      </c>
      <c r="D3201" s="14">
        <v>7.2150818148233097E-7</v>
      </c>
      <c r="E3201">
        <v>1.3649237127336301E-4</v>
      </c>
      <c r="F3201">
        <v>13</v>
      </c>
      <c r="G3201">
        <v>56</v>
      </c>
      <c r="H3201" t="s">
        <v>9509</v>
      </c>
      <c r="I3201" t="s">
        <v>9510</v>
      </c>
      <c r="J3201" t="s">
        <v>471</v>
      </c>
    </row>
    <row r="3202" spans="1:10">
      <c r="A3202" t="s">
        <v>9511</v>
      </c>
      <c r="B3202">
        <v>1.75776212345311</v>
      </c>
      <c r="C3202">
        <v>8.8151979702967704</v>
      </c>
      <c r="D3202" s="14">
        <v>3.2115562304122102E-7</v>
      </c>
      <c r="E3202" s="14">
        <v>6.4552280231285498E-5</v>
      </c>
      <c r="F3202">
        <v>64</v>
      </c>
      <c r="G3202">
        <v>20</v>
      </c>
      <c r="H3202" t="s">
        <v>9512</v>
      </c>
      <c r="I3202" t="s">
        <v>9513</v>
      </c>
      <c r="J3202" t="s">
        <v>437</v>
      </c>
    </row>
    <row r="3203" spans="1:10">
      <c r="A3203" t="s">
        <v>9514</v>
      </c>
      <c r="B3203">
        <v>1.0337172287530101</v>
      </c>
      <c r="C3203">
        <v>10.255844570087399</v>
      </c>
      <c r="D3203" s="14">
        <v>2.27321905710356E-7</v>
      </c>
      <c r="E3203" s="14">
        <v>4.8737816584300298E-5</v>
      </c>
      <c r="F3203">
        <v>150</v>
      </c>
      <c r="G3203">
        <v>78</v>
      </c>
      <c r="H3203" t="s">
        <v>9515</v>
      </c>
      <c r="I3203" t="s">
        <v>9516</v>
      </c>
      <c r="J3203" t="s">
        <v>448</v>
      </c>
    </row>
    <row r="3204" spans="1:10">
      <c r="A3204" t="s">
        <v>9517</v>
      </c>
      <c r="B3204">
        <v>-1.0320266764419299</v>
      </c>
      <c r="C3204">
        <v>10.341447714596001</v>
      </c>
      <c r="D3204" s="14">
        <v>1.5408162885676799E-7</v>
      </c>
      <c r="E3204" s="14">
        <v>3.5394751314526001E-5</v>
      </c>
      <c r="F3204">
        <v>76</v>
      </c>
      <c r="G3204">
        <v>166</v>
      </c>
      <c r="H3204" t="s">
        <v>332</v>
      </c>
      <c r="I3204" t="s">
        <v>9518</v>
      </c>
      <c r="J3204" t="s">
        <v>333</v>
      </c>
    </row>
    <row r="3205" spans="1:10">
      <c r="A3205" t="s">
        <v>9519</v>
      </c>
      <c r="B3205">
        <v>1.03593979610404</v>
      </c>
      <c r="C3205">
        <v>10.3117052591271</v>
      </c>
      <c r="D3205" s="14">
        <v>1.3584694871266301E-7</v>
      </c>
      <c r="E3205" s="14">
        <v>3.3606445158455802E-5</v>
      </c>
      <c r="F3205">
        <v>156</v>
      </c>
      <c r="G3205">
        <v>81</v>
      </c>
      <c r="H3205" t="s">
        <v>28</v>
      </c>
      <c r="I3205" t="s">
        <v>4452</v>
      </c>
      <c r="J3205" t="s">
        <v>327</v>
      </c>
    </row>
    <row r="3206" spans="1:10">
      <c r="A3206" t="s">
        <v>9520</v>
      </c>
      <c r="B3206">
        <v>2.1842219029155299</v>
      </c>
      <c r="C3206">
        <v>8.4228699282068398</v>
      </c>
      <c r="D3206" s="14">
        <v>1.05047932258474E-7</v>
      </c>
      <c r="E3206" s="14">
        <v>2.8152845845271101E-5</v>
      </c>
      <c r="F3206">
        <v>52</v>
      </c>
      <c r="G3206">
        <v>12</v>
      </c>
      <c r="H3206" t="s">
        <v>38</v>
      </c>
      <c r="I3206" t="s">
        <v>9521</v>
      </c>
      <c r="J3206" t="s">
        <v>39</v>
      </c>
    </row>
    <row r="3207" spans="1:10">
      <c r="A3207" t="s">
        <v>9522</v>
      </c>
      <c r="B3207">
        <v>1.25880070358547</v>
      </c>
      <c r="C3207">
        <v>9.9307416208286998</v>
      </c>
      <c r="D3207" s="14">
        <v>3.3439737199591898E-8</v>
      </c>
      <c r="E3207" s="14">
        <v>9.7765631667170593E-6</v>
      </c>
      <c r="F3207">
        <v>126</v>
      </c>
      <c r="G3207">
        <v>56</v>
      </c>
      <c r="H3207" t="s">
        <v>28</v>
      </c>
      <c r="I3207" t="s">
        <v>3438</v>
      </c>
      <c r="J3207" t="s">
        <v>23</v>
      </c>
    </row>
    <row r="3208" spans="1:10">
      <c r="A3208" t="s">
        <v>9523</v>
      </c>
      <c r="B3208">
        <v>0.89089848840142705</v>
      </c>
      <c r="C3208">
        <v>10.9108599359057</v>
      </c>
      <c r="D3208" s="14">
        <v>1.3753941088610399E-8</v>
      </c>
      <c r="E3208" s="14">
        <v>4.4232674540971E-6</v>
      </c>
      <c r="F3208">
        <v>228</v>
      </c>
      <c r="G3208">
        <v>131</v>
      </c>
      <c r="H3208" t="s">
        <v>28</v>
      </c>
      <c r="I3208" t="s">
        <v>3438</v>
      </c>
      <c r="J3208" t="s">
        <v>34</v>
      </c>
    </row>
    <row r="3209" spans="1:10">
      <c r="A3209" t="s">
        <v>9524</v>
      </c>
      <c r="B3209">
        <v>3.1655606788599302</v>
      </c>
      <c r="C3209">
        <v>8.0375764183855392</v>
      </c>
      <c r="D3209" s="14">
        <v>4.37784288155317E-9</v>
      </c>
      <c r="E3209" s="14">
        <v>1.5643491896749999E-6</v>
      </c>
      <c r="F3209">
        <v>44</v>
      </c>
      <c r="G3209">
        <v>5</v>
      </c>
      <c r="H3209" t="s">
        <v>228</v>
      </c>
      <c r="I3209" t="s">
        <v>9525</v>
      </c>
      <c r="J3209" t="s">
        <v>227</v>
      </c>
    </row>
    <row r="3210" spans="1:10">
      <c r="A3210" t="s">
        <v>9526</v>
      </c>
      <c r="B3210">
        <v>0.89138273629068898</v>
      </c>
      <c r="C3210">
        <v>11.217493095468599</v>
      </c>
      <c r="D3210" s="14">
        <v>3.4699546802464102E-10</v>
      </c>
      <c r="E3210" s="14">
        <v>1.39492178145906E-7</v>
      </c>
      <c r="F3210">
        <v>282</v>
      </c>
      <c r="G3210">
        <v>162</v>
      </c>
      <c r="H3210" t="s">
        <v>28</v>
      </c>
      <c r="I3210" t="s">
        <v>3474</v>
      </c>
      <c r="J3210" t="s">
        <v>450</v>
      </c>
    </row>
    <row r="3211" spans="1:10">
      <c r="A3211" t="s">
        <v>9527</v>
      </c>
      <c r="B3211">
        <v>5.2289144989185496</v>
      </c>
      <c r="C3211">
        <v>7.9147286427410597</v>
      </c>
      <c r="D3211" s="14">
        <v>1.40043654734184E-12</v>
      </c>
      <c r="E3211" s="14">
        <v>6.4340056232162196E-10</v>
      </c>
      <c r="F3211">
        <v>44</v>
      </c>
      <c r="G3211">
        <v>1</v>
      </c>
      <c r="H3211" t="s">
        <v>28</v>
      </c>
      <c r="I3211" t="s">
        <v>3438</v>
      </c>
      <c r="J3211" t="s">
        <v>432</v>
      </c>
    </row>
    <row r="3212" spans="1:10">
      <c r="A3212" t="s">
        <v>9528</v>
      </c>
      <c r="B3212">
        <v>4.6790114324177097</v>
      </c>
      <c r="C3212">
        <v>8.2302520318683001</v>
      </c>
      <c r="D3212" s="14">
        <v>2.4588648085621599E-14</v>
      </c>
      <c r="E3212" s="14">
        <v>1.3179515373893201E-11</v>
      </c>
      <c r="F3212">
        <v>54</v>
      </c>
      <c r="G3212">
        <v>2</v>
      </c>
      <c r="H3212" t="s">
        <v>28</v>
      </c>
      <c r="I3212" t="s">
        <v>3438</v>
      </c>
      <c r="J3212" t="s">
        <v>108</v>
      </c>
    </row>
    <row r="3213" spans="1:10">
      <c r="A3213" t="s">
        <v>9529</v>
      </c>
      <c r="B3213">
        <v>2.2768792039321402</v>
      </c>
      <c r="C3213">
        <v>9.4890698764543497</v>
      </c>
      <c r="D3213" s="14">
        <v>2.2213673901901901E-15</v>
      </c>
      <c r="E3213" s="14">
        <v>1.4287835053703301E-12</v>
      </c>
      <c r="F3213">
        <v>110</v>
      </c>
      <c r="G3213">
        <v>24</v>
      </c>
      <c r="H3213" t="s">
        <v>28</v>
      </c>
      <c r="I3213" t="s">
        <v>3438</v>
      </c>
      <c r="J3213" t="s">
        <v>435</v>
      </c>
    </row>
    <row r="3214" spans="1:10">
      <c r="A3214" t="s">
        <v>9530</v>
      </c>
      <c r="B3214">
        <v>2.7706627497239</v>
      </c>
      <c r="C3214">
        <v>9.1372036014166902</v>
      </c>
      <c r="D3214" s="14">
        <v>5.3191890124731597E-16</v>
      </c>
      <c r="E3214" s="14">
        <v>4.2766279660284199E-13</v>
      </c>
      <c r="F3214">
        <v>91</v>
      </c>
      <c r="G3214">
        <v>14</v>
      </c>
      <c r="H3214" t="s">
        <v>197</v>
      </c>
      <c r="I3214" t="s">
        <v>9531</v>
      </c>
      <c r="J3214" t="s">
        <v>196</v>
      </c>
    </row>
    <row r="3215" spans="1:10">
      <c r="A3215" t="s">
        <v>9532</v>
      </c>
      <c r="B3215">
        <v>1.28505366999659</v>
      </c>
      <c r="C3215">
        <v>11.023059588150501</v>
      </c>
      <c r="D3215" s="14">
        <v>1.02149635271042E-16</v>
      </c>
      <c r="E3215" s="14">
        <v>1.09504409010557E-13</v>
      </c>
      <c r="F3215">
        <v>270</v>
      </c>
      <c r="G3215">
        <v>118</v>
      </c>
      <c r="H3215" t="s">
        <v>28</v>
      </c>
      <c r="I3215" t="s">
        <v>3438</v>
      </c>
      <c r="J3215" t="s">
        <v>13</v>
      </c>
    </row>
    <row r="3216" spans="1:10">
      <c r="A3216" t="s">
        <v>9533</v>
      </c>
      <c r="B3216">
        <v>4.0774561989629099</v>
      </c>
      <c r="C3216">
        <v>8.8823909063762905</v>
      </c>
      <c r="D3216" s="14">
        <v>9.7183478371745402E-21</v>
      </c>
      <c r="E3216" s="14">
        <v>1.56271033221767E-17</v>
      </c>
      <c r="F3216">
        <v>83</v>
      </c>
      <c r="G3216">
        <v>5</v>
      </c>
      <c r="H3216" t="s">
        <v>28</v>
      </c>
      <c r="I3216" t="s">
        <v>3878</v>
      </c>
      <c r="J3216" t="s">
        <v>226</v>
      </c>
    </row>
    <row r="3217" spans="1:10">
      <c r="A3217" t="s">
        <v>9534</v>
      </c>
      <c r="B3217">
        <v>-1.25897825640283</v>
      </c>
      <c r="C3217">
        <v>11.9239531517799</v>
      </c>
      <c r="D3217" s="14">
        <v>1.28675712024843E-27</v>
      </c>
      <c r="E3217" s="14">
        <v>4.1382108987189603E-24</v>
      </c>
      <c r="F3217">
        <v>204</v>
      </c>
      <c r="G3217">
        <v>521</v>
      </c>
      <c r="H3217" t="s">
        <v>229</v>
      </c>
      <c r="I3217" t="s">
        <v>9535</v>
      </c>
      <c r="J3217" t="s">
        <v>230</v>
      </c>
    </row>
  </sheetData>
  <conditionalFormatting sqref="M78:N82 M3:N76">
    <cfRule type="duplicateValues" priority="13"/>
  </conditionalFormatting>
  <conditionalFormatting sqref="M1:M76 M78:M82">
    <cfRule type="duplicateValues" dxfId="9" priority="16"/>
  </conditionalFormatting>
  <conditionalFormatting sqref="N78:N82 N1:N76">
    <cfRule type="duplicateValues" dxfId="8" priority="22"/>
  </conditionalFormatting>
  <conditionalFormatting sqref="A1">
    <cfRule type="duplicateValues" dxfId="7" priority="2"/>
    <cfRule type="duplicateValues" dxfId="6" priority="3"/>
  </conditionalFormatting>
  <conditionalFormatting sqref="A1">
    <cfRule type="duplicateValues" dxfId="5" priority="4"/>
  </conditionalFormatting>
  <conditionalFormatting sqref="A1">
    <cfRule type="duplicateValues" dxfId="4" priority="1"/>
  </conditionalFormatting>
  <pageMargins left="0.7" right="0.7" top="0.75" bottom="0.75" header="0.3" footer="0.3"/>
  <pageSetup orientation="portrait" r:id="rId1"/>
  <customProperties>
    <customPr name="SSCSheetTrackingNo" r:id="rId2"/>
  </customProperties>
  <extLst>
    <ext xmlns:x14="http://schemas.microsoft.com/office/spreadsheetml/2009/9/main" uri="{78C0D931-6437-407d-A8EE-F0AAD7539E65}">
      <x14:conditionalFormattings>
        <x14:conditionalFormatting xmlns:xm="http://schemas.microsoft.com/office/excel/2006/main">
          <x14:cfRule type="expression" priority="5" id="{2DD62CC5-5D89-4C0A-95FE-C8CCC398ACC2}">
            <xm:f>NOT(ISNA(VLOOKUP(N1,'Regulatory overview'!$A$1:$P$126,1,FALSE)))</xm:f>
            <x14:dxf>
              <fill>
                <patternFill>
                  <bgColor rgb="FF00B050"/>
                </patternFill>
              </fill>
            </x14:dxf>
          </x14:cfRule>
          <xm:sqref>N3:N76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7"/>
  <sheetViews>
    <sheetView workbookViewId="0">
      <selection activeCell="K29" sqref="K29"/>
    </sheetView>
  </sheetViews>
  <sheetFormatPr defaultRowHeight="14.5"/>
  <cols>
    <col min="2" max="2" width="9.1796875" style="26"/>
    <col min="4" max="4" width="9.1796875" style="26"/>
    <col min="6" max="6" width="9.1796875" style="26"/>
    <col min="7" max="7" width="9.1796875" style="28"/>
    <col min="8" max="8" width="9.1796875" style="26"/>
  </cols>
  <sheetData>
    <row r="1" spans="1:12" s="25" customFormat="1">
      <c r="A1" s="25" t="s">
        <v>20182</v>
      </c>
      <c r="B1" s="25" t="s">
        <v>20183</v>
      </c>
      <c r="C1" s="25" t="s">
        <v>20184</v>
      </c>
      <c r="D1" s="25" t="s">
        <v>20185</v>
      </c>
      <c r="E1" s="25" t="s">
        <v>20184</v>
      </c>
      <c r="F1" s="25" t="s">
        <v>20186</v>
      </c>
      <c r="J1" s="25" t="s">
        <v>20191</v>
      </c>
    </row>
    <row r="2" spans="1:12">
      <c r="A2" s="9" t="s">
        <v>20192</v>
      </c>
      <c r="C2" s="9" t="s">
        <v>20192</v>
      </c>
      <c r="G2" s="27" t="s">
        <v>411</v>
      </c>
      <c r="J2" s="9" t="s">
        <v>20194</v>
      </c>
    </row>
    <row r="3" spans="1:12">
      <c r="A3" t="s">
        <v>996</v>
      </c>
      <c r="B3" s="26" t="str">
        <f>LOOKUP(A3,AnnotationTuberculist2017!B:B,AnnotationTuberculist2017!A:A)</f>
        <v>dnaN</v>
      </c>
      <c r="C3" t="s">
        <v>1114</v>
      </c>
      <c r="D3" s="26" t="str">
        <f>LOOKUP(C3,AnnotationTuberculist2017!B:B,AnnotationTuberculist2017!A:A)</f>
        <v>fhaB</v>
      </c>
      <c r="E3" t="s">
        <v>2509</v>
      </c>
      <c r="F3" s="26" t="str">
        <f>LOOKUP(E3,AnnotationTuberculist2017!B:B,AnnotationTuberculist2017!A:A)</f>
        <v>mmsB</v>
      </c>
      <c r="G3" s="28" t="s">
        <v>412</v>
      </c>
      <c r="H3" s="26" t="str">
        <f>LOOKUP(G3,AnnotationTuberculist2017!B:B,AnnotationTuberculist2017!A:A)</f>
        <v>fadD10</v>
      </c>
      <c r="J3" s="16" t="s">
        <v>996</v>
      </c>
      <c r="K3" t="str">
        <f>LOOKUP(J3,AnnotationTuberculist2017!B:B,AnnotationTuberculist2017!A:A)</f>
        <v>dnaN</v>
      </c>
      <c r="L3" t="str">
        <f>LOOKUP(K3,AnnotationTuberculist2017!C:C,AnnotationTuberculist2017!B:B)</f>
        <v>Rv3924c</v>
      </c>
    </row>
    <row r="4" spans="1:12">
      <c r="A4" t="s">
        <v>1114</v>
      </c>
      <c r="B4" s="26" t="str">
        <f>LOOKUP(A4,AnnotationTuberculist2017!B:B,AnnotationTuberculist2017!A:A)</f>
        <v>fhaB</v>
      </c>
      <c r="C4" t="s">
        <v>878</v>
      </c>
      <c r="D4" s="26" t="str">
        <f>LOOKUP(C4,AnnotationTuberculist2017!B:B,AnnotationTuberculist2017!A:A)</f>
        <v>ctpB</v>
      </c>
      <c r="E4" t="s">
        <v>1802</v>
      </c>
      <c r="F4" s="26" t="str">
        <f>LOOKUP(E4,AnnotationTuberculist2017!B:B,AnnotationTuberculist2017!A:A)</f>
        <v>fadE9</v>
      </c>
      <c r="G4" s="28" t="s">
        <v>414</v>
      </c>
      <c r="H4" s="26" t="str">
        <f>LOOKUP(G4,AnnotationTuberculist2017!B:B,AnnotationTuberculist2017!A:A)</f>
        <v>Rv0188</v>
      </c>
      <c r="J4" t="s">
        <v>1114</v>
      </c>
      <c r="K4" t="str">
        <f>LOOKUP(J4,AnnotationTuberculist2017!B:B,AnnotationTuberculist2017!A:A)</f>
        <v>fhaB</v>
      </c>
    </row>
    <row r="5" spans="1:12">
      <c r="A5" t="s">
        <v>9902</v>
      </c>
      <c r="B5" s="26" t="str">
        <f>LOOKUP(A5,AnnotationTuberculist2017!B:B,AnnotationTuberculist2017!A:A)</f>
        <v>ephF</v>
      </c>
      <c r="C5" t="s">
        <v>1458</v>
      </c>
      <c r="D5" s="26" t="str">
        <f>LOOKUP(C5,AnnotationTuberculist2017!B:B,AnnotationTuberculist2017!A:A)</f>
        <v>Rv0104</v>
      </c>
      <c r="E5" t="s">
        <v>2222</v>
      </c>
      <c r="F5" s="26" t="str">
        <f>LOOKUP(E5,AnnotationTuberculist2017!B:B,AnnotationTuberculist2017!A:A)</f>
        <v>accD3</v>
      </c>
      <c r="G5" s="28" t="s">
        <v>415</v>
      </c>
      <c r="H5" s="26" t="str">
        <f>LOOKUP(G5,AnnotationTuberculist2017!B:B,AnnotationTuberculist2017!A:A)</f>
        <v>cydA</v>
      </c>
      <c r="J5" t="s">
        <v>878</v>
      </c>
      <c r="K5" t="str">
        <f>LOOKUP(J5,AnnotationTuberculist2017!B:B,AnnotationTuberculist2017!A:A)</f>
        <v>ctpB</v>
      </c>
    </row>
    <row r="6" spans="1:12">
      <c r="A6" t="s">
        <v>2602</v>
      </c>
      <c r="B6" s="26" t="str">
        <f>LOOKUP(A6,AnnotationTuberculist2017!B:B,AnnotationTuberculist2017!A:A)</f>
        <v>Rv0249c</v>
      </c>
      <c r="C6" t="s">
        <v>2929</v>
      </c>
      <c r="D6" s="26" t="str">
        <f>LOOKUP(C6,AnnotationTuberculist2017!B:B,AnnotationTuberculist2017!A:A)</f>
        <v>Rv0452</v>
      </c>
      <c r="E6" t="s">
        <v>2528</v>
      </c>
      <c r="F6" s="26" t="str">
        <f>LOOKUP(E6,AnnotationTuberculist2017!B:B,AnnotationTuberculist2017!A:A)</f>
        <v>echA6</v>
      </c>
      <c r="G6" s="28" t="s">
        <v>417</v>
      </c>
      <c r="H6" s="26" t="str">
        <f>LOOKUP(G6,AnnotationTuberculist2017!B:B,AnnotationTuberculist2017!A:A)</f>
        <v>lipQ</v>
      </c>
      <c r="J6" t="s">
        <v>1458</v>
      </c>
      <c r="K6" t="str">
        <f>LOOKUP(J6,AnnotationTuberculist2017!B:B,AnnotationTuberculist2017!A:A)</f>
        <v>Rv0104</v>
      </c>
    </row>
    <row r="7" spans="1:12">
      <c r="A7" t="s">
        <v>1903</v>
      </c>
      <c r="B7" s="26" t="str">
        <f>LOOKUP(A7,AnnotationTuberculist2017!B:B,AnnotationTuberculist2017!A:A)</f>
        <v>PPE2</v>
      </c>
      <c r="C7" t="s">
        <v>434</v>
      </c>
      <c r="D7" s="26" t="str">
        <f>LOOKUP(C7,AnnotationTuberculist2017!B:B,AnnotationTuberculist2017!A:A)</f>
        <v>PPE11</v>
      </c>
      <c r="E7" t="s">
        <v>2704</v>
      </c>
      <c r="F7" s="26" t="str">
        <f>LOOKUP(E7,AnnotationTuberculist2017!B:B,AnnotationTuberculist2017!A:A)</f>
        <v>Rv0906</v>
      </c>
      <c r="G7" s="28" t="s">
        <v>119</v>
      </c>
      <c r="H7" s="26" t="str">
        <f>LOOKUP(G7,AnnotationTuberculist2017!B:B,AnnotationTuberculist2017!A:A)</f>
        <v>Rv3613c</v>
      </c>
      <c r="J7" s="16" t="s">
        <v>9902</v>
      </c>
      <c r="K7" t="str">
        <f>LOOKUP(J7,AnnotationTuberculist2017!B:B,AnnotationTuberculist2017!A:A)</f>
        <v>ephF</v>
      </c>
    </row>
    <row r="8" spans="1:12">
      <c r="A8" t="s">
        <v>1834</v>
      </c>
      <c r="B8" s="26" t="str">
        <f>LOOKUP(A8,AnnotationTuberculist2017!B:B,AnnotationTuberculist2017!A:A)</f>
        <v>def</v>
      </c>
      <c r="C8" t="s">
        <v>10758</v>
      </c>
      <c r="D8" s="26" t="str">
        <f>LOOKUP(C8,AnnotationTuberculist2017!B:B,AnnotationTuberculist2017!A:A)</f>
        <v>Rv0520</v>
      </c>
      <c r="E8" t="s">
        <v>212</v>
      </c>
      <c r="F8" s="26" t="str">
        <f>LOOKUP(E8,AnnotationTuberculist2017!B:B,AnnotationTuberculist2017!A:A)</f>
        <v>Rv0907</v>
      </c>
      <c r="G8" s="28" t="s">
        <v>126</v>
      </c>
      <c r="H8" s="26" t="str">
        <f>LOOKUP(G8,AnnotationTuberculist2017!B:B,AnnotationTuberculist2017!A:A)</f>
        <v>espD</v>
      </c>
      <c r="J8" t="s">
        <v>2602</v>
      </c>
      <c r="K8" t="str">
        <f>LOOKUP(J8,AnnotationTuberculist2017!B:B,AnnotationTuberculist2017!A:A)</f>
        <v>Rv0249c</v>
      </c>
    </row>
    <row r="9" spans="1:12">
      <c r="A9" t="s">
        <v>116</v>
      </c>
      <c r="B9" s="26" t="str">
        <f>LOOKUP(A9,AnnotationTuberculist2017!B:B,AnnotationTuberculist2017!A:A)</f>
        <v>mmpS4</v>
      </c>
      <c r="C9" t="s">
        <v>627</v>
      </c>
      <c r="D9" s="26" t="str">
        <f>LOOKUP(C9,AnnotationTuberculist2017!B:B,AnnotationTuberculist2017!A:A)</f>
        <v>mmaA3</v>
      </c>
      <c r="E9" t="s">
        <v>2234</v>
      </c>
      <c r="F9" s="26" t="str">
        <f>LOOKUP(E9,AnnotationTuberculist2017!B:B,AnnotationTuberculist2017!A:A)</f>
        <v>ctpE</v>
      </c>
      <c r="G9" s="28" t="s">
        <v>135</v>
      </c>
      <c r="H9" s="26" t="str">
        <f>LOOKUP(G9,AnnotationTuberculist2017!B:B,AnnotationTuberculist2017!A:A)</f>
        <v>espC</v>
      </c>
      <c r="J9" s="16" t="s">
        <v>1903</v>
      </c>
      <c r="K9" t="str">
        <f>LOOKUP(J9,AnnotationTuberculist2017!B:B,AnnotationTuberculist2017!A:A)</f>
        <v>PPE2</v>
      </c>
    </row>
    <row r="10" spans="1:12">
      <c r="A10" t="s">
        <v>434</v>
      </c>
      <c r="B10" s="26" t="str">
        <f>LOOKUP(A10,AnnotationTuberculist2017!B:B,AnnotationTuberculist2017!A:A)</f>
        <v>PPE11</v>
      </c>
      <c r="C10" t="s">
        <v>2509</v>
      </c>
      <c r="D10" s="26" t="str">
        <f>LOOKUP(C10,AnnotationTuberculist2017!B:B,AnnotationTuberculist2017!A:A)</f>
        <v>mmsB</v>
      </c>
      <c r="E10" t="s">
        <v>1853</v>
      </c>
      <c r="F10" s="26" t="str">
        <f>LOOKUP(E10,AnnotationTuberculist2017!B:B,AnnotationTuberculist2017!A:A)</f>
        <v>Rv0950c</v>
      </c>
      <c r="G10" s="28" t="s">
        <v>55</v>
      </c>
      <c r="H10" s="26" t="str">
        <f>LOOKUP(G10,AnnotationTuberculist2017!B:B,AnnotationTuberculist2017!A:A)</f>
        <v>espA</v>
      </c>
      <c r="J10" s="16" t="s">
        <v>1834</v>
      </c>
      <c r="K10" t="str">
        <f>LOOKUP(J10,AnnotationTuberculist2017!B:B,AnnotationTuberculist2017!A:A)</f>
        <v>def</v>
      </c>
    </row>
    <row r="11" spans="1:12">
      <c r="A11" t="s">
        <v>1996</v>
      </c>
      <c r="B11" s="26" t="str">
        <f>LOOKUP(A11,AnnotationTuberculist2017!B:B,AnnotationTuberculist2017!A:A)</f>
        <v>Rv0457c</v>
      </c>
      <c r="C11" t="s">
        <v>1802</v>
      </c>
      <c r="D11" s="26" t="str">
        <f>LOOKUP(C11,AnnotationTuberculist2017!B:B,AnnotationTuberculist2017!A:A)</f>
        <v>fadE9</v>
      </c>
      <c r="E11" t="s">
        <v>2162</v>
      </c>
      <c r="F11" s="26" t="str">
        <f>LOOKUP(E11,AnnotationTuberculist2017!B:B,AnnotationTuberculist2017!A:A)</f>
        <v>sucC</v>
      </c>
      <c r="G11" s="27" t="s">
        <v>419</v>
      </c>
      <c r="J11" s="16" t="s">
        <v>116</v>
      </c>
      <c r="K11" t="str">
        <f>LOOKUP(J11,AnnotationTuberculist2017!B:B,AnnotationTuberculist2017!A:A)</f>
        <v>mmpS4</v>
      </c>
    </row>
    <row r="12" spans="1:12">
      <c r="A12" t="s">
        <v>968</v>
      </c>
      <c r="B12" s="26" t="str">
        <f>LOOKUP(A12,AnnotationTuberculist2017!B:B,AnnotationTuberculist2017!A:A)</f>
        <v>Rv0458</v>
      </c>
      <c r="C12" t="s">
        <v>2252</v>
      </c>
      <c r="D12" s="26" t="str">
        <f>LOOKUP(C12,AnnotationTuberculist2017!B:B,AnnotationTuberculist2017!A:A)</f>
        <v>serC</v>
      </c>
      <c r="E12" t="s">
        <v>1922</v>
      </c>
      <c r="F12" s="26" t="str">
        <f>LOOKUP(E12,AnnotationTuberculist2017!B:B,AnnotationTuberculist2017!A:A)</f>
        <v>sucD</v>
      </c>
      <c r="G12" s="28" t="s">
        <v>420</v>
      </c>
      <c r="H12" s="26" t="str">
        <f>LOOKUP(G12,AnnotationTuberculist2017!B:B,AnnotationTuberculist2017!A:A)</f>
        <v>lprQ</v>
      </c>
      <c r="J12" t="s">
        <v>2929</v>
      </c>
      <c r="K12" t="str">
        <f>LOOKUP(J12,AnnotationTuberculist2017!B:B,AnnotationTuberculist2017!A:A)</f>
        <v>Rv0452</v>
      </c>
    </row>
    <row r="13" spans="1:12">
      <c r="A13" t="s">
        <v>1055</v>
      </c>
      <c r="B13" s="26" t="str">
        <f>LOOKUP(A13,AnnotationTuberculist2017!B:B,AnnotationTuberculist2017!A:A)</f>
        <v>rplJ</v>
      </c>
      <c r="C13" t="s">
        <v>2513</v>
      </c>
      <c r="D13" s="26" t="str">
        <f>LOOKUP(C13,AnnotationTuberculist2017!B:B,AnnotationTuberculist2017!A:A)</f>
        <v>Rv0885</v>
      </c>
      <c r="E13" t="s">
        <v>2211</v>
      </c>
      <c r="F13" s="26" t="str">
        <f>LOOKUP(E13,AnnotationTuberculist2017!B:B,AnnotationTuberculist2017!A:A)</f>
        <v>Rv0992c</v>
      </c>
      <c r="G13" s="28" t="s">
        <v>422</v>
      </c>
      <c r="H13" s="26" t="str">
        <f>LOOKUP(G13,AnnotationTuberculist2017!B:B,AnnotationTuberculist2017!A:A)</f>
        <v>rpfA</v>
      </c>
      <c r="J13" t="s">
        <v>434</v>
      </c>
      <c r="K13" t="str">
        <f>LOOKUP(J13,AnnotationTuberculist2017!B:B,AnnotationTuberculist2017!A:A)</f>
        <v>PPE11</v>
      </c>
    </row>
    <row r="14" spans="1:12">
      <c r="A14" t="s">
        <v>2282</v>
      </c>
      <c r="B14" s="26" t="str">
        <f>LOOKUP(A14,AnnotationTuberculist2017!B:B,AnnotationTuberculist2017!A:A)</f>
        <v>Rv0658c</v>
      </c>
      <c r="C14" t="s">
        <v>2222</v>
      </c>
      <c r="D14" s="26" t="str">
        <f>LOOKUP(C14,AnnotationTuberculist2017!B:B,AnnotationTuberculist2017!A:A)</f>
        <v>accD3</v>
      </c>
      <c r="E14" t="s">
        <v>1769</v>
      </c>
      <c r="F14" s="26" t="str">
        <f>LOOKUP(E14,AnnotationTuberculist2017!B:B,AnnotationTuberculist2017!A:A)</f>
        <v>galU</v>
      </c>
      <c r="G14" s="28" t="s">
        <v>424</v>
      </c>
      <c r="H14" s="26" t="str">
        <f>LOOKUP(G14,AnnotationTuberculist2017!B:B,AnnotationTuberculist2017!A:A)</f>
        <v>PPE20</v>
      </c>
      <c r="J14" t="s">
        <v>1996</v>
      </c>
      <c r="K14" t="str">
        <f>LOOKUP(J14,AnnotationTuberculist2017!B:B,AnnotationTuberculist2017!A:A)</f>
        <v>Rv0457c</v>
      </c>
    </row>
    <row r="15" spans="1:12">
      <c r="A15" t="s">
        <v>2644</v>
      </c>
      <c r="B15" s="26" t="str">
        <f>LOOKUP(A15,AnnotationTuberculist2017!B:B,AnnotationTuberculist2017!A:A)</f>
        <v>Rv0680c</v>
      </c>
      <c r="C15" t="s">
        <v>2528</v>
      </c>
      <c r="D15" s="26" t="str">
        <f>LOOKUP(C15,AnnotationTuberculist2017!B:B,AnnotationTuberculist2017!A:A)</f>
        <v>echA6</v>
      </c>
      <c r="E15" t="s">
        <v>724</v>
      </c>
      <c r="F15" s="26" t="str">
        <f>LOOKUP(E15,AnnotationTuberculist2017!B:B,AnnotationTuberculist2017!A:A)</f>
        <v>Rv2406c</v>
      </c>
      <c r="G15" s="28" t="s">
        <v>425</v>
      </c>
      <c r="H15" s="26" t="str">
        <f>LOOKUP(G15,AnnotationTuberculist2017!B:B,AnnotationTuberculist2017!A:A)</f>
        <v>Rv1592c</v>
      </c>
      <c r="J15" t="s">
        <v>968</v>
      </c>
      <c r="K15" t="str">
        <f>LOOKUP(J15,AnnotationTuberculist2017!B:B,AnnotationTuberculist2017!A:A)</f>
        <v>Rv0458</v>
      </c>
    </row>
    <row r="16" spans="1:12">
      <c r="A16" t="s">
        <v>905</v>
      </c>
      <c r="B16" s="26" t="str">
        <f>LOOKUP(A16,AnnotationTuberculist2017!B:B,AnnotationTuberculist2017!A:A)</f>
        <v>Rv0681</v>
      </c>
      <c r="C16" t="s">
        <v>2704</v>
      </c>
      <c r="D16" s="26" t="str">
        <f>LOOKUP(C16,AnnotationTuberculist2017!B:B,AnnotationTuberculist2017!A:A)</f>
        <v>Rv0906</v>
      </c>
      <c r="E16" t="s">
        <v>2063</v>
      </c>
      <c r="F16" s="26" t="str">
        <f>LOOKUP(E16,AnnotationTuberculist2017!B:B,AnnotationTuberculist2017!A:A)</f>
        <v>Rv2699c</v>
      </c>
      <c r="G16" s="28" t="s">
        <v>426</v>
      </c>
      <c r="H16" s="26" t="str">
        <f>LOOKUP(G16,AnnotationTuberculist2017!B:B,AnnotationTuberculist2017!A:A)</f>
        <v>ahpC</v>
      </c>
      <c r="J16" t="s">
        <v>10758</v>
      </c>
      <c r="K16" t="str">
        <f>LOOKUP(J16,AnnotationTuberculist2017!B:B,AnnotationTuberculist2017!A:A)</f>
        <v>Rv0520</v>
      </c>
    </row>
    <row r="17" spans="1:11">
      <c r="A17" t="s">
        <v>2800</v>
      </c>
      <c r="B17" s="26" t="str">
        <f>LOOKUP(A17,AnnotationTuberculist2017!B:B,AnnotationTuberculist2017!A:A)</f>
        <v>Rv0805</v>
      </c>
      <c r="C17" t="s">
        <v>212</v>
      </c>
      <c r="D17" s="26" t="str">
        <f>LOOKUP(C17,AnnotationTuberculist2017!B:B,AnnotationTuberculist2017!A:A)</f>
        <v>Rv0907</v>
      </c>
      <c r="E17" t="s">
        <v>2112</v>
      </c>
      <c r="F17" s="26" t="str">
        <f>LOOKUP(E17,AnnotationTuberculist2017!B:B,AnnotationTuberculist2017!A:A)</f>
        <v>Rv2700</v>
      </c>
      <c r="G17" s="28" t="s">
        <v>17</v>
      </c>
      <c r="H17" s="26" t="str">
        <f>LOOKUP(G17,AnnotationTuberculist2017!B:B,AnnotationTuberculist2017!A:A)</f>
        <v>fadD26</v>
      </c>
      <c r="J17" t="s">
        <v>627</v>
      </c>
      <c r="K17" t="str">
        <f>LOOKUP(J17,AnnotationTuberculist2017!B:B,AnnotationTuberculist2017!A:A)</f>
        <v>mmaA3</v>
      </c>
    </row>
    <row r="18" spans="1:11">
      <c r="A18" t="s">
        <v>1705</v>
      </c>
      <c r="B18" s="26" t="str">
        <f>LOOKUP(A18,AnnotationTuberculist2017!B:B,AnnotationTuberculist2017!A:A)</f>
        <v>Rv0851c</v>
      </c>
      <c r="C18" t="s">
        <v>2234</v>
      </c>
      <c r="D18" s="26" t="str">
        <f>LOOKUP(C18,AnnotationTuberculist2017!B:B,AnnotationTuberculist2017!A:A)</f>
        <v>ctpE</v>
      </c>
      <c r="E18" t="s">
        <v>2779</v>
      </c>
      <c r="F18" s="26" t="str">
        <f>LOOKUP(E18,AnnotationTuberculist2017!B:B,AnnotationTuberculist2017!A:A)</f>
        <v>glnD</v>
      </c>
      <c r="G18" s="28" t="s">
        <v>289</v>
      </c>
      <c r="H18" s="26" t="str">
        <f>LOOKUP(G18,AnnotationTuberculist2017!B:B,AnnotationTuberculist2017!A:A)</f>
        <v>PPE51</v>
      </c>
      <c r="J18" s="16" t="s">
        <v>1055</v>
      </c>
      <c r="K18" t="str">
        <f>LOOKUP(J18,AnnotationTuberculist2017!B:B,AnnotationTuberculist2017!A:A)</f>
        <v>rplJ</v>
      </c>
    </row>
    <row r="19" spans="1:11">
      <c r="A19" t="s">
        <v>3053</v>
      </c>
      <c r="B19" s="26" t="str">
        <f>LOOKUP(A19,AnnotationTuberculist2017!B:B,AnnotationTuberculist2017!A:A)</f>
        <v>fadD16</v>
      </c>
      <c r="C19" t="s">
        <v>1853</v>
      </c>
      <c r="D19" s="26" t="str">
        <f>LOOKUP(C19,AnnotationTuberculist2017!B:B,AnnotationTuberculist2017!A:A)</f>
        <v>Rv0950c</v>
      </c>
      <c r="E19" t="s">
        <v>991</v>
      </c>
      <c r="F19" s="26" t="str">
        <f>LOOKUP(E19,AnnotationTuberculist2017!B:B,AnnotationTuberculist2017!A:A)</f>
        <v>Rv3645</v>
      </c>
      <c r="G19" s="28" t="s">
        <v>429</v>
      </c>
      <c r="H19" s="26" t="str">
        <f>LOOKUP(G19,AnnotationTuberculist2017!B:B,AnnotationTuberculist2017!A:A)</f>
        <v>whiB1</v>
      </c>
      <c r="J19" t="s">
        <v>2282</v>
      </c>
      <c r="K19" t="str">
        <f>LOOKUP(J19,AnnotationTuberculist2017!B:B,AnnotationTuberculist2017!A:A)</f>
        <v>Rv0658c</v>
      </c>
    </row>
    <row r="20" spans="1:11">
      <c r="A20" t="s">
        <v>422</v>
      </c>
      <c r="B20" s="26" t="str">
        <f>LOOKUP(A20,AnnotationTuberculist2017!B:B,AnnotationTuberculist2017!A:A)</f>
        <v>rpfA</v>
      </c>
      <c r="C20" t="s">
        <v>2162</v>
      </c>
      <c r="D20" s="26" t="str">
        <f>LOOKUP(C20,AnnotationTuberculist2017!B:B,AnnotationTuberculist2017!A:A)</f>
        <v>sucC</v>
      </c>
      <c r="E20" t="s">
        <v>1390</v>
      </c>
      <c r="F20" s="26" t="str">
        <f>LOOKUP(E20,AnnotationTuberculist2017!B:B,AnnotationTuberculist2017!A:A)</f>
        <v>fbpD</v>
      </c>
      <c r="J20" t="s">
        <v>2644</v>
      </c>
      <c r="K20" t="str">
        <f>LOOKUP(J20,AnnotationTuberculist2017!B:B,AnnotationTuberculist2017!A:A)</f>
        <v>Rv0680c</v>
      </c>
    </row>
    <row r="21" spans="1:11">
      <c r="A21" t="s">
        <v>2252</v>
      </c>
      <c r="B21" s="26" t="str">
        <f>LOOKUP(A21,AnnotationTuberculist2017!B:B,AnnotationTuberculist2017!A:A)</f>
        <v>serC</v>
      </c>
      <c r="C21" t="s">
        <v>1922</v>
      </c>
      <c r="D21" s="26" t="str">
        <f>LOOKUP(C21,AnnotationTuberculist2017!B:B,AnnotationTuberculist2017!A:A)</f>
        <v>sucD</v>
      </c>
      <c r="J21" t="s">
        <v>905</v>
      </c>
      <c r="K21" t="str">
        <f>LOOKUP(J21,AnnotationTuberculist2017!B:B,AnnotationTuberculist2017!A:A)</f>
        <v>Rv0681</v>
      </c>
    </row>
    <row r="22" spans="1:11">
      <c r="A22" t="s">
        <v>1853</v>
      </c>
      <c r="B22" s="26" t="str">
        <f>LOOKUP(A22,AnnotationTuberculist2017!B:B,AnnotationTuberculist2017!A:A)</f>
        <v>Rv0950c</v>
      </c>
      <c r="C22" t="s">
        <v>2211</v>
      </c>
      <c r="D22" s="26" t="str">
        <f>LOOKUP(C22,AnnotationTuberculist2017!B:B,AnnotationTuberculist2017!A:A)</f>
        <v>Rv0992c</v>
      </c>
      <c r="G22" s="27" t="s">
        <v>410</v>
      </c>
      <c r="H22" s="2"/>
      <c r="J22" t="s">
        <v>2509</v>
      </c>
      <c r="K22" t="str">
        <f>LOOKUP(J22,AnnotationTuberculist2017!B:B,AnnotationTuberculist2017!A:A)</f>
        <v>mmsB</v>
      </c>
    </row>
    <row r="23" spans="1:11">
      <c r="A23" t="s">
        <v>2162</v>
      </c>
      <c r="B23" s="26" t="str">
        <f>LOOKUP(A23,AnnotationTuberculist2017!B:B,AnnotationTuberculist2017!A:A)</f>
        <v>sucC</v>
      </c>
      <c r="C23" t="s">
        <v>1769</v>
      </c>
      <c r="D23" s="26" t="str">
        <f>LOOKUP(C23,AnnotationTuberculist2017!B:B,AnnotationTuberculist2017!A:A)</f>
        <v>galU</v>
      </c>
      <c r="G23" s="29" t="s">
        <v>9537</v>
      </c>
      <c r="H23" s="2" t="e">
        <f>LOOKUP(G23,AnnotationTuberculist2017!B:B,AnnotationTuberculist2017!A:A)</f>
        <v>#N/A</v>
      </c>
      <c r="J23" t="s">
        <v>1802</v>
      </c>
      <c r="K23" t="str">
        <f>LOOKUP(J23,AnnotationTuberculist2017!B:B,AnnotationTuberculist2017!A:A)</f>
        <v>fadE9</v>
      </c>
    </row>
    <row r="24" spans="1:11">
      <c r="A24" t="s">
        <v>550</v>
      </c>
      <c r="B24" s="26" t="str">
        <f>LOOKUP(A24,AnnotationTuberculist2017!B:B,AnnotationTuberculist2017!A:A)</f>
        <v>Rv0996</v>
      </c>
      <c r="C24" t="s">
        <v>1433</v>
      </c>
      <c r="D24" s="26" t="str">
        <f>LOOKUP(C24,AnnotationTuberculist2017!B:B,AnnotationTuberculist2017!A:A)</f>
        <v>Rv1158c</v>
      </c>
      <c r="G24" s="29" t="s">
        <v>48</v>
      </c>
      <c r="H24" s="2" t="str">
        <f>LOOKUP(G24,AnnotationTuberculist2017!B:B,AnnotationTuberculist2017!A:A)</f>
        <v>groEL2</v>
      </c>
      <c r="J24" t="s">
        <v>2800</v>
      </c>
      <c r="K24" t="str">
        <f>LOOKUP(J24,AnnotationTuberculist2017!B:B,AnnotationTuberculist2017!A:A)</f>
        <v>Rv0805</v>
      </c>
    </row>
    <row r="25" spans="1:11">
      <c r="A25" t="s">
        <v>3046</v>
      </c>
      <c r="B25" s="26" t="str">
        <f>LOOKUP(A25,AnnotationTuberculist2017!B:B,AnnotationTuberculist2017!A:A)</f>
        <v>coaA</v>
      </c>
      <c r="C25" t="s">
        <v>1100</v>
      </c>
      <c r="D25" s="26" t="str">
        <f>LOOKUP(C25,AnnotationTuberculist2017!B:B,AnnotationTuberculist2017!A:A)</f>
        <v>pimE</v>
      </c>
      <c r="G25" s="29" t="s">
        <v>1844</v>
      </c>
      <c r="H25" s="2" t="str">
        <f>LOOKUP(G25,AnnotationTuberculist2017!B:B,AnnotationTuberculist2017!A:A)</f>
        <v>mdh</v>
      </c>
      <c r="J25" t="s">
        <v>1705</v>
      </c>
      <c r="K25" t="str">
        <f>LOOKUP(J25,AnnotationTuberculist2017!B:B,AnnotationTuberculist2017!A:A)</f>
        <v>Rv0851c</v>
      </c>
    </row>
    <row r="26" spans="1:11">
      <c r="A26" t="s">
        <v>1433</v>
      </c>
      <c r="B26" s="26" t="str">
        <f>LOOKUP(A26,AnnotationTuberculist2017!B:B,AnnotationTuberculist2017!A:A)</f>
        <v>Rv1158c</v>
      </c>
      <c r="C26" t="s">
        <v>129</v>
      </c>
      <c r="D26" s="26" t="str">
        <f>LOOKUP(C26,AnnotationTuberculist2017!B:B,AnnotationTuberculist2017!A:A)</f>
        <v>fadD21</v>
      </c>
      <c r="G26" s="29" t="s">
        <v>408</v>
      </c>
      <c r="H26" s="2" t="str">
        <f>LOOKUP(G26,AnnotationTuberculist2017!B:B,AnnotationTuberculist2017!A:A)</f>
        <v>Rv1265</v>
      </c>
      <c r="J26" t="s">
        <v>3053</v>
      </c>
      <c r="K26" t="str">
        <f>LOOKUP(J26,AnnotationTuberculist2017!B:B,AnnotationTuberculist2017!A:A)</f>
        <v>fadD16</v>
      </c>
    </row>
    <row r="27" spans="1:11">
      <c r="A27" t="s">
        <v>1100</v>
      </c>
      <c r="B27" s="26" t="str">
        <f>LOOKUP(A27,AnnotationTuberculist2017!B:B,AnnotationTuberculist2017!A:A)</f>
        <v>pimE</v>
      </c>
      <c r="C27" t="s">
        <v>852</v>
      </c>
      <c r="D27" s="26" t="str">
        <f>LOOKUP(C27,AnnotationTuberculist2017!B:B,AnnotationTuberculist2017!A:A)</f>
        <v>Rv1230c</v>
      </c>
      <c r="J27" t="s">
        <v>422</v>
      </c>
      <c r="K27" t="str">
        <f>LOOKUP(J27,AnnotationTuberculist2017!B:B,AnnotationTuberculist2017!A:A)</f>
        <v>rpfA</v>
      </c>
    </row>
    <row r="28" spans="1:11">
      <c r="A28" t="s">
        <v>129</v>
      </c>
      <c r="B28" s="26" t="str">
        <f>LOOKUP(A28,AnnotationTuberculist2017!B:B,AnnotationTuberculist2017!A:A)</f>
        <v>fadD21</v>
      </c>
      <c r="C28" t="s">
        <v>12842</v>
      </c>
      <c r="D28" s="26" t="str">
        <f>LOOKUP(C28,AnnotationTuberculist2017!B:B,AnnotationTuberculist2017!A:A)</f>
        <v>PE15</v>
      </c>
      <c r="G28" s="27" t="s">
        <v>20187</v>
      </c>
      <c r="J28" t="s">
        <v>2252</v>
      </c>
      <c r="K28" t="str">
        <f>LOOKUP(J28,AnnotationTuberculist2017!B:B,AnnotationTuberculist2017!A:A)</f>
        <v>serC</v>
      </c>
    </row>
    <row r="29" spans="1:11">
      <c r="A29" t="s">
        <v>852</v>
      </c>
      <c r="B29" s="26" t="str">
        <f>LOOKUP(A29,AnnotationTuberculist2017!B:B,AnnotationTuberculist2017!A:A)</f>
        <v>Rv1230c</v>
      </c>
      <c r="C29" t="s">
        <v>13222</v>
      </c>
      <c r="D29" s="26" t="str">
        <f>LOOKUP(C29,AnnotationTuberculist2017!B:B,AnnotationTuberculist2017!A:A)</f>
        <v>frdA</v>
      </c>
      <c r="G29" s="28" t="s">
        <v>48</v>
      </c>
      <c r="H29" s="26" t="str">
        <f>LOOKUP(G29,AnnotationTuberculist2017!B:B,AnnotationTuberculist2017!A:A)</f>
        <v>groEL2</v>
      </c>
      <c r="J29" t="s">
        <v>2513</v>
      </c>
      <c r="K29" t="str">
        <f>LOOKUP(J29,AnnotationTuberculist2017!B:B,AnnotationTuberculist2017!A:A)</f>
        <v>Rv0885</v>
      </c>
    </row>
    <row r="30" spans="1:11">
      <c r="A30" t="s">
        <v>12536</v>
      </c>
      <c r="B30" s="26" t="str">
        <f>LOOKUP(A30,AnnotationTuberculist2017!B:B,AnnotationTuberculist2017!A:A)</f>
        <v>cyp130</v>
      </c>
      <c r="C30" t="s">
        <v>630</v>
      </c>
      <c r="D30" s="26" t="str">
        <f>LOOKUP(C30,AnnotationTuberculist2017!B:B,AnnotationTuberculist2017!A:A)</f>
        <v>Rv1566c</v>
      </c>
      <c r="J30" t="s">
        <v>2222</v>
      </c>
      <c r="K30" t="str">
        <f>LOOKUP(J30,AnnotationTuberculist2017!B:B,AnnotationTuberculist2017!A:A)</f>
        <v>accD3</v>
      </c>
    </row>
    <row r="31" spans="1:11">
      <c r="A31" t="s">
        <v>12842</v>
      </c>
      <c r="B31" s="26" t="str">
        <f>LOOKUP(A31,AnnotationTuberculist2017!B:B,AnnotationTuberculist2017!A:A)</f>
        <v>PE15</v>
      </c>
      <c r="C31" t="s">
        <v>13303</v>
      </c>
      <c r="D31" s="26" t="str">
        <f>LOOKUP(C31,AnnotationTuberculist2017!B:B,AnnotationTuberculist2017!A:A)</f>
        <v>Rv1581c</v>
      </c>
      <c r="J31" t="s">
        <v>2528</v>
      </c>
      <c r="K31" t="str">
        <f>LOOKUP(J31,AnnotationTuberculist2017!B:B,AnnotationTuberculist2017!A:A)</f>
        <v>echA6</v>
      </c>
    </row>
    <row r="32" spans="1:11">
      <c r="A32" t="s">
        <v>226</v>
      </c>
      <c r="B32" s="26" t="str">
        <f>LOOKUP(A32,AnnotationTuberculist2017!B:B,AnnotationTuberculist2017!A:A)</f>
        <v>Rv1405c</v>
      </c>
      <c r="C32" t="s">
        <v>13725</v>
      </c>
      <c r="D32" s="26" t="str">
        <f>LOOKUP(C32,AnnotationTuberculist2017!B:B,AnnotationTuberculist2017!A:A)</f>
        <v>wag22</v>
      </c>
      <c r="J32" t="s">
        <v>2704</v>
      </c>
      <c r="K32" t="str">
        <f>LOOKUP(J32,AnnotationTuberculist2017!B:B,AnnotationTuberculist2017!A:A)</f>
        <v>Rv0906</v>
      </c>
    </row>
    <row r="33" spans="1:11">
      <c r="A33" t="s">
        <v>20190</v>
      </c>
      <c r="B33" s="26" t="str">
        <f>LOOKUP(A33,AnnotationTuberculist2017!B:B,AnnotationTuberculist2017!A:A)</f>
        <v>fmt</v>
      </c>
      <c r="C33" t="s">
        <v>1074</v>
      </c>
      <c r="D33" s="26" t="str">
        <f>LOOKUP(C33,AnnotationTuberculist2017!B:B,AnnotationTuberculist2017!A:A)</f>
        <v>Rv1760</v>
      </c>
      <c r="J33" t="s">
        <v>212</v>
      </c>
      <c r="K33" t="str">
        <f>LOOKUP(J33,AnnotationTuberculist2017!B:B,AnnotationTuberculist2017!A:A)</f>
        <v>Rv0907</v>
      </c>
    </row>
    <row r="34" spans="1:11">
      <c r="A34" t="s">
        <v>13222</v>
      </c>
      <c r="B34" s="26" t="str">
        <f>LOOKUP(A34,AnnotationTuberculist2017!B:B,AnnotationTuberculist2017!A:A)</f>
        <v>frdA</v>
      </c>
      <c r="C34" t="s">
        <v>13846</v>
      </c>
      <c r="D34" s="26" t="str">
        <f>LOOKUP(C34,AnnotationTuberculist2017!B:B,AnnotationTuberculist2017!A:A)</f>
        <v>Rv1810</v>
      </c>
      <c r="J34" t="s">
        <v>2234</v>
      </c>
      <c r="K34" t="str">
        <f>LOOKUP(J34,AnnotationTuberculist2017!B:B,AnnotationTuberculist2017!A:A)</f>
        <v>ctpE</v>
      </c>
    </row>
    <row r="35" spans="1:11">
      <c r="A35" t="s">
        <v>630</v>
      </c>
      <c r="B35" s="26" t="str">
        <f>LOOKUP(A35,AnnotationTuberculist2017!B:B,AnnotationTuberculist2017!A:A)</f>
        <v>Rv1566c</v>
      </c>
      <c r="C35" t="s">
        <v>2172</v>
      </c>
      <c r="D35" s="26" t="str">
        <f>LOOKUP(C35,AnnotationTuberculist2017!B:B,AnnotationTuberculist2017!A:A)</f>
        <v>Rv2336</v>
      </c>
      <c r="J35" t="s">
        <v>1853</v>
      </c>
      <c r="K35" t="str">
        <f>LOOKUP(J35,AnnotationTuberculist2017!B:B,AnnotationTuberculist2017!A:A)</f>
        <v>Rv0950c</v>
      </c>
    </row>
    <row r="36" spans="1:11">
      <c r="A36" t="s">
        <v>13303</v>
      </c>
      <c r="B36" s="26" t="str">
        <f>LOOKUP(A36,AnnotationTuberculist2017!B:B,AnnotationTuberculist2017!A:A)</f>
        <v>Rv1581c</v>
      </c>
      <c r="C36" t="s">
        <v>724</v>
      </c>
      <c r="D36" s="26" t="str">
        <f>LOOKUP(C36,AnnotationTuberculist2017!B:B,AnnotationTuberculist2017!A:A)</f>
        <v>Rv2406c</v>
      </c>
      <c r="J36" t="s">
        <v>2162</v>
      </c>
      <c r="K36" t="str">
        <f>LOOKUP(J36,AnnotationTuberculist2017!B:B,AnnotationTuberculist2017!A:A)</f>
        <v>sucC</v>
      </c>
    </row>
    <row r="37" spans="1:11">
      <c r="A37" t="s">
        <v>13725</v>
      </c>
      <c r="B37" s="26" t="str">
        <f>LOOKUP(A37,AnnotationTuberculist2017!B:B,AnnotationTuberculist2017!A:A)</f>
        <v>wag22</v>
      </c>
      <c r="C37" t="s">
        <v>2042</v>
      </c>
      <c r="D37" s="26" t="str">
        <f>LOOKUP(C37,AnnotationTuberculist2017!B:B,AnnotationTuberculist2017!A:A)</f>
        <v>Rv2407</v>
      </c>
      <c r="J37" t="s">
        <v>1922</v>
      </c>
      <c r="K37" t="str">
        <f>LOOKUP(J37,AnnotationTuberculist2017!B:B,AnnotationTuberculist2017!A:A)</f>
        <v>sucD</v>
      </c>
    </row>
    <row r="38" spans="1:11">
      <c r="A38" t="s">
        <v>3279</v>
      </c>
      <c r="B38" s="26" t="str">
        <f>LOOKUP(A38,AnnotationTuberculist2017!B:B,AnnotationTuberculist2017!A:A)</f>
        <v>Rv1779c</v>
      </c>
      <c r="C38" t="s">
        <v>717</v>
      </c>
      <c r="D38" s="26" t="str">
        <f>LOOKUP(C38,AnnotationTuberculist2017!B:B,AnnotationTuberculist2017!A:A)</f>
        <v>PE24</v>
      </c>
      <c r="J38" t="s">
        <v>2211</v>
      </c>
      <c r="K38" t="str">
        <f>LOOKUP(J38,AnnotationTuberculist2017!B:B,AnnotationTuberculist2017!A:A)</f>
        <v>Rv0992c</v>
      </c>
    </row>
    <row r="39" spans="1:11">
      <c r="A39" t="s">
        <v>3349</v>
      </c>
      <c r="B39" s="26" t="str">
        <f>LOOKUP(A39,AnnotationTuberculist2017!B:B,AnnotationTuberculist2017!A:A)</f>
        <v>Rv1780</v>
      </c>
      <c r="C39" t="s">
        <v>652</v>
      </c>
      <c r="D39" s="26" t="str">
        <f>LOOKUP(C39,AnnotationTuberculist2017!B:B,AnnotationTuberculist2017!A:A)</f>
        <v>bkdC</v>
      </c>
      <c r="J39" t="s">
        <v>1769</v>
      </c>
      <c r="K39" t="str">
        <f>LOOKUP(J39,AnnotationTuberculist2017!B:B,AnnotationTuberculist2017!A:A)</f>
        <v>galU</v>
      </c>
    </row>
    <row r="40" spans="1:11">
      <c r="A40" t="s">
        <v>13846</v>
      </c>
      <c r="B40" s="26" t="str">
        <f>LOOKUP(A40,AnnotationTuberculist2017!B:B,AnnotationTuberculist2017!A:A)</f>
        <v>Rv1810</v>
      </c>
      <c r="C40" t="s">
        <v>2285</v>
      </c>
      <c r="D40" s="26" t="str">
        <f>LOOKUP(C40,AnnotationTuberculist2017!B:B,AnnotationTuberculist2017!A:A)</f>
        <v>PE_PGRS44</v>
      </c>
      <c r="J40" t="s">
        <v>550</v>
      </c>
      <c r="K40" t="str">
        <f>LOOKUP(J40,AnnotationTuberculist2017!B:B,AnnotationTuberculist2017!A:A)</f>
        <v>Rv0996</v>
      </c>
    </row>
    <row r="41" spans="1:11">
      <c r="A41" t="s">
        <v>14222</v>
      </c>
      <c r="B41" s="26" t="str">
        <f>LOOKUP(A41,AnnotationTuberculist2017!B:B,AnnotationTuberculist2017!A:A)</f>
        <v>Rv1976c</v>
      </c>
      <c r="C41" t="s">
        <v>15794</v>
      </c>
      <c r="D41" s="26" t="str">
        <f>LOOKUP(C41,AnnotationTuberculist2017!B:B,AnnotationTuberculist2017!A:A)</f>
        <v>Rv2650c</v>
      </c>
      <c r="J41" s="16" t="s">
        <v>3046</v>
      </c>
      <c r="K41" t="str">
        <f>LOOKUP(J41,AnnotationTuberculist2017!B:B,AnnotationTuberculist2017!A:A)</f>
        <v>coaA</v>
      </c>
    </row>
    <row r="42" spans="1:11">
      <c r="A42" t="s">
        <v>266</v>
      </c>
      <c r="B42" s="26" t="str">
        <f>LOOKUP(A42,AnnotationTuberculist2017!B:B,AnnotationTuberculist2017!A:A)</f>
        <v>Rv1977</v>
      </c>
      <c r="C42" t="s">
        <v>2063</v>
      </c>
      <c r="D42" s="26" t="str">
        <f>LOOKUP(C42,AnnotationTuberculist2017!B:B,AnnotationTuberculist2017!A:A)</f>
        <v>Rv2699c</v>
      </c>
      <c r="J42" t="s">
        <v>1433</v>
      </c>
      <c r="K42" t="str">
        <f>LOOKUP(J42,AnnotationTuberculist2017!B:B,AnnotationTuberculist2017!A:A)</f>
        <v>Rv1158c</v>
      </c>
    </row>
    <row r="43" spans="1:11">
      <c r="A43" t="s">
        <v>14268</v>
      </c>
      <c r="B43" s="26" t="str">
        <f>LOOKUP(A43,AnnotationTuberculist2017!B:B,AnnotationTuberculist2017!A:A)</f>
        <v>Rv1990c</v>
      </c>
      <c r="C43" t="s">
        <v>2112</v>
      </c>
      <c r="D43" s="26" t="str">
        <f>LOOKUP(C43,AnnotationTuberculist2017!B:B,AnnotationTuberculist2017!A:A)</f>
        <v>Rv2700</v>
      </c>
      <c r="J43" t="s">
        <v>1100</v>
      </c>
      <c r="K43" t="str">
        <f>LOOKUP(J43,AnnotationTuberculist2017!B:B,AnnotationTuberculist2017!A:A)</f>
        <v>pimE</v>
      </c>
    </row>
    <row r="44" spans="1:11">
      <c r="A44" t="s">
        <v>572</v>
      </c>
      <c r="B44" s="26" t="str">
        <f>LOOKUP(A44,AnnotationTuberculist2017!B:B,AnnotationTuberculist2017!A:A)</f>
        <v>Rv2077c</v>
      </c>
      <c r="C44" t="s">
        <v>2779</v>
      </c>
      <c r="D44" s="26" t="str">
        <f>LOOKUP(C44,AnnotationTuberculist2017!B:B,AnnotationTuberculist2017!A:A)</f>
        <v>glnD</v>
      </c>
      <c r="J44" t="s">
        <v>129</v>
      </c>
      <c r="K44" t="str">
        <f>LOOKUP(J44,AnnotationTuberculist2017!B:B,AnnotationTuberculist2017!A:A)</f>
        <v>fadD21</v>
      </c>
    </row>
    <row r="45" spans="1:11">
      <c r="A45" t="s">
        <v>14466</v>
      </c>
      <c r="B45" s="26" t="str">
        <f>LOOKUP(A45,AnnotationTuberculist2017!B:B,AnnotationTuberculist2017!A:A)</f>
        <v>Rv2078</v>
      </c>
      <c r="C45" t="s">
        <v>2254</v>
      </c>
      <c r="D45" s="26" t="str">
        <f>LOOKUP(C45,AnnotationTuberculist2017!B:B,AnnotationTuberculist2017!A:A)</f>
        <v>Rv3031</v>
      </c>
      <c r="J45" t="s">
        <v>852</v>
      </c>
      <c r="K45" t="str">
        <f>LOOKUP(J45,AnnotationTuberculist2017!B:B,AnnotationTuberculist2017!A:A)</f>
        <v>Rv1230c</v>
      </c>
    </row>
    <row r="46" spans="1:11">
      <c r="A46" t="s">
        <v>2085</v>
      </c>
      <c r="B46" s="26" t="str">
        <f>LOOKUP(A46,AnnotationTuberculist2017!B:B,AnnotationTuberculist2017!A:A)</f>
        <v>metH</v>
      </c>
      <c r="C46" t="s">
        <v>16878</v>
      </c>
      <c r="D46" s="26" t="str">
        <f>LOOKUP(C46,AnnotationTuberculist2017!B:B,AnnotationTuberculist2017!A:A)</f>
        <v>Rv3113</v>
      </c>
      <c r="J46" s="16" t="s">
        <v>12536</v>
      </c>
      <c r="K46" t="str">
        <f>LOOKUP(J46,AnnotationTuberculist2017!B:B,AnnotationTuberculist2017!A:A)</f>
        <v>cyp130</v>
      </c>
    </row>
    <row r="47" spans="1:11">
      <c r="A47" t="s">
        <v>2172</v>
      </c>
      <c r="B47" s="26" t="str">
        <f>LOOKUP(A47,AnnotationTuberculist2017!B:B,AnnotationTuberculist2017!A:A)</f>
        <v>Rv2336</v>
      </c>
      <c r="C47" t="s">
        <v>2732</v>
      </c>
      <c r="D47" s="26" t="str">
        <f>LOOKUP(C47,AnnotationTuberculist2017!B:B,AnnotationTuberculist2017!A:A)</f>
        <v>moaX</v>
      </c>
      <c r="J47" t="s">
        <v>12842</v>
      </c>
      <c r="K47" t="str">
        <f>LOOKUP(J47,AnnotationTuberculist2017!B:B,AnnotationTuberculist2017!A:A)</f>
        <v>PE15</v>
      </c>
    </row>
    <row r="48" spans="1:11">
      <c r="A48" t="s">
        <v>15052</v>
      </c>
      <c r="B48" s="26" t="str">
        <f>LOOKUP(A48,AnnotationTuberculist2017!B:B,AnnotationTuberculist2017!A:A)</f>
        <v>Rv2342</v>
      </c>
      <c r="C48" t="s">
        <v>3375</v>
      </c>
      <c r="D48" s="26" t="str">
        <f>LOOKUP(C48,AnnotationTuberculist2017!B:B,AnnotationTuberculist2017!A:A)</f>
        <v>fadE27</v>
      </c>
      <c r="J48" t="s">
        <v>226</v>
      </c>
      <c r="K48" t="str">
        <f>LOOKUP(J48,AnnotationTuberculist2017!B:B,AnnotationTuberculist2017!A:A)</f>
        <v>Rv1405c</v>
      </c>
    </row>
    <row r="49" spans="1:11">
      <c r="A49" t="s">
        <v>232</v>
      </c>
      <c r="B49" s="26" t="str">
        <f>LOOKUP(A49,AnnotationTuberculist2017!B:B,AnnotationTuberculist2017!A:A)</f>
        <v>mbtJ</v>
      </c>
      <c r="C49" t="s">
        <v>18083</v>
      </c>
      <c r="D49" s="26" t="str">
        <f>LOOKUP(C49,AnnotationTuberculist2017!B:B,AnnotationTuberculist2017!A:A)</f>
        <v>ephA</v>
      </c>
      <c r="J49" s="16" t="s">
        <v>20190</v>
      </c>
      <c r="K49" t="str">
        <f>LOOKUP(J49,AnnotationTuberculist2017!B:B,AnnotationTuberculist2017!A:A)</f>
        <v>fmt</v>
      </c>
    </row>
    <row r="50" spans="1:11">
      <c r="A50" t="s">
        <v>225</v>
      </c>
      <c r="B50" s="26" t="str">
        <f>LOOKUP(A50,AnnotationTuberculist2017!B:B,AnnotationTuberculist2017!A:A)</f>
        <v>PE_PGRS41</v>
      </c>
      <c r="C50" t="s">
        <v>991</v>
      </c>
      <c r="D50" s="26" t="str">
        <f>LOOKUP(C50,AnnotationTuberculist2017!B:B,AnnotationTuberculist2017!A:A)</f>
        <v>Rv3645</v>
      </c>
      <c r="J50" t="s">
        <v>13222</v>
      </c>
      <c r="K50" t="str">
        <f>LOOKUP(J50,AnnotationTuberculist2017!B:B,AnnotationTuberculist2017!A:A)</f>
        <v>frdA</v>
      </c>
    </row>
    <row r="51" spans="1:11">
      <c r="A51" t="s">
        <v>724</v>
      </c>
      <c r="B51" s="26" t="str">
        <f>LOOKUP(A51,AnnotationTuberculist2017!B:B,AnnotationTuberculist2017!A:A)</f>
        <v>Rv2406c</v>
      </c>
      <c r="C51" t="s">
        <v>18160</v>
      </c>
      <c r="D51" s="26" t="str">
        <f>LOOKUP(C51,AnnotationTuberculist2017!B:B,AnnotationTuberculist2017!A:A)</f>
        <v>PE33</v>
      </c>
      <c r="J51" t="s">
        <v>630</v>
      </c>
      <c r="K51" t="str">
        <f>LOOKUP(J51,AnnotationTuberculist2017!B:B,AnnotationTuberculist2017!A:A)</f>
        <v>Rv1566c</v>
      </c>
    </row>
    <row r="52" spans="1:11">
      <c r="A52" t="s">
        <v>2042</v>
      </c>
      <c r="B52" s="26" t="str">
        <f>LOOKUP(A52,AnnotationTuberculist2017!B:B,AnnotationTuberculist2017!A:A)</f>
        <v>Rv2407</v>
      </c>
      <c r="C52" t="s">
        <v>18251</v>
      </c>
      <c r="D52" s="26" t="str">
        <f>LOOKUP(C52,AnnotationTuberculist2017!B:B,AnnotationTuberculist2017!A:A)</f>
        <v>Rv3690</v>
      </c>
      <c r="J52" t="s">
        <v>13303</v>
      </c>
      <c r="K52" t="str">
        <f>LOOKUP(J52,AnnotationTuberculist2017!B:B,AnnotationTuberculist2017!A:A)</f>
        <v>Rv1581c</v>
      </c>
    </row>
    <row r="53" spans="1:11">
      <c r="A53" t="s">
        <v>717</v>
      </c>
      <c r="B53" s="26" t="str">
        <f>LOOKUP(A53,AnnotationTuberculist2017!B:B,AnnotationTuberculist2017!A:A)</f>
        <v>PE24</v>
      </c>
      <c r="C53" t="s">
        <v>1390</v>
      </c>
      <c r="D53" s="26" t="str">
        <f>LOOKUP(C53,AnnotationTuberculist2017!B:B,AnnotationTuberculist2017!A:A)</f>
        <v>fbpD</v>
      </c>
      <c r="J53" t="s">
        <v>13725</v>
      </c>
      <c r="K53" t="str">
        <f>LOOKUP(J53,AnnotationTuberculist2017!B:B,AnnotationTuberculist2017!A:A)</f>
        <v>wag22</v>
      </c>
    </row>
    <row r="54" spans="1:11">
      <c r="A54" t="s">
        <v>2285</v>
      </c>
      <c r="B54" s="26" t="str">
        <f>LOOKUP(A54,AnnotationTuberculist2017!B:B,AnnotationTuberculist2017!A:A)</f>
        <v>PE_PGRS44</v>
      </c>
      <c r="J54" t="s">
        <v>1074</v>
      </c>
      <c r="K54" t="str">
        <f>LOOKUP(J54,AnnotationTuberculist2017!B:B,AnnotationTuberculist2017!A:A)</f>
        <v>Rv1760</v>
      </c>
    </row>
    <row r="55" spans="1:11">
      <c r="A55" t="s">
        <v>2063</v>
      </c>
      <c r="B55" s="26" t="str">
        <f>LOOKUP(A55,AnnotationTuberculist2017!B:B,AnnotationTuberculist2017!A:A)</f>
        <v>Rv2699c</v>
      </c>
      <c r="J55" t="s">
        <v>3279</v>
      </c>
      <c r="K55" t="str">
        <f>LOOKUP(J55,AnnotationTuberculist2017!B:B,AnnotationTuberculist2017!A:A)</f>
        <v>Rv1779c</v>
      </c>
    </row>
    <row r="56" spans="1:11">
      <c r="A56" t="s">
        <v>2112</v>
      </c>
      <c r="B56" s="26" t="str">
        <f>LOOKUP(A56,AnnotationTuberculist2017!B:B,AnnotationTuberculist2017!A:A)</f>
        <v>Rv2700</v>
      </c>
      <c r="J56" t="s">
        <v>3349</v>
      </c>
      <c r="K56" t="str">
        <f>LOOKUP(J56,AnnotationTuberculist2017!B:B,AnnotationTuberculist2017!A:A)</f>
        <v>Rv1780</v>
      </c>
    </row>
    <row r="57" spans="1:11">
      <c r="A57" t="s">
        <v>2737</v>
      </c>
      <c r="B57" s="26" t="str">
        <f>LOOKUP(A57,AnnotationTuberculist2017!B:B,AnnotationTuberculist2017!A:A)</f>
        <v>Rv3050c</v>
      </c>
      <c r="J57" t="s">
        <v>13846</v>
      </c>
      <c r="K57" t="str">
        <f>LOOKUP(J57,AnnotationTuberculist2017!B:B,AnnotationTuberculist2017!A:A)</f>
        <v>Rv1810</v>
      </c>
    </row>
    <row r="58" spans="1:11">
      <c r="A58" t="s">
        <v>1416</v>
      </c>
      <c r="B58" s="26" t="str">
        <f>LOOKUP(A58,AnnotationTuberculist2017!B:B,AnnotationTuberculist2017!A:A)</f>
        <v>cstA</v>
      </c>
      <c r="J58" t="s">
        <v>14222</v>
      </c>
      <c r="K58" t="str">
        <f>LOOKUP(J58,AnnotationTuberculist2017!B:B,AnnotationTuberculist2017!A:A)</f>
        <v>Rv1976c</v>
      </c>
    </row>
    <row r="59" spans="1:11">
      <c r="A59" t="s">
        <v>917</v>
      </c>
      <c r="B59" s="26" t="str">
        <f>LOOKUP(A59,AnnotationTuberculist2017!B:B,AnnotationTuberculist2017!A:A)</f>
        <v>Rv3295</v>
      </c>
      <c r="J59" t="s">
        <v>266</v>
      </c>
      <c r="K59" t="str">
        <f>LOOKUP(J59,AnnotationTuberculist2017!B:B,AnnotationTuberculist2017!A:A)</f>
        <v>Rv1977</v>
      </c>
    </row>
    <row r="60" spans="1:11">
      <c r="A60" t="s">
        <v>1798</v>
      </c>
      <c r="B60" s="26" t="str">
        <f>LOOKUP(A60,AnnotationTuberculist2017!B:B,AnnotationTuberculist2017!A:A)</f>
        <v>Rv3454</v>
      </c>
      <c r="J60" t="s">
        <v>14268</v>
      </c>
      <c r="K60" t="str">
        <f>LOOKUP(J60,AnnotationTuberculist2017!B:B,AnnotationTuberculist2017!A:A)</f>
        <v>Rv1990c</v>
      </c>
    </row>
    <row r="61" spans="1:11">
      <c r="A61" t="s">
        <v>18160</v>
      </c>
      <c r="B61" s="26" t="str">
        <f>LOOKUP(A61,AnnotationTuberculist2017!B:B,AnnotationTuberculist2017!A:A)</f>
        <v>PE33</v>
      </c>
      <c r="J61" t="s">
        <v>572</v>
      </c>
      <c r="K61" t="str">
        <f>LOOKUP(J61,AnnotationTuberculist2017!B:B,AnnotationTuberculist2017!A:A)</f>
        <v>Rv2077c</v>
      </c>
    </row>
    <row r="62" spans="1:11">
      <c r="A62" t="s">
        <v>18165</v>
      </c>
      <c r="B62" s="26" t="str">
        <f>LOOKUP(A62,AnnotationTuberculist2017!B:B,AnnotationTuberculist2017!A:A)</f>
        <v>PE_PGRS60</v>
      </c>
      <c r="J62" t="s">
        <v>14466</v>
      </c>
      <c r="K62" t="str">
        <f>LOOKUP(J62,AnnotationTuberculist2017!B:B,AnnotationTuberculist2017!A:A)</f>
        <v>Rv2078</v>
      </c>
    </row>
    <row r="63" spans="1:11">
      <c r="A63" t="s">
        <v>18318</v>
      </c>
      <c r="B63" s="26" t="str">
        <f>LOOKUP(A63,AnnotationTuberculist2017!B:B,AnnotationTuberculist2017!A:A)</f>
        <v>cut5a</v>
      </c>
      <c r="J63" s="16" t="s">
        <v>2085</v>
      </c>
      <c r="K63" t="str">
        <f>LOOKUP(J63,AnnotationTuberculist2017!B:B,AnnotationTuberculist2017!A:A)</f>
        <v>metH</v>
      </c>
    </row>
    <row r="64" spans="1:11">
      <c r="A64" t="s">
        <v>2838</v>
      </c>
      <c r="B64" s="26" t="str">
        <f>LOOKUP(A64,AnnotationTuberculist2017!B:B,AnnotationTuberculist2017!A:A)</f>
        <v>Rv3729</v>
      </c>
      <c r="J64" t="s">
        <v>2172</v>
      </c>
      <c r="K64" t="str">
        <f>LOOKUP(J64,AnnotationTuberculist2017!B:B,AnnotationTuberculist2017!A:A)</f>
        <v>Rv2336</v>
      </c>
    </row>
    <row r="65" spans="1:11">
      <c r="A65" t="s">
        <v>1148</v>
      </c>
      <c r="B65" s="26" t="str">
        <f>LOOKUP(A65,AnnotationTuberculist2017!B:B,AnnotationTuberculist2017!A:A)</f>
        <v>Rv3843c</v>
      </c>
      <c r="J65" t="s">
        <v>15052</v>
      </c>
      <c r="K65" t="str">
        <f>LOOKUP(J65,AnnotationTuberculist2017!B:B,AnnotationTuberculist2017!A:A)</f>
        <v>Rv2342</v>
      </c>
    </row>
    <row r="66" spans="1:11">
      <c r="A66" t="s">
        <v>18576</v>
      </c>
      <c r="B66" s="26" t="str">
        <f>LOOKUP(A66,AnnotationTuberculist2017!B:B,AnnotationTuberculist2017!A:A)</f>
        <v>Rv3844</v>
      </c>
      <c r="J66" s="16" t="s">
        <v>232</v>
      </c>
      <c r="K66" t="str">
        <f>LOOKUP(J66,AnnotationTuberculist2017!B:B,AnnotationTuberculist2017!A:A)</f>
        <v>mbtJ</v>
      </c>
    </row>
    <row r="67" spans="1:11">
      <c r="A67" t="s">
        <v>3404</v>
      </c>
      <c r="B67" s="26" t="str">
        <f>LOOKUP(A67,AnnotationTuberculist2017!B:B,AnnotationTuberculist2017!A:A)</f>
        <v>Rv3857c</v>
      </c>
      <c r="J67" s="16" t="s">
        <v>225</v>
      </c>
      <c r="K67" t="str">
        <f>LOOKUP(J67,AnnotationTuberculist2017!B:B,AnnotationTuberculist2017!A:A)</f>
        <v>PE_PGRS41</v>
      </c>
    </row>
    <row r="68" spans="1:11">
      <c r="A68" t="s">
        <v>364</v>
      </c>
      <c r="B68" s="26" t="str">
        <f>LOOKUP(A68,AnnotationTuberculist2017!B:B,AnnotationTuberculist2017!A:A)</f>
        <v>espK</v>
      </c>
      <c r="J68" t="s">
        <v>724</v>
      </c>
      <c r="K68" t="str">
        <f>LOOKUP(J68,AnnotationTuberculist2017!B:B,AnnotationTuberculist2017!A:A)</f>
        <v>Rv2406c</v>
      </c>
    </row>
    <row r="69" spans="1:11">
      <c r="A69" t="s">
        <v>2070</v>
      </c>
      <c r="B69" s="26" t="str">
        <f>LOOKUP(A69,AnnotationTuberculist2017!B:B,AnnotationTuberculist2017!A:A)</f>
        <v>PE36</v>
      </c>
      <c r="J69" t="s">
        <v>2042</v>
      </c>
      <c r="K69" t="str">
        <f>LOOKUP(J69,AnnotationTuberculist2017!B:B,AnnotationTuberculist2017!A:A)</f>
        <v>Rv2407</v>
      </c>
    </row>
    <row r="70" spans="1:11">
      <c r="J70" t="s">
        <v>717</v>
      </c>
      <c r="K70" t="str">
        <f>LOOKUP(J70,AnnotationTuberculist2017!B:B,AnnotationTuberculist2017!A:A)</f>
        <v>PE24</v>
      </c>
    </row>
    <row r="71" spans="1:11">
      <c r="J71" t="s">
        <v>652</v>
      </c>
      <c r="K71" t="str">
        <f>LOOKUP(J71,AnnotationTuberculist2017!B:B,AnnotationTuberculist2017!A:A)</f>
        <v>bkdC</v>
      </c>
    </row>
    <row r="72" spans="1:11">
      <c r="J72" t="s">
        <v>2285</v>
      </c>
      <c r="K72" t="str">
        <f>LOOKUP(J72,AnnotationTuberculist2017!B:B,AnnotationTuberculist2017!A:A)</f>
        <v>PE_PGRS44</v>
      </c>
    </row>
    <row r="73" spans="1:11">
      <c r="J73" t="s">
        <v>15794</v>
      </c>
      <c r="K73" t="str">
        <f>LOOKUP(J73,AnnotationTuberculist2017!B:B,AnnotationTuberculist2017!A:A)</f>
        <v>Rv2650c</v>
      </c>
    </row>
    <row r="74" spans="1:11">
      <c r="J74" t="s">
        <v>2063</v>
      </c>
      <c r="K74" t="str">
        <f>LOOKUP(J74,AnnotationTuberculist2017!B:B,AnnotationTuberculist2017!A:A)</f>
        <v>Rv2699c</v>
      </c>
    </row>
    <row r="75" spans="1:11">
      <c r="J75" t="s">
        <v>2112</v>
      </c>
      <c r="K75" t="str">
        <f>LOOKUP(J75,AnnotationTuberculist2017!B:B,AnnotationTuberculist2017!A:A)</f>
        <v>Rv2700</v>
      </c>
    </row>
    <row r="76" spans="1:11">
      <c r="J76" t="s">
        <v>2779</v>
      </c>
      <c r="K76" t="str">
        <f>LOOKUP(J76,AnnotationTuberculist2017!B:B,AnnotationTuberculist2017!A:A)</f>
        <v>glnD</v>
      </c>
    </row>
    <row r="77" spans="1:11">
      <c r="J77" t="s">
        <v>2254</v>
      </c>
      <c r="K77" t="str">
        <f>LOOKUP(J77,AnnotationTuberculist2017!B:B,AnnotationTuberculist2017!A:A)</f>
        <v>Rv3031</v>
      </c>
    </row>
    <row r="78" spans="1:11">
      <c r="J78" t="s">
        <v>2737</v>
      </c>
      <c r="K78" t="str">
        <f>LOOKUP(J78,AnnotationTuberculist2017!B:B,AnnotationTuberculist2017!A:A)</f>
        <v>Rv3050c</v>
      </c>
    </row>
    <row r="79" spans="1:11">
      <c r="J79" s="16" t="s">
        <v>1416</v>
      </c>
      <c r="K79" t="str">
        <f>LOOKUP(J79,AnnotationTuberculist2017!B:B,AnnotationTuberculist2017!A:A)</f>
        <v>cstA</v>
      </c>
    </row>
    <row r="80" spans="1:11">
      <c r="J80" t="s">
        <v>16878</v>
      </c>
      <c r="K80" t="str">
        <f>LOOKUP(J80,AnnotationTuberculist2017!B:B,AnnotationTuberculist2017!A:A)</f>
        <v>Rv3113</v>
      </c>
    </row>
    <row r="81" spans="10:11">
      <c r="J81" t="s">
        <v>917</v>
      </c>
      <c r="K81" t="str">
        <f>LOOKUP(J81,AnnotationTuberculist2017!B:B,AnnotationTuberculist2017!A:A)</f>
        <v>Rv3295</v>
      </c>
    </row>
    <row r="82" spans="10:11">
      <c r="J82" t="s">
        <v>2732</v>
      </c>
      <c r="K82" t="str">
        <f>LOOKUP(J82,AnnotationTuberculist2017!B:B,AnnotationTuberculist2017!A:A)</f>
        <v>moaX</v>
      </c>
    </row>
    <row r="83" spans="10:11">
      <c r="J83" t="s">
        <v>1798</v>
      </c>
      <c r="K83" t="str">
        <f>LOOKUP(J83,AnnotationTuberculist2017!B:B,AnnotationTuberculist2017!A:A)</f>
        <v>Rv3454</v>
      </c>
    </row>
    <row r="84" spans="10:11">
      <c r="J84" t="s">
        <v>3375</v>
      </c>
      <c r="K84" t="str">
        <f>LOOKUP(J84,AnnotationTuberculist2017!B:B,AnnotationTuberculist2017!A:A)</f>
        <v>fadE27</v>
      </c>
    </row>
    <row r="85" spans="10:11">
      <c r="J85" t="s">
        <v>18083</v>
      </c>
      <c r="K85" t="str">
        <f>LOOKUP(J85,AnnotationTuberculist2017!B:B,AnnotationTuberculist2017!A:A)</f>
        <v>ephA</v>
      </c>
    </row>
    <row r="86" spans="10:11">
      <c r="J86" t="s">
        <v>991</v>
      </c>
      <c r="K86" t="str">
        <f>LOOKUP(J86,AnnotationTuberculist2017!B:B,AnnotationTuberculist2017!A:A)</f>
        <v>Rv3645</v>
      </c>
    </row>
    <row r="87" spans="10:11">
      <c r="J87" t="s">
        <v>18160</v>
      </c>
      <c r="K87" t="str">
        <f>LOOKUP(J87,AnnotationTuberculist2017!B:B,AnnotationTuberculist2017!A:A)</f>
        <v>PE33</v>
      </c>
    </row>
    <row r="88" spans="10:11">
      <c r="J88" s="16" t="s">
        <v>18165</v>
      </c>
      <c r="K88" t="str">
        <f>LOOKUP(J88,AnnotationTuberculist2017!B:B,AnnotationTuberculist2017!A:A)</f>
        <v>PE_PGRS60</v>
      </c>
    </row>
    <row r="89" spans="10:11">
      <c r="J89" t="s">
        <v>18251</v>
      </c>
      <c r="K89" t="str">
        <f>LOOKUP(J89,AnnotationTuberculist2017!B:B,AnnotationTuberculist2017!A:A)</f>
        <v>Rv3690</v>
      </c>
    </row>
    <row r="90" spans="10:11">
      <c r="J90" s="16" t="s">
        <v>18318</v>
      </c>
      <c r="K90" t="str">
        <f>LOOKUP(J90,AnnotationTuberculist2017!B:B,AnnotationTuberculist2017!A:A)</f>
        <v>cut5a</v>
      </c>
    </row>
    <row r="91" spans="10:11">
      <c r="J91" t="s">
        <v>2838</v>
      </c>
      <c r="K91" t="str">
        <f>LOOKUP(J91,AnnotationTuberculist2017!B:B,AnnotationTuberculist2017!A:A)</f>
        <v>Rv3729</v>
      </c>
    </row>
    <row r="92" spans="10:11">
      <c r="J92" t="s">
        <v>1390</v>
      </c>
      <c r="K92" t="str">
        <f>LOOKUP(J92,AnnotationTuberculist2017!B:B,AnnotationTuberculist2017!A:A)</f>
        <v>fbpD</v>
      </c>
    </row>
    <row r="93" spans="10:11">
      <c r="J93" t="s">
        <v>1148</v>
      </c>
      <c r="K93" t="str">
        <f>LOOKUP(J93,AnnotationTuberculist2017!B:B,AnnotationTuberculist2017!A:A)</f>
        <v>Rv3843c</v>
      </c>
    </row>
    <row r="94" spans="10:11">
      <c r="J94" t="s">
        <v>18576</v>
      </c>
      <c r="K94" t="str">
        <f>LOOKUP(J94,AnnotationTuberculist2017!B:B,AnnotationTuberculist2017!A:A)</f>
        <v>Rv3844</v>
      </c>
    </row>
    <row r="95" spans="10:11">
      <c r="J95" t="s">
        <v>3404</v>
      </c>
      <c r="K95" t="str">
        <f>LOOKUP(J95,AnnotationTuberculist2017!B:B,AnnotationTuberculist2017!A:A)</f>
        <v>Rv3857c</v>
      </c>
    </row>
    <row r="96" spans="10:11">
      <c r="J96" s="16" t="s">
        <v>364</v>
      </c>
      <c r="K96" t="str">
        <f>LOOKUP(J96,AnnotationTuberculist2017!B:B,AnnotationTuberculist2017!A:A)</f>
        <v>espK</v>
      </c>
    </row>
    <row r="97" spans="10:11">
      <c r="J97" s="16" t="s">
        <v>2070</v>
      </c>
      <c r="K97" t="str">
        <f>LOOKUP(J97,AnnotationTuberculist2017!B:B,AnnotationTuberculist2017!A:A)</f>
        <v>PE36</v>
      </c>
    </row>
  </sheetData>
  <sortState ref="J4:J97">
    <sortCondition ref="J3"/>
  </sortState>
  <conditionalFormatting sqref="E55:I70 E10:F54 A10:B82 C10:D76 A3:F9 I3:I54 G2:H53 L4:L70">
    <cfRule type="duplicateValues" dxfId="2" priority="136"/>
  </conditionalFormatting>
  <conditionalFormatting sqref="J3:J69">
    <cfRule type="duplicateValues" dxfId="1" priority="2"/>
  </conditionalFormatting>
  <conditionalFormatting sqref="J70:J97">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4"/>
  <sheetViews>
    <sheetView zoomScaleNormal="100" workbookViewId="0"/>
  </sheetViews>
  <sheetFormatPr defaultRowHeight="14.5"/>
  <cols>
    <col min="1" max="1025" width="8.54296875"/>
  </cols>
  <sheetData>
    <row r="1" spans="1:2">
      <c r="A1" s="8" t="s">
        <v>20188</v>
      </c>
    </row>
    <row r="2" spans="1:2">
      <c r="A2" s="7"/>
      <c r="B2" s="7"/>
    </row>
    <row r="3" spans="1:2">
      <c r="A3" s="8" t="s">
        <v>2</v>
      </c>
      <c r="B3" s="8"/>
    </row>
    <row r="4" spans="1:2">
      <c r="A4" s="9" t="s">
        <v>382</v>
      </c>
      <c r="B4" s="7"/>
    </row>
    <row r="5" spans="1:2">
      <c r="A5" s="9" t="s">
        <v>383</v>
      </c>
      <c r="B5" s="7"/>
    </row>
    <row r="6" spans="1:2">
      <c r="A6" s="7" t="s">
        <v>172</v>
      </c>
      <c r="B6" s="7" t="s">
        <v>28</v>
      </c>
    </row>
    <row r="7" spans="1:2">
      <c r="A7" s="7" t="s">
        <v>184</v>
      </c>
      <c r="B7" s="7" t="s">
        <v>28</v>
      </c>
    </row>
    <row r="8" spans="1:2">
      <c r="A8" s="7" t="s">
        <v>242</v>
      </c>
      <c r="B8" s="7" t="s">
        <v>28</v>
      </c>
    </row>
    <row r="9" spans="1:2">
      <c r="A9" s="7" t="s">
        <v>247</v>
      </c>
      <c r="B9" s="7" t="s">
        <v>28</v>
      </c>
    </row>
    <row r="10" spans="1:2">
      <c r="A10" s="7" t="s">
        <v>269</v>
      </c>
      <c r="B10" s="7" t="s">
        <v>268</v>
      </c>
    </row>
    <row r="11" spans="1:2">
      <c r="A11" s="7" t="s">
        <v>272</v>
      </c>
      <c r="B11" s="7" t="s">
        <v>28</v>
      </c>
    </row>
    <row r="12" spans="1:2">
      <c r="A12" s="7" t="s">
        <v>81</v>
      </c>
      <c r="B12" s="7" t="s">
        <v>28</v>
      </c>
    </row>
    <row r="13" spans="1:2">
      <c r="A13" s="7" t="s">
        <v>278</v>
      </c>
      <c r="B13" s="7" t="s">
        <v>384</v>
      </c>
    </row>
    <row r="14" spans="1:2">
      <c r="A14" s="7" t="s">
        <v>282</v>
      </c>
      <c r="B14" s="7" t="s">
        <v>385</v>
      </c>
    </row>
    <row r="15" spans="1:2">
      <c r="A15" s="7" t="s">
        <v>300</v>
      </c>
      <c r="B15" s="7" t="s">
        <v>28</v>
      </c>
    </row>
    <row r="16" spans="1:2">
      <c r="A16" s="9" t="s">
        <v>386</v>
      </c>
      <c r="B16" s="7"/>
    </row>
    <row r="17" spans="1:2">
      <c r="A17" s="7" t="s">
        <v>383</v>
      </c>
      <c r="B17" s="7" t="s">
        <v>19</v>
      </c>
    </row>
    <row r="18" spans="1:2">
      <c r="A18" s="7" t="s">
        <v>29</v>
      </c>
      <c r="B18" s="7" t="s">
        <v>28</v>
      </c>
    </row>
    <row r="19" spans="1:2">
      <c r="A19" s="7" t="s">
        <v>39</v>
      </c>
      <c r="B19" s="7" t="s">
        <v>38</v>
      </c>
    </row>
    <row r="20" spans="1:2">
      <c r="A20" s="7" t="s">
        <v>98</v>
      </c>
      <c r="B20" s="7" t="s">
        <v>97</v>
      </c>
    </row>
    <row r="21" spans="1:2">
      <c r="A21" s="7" t="s">
        <v>106</v>
      </c>
      <c r="B21" s="7" t="s">
        <v>387</v>
      </c>
    </row>
    <row r="22" spans="1:2">
      <c r="A22" s="7" t="s">
        <v>189</v>
      </c>
      <c r="B22" s="7" t="s">
        <v>28</v>
      </c>
    </row>
    <row r="23" spans="1:2">
      <c r="A23" s="7" t="s">
        <v>202</v>
      </c>
      <c r="B23" s="7" t="s">
        <v>388</v>
      </c>
    </row>
    <row r="24" spans="1:2">
      <c r="A24" s="7" t="s">
        <v>206</v>
      </c>
      <c r="B24" s="7" t="s">
        <v>28</v>
      </c>
    </row>
    <row r="25" spans="1:2">
      <c r="A25" s="7" t="s">
        <v>242</v>
      </c>
      <c r="B25" s="7" t="s">
        <v>28</v>
      </c>
    </row>
    <row r="26" spans="1:2">
      <c r="A26" s="7" t="s">
        <v>257</v>
      </c>
      <c r="B26" s="7" t="s">
        <v>28</v>
      </c>
    </row>
    <row r="27" spans="1:2">
      <c r="A27" s="7" t="s">
        <v>323</v>
      </c>
      <c r="B27" s="7" t="s">
        <v>28</v>
      </c>
    </row>
    <row r="28" spans="1:2">
      <c r="A28" s="7" t="s">
        <v>330</v>
      </c>
      <c r="B28" s="7" t="s">
        <v>28</v>
      </c>
    </row>
    <row r="29" spans="1:2">
      <c r="A29" s="7" t="s">
        <v>346</v>
      </c>
      <c r="B29" s="7" t="s">
        <v>345</v>
      </c>
    </row>
    <row r="30" spans="1:2">
      <c r="A30" s="7" t="s">
        <v>348</v>
      </c>
      <c r="B30" s="7" t="s">
        <v>389</v>
      </c>
    </row>
    <row r="31" spans="1:2">
      <c r="A31" s="9" t="s">
        <v>390</v>
      </c>
      <c r="B31" s="7"/>
    </row>
    <row r="32" spans="1:2">
      <c r="A32" s="7" t="s">
        <v>348</v>
      </c>
      <c r="B32" s="7" t="s">
        <v>389</v>
      </c>
    </row>
    <row r="33" spans="1:2">
      <c r="A33" s="7" t="s">
        <v>349</v>
      </c>
      <c r="B33" s="7" t="s">
        <v>391</v>
      </c>
    </row>
    <row r="34" spans="1:2">
      <c r="A34" s="7" t="s">
        <v>351</v>
      </c>
      <c r="B34" s="7" t="s">
        <v>392</v>
      </c>
    </row>
    <row r="35" spans="1:2">
      <c r="A35" s="7" t="s">
        <v>353</v>
      </c>
      <c r="B35" s="7" t="s">
        <v>393</v>
      </c>
    </row>
    <row r="36" spans="1:2">
      <c r="A36" s="7" t="s">
        <v>355</v>
      </c>
      <c r="B36" s="7" t="s">
        <v>394</v>
      </c>
    </row>
    <row r="37" spans="1:2">
      <c r="A37" s="7" t="s">
        <v>358</v>
      </c>
      <c r="B37" s="7" t="s">
        <v>395</v>
      </c>
    </row>
    <row r="38" spans="1:2">
      <c r="A38" s="7" t="s">
        <v>360</v>
      </c>
      <c r="B38" s="7" t="s">
        <v>396</v>
      </c>
    </row>
    <row r="39" spans="1:2">
      <c r="A39" s="7" t="s">
        <v>363</v>
      </c>
      <c r="B39" s="7" t="s">
        <v>397</v>
      </c>
    </row>
    <row r="40" spans="1:2">
      <c r="A40" s="7" t="s">
        <v>364</v>
      </c>
      <c r="B40" s="7" t="s">
        <v>398</v>
      </c>
    </row>
    <row r="41" spans="1:2">
      <c r="A41" s="7" t="s">
        <v>367</v>
      </c>
      <c r="B41" s="7" t="s">
        <v>399</v>
      </c>
    </row>
    <row r="42" spans="1:2">
      <c r="A42" s="7" t="s">
        <v>370</v>
      </c>
      <c r="B42" s="7" t="s">
        <v>369</v>
      </c>
    </row>
    <row r="43" spans="1:2">
      <c r="A43" s="9" t="s">
        <v>400</v>
      </c>
      <c r="B43" s="7"/>
    </row>
    <row r="44" spans="1:2">
      <c r="A44" s="7" t="s">
        <v>194</v>
      </c>
      <c r="B44" s="7" t="s">
        <v>193</v>
      </c>
    </row>
    <row r="45" spans="1:2">
      <c r="A45" s="7" t="s">
        <v>211</v>
      </c>
      <c r="B45" s="7" t="s">
        <v>210</v>
      </c>
    </row>
    <row r="46" spans="1:2">
      <c r="A46" s="7" t="s">
        <v>216</v>
      </c>
      <c r="B46" s="7" t="s">
        <v>215</v>
      </c>
    </row>
    <row r="47" spans="1:2">
      <c r="A47" s="7" t="s">
        <v>269</v>
      </c>
      <c r="B47" s="7" t="s">
        <v>268</v>
      </c>
    </row>
    <row r="48" spans="1:2">
      <c r="A48" s="7" t="s">
        <v>401</v>
      </c>
      <c r="B48" s="7" t="s">
        <v>304</v>
      </c>
    </row>
    <row r="49" spans="1:2">
      <c r="A49" s="7" t="s">
        <v>309</v>
      </c>
      <c r="B49" s="7" t="s">
        <v>308</v>
      </c>
    </row>
    <row r="50" spans="1:2">
      <c r="A50" s="7" t="s">
        <v>314</v>
      </c>
      <c r="B50" s="7" t="s">
        <v>313</v>
      </c>
    </row>
    <row r="51" spans="1:2">
      <c r="A51" s="7" t="s">
        <v>319</v>
      </c>
      <c r="B51" s="7" t="s">
        <v>318</v>
      </c>
    </row>
    <row r="52" spans="1:2">
      <c r="A52" s="10" t="s">
        <v>374</v>
      </c>
      <c r="B52" s="10" t="s">
        <v>373</v>
      </c>
    </row>
    <row r="53" spans="1:2">
      <c r="A53" s="9" t="s">
        <v>402</v>
      </c>
      <c r="B53" s="7"/>
    </row>
    <row r="54" spans="1:2">
      <c r="A54" s="7" t="s">
        <v>11</v>
      </c>
      <c r="B54" s="7" t="s">
        <v>12</v>
      </c>
    </row>
    <row r="55" spans="1:2">
      <c r="A55" s="7" t="s">
        <v>120</v>
      </c>
      <c r="B55" s="7" t="s">
        <v>28</v>
      </c>
    </row>
    <row r="56" spans="1:2">
      <c r="A56" s="7" t="s">
        <v>129</v>
      </c>
      <c r="B56" s="7" t="s">
        <v>128</v>
      </c>
    </row>
    <row r="57" spans="1:2">
      <c r="A57" s="7" t="s">
        <v>230</v>
      </c>
      <c r="B57" s="7" t="s">
        <v>229</v>
      </c>
    </row>
    <row r="58" spans="1:2">
      <c r="A58" s="7" t="s">
        <v>403</v>
      </c>
      <c r="B58" s="7" t="s">
        <v>234</v>
      </c>
    </row>
    <row r="59" spans="1:2">
      <c r="A59" s="7" t="s">
        <v>95</v>
      </c>
      <c r="B59" s="7" t="s">
        <v>96</v>
      </c>
    </row>
    <row r="60" spans="1:2">
      <c r="A60" s="7" t="s">
        <v>72</v>
      </c>
      <c r="B60" s="7" t="s">
        <v>73</v>
      </c>
    </row>
    <row r="61" spans="1:2">
      <c r="A61" s="9" t="s">
        <v>404</v>
      </c>
      <c r="B61" s="7"/>
    </row>
    <row r="62" spans="1:2">
      <c r="A62" s="7" t="s">
        <v>39</v>
      </c>
      <c r="B62" s="7" t="s">
        <v>38</v>
      </c>
    </row>
    <row r="63" spans="1:2">
      <c r="A63" s="7" t="s">
        <v>48</v>
      </c>
      <c r="B63" s="7" t="s">
        <v>47</v>
      </c>
    </row>
    <row r="64" spans="1:2">
      <c r="A64" s="7" t="s">
        <v>330</v>
      </c>
      <c r="B64" s="7" t="s">
        <v>28</v>
      </c>
    </row>
  </sheetData>
  <conditionalFormatting sqref="A2:B64">
    <cfRule type="duplicateValues" priority="3"/>
  </conditionalFormatting>
  <conditionalFormatting sqref="A1">
    <cfRule type="duplicateValues" priority="1"/>
  </conditionalFormatting>
  <hyperlinks>
    <hyperlink ref="A1" r:id="rId1" xr:uid="{00000000-0004-0000-04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034"/>
  <sheetViews>
    <sheetView workbookViewId="0">
      <selection activeCell="B2" sqref="B2"/>
    </sheetView>
  </sheetViews>
  <sheetFormatPr defaultRowHeight="14.5"/>
  <cols>
    <col min="2" max="2" width="16.26953125" customWidth="1"/>
  </cols>
  <sheetData>
    <row r="1" spans="1:11" s="7" customFormat="1">
      <c r="A1" s="38" t="s">
        <v>9550</v>
      </c>
      <c r="B1" s="38" t="s">
        <v>9</v>
      </c>
      <c r="C1" s="38" t="s">
        <v>9551</v>
      </c>
      <c r="D1" s="38" t="s">
        <v>9552</v>
      </c>
      <c r="E1" s="38" t="s">
        <v>3434</v>
      </c>
      <c r="F1" s="38" t="s">
        <v>9553</v>
      </c>
      <c r="G1" s="38" t="s">
        <v>9554</v>
      </c>
      <c r="H1" s="38" t="s">
        <v>9555</v>
      </c>
      <c r="I1" s="38" t="s">
        <v>9556</v>
      </c>
      <c r="J1" s="38" t="s">
        <v>9557</v>
      </c>
      <c r="K1" s="38"/>
    </row>
    <row r="2" spans="1:11">
      <c r="A2" t="s">
        <v>9558</v>
      </c>
      <c r="B2" t="s">
        <v>9559</v>
      </c>
      <c r="C2" t="s">
        <v>9560</v>
      </c>
      <c r="D2" t="s">
        <v>28</v>
      </c>
      <c r="E2" t="s">
        <v>9561</v>
      </c>
      <c r="F2" t="s">
        <v>9562</v>
      </c>
      <c r="G2" t="s">
        <v>19180</v>
      </c>
      <c r="I2" t="s">
        <v>18773</v>
      </c>
      <c r="K2" t="str">
        <f>HYPERLINK("http://tuberculist.epfl.ch/quicksearch.php?gene+name=MTB000009&amp;submit=Search")</f>
        <v>http://tuberculist.epfl.ch/quicksearch.php?gene+name=MTB000009&amp;submit=Search</v>
      </c>
    </row>
    <row r="3" spans="1:11">
      <c r="A3" t="s">
        <v>9563</v>
      </c>
      <c r="B3" t="s">
        <v>9564</v>
      </c>
      <c r="C3" t="s">
        <v>9560</v>
      </c>
      <c r="D3" t="s">
        <v>28</v>
      </c>
      <c r="E3" t="s">
        <v>9565</v>
      </c>
      <c r="F3" t="s">
        <v>9566</v>
      </c>
      <c r="G3" t="s">
        <v>19180</v>
      </c>
      <c r="I3" t="s">
        <v>18773</v>
      </c>
      <c r="K3" t="str">
        <f>HYPERLINK("http://tuberculist.epfl.ch/quicksearch.php?gene+name=MTB000046&amp;submit=Search")</f>
        <v>http://tuberculist.epfl.ch/quicksearch.php?gene+name=MTB000046&amp;submit=Search</v>
      </c>
    </row>
    <row r="4" spans="1:11">
      <c r="A4" t="s">
        <v>8862</v>
      </c>
      <c r="B4" t="s">
        <v>3163</v>
      </c>
      <c r="C4" t="s">
        <v>9567</v>
      </c>
      <c r="D4" t="s">
        <v>9568</v>
      </c>
      <c r="E4" t="s">
        <v>9569</v>
      </c>
      <c r="F4" t="s">
        <v>9570</v>
      </c>
      <c r="G4" t="s">
        <v>19181</v>
      </c>
      <c r="H4" t="s">
        <v>19182</v>
      </c>
      <c r="I4" t="s">
        <v>18774</v>
      </c>
      <c r="J4" t="s">
        <v>18775</v>
      </c>
      <c r="K4" t="str">
        <f>HYPERLINK("http://tuberculist.epfl.ch/quicksearch.php?gene+name=Rv0001&amp;submit=Search")</f>
        <v>http://tuberculist.epfl.ch/quicksearch.php?gene+name=Rv0001&amp;submit=Search</v>
      </c>
    </row>
    <row r="5" spans="1:11">
      <c r="A5" t="s">
        <v>9571</v>
      </c>
      <c r="B5" t="s">
        <v>996</v>
      </c>
      <c r="C5" t="s">
        <v>9567</v>
      </c>
      <c r="D5" t="s">
        <v>9572</v>
      </c>
      <c r="E5" t="s">
        <v>9573</v>
      </c>
      <c r="F5" t="s">
        <v>9574</v>
      </c>
      <c r="G5" t="s">
        <v>19181</v>
      </c>
      <c r="H5" t="s">
        <v>19183</v>
      </c>
      <c r="I5" t="s">
        <v>18776</v>
      </c>
      <c r="K5" t="str">
        <f>HYPERLINK("http://tuberculist.epfl.ch/quicksearch.php?gene+name=Rv0002&amp;submit=Search")</f>
        <v>http://tuberculist.epfl.ch/quicksearch.php?gene+name=Rv0002&amp;submit=Search</v>
      </c>
    </row>
    <row r="6" spans="1:11">
      <c r="A6" t="s">
        <v>7383</v>
      </c>
      <c r="B6" t="s">
        <v>2452</v>
      </c>
      <c r="C6" t="s">
        <v>9567</v>
      </c>
      <c r="D6" t="s">
        <v>9575</v>
      </c>
      <c r="E6" t="s">
        <v>9576</v>
      </c>
      <c r="F6" t="s">
        <v>9577</v>
      </c>
      <c r="G6" t="s">
        <v>19181</v>
      </c>
      <c r="H6" t="s">
        <v>19184</v>
      </c>
      <c r="I6" t="s">
        <v>18777</v>
      </c>
      <c r="J6" t="s">
        <v>18778</v>
      </c>
      <c r="K6" t="str">
        <f>HYPERLINK("http://tuberculist.epfl.ch/quicksearch.php?gene+name=Rv0003&amp;submit=Search")</f>
        <v>http://tuberculist.epfl.ch/quicksearch.php?gene+name=Rv0003&amp;submit=Search</v>
      </c>
    </row>
    <row r="7" spans="1:11">
      <c r="A7" t="s">
        <v>1127</v>
      </c>
      <c r="B7" t="s">
        <v>1127</v>
      </c>
      <c r="C7" t="s">
        <v>9567</v>
      </c>
      <c r="D7" t="s">
        <v>9578</v>
      </c>
      <c r="E7" t="s">
        <v>9579</v>
      </c>
      <c r="F7" t="s">
        <v>9580</v>
      </c>
      <c r="G7" t="s">
        <v>19185</v>
      </c>
      <c r="I7" t="s">
        <v>18779</v>
      </c>
      <c r="K7" t="str">
        <f>HYPERLINK("http://tuberculist.epfl.ch/quicksearch.php?gene+name=Rv0004&amp;submit=Search")</f>
        <v>http://tuberculist.epfl.ch/quicksearch.php?gene+name=Rv0004&amp;submit=Search</v>
      </c>
    </row>
    <row r="8" spans="1:11">
      <c r="A8" t="s">
        <v>8731</v>
      </c>
      <c r="B8" t="s">
        <v>3106</v>
      </c>
      <c r="C8" t="s">
        <v>9567</v>
      </c>
      <c r="D8" t="s">
        <v>9581</v>
      </c>
      <c r="E8" t="s">
        <v>9582</v>
      </c>
      <c r="F8" t="s">
        <v>9583</v>
      </c>
      <c r="G8" t="s">
        <v>19181</v>
      </c>
      <c r="H8" t="s">
        <v>19186</v>
      </c>
      <c r="I8" t="s">
        <v>18774</v>
      </c>
      <c r="K8" t="str">
        <f>HYPERLINK("http://tuberculist.epfl.ch/quicksearch.php?gene+name=Rv0005&amp;submit=Search")</f>
        <v>http://tuberculist.epfl.ch/quicksearch.php?gene+name=Rv0005&amp;submit=Search</v>
      </c>
    </row>
    <row r="9" spans="1:11">
      <c r="A9" t="s">
        <v>9584</v>
      </c>
      <c r="B9" t="s">
        <v>3327</v>
      </c>
      <c r="C9" t="s">
        <v>9567</v>
      </c>
      <c r="D9" t="s">
        <v>9581</v>
      </c>
      <c r="E9" t="s">
        <v>9585</v>
      </c>
      <c r="F9" t="s">
        <v>9586</v>
      </c>
      <c r="G9" t="s">
        <v>19181</v>
      </c>
      <c r="H9" t="s">
        <v>19187</v>
      </c>
      <c r="I9" t="s">
        <v>18776</v>
      </c>
      <c r="K9" t="str">
        <f>HYPERLINK("http://tuberculist.epfl.ch/quicksearch.php?gene+name=Rv0006&amp;submit=Search")</f>
        <v>http://tuberculist.epfl.ch/quicksearch.php?gene+name=Rv0006&amp;submit=Search</v>
      </c>
    </row>
    <row r="10" spans="1:11">
      <c r="A10" t="s">
        <v>3244</v>
      </c>
      <c r="B10" t="s">
        <v>3244</v>
      </c>
      <c r="C10" t="s">
        <v>9567</v>
      </c>
      <c r="D10" t="s">
        <v>9587</v>
      </c>
      <c r="E10" t="s">
        <v>9588</v>
      </c>
      <c r="F10" t="s">
        <v>9589</v>
      </c>
      <c r="G10" t="s">
        <v>19188</v>
      </c>
      <c r="H10" t="s">
        <v>19189</v>
      </c>
      <c r="I10" t="s">
        <v>18773</v>
      </c>
      <c r="K10" t="str">
        <f>HYPERLINK("http://tuberculist.epfl.ch/quicksearch.php?gene+name=Rv0007&amp;submit=Search")</f>
        <v>http://tuberculist.epfl.ch/quicksearch.php?gene+name=Rv0007&amp;submit=Search</v>
      </c>
    </row>
    <row r="11" spans="1:11">
      <c r="A11" t="s">
        <v>965</v>
      </c>
      <c r="B11" t="s">
        <v>965</v>
      </c>
      <c r="C11" t="s">
        <v>9567</v>
      </c>
      <c r="D11" t="s">
        <v>9587</v>
      </c>
      <c r="E11" t="s">
        <v>9590</v>
      </c>
      <c r="F11" t="s">
        <v>9591</v>
      </c>
      <c r="G11" t="s">
        <v>19188</v>
      </c>
      <c r="H11" t="s">
        <v>19190</v>
      </c>
      <c r="I11" t="s">
        <v>18780</v>
      </c>
      <c r="K11" t="str">
        <f>HYPERLINK("http://tuberculist.epfl.ch/quicksearch.php?gene+name=Rv0008c&amp;submit=Search")</f>
        <v>http://tuberculist.epfl.ch/quicksearch.php?gene+name=Rv0008c&amp;submit=Search</v>
      </c>
    </row>
    <row r="12" spans="1:11">
      <c r="A12" t="s">
        <v>295</v>
      </c>
      <c r="B12" t="s">
        <v>294</v>
      </c>
      <c r="C12" t="s">
        <v>9567</v>
      </c>
      <c r="D12" t="s">
        <v>9592</v>
      </c>
      <c r="E12" t="s">
        <v>9593</v>
      </c>
      <c r="F12" t="s">
        <v>9594</v>
      </c>
      <c r="G12" t="s">
        <v>19181</v>
      </c>
      <c r="H12" t="s">
        <v>19191</v>
      </c>
      <c r="I12" t="s">
        <v>18781</v>
      </c>
      <c r="J12" t="s">
        <v>18782</v>
      </c>
      <c r="K12" t="str">
        <f>HYPERLINK("http://tuberculist.epfl.ch/quicksearch.php?gene+name=Rv0009&amp;submit=Search")</f>
        <v>http://tuberculist.epfl.ch/quicksearch.php?gene+name=Rv0009&amp;submit=Search</v>
      </c>
    </row>
    <row r="13" spans="1:11">
      <c r="A13" t="s">
        <v>1713</v>
      </c>
      <c r="B13" t="s">
        <v>1713</v>
      </c>
      <c r="C13" t="s">
        <v>9567</v>
      </c>
      <c r="D13" t="s">
        <v>9587</v>
      </c>
      <c r="E13" t="s">
        <v>9595</v>
      </c>
      <c r="F13" t="s">
        <v>9596</v>
      </c>
      <c r="G13" t="s">
        <v>19188</v>
      </c>
      <c r="H13" t="s">
        <v>19192</v>
      </c>
      <c r="I13" t="s">
        <v>18783</v>
      </c>
      <c r="K13" t="str">
        <f>HYPERLINK("http://tuberculist.epfl.ch/quicksearch.php?gene+name=Rv0010c&amp;submit=Search")</f>
        <v>http://tuberculist.epfl.ch/quicksearch.php?gene+name=Rv0010c&amp;submit=Search</v>
      </c>
    </row>
    <row r="14" spans="1:11">
      <c r="A14" t="s">
        <v>745</v>
      </c>
      <c r="B14" t="s">
        <v>745</v>
      </c>
      <c r="C14" t="s">
        <v>9567</v>
      </c>
      <c r="D14" t="s">
        <v>9587</v>
      </c>
      <c r="E14" t="s">
        <v>9597</v>
      </c>
      <c r="F14" t="s">
        <v>9598</v>
      </c>
      <c r="G14" t="s">
        <v>19188</v>
      </c>
      <c r="H14" t="s">
        <v>19193</v>
      </c>
      <c r="I14" t="s">
        <v>18779</v>
      </c>
      <c r="K14" t="str">
        <f>HYPERLINK("http://tuberculist.epfl.ch/quicksearch.php?gene+name=Rv0011c&amp;submit=Search")</f>
        <v>http://tuberculist.epfl.ch/quicksearch.php?gene+name=Rv0011c&amp;submit=Search</v>
      </c>
    </row>
    <row r="15" spans="1:11">
      <c r="A15" t="s">
        <v>2181</v>
      </c>
      <c r="B15" t="s">
        <v>2181</v>
      </c>
      <c r="C15" t="s">
        <v>9567</v>
      </c>
      <c r="D15" t="s">
        <v>9587</v>
      </c>
      <c r="E15" t="s">
        <v>9595</v>
      </c>
      <c r="F15" t="s">
        <v>9599</v>
      </c>
      <c r="G15" t="s">
        <v>19188</v>
      </c>
      <c r="H15" t="s">
        <v>19194</v>
      </c>
      <c r="I15" t="s">
        <v>18780</v>
      </c>
      <c r="K15" t="str">
        <f>HYPERLINK("http://tuberculist.epfl.ch/quicksearch.php?gene+name=Rv0012&amp;submit=Search")</f>
        <v>http://tuberculist.epfl.ch/quicksearch.php?gene+name=Rv0012&amp;submit=Search</v>
      </c>
    </row>
    <row r="16" spans="1:11">
      <c r="A16" t="s">
        <v>9600</v>
      </c>
      <c r="B16" t="s">
        <v>1048</v>
      </c>
      <c r="C16" t="s">
        <v>9567</v>
      </c>
      <c r="D16" t="s">
        <v>9601</v>
      </c>
      <c r="E16" t="s">
        <v>9602</v>
      </c>
      <c r="F16" t="s">
        <v>9603</v>
      </c>
      <c r="G16" t="s">
        <v>19195</v>
      </c>
      <c r="H16" t="s">
        <v>19196</v>
      </c>
      <c r="I16" t="s">
        <v>18776</v>
      </c>
      <c r="K16" t="str">
        <f>HYPERLINK("http://tuberculist.epfl.ch/quicksearch.php?gene+name=Rv0013&amp;submit=Search")</f>
        <v>http://tuberculist.epfl.ch/quicksearch.php?gene+name=Rv0013&amp;submit=Search</v>
      </c>
    </row>
    <row r="17" spans="1:11">
      <c r="A17" t="s">
        <v>5152</v>
      </c>
      <c r="B17" t="s">
        <v>1328</v>
      </c>
      <c r="C17" t="s">
        <v>9567</v>
      </c>
      <c r="D17" t="s">
        <v>9604</v>
      </c>
      <c r="E17" t="s">
        <v>9605</v>
      </c>
      <c r="F17" t="s">
        <v>9606</v>
      </c>
      <c r="G17" t="s">
        <v>19197</v>
      </c>
      <c r="H17" t="s">
        <v>19198</v>
      </c>
      <c r="I17" t="s">
        <v>18784</v>
      </c>
      <c r="K17" t="str">
        <f>HYPERLINK("http://tuberculist.epfl.ch/quicksearch.php?gene+name=Rv0014c&amp;submit=Search")</f>
        <v>http://tuberculist.epfl.ch/quicksearch.php?gene+name=Rv0014c&amp;submit=Search</v>
      </c>
    </row>
    <row r="18" spans="1:11">
      <c r="A18" t="s">
        <v>8365</v>
      </c>
      <c r="B18" t="s">
        <v>2934</v>
      </c>
      <c r="C18" t="s">
        <v>9567</v>
      </c>
      <c r="D18" t="s">
        <v>9607</v>
      </c>
      <c r="E18" t="s">
        <v>9608</v>
      </c>
      <c r="F18" t="s">
        <v>9609</v>
      </c>
      <c r="G18" t="s">
        <v>19197</v>
      </c>
      <c r="H18" t="s">
        <v>19199</v>
      </c>
      <c r="I18" t="s">
        <v>18774</v>
      </c>
      <c r="K18" t="str">
        <f>HYPERLINK("http://tuberculist.epfl.ch/quicksearch.php?gene+name=Rv0015c&amp;submit=Search")</f>
        <v>http://tuberculist.epfl.ch/quicksearch.php?gene+name=Rv0015c&amp;submit=Search</v>
      </c>
    </row>
    <row r="19" spans="1:11">
      <c r="A19" t="s">
        <v>6972</v>
      </c>
      <c r="B19" t="s">
        <v>2247</v>
      </c>
      <c r="C19" t="s">
        <v>9567</v>
      </c>
      <c r="D19" t="s">
        <v>9610</v>
      </c>
      <c r="E19" t="s">
        <v>9611</v>
      </c>
      <c r="F19" t="s">
        <v>9612</v>
      </c>
      <c r="G19" t="s">
        <v>19188</v>
      </c>
      <c r="H19" t="s">
        <v>19200</v>
      </c>
      <c r="I19" t="s">
        <v>18777</v>
      </c>
      <c r="K19" t="str">
        <f>HYPERLINK("http://tuberculist.epfl.ch/quicksearch.php?gene+name=Rv0016c&amp;submit=Search")</f>
        <v>http://tuberculist.epfl.ch/quicksearch.php?gene+name=Rv0016c&amp;submit=Search</v>
      </c>
    </row>
    <row r="20" spans="1:11">
      <c r="A20" t="s">
        <v>7900</v>
      </c>
      <c r="B20" t="s">
        <v>2712</v>
      </c>
      <c r="C20" t="s">
        <v>9567</v>
      </c>
      <c r="D20" t="s">
        <v>9613</v>
      </c>
      <c r="E20" t="s">
        <v>9614</v>
      </c>
      <c r="F20" t="s">
        <v>9615</v>
      </c>
      <c r="G20" t="s">
        <v>19188</v>
      </c>
      <c r="I20" t="s">
        <v>18783</v>
      </c>
      <c r="K20" t="str">
        <f>HYPERLINK("http://tuberculist.epfl.ch/quicksearch.php?gene+name=Rv0017c&amp;submit=Search")</f>
        <v>http://tuberculist.epfl.ch/quicksearch.php?gene+name=Rv0017c&amp;submit=Search</v>
      </c>
    </row>
    <row r="21" spans="1:11">
      <c r="A21" t="s">
        <v>5308</v>
      </c>
      <c r="B21" t="s">
        <v>1408</v>
      </c>
      <c r="C21" t="s">
        <v>9567</v>
      </c>
      <c r="D21" t="s">
        <v>9616</v>
      </c>
      <c r="E21" t="s">
        <v>9617</v>
      </c>
      <c r="F21" t="s">
        <v>9618</v>
      </c>
      <c r="G21" t="s">
        <v>19197</v>
      </c>
      <c r="H21" t="s">
        <v>19201</v>
      </c>
      <c r="I21" t="s">
        <v>18785</v>
      </c>
      <c r="K21" t="str">
        <f>HYPERLINK("http://tuberculist.epfl.ch/quicksearch.php?gene+name=Rv0018c&amp;submit=Search")</f>
        <v>http://tuberculist.epfl.ch/quicksearch.php?gene+name=Rv0018c&amp;submit=Search</v>
      </c>
    </row>
    <row r="22" spans="1:11">
      <c r="A22" t="s">
        <v>9619</v>
      </c>
      <c r="B22" t="s">
        <v>1114</v>
      </c>
      <c r="C22" t="s">
        <v>9567</v>
      </c>
      <c r="D22" t="s">
        <v>9620</v>
      </c>
      <c r="E22" t="s">
        <v>9621</v>
      </c>
      <c r="F22" t="s">
        <v>9622</v>
      </c>
      <c r="G22" t="s">
        <v>19197</v>
      </c>
      <c r="H22" t="s">
        <v>19202</v>
      </c>
      <c r="I22" t="s">
        <v>18786</v>
      </c>
      <c r="K22" t="str">
        <f>HYPERLINK("http://tuberculist.epfl.ch/quicksearch.php?gene+name=Rv0019c&amp;submit=Search")</f>
        <v>http://tuberculist.epfl.ch/quicksearch.php?gene+name=Rv0019c&amp;submit=Search</v>
      </c>
    </row>
    <row r="23" spans="1:11">
      <c r="A23" t="s">
        <v>9623</v>
      </c>
      <c r="B23" t="s">
        <v>3149</v>
      </c>
      <c r="C23" t="s">
        <v>9567</v>
      </c>
      <c r="D23" t="s">
        <v>9620</v>
      </c>
      <c r="E23" t="s">
        <v>9624</v>
      </c>
      <c r="F23" t="s">
        <v>9625</v>
      </c>
      <c r="G23" t="s">
        <v>19197</v>
      </c>
      <c r="H23" t="s">
        <v>19203</v>
      </c>
      <c r="I23" t="s">
        <v>18787</v>
      </c>
      <c r="K23" t="str">
        <f>HYPERLINK("http://tuberculist.epfl.ch/quicksearch.php?gene+name=Rv0020c&amp;submit=Search")</f>
        <v>http://tuberculist.epfl.ch/quicksearch.php?gene+name=Rv0020c&amp;submit=Search</v>
      </c>
    </row>
    <row r="24" spans="1:11">
      <c r="A24" t="s">
        <v>898</v>
      </c>
      <c r="B24" t="s">
        <v>898</v>
      </c>
      <c r="C24" t="s">
        <v>9567</v>
      </c>
      <c r="D24" t="s">
        <v>9578</v>
      </c>
      <c r="E24" t="s">
        <v>9579</v>
      </c>
      <c r="F24" t="s">
        <v>9626</v>
      </c>
      <c r="G24" t="s">
        <v>19204</v>
      </c>
      <c r="I24" t="s">
        <v>18780</v>
      </c>
      <c r="K24" t="str">
        <f>HYPERLINK("http://tuberculist.epfl.ch/quicksearch.php?gene+name=Rv0021c&amp;submit=Search")</f>
        <v>http://tuberculist.epfl.ch/quicksearch.php?gene+name=Rv0021c&amp;submit=Search</v>
      </c>
    </row>
    <row r="25" spans="1:11">
      <c r="A25" t="s">
        <v>9627</v>
      </c>
      <c r="B25" t="s">
        <v>9628</v>
      </c>
      <c r="C25" t="s">
        <v>9567</v>
      </c>
      <c r="D25" t="s">
        <v>9629</v>
      </c>
      <c r="E25" t="s">
        <v>9630</v>
      </c>
      <c r="F25" t="s">
        <v>9631</v>
      </c>
      <c r="G25" t="s">
        <v>19197</v>
      </c>
      <c r="H25" t="s">
        <v>19205</v>
      </c>
      <c r="I25" t="s">
        <v>18780</v>
      </c>
      <c r="K25" t="str">
        <f>HYPERLINK("http://tuberculist.epfl.ch/quicksearch.php?gene+name=Rv0022c&amp;submit=Search")</f>
        <v>http://tuberculist.epfl.ch/quicksearch.php?gene+name=Rv0022c&amp;submit=Search</v>
      </c>
    </row>
    <row r="26" spans="1:11">
      <c r="A26" t="s">
        <v>3273</v>
      </c>
      <c r="B26" t="s">
        <v>3273</v>
      </c>
      <c r="C26" t="s">
        <v>9567</v>
      </c>
      <c r="D26" t="s">
        <v>9632</v>
      </c>
      <c r="E26" t="s">
        <v>9633</v>
      </c>
      <c r="F26" t="s">
        <v>9634</v>
      </c>
      <c r="G26" t="s">
        <v>19197</v>
      </c>
      <c r="H26" t="s">
        <v>19192</v>
      </c>
      <c r="I26" t="s">
        <v>18788</v>
      </c>
      <c r="K26" t="str">
        <f>HYPERLINK("http://tuberculist.epfl.ch/quicksearch.php?gene+name=Rv0023&amp;submit=Search")</f>
        <v>http://tuberculist.epfl.ch/quicksearch.php?gene+name=Rv0023&amp;submit=Search</v>
      </c>
    </row>
    <row r="27" spans="1:11">
      <c r="A27" t="s">
        <v>1930</v>
      </c>
      <c r="B27" t="s">
        <v>1930</v>
      </c>
      <c r="C27" t="s">
        <v>9567</v>
      </c>
      <c r="D27" t="s">
        <v>9635</v>
      </c>
      <c r="E27" t="s">
        <v>9636</v>
      </c>
      <c r="F27" t="s">
        <v>9637</v>
      </c>
      <c r="G27" t="s">
        <v>19206</v>
      </c>
      <c r="H27" t="s">
        <v>19207</v>
      </c>
      <c r="I27" t="s">
        <v>18789</v>
      </c>
      <c r="K27" t="str">
        <f>HYPERLINK("http://tuberculist.epfl.ch/quicksearch.php?gene+name=Rv0024&amp;submit=Search")</f>
        <v>http://tuberculist.epfl.ch/quicksearch.php?gene+name=Rv0024&amp;submit=Search</v>
      </c>
    </row>
    <row r="28" spans="1:11">
      <c r="A28" t="s">
        <v>2197</v>
      </c>
      <c r="B28" t="s">
        <v>2197</v>
      </c>
      <c r="C28" t="s">
        <v>9567</v>
      </c>
      <c r="D28" t="s">
        <v>9578</v>
      </c>
      <c r="E28" t="s">
        <v>9579</v>
      </c>
      <c r="F28" t="s">
        <v>9638</v>
      </c>
      <c r="G28" t="s">
        <v>19208</v>
      </c>
      <c r="H28" t="s">
        <v>19209</v>
      </c>
      <c r="I28" t="s">
        <v>18789</v>
      </c>
      <c r="K28" t="str">
        <f>HYPERLINK("http://tuberculist.epfl.ch/quicksearch.php?gene+name=Rv0025&amp;submit=Search")</f>
        <v>http://tuberculist.epfl.ch/quicksearch.php?gene+name=Rv0025&amp;submit=Search</v>
      </c>
    </row>
    <row r="29" spans="1:11">
      <c r="A29" t="s">
        <v>1972</v>
      </c>
      <c r="B29" t="s">
        <v>1972</v>
      </c>
      <c r="C29" t="s">
        <v>9567</v>
      </c>
      <c r="D29" t="s">
        <v>9578</v>
      </c>
      <c r="E29" t="s">
        <v>9579</v>
      </c>
      <c r="F29" t="s">
        <v>9639</v>
      </c>
      <c r="G29" t="s">
        <v>19210</v>
      </c>
      <c r="H29" t="s">
        <v>19211</v>
      </c>
      <c r="I29" t="s">
        <v>18780</v>
      </c>
      <c r="K29" t="str">
        <f>HYPERLINK("http://tuberculist.epfl.ch/quicksearch.php?gene+name=Rv0026&amp;submit=Search")</f>
        <v>http://tuberculist.epfl.ch/quicksearch.php?gene+name=Rv0026&amp;submit=Search</v>
      </c>
    </row>
    <row r="30" spans="1:11">
      <c r="A30" t="s">
        <v>9640</v>
      </c>
      <c r="B30" t="s">
        <v>9640</v>
      </c>
      <c r="C30" t="s">
        <v>9567</v>
      </c>
      <c r="D30" t="s">
        <v>9587</v>
      </c>
      <c r="E30" t="s">
        <v>9579</v>
      </c>
      <c r="F30" t="s">
        <v>9641</v>
      </c>
      <c r="G30" t="s">
        <v>19212</v>
      </c>
      <c r="H30" t="s">
        <v>19213</v>
      </c>
      <c r="I30" t="s">
        <v>18779</v>
      </c>
      <c r="K30" t="str">
        <f>HYPERLINK("http://tuberculist.epfl.ch/quicksearch.php?gene+name=Rv0027&amp;submit=Search")</f>
        <v>http://tuberculist.epfl.ch/quicksearch.php?gene+name=Rv0027&amp;submit=Search</v>
      </c>
    </row>
    <row r="31" spans="1:11">
      <c r="A31" t="s">
        <v>9642</v>
      </c>
      <c r="B31" t="s">
        <v>9642</v>
      </c>
      <c r="C31" t="s">
        <v>9567</v>
      </c>
      <c r="D31" t="s">
        <v>9587</v>
      </c>
      <c r="E31" t="s">
        <v>9579</v>
      </c>
      <c r="F31" t="s">
        <v>9643</v>
      </c>
      <c r="G31" t="s">
        <v>19212</v>
      </c>
      <c r="H31" t="s">
        <v>19214</v>
      </c>
      <c r="I31" t="s">
        <v>18773</v>
      </c>
      <c r="K31" t="str">
        <f>HYPERLINK("http://tuberculist.epfl.ch/quicksearch.php?gene+name=Rv0028&amp;submit=Search")</f>
        <v>http://tuberculist.epfl.ch/quicksearch.php?gene+name=Rv0028&amp;submit=Search</v>
      </c>
    </row>
    <row r="32" spans="1:11">
      <c r="A32" t="s">
        <v>2344</v>
      </c>
      <c r="B32" t="s">
        <v>2344</v>
      </c>
      <c r="C32" t="s">
        <v>9567</v>
      </c>
      <c r="D32" t="s">
        <v>9578</v>
      </c>
      <c r="E32" t="s">
        <v>9579</v>
      </c>
      <c r="F32" t="s">
        <v>9644</v>
      </c>
      <c r="G32" t="s">
        <v>19212</v>
      </c>
      <c r="H32" t="s">
        <v>19215</v>
      </c>
      <c r="I32" t="s">
        <v>18780</v>
      </c>
      <c r="K32" t="str">
        <f>HYPERLINK("http://tuberculist.epfl.ch/quicksearch.php?gene+name=Rv0029&amp;submit=Search")</f>
        <v>http://tuberculist.epfl.ch/quicksearch.php?gene+name=Rv0029&amp;submit=Search</v>
      </c>
    </row>
    <row r="33" spans="1:11">
      <c r="A33" t="s">
        <v>527</v>
      </c>
      <c r="B33" t="s">
        <v>527</v>
      </c>
      <c r="C33" t="s">
        <v>9567</v>
      </c>
      <c r="D33" t="s">
        <v>9587</v>
      </c>
      <c r="E33" t="s">
        <v>9579</v>
      </c>
      <c r="F33" t="s">
        <v>9645</v>
      </c>
      <c r="G33" t="s">
        <v>19216</v>
      </c>
      <c r="I33" t="s">
        <v>18779</v>
      </c>
      <c r="K33" t="str">
        <f>HYPERLINK("http://tuberculist.epfl.ch/quicksearch.php?gene+name=Rv0030&amp;submit=Search")</f>
        <v>http://tuberculist.epfl.ch/quicksearch.php?gene+name=Rv0030&amp;submit=Search</v>
      </c>
    </row>
    <row r="34" spans="1:11">
      <c r="A34" t="s">
        <v>9646</v>
      </c>
      <c r="B34" t="s">
        <v>9646</v>
      </c>
      <c r="C34" t="s">
        <v>9567</v>
      </c>
      <c r="D34" t="s">
        <v>9647</v>
      </c>
      <c r="E34" t="s">
        <v>9648</v>
      </c>
      <c r="F34" t="s">
        <v>9649</v>
      </c>
      <c r="G34" t="s">
        <v>19217</v>
      </c>
      <c r="I34" t="s">
        <v>18779</v>
      </c>
      <c r="K34" t="str">
        <f>HYPERLINK("http://tuberculist.epfl.ch/quicksearch.php?gene+name=Rv0031&amp;submit=Search")</f>
        <v>http://tuberculist.epfl.ch/quicksearch.php?gene+name=Rv0031&amp;submit=Search</v>
      </c>
    </row>
    <row r="35" spans="1:11">
      <c r="A35" t="s">
        <v>9650</v>
      </c>
      <c r="B35" t="s">
        <v>9651</v>
      </c>
      <c r="C35" t="s">
        <v>9567</v>
      </c>
      <c r="D35" t="s">
        <v>9652</v>
      </c>
      <c r="E35" t="s">
        <v>9653</v>
      </c>
      <c r="F35" t="s">
        <v>9654</v>
      </c>
      <c r="G35" t="s">
        <v>19195</v>
      </c>
      <c r="H35" t="s">
        <v>19218</v>
      </c>
      <c r="I35" t="s">
        <v>18788</v>
      </c>
      <c r="K35" t="str">
        <f>HYPERLINK("http://tuberculist.epfl.ch/quicksearch.php?gene+name=Rv0032&amp;submit=Search")</f>
        <v>http://tuberculist.epfl.ch/quicksearch.php?gene+name=Rv0032&amp;submit=Search</v>
      </c>
    </row>
    <row r="36" spans="1:11">
      <c r="A36" t="s">
        <v>9655</v>
      </c>
      <c r="B36" t="s">
        <v>9656</v>
      </c>
      <c r="C36" t="s">
        <v>9567</v>
      </c>
      <c r="D36" t="s">
        <v>9657</v>
      </c>
      <c r="E36" t="s">
        <v>9658</v>
      </c>
      <c r="F36" t="s">
        <v>9659</v>
      </c>
      <c r="G36" t="s">
        <v>19219</v>
      </c>
      <c r="I36" t="s">
        <v>18780</v>
      </c>
      <c r="K36" t="str">
        <f>HYPERLINK("http://tuberculist.epfl.ch/quicksearch.php?gene+name=Rv0033&amp;submit=Search")</f>
        <v>http://tuberculist.epfl.ch/quicksearch.php?gene+name=Rv0033&amp;submit=Search</v>
      </c>
    </row>
    <row r="37" spans="1:11">
      <c r="A37" t="s">
        <v>9660</v>
      </c>
      <c r="B37" t="s">
        <v>9660</v>
      </c>
      <c r="C37" t="s">
        <v>9567</v>
      </c>
      <c r="D37" t="s">
        <v>9578</v>
      </c>
      <c r="E37" t="s">
        <v>9579</v>
      </c>
      <c r="F37" t="s">
        <v>9661</v>
      </c>
      <c r="G37" t="s">
        <v>19220</v>
      </c>
      <c r="H37" t="s">
        <v>19221</v>
      </c>
      <c r="I37" t="s">
        <v>18780</v>
      </c>
      <c r="K37" t="str">
        <f>HYPERLINK("http://tuberculist.epfl.ch/quicksearch.php?gene+name=Rv0034&amp;submit=Search")</f>
        <v>http://tuberculist.epfl.ch/quicksearch.php?gene+name=Rv0034&amp;submit=Search</v>
      </c>
    </row>
    <row r="38" spans="1:11">
      <c r="A38" t="s">
        <v>8032</v>
      </c>
      <c r="B38" t="s">
        <v>2774</v>
      </c>
      <c r="C38" t="s">
        <v>9567</v>
      </c>
      <c r="D38" t="s">
        <v>9662</v>
      </c>
      <c r="E38" t="s">
        <v>9663</v>
      </c>
      <c r="F38" t="s">
        <v>9664</v>
      </c>
      <c r="G38" t="s">
        <v>19219</v>
      </c>
      <c r="I38" t="s">
        <v>18789</v>
      </c>
      <c r="K38" t="str">
        <f>HYPERLINK("http://tuberculist.epfl.ch/quicksearch.php?gene+name=Rv0035&amp;submit=Search")</f>
        <v>http://tuberculist.epfl.ch/quicksearch.php?gene+name=Rv0035&amp;submit=Search</v>
      </c>
    </row>
    <row r="39" spans="1:11">
      <c r="A39" t="s">
        <v>551</v>
      </c>
      <c r="B39" t="s">
        <v>551</v>
      </c>
      <c r="C39" t="s">
        <v>9567</v>
      </c>
      <c r="D39" t="s">
        <v>9578</v>
      </c>
      <c r="E39" t="s">
        <v>9665</v>
      </c>
      <c r="F39" t="s">
        <v>9666</v>
      </c>
      <c r="G39" t="s">
        <v>19210</v>
      </c>
      <c r="H39" t="s">
        <v>19222</v>
      </c>
      <c r="I39" t="s">
        <v>18780</v>
      </c>
      <c r="K39" t="str">
        <f>HYPERLINK("http://tuberculist.epfl.ch/quicksearch.php?gene+name=Rv0036c&amp;submit=Search")</f>
        <v>http://tuberculist.epfl.ch/quicksearch.php?gene+name=Rv0036c&amp;submit=Search</v>
      </c>
    </row>
    <row r="40" spans="1:11">
      <c r="A40" t="s">
        <v>1409</v>
      </c>
      <c r="B40" t="s">
        <v>1409</v>
      </c>
      <c r="C40" t="s">
        <v>9567</v>
      </c>
      <c r="D40" t="s">
        <v>9667</v>
      </c>
      <c r="E40" t="s">
        <v>9668</v>
      </c>
      <c r="F40" t="s">
        <v>9669</v>
      </c>
      <c r="G40" t="s">
        <v>19188</v>
      </c>
      <c r="H40" t="s">
        <v>19192</v>
      </c>
      <c r="I40" t="s">
        <v>18790</v>
      </c>
      <c r="K40" t="str">
        <f>HYPERLINK("http://tuberculist.epfl.ch/quicksearch.php?gene+name=Rv0037c&amp;submit=Search")</f>
        <v>http://tuberculist.epfl.ch/quicksearch.php?gene+name=Rv0037c&amp;submit=Search</v>
      </c>
    </row>
    <row r="41" spans="1:11">
      <c r="A41" t="s">
        <v>887</v>
      </c>
      <c r="B41" t="s">
        <v>887</v>
      </c>
      <c r="C41" t="s">
        <v>9567</v>
      </c>
      <c r="D41" t="s">
        <v>9578</v>
      </c>
      <c r="E41" t="s">
        <v>9665</v>
      </c>
      <c r="F41" t="s">
        <v>9670</v>
      </c>
      <c r="G41" t="s">
        <v>19185</v>
      </c>
      <c r="H41" t="s">
        <v>19196</v>
      </c>
      <c r="I41" t="s">
        <v>18789</v>
      </c>
      <c r="K41" t="str">
        <f>HYPERLINK("http://tuberculist.epfl.ch/quicksearch.php?gene+name=Rv0038&amp;submit=Search")</f>
        <v>http://tuberculist.epfl.ch/quicksearch.php?gene+name=Rv0038&amp;submit=Search</v>
      </c>
    </row>
    <row r="42" spans="1:11">
      <c r="A42" t="s">
        <v>584</v>
      </c>
      <c r="B42" t="s">
        <v>584</v>
      </c>
      <c r="C42" t="s">
        <v>9567</v>
      </c>
      <c r="D42" t="s">
        <v>9587</v>
      </c>
      <c r="E42" t="s">
        <v>9671</v>
      </c>
      <c r="F42" t="s">
        <v>9672</v>
      </c>
      <c r="G42" t="s">
        <v>19188</v>
      </c>
      <c r="H42" t="s">
        <v>19211</v>
      </c>
      <c r="I42" t="s">
        <v>18779</v>
      </c>
      <c r="K42" t="str">
        <f>HYPERLINK("http://tuberculist.epfl.ch/quicksearch.php?gene+name=Rv0039c&amp;submit=Search")</f>
        <v>http://tuberculist.epfl.ch/quicksearch.php?gene+name=Rv0039c&amp;submit=Search</v>
      </c>
    </row>
    <row r="43" spans="1:11">
      <c r="A43" t="s">
        <v>3860</v>
      </c>
      <c r="B43" t="s">
        <v>686</v>
      </c>
      <c r="C43" t="s">
        <v>9567</v>
      </c>
      <c r="D43" t="s">
        <v>9587</v>
      </c>
      <c r="E43" t="s">
        <v>9673</v>
      </c>
      <c r="F43" t="s">
        <v>9674</v>
      </c>
      <c r="G43" t="s">
        <v>19188</v>
      </c>
      <c r="H43" t="s">
        <v>19223</v>
      </c>
      <c r="I43" t="s">
        <v>18779</v>
      </c>
      <c r="K43" t="str">
        <f>HYPERLINK("http://tuberculist.epfl.ch/quicksearch.php?gene+name=Rv0040c&amp;submit=Search")</f>
        <v>http://tuberculist.epfl.ch/quicksearch.php?gene+name=Rv0040c&amp;submit=Search</v>
      </c>
    </row>
    <row r="44" spans="1:11">
      <c r="A44" t="s">
        <v>8449</v>
      </c>
      <c r="B44" t="s">
        <v>2974</v>
      </c>
      <c r="C44" t="s">
        <v>9567</v>
      </c>
      <c r="D44" t="s">
        <v>9675</v>
      </c>
      <c r="E44" t="s">
        <v>9676</v>
      </c>
      <c r="F44" t="s">
        <v>9677</v>
      </c>
      <c r="G44" t="s">
        <v>19181</v>
      </c>
      <c r="H44" t="s">
        <v>19224</v>
      </c>
      <c r="I44" t="s">
        <v>18791</v>
      </c>
      <c r="K44" t="str">
        <f>HYPERLINK("http://tuberculist.epfl.ch/quicksearch.php?gene+name=Rv0041&amp;submit=Search")</f>
        <v>http://tuberculist.epfl.ch/quicksearch.php?gene+name=Rv0041&amp;submit=Search</v>
      </c>
    </row>
    <row r="45" spans="1:11">
      <c r="A45" t="s">
        <v>554</v>
      </c>
      <c r="B45" t="s">
        <v>554</v>
      </c>
      <c r="C45" t="s">
        <v>9567</v>
      </c>
      <c r="D45" t="s">
        <v>9632</v>
      </c>
      <c r="E45" t="s">
        <v>9678</v>
      </c>
      <c r="F45" t="s">
        <v>9679</v>
      </c>
      <c r="G45" t="s">
        <v>19197</v>
      </c>
      <c r="H45" t="s">
        <v>19225</v>
      </c>
      <c r="I45" t="s">
        <v>18792</v>
      </c>
      <c r="K45" t="str">
        <f>HYPERLINK("http://tuberculist.epfl.ch/quicksearch.php?gene+name=Rv0042c&amp;submit=Search")</f>
        <v>http://tuberculist.epfl.ch/quicksearch.php?gene+name=Rv0042c&amp;submit=Search</v>
      </c>
    </row>
    <row r="46" spans="1:11">
      <c r="A46" t="s">
        <v>2911</v>
      </c>
      <c r="B46" t="s">
        <v>2911</v>
      </c>
      <c r="C46" t="s">
        <v>9567</v>
      </c>
      <c r="D46" t="s">
        <v>9629</v>
      </c>
      <c r="E46" t="s">
        <v>9680</v>
      </c>
      <c r="F46" t="s">
        <v>9681</v>
      </c>
      <c r="G46" t="s">
        <v>19197</v>
      </c>
      <c r="I46" t="s">
        <v>18780</v>
      </c>
      <c r="K46" t="str">
        <f>HYPERLINK("http://tuberculist.epfl.ch/quicksearch.php?gene+name=Rv0043c&amp;submit=Search")</f>
        <v>http://tuberculist.epfl.ch/quicksearch.php?gene+name=Rv0043c&amp;submit=Search</v>
      </c>
    </row>
    <row r="47" spans="1:11">
      <c r="A47" t="s">
        <v>3051</v>
      </c>
      <c r="B47" t="s">
        <v>3051</v>
      </c>
      <c r="C47" t="s">
        <v>9567</v>
      </c>
      <c r="D47" t="s">
        <v>9682</v>
      </c>
      <c r="E47" t="s">
        <v>9683</v>
      </c>
      <c r="F47" t="s">
        <v>9684</v>
      </c>
      <c r="G47" t="s">
        <v>19195</v>
      </c>
      <c r="H47" t="s">
        <v>19226</v>
      </c>
      <c r="I47" t="s">
        <v>18789</v>
      </c>
      <c r="K47" t="str">
        <f>HYPERLINK("http://tuberculist.epfl.ch/quicksearch.php?gene+name=Rv0044c&amp;submit=Search")</f>
        <v>http://tuberculist.epfl.ch/quicksearch.php?gene+name=Rv0044c&amp;submit=Search</v>
      </c>
    </row>
    <row r="48" spans="1:11">
      <c r="A48" t="s">
        <v>3169</v>
      </c>
      <c r="B48" t="s">
        <v>3169</v>
      </c>
      <c r="C48" t="s">
        <v>9567</v>
      </c>
      <c r="D48" t="s">
        <v>9685</v>
      </c>
      <c r="E48" t="s">
        <v>9686</v>
      </c>
      <c r="F48" t="s">
        <v>9687</v>
      </c>
      <c r="G48" t="s">
        <v>19219</v>
      </c>
      <c r="H48" t="s">
        <v>19213</v>
      </c>
      <c r="I48" t="s">
        <v>18780</v>
      </c>
      <c r="K48" t="str">
        <f>HYPERLINK("http://tuberculist.epfl.ch/quicksearch.php?gene+name=Rv0045c&amp;submit=Search")</f>
        <v>http://tuberculist.epfl.ch/quicksearch.php?gene+name=Rv0045c&amp;submit=Search</v>
      </c>
    </row>
    <row r="49" spans="1:11">
      <c r="A49" t="s">
        <v>7779</v>
      </c>
      <c r="B49" t="s">
        <v>2643</v>
      </c>
      <c r="C49" t="s">
        <v>9567</v>
      </c>
      <c r="D49" t="s">
        <v>9688</v>
      </c>
      <c r="E49" t="s">
        <v>9689</v>
      </c>
      <c r="F49" t="s">
        <v>9690</v>
      </c>
      <c r="G49" t="s">
        <v>19195</v>
      </c>
      <c r="H49" t="s">
        <v>19227</v>
      </c>
      <c r="I49" t="s">
        <v>18788</v>
      </c>
      <c r="J49" t="s">
        <v>18775</v>
      </c>
      <c r="K49" t="str">
        <f>HYPERLINK("http://tuberculist.epfl.ch/quicksearch.php?gene+name=Rv0046c&amp;submit=Search")</f>
        <v>http://tuberculist.epfl.ch/quicksearch.php?gene+name=Rv0046c&amp;submit=Search</v>
      </c>
    </row>
    <row r="50" spans="1:11">
      <c r="A50" t="s">
        <v>1186</v>
      </c>
      <c r="B50" t="s">
        <v>1186</v>
      </c>
      <c r="C50" t="s">
        <v>9567</v>
      </c>
      <c r="D50" t="s">
        <v>9578</v>
      </c>
      <c r="E50" t="s">
        <v>9665</v>
      </c>
      <c r="F50" t="s">
        <v>9691</v>
      </c>
      <c r="G50" t="s">
        <v>19212</v>
      </c>
      <c r="H50" t="s">
        <v>19192</v>
      </c>
      <c r="I50" t="s">
        <v>18780</v>
      </c>
      <c r="K50" t="str">
        <f>HYPERLINK("http://tuberculist.epfl.ch/quicksearch.php?gene+name=Rv0047c&amp;submit=Search")</f>
        <v>http://tuberculist.epfl.ch/quicksearch.php?gene+name=Rv0047c&amp;submit=Search</v>
      </c>
    </row>
    <row r="51" spans="1:11">
      <c r="A51" t="s">
        <v>1763</v>
      </c>
      <c r="B51" t="s">
        <v>1763</v>
      </c>
      <c r="C51" t="s">
        <v>9567</v>
      </c>
      <c r="D51" t="s">
        <v>9587</v>
      </c>
      <c r="E51" t="s">
        <v>9590</v>
      </c>
      <c r="F51" t="s">
        <v>9692</v>
      </c>
      <c r="G51" t="s">
        <v>19188</v>
      </c>
      <c r="H51" t="s">
        <v>19228</v>
      </c>
      <c r="I51" t="s">
        <v>18789</v>
      </c>
      <c r="K51" t="str">
        <f>HYPERLINK("http://tuberculist.epfl.ch/quicksearch.php?gene+name=Rv0048c&amp;submit=Search")</f>
        <v>http://tuberculist.epfl.ch/quicksearch.php?gene+name=Rv0048c&amp;submit=Search</v>
      </c>
    </row>
    <row r="52" spans="1:11">
      <c r="A52" t="s">
        <v>809</v>
      </c>
      <c r="B52" t="s">
        <v>809</v>
      </c>
      <c r="C52" t="s">
        <v>9567</v>
      </c>
      <c r="D52" t="s">
        <v>9578</v>
      </c>
      <c r="E52" t="s">
        <v>9579</v>
      </c>
      <c r="F52" t="s">
        <v>9693</v>
      </c>
      <c r="G52" t="s">
        <v>19204</v>
      </c>
      <c r="I52" t="s">
        <v>18786</v>
      </c>
      <c r="K52" t="str">
        <f>HYPERLINK("http://tuberculist.epfl.ch/quicksearch.php?gene+name=Rv0049&amp;submit=Search")</f>
        <v>http://tuberculist.epfl.ch/quicksearch.php?gene+name=Rv0049&amp;submit=Search</v>
      </c>
    </row>
    <row r="53" spans="1:11">
      <c r="A53" t="s">
        <v>5950</v>
      </c>
      <c r="B53" t="s">
        <v>1728</v>
      </c>
      <c r="C53" t="s">
        <v>9567</v>
      </c>
      <c r="D53" t="s">
        <v>9694</v>
      </c>
      <c r="E53" t="s">
        <v>9695</v>
      </c>
      <c r="F53" t="s">
        <v>9696</v>
      </c>
      <c r="G53" t="s">
        <v>19188</v>
      </c>
      <c r="H53" t="s">
        <v>19229</v>
      </c>
      <c r="I53" t="s">
        <v>18788</v>
      </c>
      <c r="K53" t="str">
        <f>HYPERLINK("http://tuberculist.epfl.ch/quicksearch.php?gene+name=Rv0050&amp;submit=Search")</f>
        <v>http://tuberculist.epfl.ch/quicksearch.php?gene+name=Rv0050&amp;submit=Search</v>
      </c>
    </row>
    <row r="54" spans="1:11">
      <c r="A54" t="s">
        <v>2676</v>
      </c>
      <c r="B54" t="s">
        <v>2676</v>
      </c>
      <c r="C54" t="s">
        <v>9567</v>
      </c>
      <c r="D54" t="s">
        <v>9587</v>
      </c>
      <c r="E54" t="s">
        <v>9597</v>
      </c>
      <c r="F54" t="s">
        <v>9697</v>
      </c>
      <c r="G54" t="s">
        <v>19188</v>
      </c>
      <c r="H54" t="s">
        <v>19214</v>
      </c>
      <c r="I54" t="s">
        <v>18780</v>
      </c>
      <c r="K54" t="str">
        <f>HYPERLINK("http://tuberculist.epfl.ch/quicksearch.php?gene+name=Rv0051&amp;submit=Search")</f>
        <v>http://tuberculist.epfl.ch/quicksearch.php?gene+name=Rv0051&amp;submit=Search</v>
      </c>
    </row>
    <row r="55" spans="1:11">
      <c r="A55" t="s">
        <v>2208</v>
      </c>
      <c r="B55" t="s">
        <v>2208</v>
      </c>
      <c r="C55" t="s">
        <v>9567</v>
      </c>
      <c r="D55" t="s">
        <v>9578</v>
      </c>
      <c r="E55" t="s">
        <v>9665</v>
      </c>
      <c r="F55" t="s">
        <v>9698</v>
      </c>
      <c r="G55" t="s">
        <v>19212</v>
      </c>
      <c r="H55" t="s">
        <v>19230</v>
      </c>
      <c r="I55" t="s">
        <v>18789</v>
      </c>
      <c r="K55" t="str">
        <f>HYPERLINK("http://tuberculist.epfl.ch/quicksearch.php?gene+name=Rv0052&amp;submit=Search")</f>
        <v>http://tuberculist.epfl.ch/quicksearch.php?gene+name=Rv0052&amp;submit=Search</v>
      </c>
    </row>
    <row r="56" spans="1:11">
      <c r="A56" t="s">
        <v>7555</v>
      </c>
      <c r="B56" t="s">
        <v>2532</v>
      </c>
      <c r="C56" t="s">
        <v>9567</v>
      </c>
      <c r="D56" t="s">
        <v>9699</v>
      </c>
      <c r="E56" t="s">
        <v>9700</v>
      </c>
      <c r="F56" t="s">
        <v>9701</v>
      </c>
      <c r="G56" t="s">
        <v>19181</v>
      </c>
      <c r="H56" t="s">
        <v>19231</v>
      </c>
      <c r="I56" t="s">
        <v>18776</v>
      </c>
      <c r="J56" t="s">
        <v>18775</v>
      </c>
      <c r="K56" t="str">
        <f>HYPERLINK("http://tuberculist.epfl.ch/quicksearch.php?gene+name=Rv0053&amp;submit=Search")</f>
        <v>http://tuberculist.epfl.ch/quicksearch.php?gene+name=Rv0053&amp;submit=Search</v>
      </c>
    </row>
    <row r="57" spans="1:11">
      <c r="A57" t="s">
        <v>7016</v>
      </c>
      <c r="B57" t="s">
        <v>2265</v>
      </c>
      <c r="C57" t="s">
        <v>9567</v>
      </c>
      <c r="D57" t="s">
        <v>9702</v>
      </c>
      <c r="E57" t="s">
        <v>9703</v>
      </c>
      <c r="F57" t="s">
        <v>9704</v>
      </c>
      <c r="G57" t="s">
        <v>19181</v>
      </c>
      <c r="H57" t="s">
        <v>19232</v>
      </c>
      <c r="I57" t="s">
        <v>18773</v>
      </c>
      <c r="J57" t="s">
        <v>18775</v>
      </c>
      <c r="K57" t="str">
        <f>HYPERLINK("http://tuberculist.epfl.ch/quicksearch.php?gene+name=Rv0054&amp;submit=Search")</f>
        <v>http://tuberculist.epfl.ch/quicksearch.php?gene+name=Rv0054&amp;submit=Search</v>
      </c>
    </row>
    <row r="58" spans="1:11">
      <c r="A58" t="s">
        <v>9705</v>
      </c>
      <c r="B58" t="s">
        <v>9706</v>
      </c>
      <c r="C58" t="s">
        <v>9567</v>
      </c>
      <c r="D58" t="s">
        <v>9707</v>
      </c>
      <c r="E58" t="s">
        <v>9708</v>
      </c>
      <c r="F58" t="s">
        <v>9709</v>
      </c>
      <c r="G58" t="s">
        <v>19181</v>
      </c>
      <c r="H58" t="s">
        <v>19233</v>
      </c>
      <c r="I58" t="s">
        <v>18773</v>
      </c>
      <c r="J58" t="s">
        <v>18775</v>
      </c>
      <c r="K58" t="str">
        <f>HYPERLINK("http://tuberculist.epfl.ch/quicksearch.php?gene+name=Rv0055&amp;submit=Search")</f>
        <v>http://tuberculist.epfl.ch/quicksearch.php?gene+name=Rv0055&amp;submit=Search</v>
      </c>
    </row>
    <row r="59" spans="1:11">
      <c r="A59" t="s">
        <v>6188</v>
      </c>
      <c r="B59" t="s">
        <v>1852</v>
      </c>
      <c r="C59" t="s">
        <v>9567</v>
      </c>
      <c r="D59" t="s">
        <v>9710</v>
      </c>
      <c r="E59" t="s">
        <v>9711</v>
      </c>
      <c r="F59" t="s">
        <v>9712</v>
      </c>
      <c r="G59" t="s">
        <v>19181</v>
      </c>
      <c r="H59" t="s">
        <v>19234</v>
      </c>
      <c r="I59" t="s">
        <v>18793</v>
      </c>
      <c r="K59" t="str">
        <f>HYPERLINK("http://tuberculist.epfl.ch/quicksearch.php?gene+name=Rv0056&amp;submit=Search")</f>
        <v>http://tuberculist.epfl.ch/quicksearch.php?gene+name=Rv0056&amp;submit=Search</v>
      </c>
    </row>
    <row r="60" spans="1:11">
      <c r="A60" t="s">
        <v>656</v>
      </c>
      <c r="B60" t="s">
        <v>656</v>
      </c>
      <c r="C60" t="s">
        <v>9567</v>
      </c>
      <c r="D60" t="s">
        <v>9587</v>
      </c>
      <c r="E60" t="s">
        <v>9713</v>
      </c>
      <c r="F60" t="s">
        <v>9714</v>
      </c>
      <c r="G60" t="s">
        <v>19185</v>
      </c>
      <c r="I60" t="s">
        <v>18793</v>
      </c>
      <c r="K60" t="str">
        <f>HYPERLINK("http://tuberculist.epfl.ch/quicksearch.php?gene+name=Rv0057&amp;submit=Search")</f>
        <v>http://tuberculist.epfl.ch/quicksearch.php?gene+name=Rv0057&amp;submit=Search</v>
      </c>
    </row>
    <row r="61" spans="1:11">
      <c r="A61" t="s">
        <v>6470</v>
      </c>
      <c r="B61" t="s">
        <v>1984</v>
      </c>
      <c r="C61" t="s">
        <v>9567</v>
      </c>
      <c r="D61" t="s">
        <v>9715</v>
      </c>
      <c r="E61" t="s">
        <v>9716</v>
      </c>
      <c r="F61" t="s">
        <v>9717</v>
      </c>
      <c r="G61" t="s">
        <v>19181</v>
      </c>
      <c r="H61" t="s">
        <v>19235</v>
      </c>
      <c r="I61" t="s">
        <v>18774</v>
      </c>
      <c r="J61" t="s">
        <v>18775</v>
      </c>
      <c r="K61" t="str">
        <f>HYPERLINK("http://tuberculist.epfl.ch/quicksearch.php?gene+name=Rv0058&amp;submit=Search")</f>
        <v>http://tuberculist.epfl.ch/quicksearch.php?gene+name=Rv0058&amp;submit=Search</v>
      </c>
    </row>
    <row r="62" spans="1:11">
      <c r="A62" t="s">
        <v>2305</v>
      </c>
      <c r="B62" t="s">
        <v>2305</v>
      </c>
      <c r="C62" t="s">
        <v>9567</v>
      </c>
      <c r="D62" t="s">
        <v>9587</v>
      </c>
      <c r="E62" t="s">
        <v>9713</v>
      </c>
      <c r="F62" t="s">
        <v>9718</v>
      </c>
      <c r="G62" t="s">
        <v>19185</v>
      </c>
      <c r="H62" t="s">
        <v>19213</v>
      </c>
      <c r="I62" t="s">
        <v>18780</v>
      </c>
      <c r="K62" t="str">
        <f>HYPERLINK("http://tuberculist.epfl.ch/quicksearch.php?gene+name=Rv0059&amp;submit=Search")</f>
        <v>http://tuberculist.epfl.ch/quicksearch.php?gene+name=Rv0059&amp;submit=Search</v>
      </c>
    </row>
    <row r="63" spans="1:11">
      <c r="A63" t="s">
        <v>3088</v>
      </c>
      <c r="B63" t="s">
        <v>3088</v>
      </c>
      <c r="C63" t="s">
        <v>9567</v>
      </c>
      <c r="D63" t="s">
        <v>9578</v>
      </c>
      <c r="E63" t="s">
        <v>9579</v>
      </c>
      <c r="F63" t="s">
        <v>9719</v>
      </c>
      <c r="G63" t="s">
        <v>19185</v>
      </c>
      <c r="H63" t="s">
        <v>19236</v>
      </c>
      <c r="I63" t="s">
        <v>18774</v>
      </c>
      <c r="K63" t="str">
        <f>HYPERLINK("http://tuberculist.epfl.ch/quicksearch.php?gene+name=Rv0060&amp;submit=Search")</f>
        <v>http://tuberculist.epfl.ch/quicksearch.php?gene+name=Rv0060&amp;submit=Search</v>
      </c>
    </row>
    <row r="64" spans="1:11">
      <c r="A64" t="s">
        <v>9720</v>
      </c>
      <c r="B64" t="s">
        <v>9720</v>
      </c>
      <c r="C64" t="s">
        <v>9567</v>
      </c>
      <c r="D64" t="s">
        <v>9587</v>
      </c>
      <c r="E64" t="s">
        <v>9713</v>
      </c>
      <c r="F64" t="s">
        <v>9721</v>
      </c>
      <c r="G64" t="s">
        <v>19212</v>
      </c>
      <c r="I64" t="s">
        <v>18773</v>
      </c>
      <c r="K64" t="str">
        <f>HYPERLINK("http://tuberculist.epfl.ch/quicksearch.php?gene+name=Rv0061c&amp;submit=Search")</f>
        <v>http://tuberculist.epfl.ch/quicksearch.php?gene+name=Rv0061c&amp;submit=Search</v>
      </c>
    </row>
    <row r="65" spans="1:11">
      <c r="A65" t="s">
        <v>8522</v>
      </c>
      <c r="B65" t="s">
        <v>3007</v>
      </c>
      <c r="C65" t="s">
        <v>9567</v>
      </c>
      <c r="D65" t="s">
        <v>9722</v>
      </c>
      <c r="E65" t="s">
        <v>9723</v>
      </c>
      <c r="F65" t="s">
        <v>9724</v>
      </c>
      <c r="G65" t="s">
        <v>19195</v>
      </c>
      <c r="H65" t="s">
        <v>19237</v>
      </c>
      <c r="I65" t="s">
        <v>18789</v>
      </c>
      <c r="K65" t="str">
        <f>HYPERLINK("http://tuberculist.epfl.ch/quicksearch.php?gene+name=Rv0062&amp;submit=Search")</f>
        <v>http://tuberculist.epfl.ch/quicksearch.php?gene+name=Rv0062&amp;submit=Search</v>
      </c>
    </row>
    <row r="66" spans="1:11">
      <c r="A66" t="s">
        <v>1180</v>
      </c>
      <c r="B66" t="s">
        <v>1180</v>
      </c>
      <c r="C66" t="s">
        <v>9567</v>
      </c>
      <c r="D66" t="s">
        <v>9682</v>
      </c>
      <c r="E66" t="s">
        <v>9683</v>
      </c>
      <c r="F66" t="s">
        <v>9725</v>
      </c>
      <c r="G66" t="s">
        <v>19195</v>
      </c>
      <c r="H66" t="s">
        <v>19238</v>
      </c>
      <c r="I66" t="s">
        <v>18789</v>
      </c>
      <c r="K66" t="str">
        <f>HYPERLINK("http://tuberculist.epfl.ch/quicksearch.php?gene+name=Rv0063&amp;submit=Search")</f>
        <v>http://tuberculist.epfl.ch/quicksearch.php?gene+name=Rv0063&amp;submit=Search</v>
      </c>
    </row>
    <row r="67" spans="1:11">
      <c r="A67" t="s">
        <v>99</v>
      </c>
      <c r="B67" t="s">
        <v>99</v>
      </c>
      <c r="C67" t="s">
        <v>9567</v>
      </c>
      <c r="D67" t="s">
        <v>9587</v>
      </c>
      <c r="E67" t="s">
        <v>9597</v>
      </c>
      <c r="F67" t="s">
        <v>9726</v>
      </c>
      <c r="G67" t="s">
        <v>19188</v>
      </c>
      <c r="H67" t="s">
        <v>19239</v>
      </c>
      <c r="I67" t="s">
        <v>18794</v>
      </c>
      <c r="K67" t="str">
        <f>HYPERLINK("http://tuberculist.epfl.ch/quicksearch.php?gene+name=Rv0064&amp;submit=Search")</f>
        <v>http://tuberculist.epfl.ch/quicksearch.php?gene+name=Rv0064&amp;submit=Search</v>
      </c>
    </row>
    <row r="68" spans="1:11">
      <c r="A68" t="s">
        <v>9727</v>
      </c>
      <c r="B68" t="s">
        <v>9728</v>
      </c>
      <c r="C68" t="s">
        <v>9567</v>
      </c>
      <c r="D68" t="s">
        <v>9587</v>
      </c>
      <c r="E68" t="s">
        <v>9729</v>
      </c>
      <c r="F68" t="s">
        <v>9730</v>
      </c>
      <c r="G68" t="s">
        <v>19206</v>
      </c>
      <c r="I68" t="s">
        <v>18773</v>
      </c>
      <c r="K68" t="str">
        <f>HYPERLINK("http://tuberculist.epfl.ch/quicksearch.php?gene+name=Rv0064A&amp;submit=Search")</f>
        <v>http://tuberculist.epfl.ch/quicksearch.php?gene+name=Rv0064A&amp;submit=Search</v>
      </c>
    </row>
    <row r="69" spans="1:11">
      <c r="A69" t="s">
        <v>9731</v>
      </c>
      <c r="B69" t="s">
        <v>3253</v>
      </c>
      <c r="C69" t="s">
        <v>9567</v>
      </c>
      <c r="D69" t="s">
        <v>9587</v>
      </c>
      <c r="E69" t="s">
        <v>9732</v>
      </c>
      <c r="F69" t="s">
        <v>9733</v>
      </c>
      <c r="G69" t="s">
        <v>19206</v>
      </c>
      <c r="I69" t="s">
        <v>18789</v>
      </c>
      <c r="K69" t="str">
        <f>HYPERLINK("http://tuberculist.epfl.ch/quicksearch.php?gene+name=Rv0065&amp;submit=Search")</f>
        <v>http://tuberculist.epfl.ch/quicksearch.php?gene+name=Rv0065&amp;submit=Search</v>
      </c>
    </row>
    <row r="70" spans="1:11">
      <c r="A70" t="s">
        <v>4233</v>
      </c>
      <c r="B70" t="s">
        <v>877</v>
      </c>
      <c r="C70" t="s">
        <v>9567</v>
      </c>
      <c r="D70" t="s">
        <v>9734</v>
      </c>
      <c r="E70" t="s">
        <v>9735</v>
      </c>
      <c r="F70" t="s">
        <v>9736</v>
      </c>
      <c r="G70" t="s">
        <v>19195</v>
      </c>
      <c r="H70" t="s">
        <v>19240</v>
      </c>
      <c r="I70" t="s">
        <v>18795</v>
      </c>
      <c r="K70" t="str">
        <f>HYPERLINK("http://tuberculist.epfl.ch/quicksearch.php?gene+name=Rv0066c&amp;submit=Search")</f>
        <v>http://tuberculist.epfl.ch/quicksearch.php?gene+name=Rv0066c&amp;submit=Search</v>
      </c>
    </row>
    <row r="71" spans="1:11">
      <c r="A71" t="s">
        <v>3219</v>
      </c>
      <c r="B71" t="s">
        <v>3219</v>
      </c>
      <c r="C71" t="s">
        <v>9567</v>
      </c>
      <c r="D71" t="s">
        <v>9632</v>
      </c>
      <c r="E71" t="s">
        <v>9737</v>
      </c>
      <c r="F71" t="s">
        <v>9738</v>
      </c>
      <c r="G71" t="s">
        <v>19197</v>
      </c>
      <c r="I71" t="s">
        <v>18773</v>
      </c>
      <c r="K71" t="str">
        <f>HYPERLINK("http://tuberculist.epfl.ch/quicksearch.php?gene+name=Rv0067c&amp;submit=Search")</f>
        <v>http://tuberculist.epfl.ch/quicksearch.php?gene+name=Rv0067c&amp;submit=Search</v>
      </c>
    </row>
    <row r="72" spans="1:11">
      <c r="A72" t="s">
        <v>1443</v>
      </c>
      <c r="B72" t="s">
        <v>1443</v>
      </c>
      <c r="C72" t="s">
        <v>9567</v>
      </c>
      <c r="D72" t="s">
        <v>9682</v>
      </c>
      <c r="E72" t="s">
        <v>9739</v>
      </c>
      <c r="F72" t="s">
        <v>9740</v>
      </c>
      <c r="G72" t="s">
        <v>19195</v>
      </c>
      <c r="H72" t="s">
        <v>19241</v>
      </c>
      <c r="I72" t="s">
        <v>18780</v>
      </c>
      <c r="K72" t="str">
        <f>HYPERLINK("http://tuberculist.epfl.ch/quicksearch.php?gene+name=Rv0068&amp;submit=Search")</f>
        <v>http://tuberculist.epfl.ch/quicksearch.php?gene+name=Rv0068&amp;submit=Search</v>
      </c>
    </row>
    <row r="73" spans="1:11">
      <c r="A73" t="s">
        <v>9156</v>
      </c>
      <c r="B73" t="s">
        <v>3305</v>
      </c>
      <c r="C73" t="s">
        <v>9567</v>
      </c>
      <c r="D73" t="s">
        <v>9741</v>
      </c>
      <c r="E73" t="s">
        <v>9742</v>
      </c>
      <c r="F73" t="s">
        <v>9743</v>
      </c>
      <c r="G73" t="s">
        <v>19195</v>
      </c>
      <c r="H73" t="s">
        <v>19242</v>
      </c>
      <c r="I73" t="s">
        <v>18780</v>
      </c>
      <c r="K73" t="str">
        <f>HYPERLINK("http://tuberculist.epfl.ch/quicksearch.php?gene+name=Rv0069c&amp;submit=Search")</f>
        <v>http://tuberculist.epfl.ch/quicksearch.php?gene+name=Rv0069c&amp;submit=Search</v>
      </c>
    </row>
    <row r="74" spans="1:11">
      <c r="A74" t="s">
        <v>9744</v>
      </c>
      <c r="B74" t="s">
        <v>1978</v>
      </c>
      <c r="C74" t="s">
        <v>9567</v>
      </c>
      <c r="D74" t="s">
        <v>9745</v>
      </c>
      <c r="E74" t="s">
        <v>9746</v>
      </c>
      <c r="F74" t="s">
        <v>9747</v>
      </c>
      <c r="G74" t="s">
        <v>19195</v>
      </c>
      <c r="H74" t="s">
        <v>19243</v>
      </c>
      <c r="I74" t="s">
        <v>18780</v>
      </c>
      <c r="K74" t="str">
        <f>HYPERLINK("http://tuberculist.epfl.ch/quicksearch.php?gene+name=Rv0070c&amp;submit=Search")</f>
        <v>http://tuberculist.epfl.ch/quicksearch.php?gene+name=Rv0070c&amp;submit=Search</v>
      </c>
    </row>
    <row r="75" spans="1:11">
      <c r="A75" t="s">
        <v>1363</v>
      </c>
      <c r="B75" t="s">
        <v>1363</v>
      </c>
      <c r="C75" t="s">
        <v>9567</v>
      </c>
      <c r="D75" t="s">
        <v>9587</v>
      </c>
      <c r="E75" t="s">
        <v>9748</v>
      </c>
      <c r="F75" t="s">
        <v>9749</v>
      </c>
      <c r="G75" t="s">
        <v>19181</v>
      </c>
      <c r="I75" t="s">
        <v>18796</v>
      </c>
      <c r="K75" t="str">
        <f>HYPERLINK("http://tuberculist.epfl.ch/quicksearch.php?gene+name=Rv0071&amp;submit=Search")</f>
        <v>http://tuberculist.epfl.ch/quicksearch.php?gene+name=Rv0071&amp;submit=Search</v>
      </c>
    </row>
    <row r="76" spans="1:11">
      <c r="A76" t="s">
        <v>1684</v>
      </c>
      <c r="B76" t="s">
        <v>1684</v>
      </c>
      <c r="C76" t="s">
        <v>9567</v>
      </c>
      <c r="D76" t="s">
        <v>9750</v>
      </c>
      <c r="E76" t="s">
        <v>9751</v>
      </c>
      <c r="F76" t="s">
        <v>9752</v>
      </c>
      <c r="G76" t="s">
        <v>19188</v>
      </c>
      <c r="H76" t="s">
        <v>19244</v>
      </c>
      <c r="I76" t="s">
        <v>18797</v>
      </c>
      <c r="K76" t="str">
        <f>HYPERLINK("http://tuberculist.epfl.ch/quicksearch.php?gene+name=Rv0072&amp;submit=Search")</f>
        <v>http://tuberculist.epfl.ch/quicksearch.php?gene+name=Rv0072&amp;submit=Search</v>
      </c>
    </row>
    <row r="77" spans="1:11">
      <c r="A77" t="s">
        <v>1337</v>
      </c>
      <c r="B77" t="s">
        <v>1337</v>
      </c>
      <c r="C77" t="s">
        <v>9567</v>
      </c>
      <c r="D77" t="s">
        <v>9750</v>
      </c>
      <c r="E77" t="s">
        <v>9753</v>
      </c>
      <c r="F77" t="s">
        <v>9754</v>
      </c>
      <c r="G77" t="s">
        <v>19188</v>
      </c>
      <c r="H77" t="s">
        <v>19233</v>
      </c>
      <c r="I77" t="s">
        <v>18797</v>
      </c>
      <c r="K77" t="str">
        <f>HYPERLINK("http://tuberculist.epfl.ch/quicksearch.php?gene+name=Rv0073&amp;submit=Search")</f>
        <v>http://tuberculist.epfl.ch/quicksearch.php?gene+name=Rv0073&amp;submit=Search</v>
      </c>
    </row>
    <row r="78" spans="1:11">
      <c r="A78" t="s">
        <v>819</v>
      </c>
      <c r="B78" t="s">
        <v>819</v>
      </c>
      <c r="C78" t="s">
        <v>9567</v>
      </c>
      <c r="D78" t="s">
        <v>9578</v>
      </c>
      <c r="E78" t="s">
        <v>9665</v>
      </c>
      <c r="F78" t="s">
        <v>9755</v>
      </c>
      <c r="G78" t="s">
        <v>19204</v>
      </c>
      <c r="H78" t="s">
        <v>19243</v>
      </c>
      <c r="I78" t="s">
        <v>18798</v>
      </c>
      <c r="K78" t="str">
        <f>HYPERLINK("http://tuberculist.epfl.ch/quicksearch.php?gene+name=Rv0074&amp;submit=Search")</f>
        <v>http://tuberculist.epfl.ch/quicksearch.php?gene+name=Rv0074&amp;submit=Search</v>
      </c>
    </row>
    <row r="79" spans="1:11">
      <c r="A79" t="s">
        <v>3176</v>
      </c>
      <c r="B79" t="s">
        <v>3176</v>
      </c>
      <c r="C79" t="s">
        <v>9567</v>
      </c>
      <c r="D79" t="s">
        <v>9682</v>
      </c>
      <c r="E79" t="s">
        <v>9756</v>
      </c>
      <c r="F79" t="s">
        <v>9757</v>
      </c>
      <c r="G79" t="s">
        <v>19195</v>
      </c>
      <c r="H79" t="s">
        <v>19245</v>
      </c>
      <c r="I79" t="s">
        <v>18780</v>
      </c>
      <c r="K79" t="str">
        <f>HYPERLINK("http://tuberculist.epfl.ch/quicksearch.php?gene+name=Rv0075&amp;submit=Search")</f>
        <v>http://tuberculist.epfl.ch/quicksearch.php?gene+name=Rv0075&amp;submit=Search</v>
      </c>
    </row>
    <row r="80" spans="1:11">
      <c r="A80" t="s">
        <v>3192</v>
      </c>
      <c r="B80" t="s">
        <v>3192</v>
      </c>
      <c r="C80" t="s">
        <v>9567</v>
      </c>
      <c r="D80" t="s">
        <v>9587</v>
      </c>
      <c r="E80" t="s">
        <v>9758</v>
      </c>
      <c r="F80" t="s">
        <v>9759</v>
      </c>
      <c r="G80" t="s">
        <v>19188</v>
      </c>
      <c r="I80" t="s">
        <v>18780</v>
      </c>
      <c r="K80" t="str">
        <f>HYPERLINK("http://tuberculist.epfl.ch/quicksearch.php?gene+name=Rv0076c&amp;submit=Search")</f>
        <v>http://tuberculist.epfl.ch/quicksearch.php?gene+name=Rv0076c&amp;submit=Search</v>
      </c>
    </row>
    <row r="81" spans="1:11">
      <c r="A81" t="s">
        <v>9760</v>
      </c>
      <c r="B81" t="s">
        <v>9760</v>
      </c>
      <c r="C81" t="s">
        <v>9567</v>
      </c>
      <c r="D81" t="s">
        <v>9682</v>
      </c>
      <c r="E81" t="s">
        <v>9739</v>
      </c>
      <c r="F81" t="s">
        <v>9761</v>
      </c>
      <c r="G81" t="s">
        <v>19195</v>
      </c>
      <c r="H81" t="s">
        <v>19233</v>
      </c>
      <c r="I81" t="s">
        <v>18780</v>
      </c>
      <c r="K81" t="str">
        <f>HYPERLINK("http://tuberculist.epfl.ch/quicksearch.php?gene+name=Rv0077c&amp;submit=Search")</f>
        <v>http://tuberculist.epfl.ch/quicksearch.php?gene+name=Rv0077c&amp;submit=Search</v>
      </c>
    </row>
    <row r="82" spans="1:11">
      <c r="A82" t="s">
        <v>9762</v>
      </c>
      <c r="B82" t="s">
        <v>9762</v>
      </c>
      <c r="C82" t="s">
        <v>9567</v>
      </c>
      <c r="D82" t="s">
        <v>9632</v>
      </c>
      <c r="E82" t="s">
        <v>9763</v>
      </c>
      <c r="F82" t="s">
        <v>9764</v>
      </c>
      <c r="G82" t="s">
        <v>19197</v>
      </c>
      <c r="H82" t="s">
        <v>19246</v>
      </c>
      <c r="I82" t="s">
        <v>18773</v>
      </c>
      <c r="K82" t="str">
        <f>HYPERLINK("http://tuberculist.epfl.ch/quicksearch.php?gene+name=Rv0078&amp;submit=Search")</f>
        <v>http://tuberculist.epfl.ch/quicksearch.php?gene+name=Rv0078&amp;submit=Search</v>
      </c>
    </row>
    <row r="83" spans="1:11">
      <c r="A83" t="s">
        <v>2788</v>
      </c>
      <c r="B83" t="s">
        <v>2788</v>
      </c>
      <c r="C83" t="s">
        <v>9567</v>
      </c>
      <c r="D83" t="s">
        <v>9587</v>
      </c>
      <c r="E83" t="s">
        <v>9713</v>
      </c>
      <c r="F83" t="s">
        <v>9765</v>
      </c>
      <c r="G83" t="s">
        <v>19212</v>
      </c>
      <c r="H83" t="s">
        <v>19247</v>
      </c>
      <c r="I83" t="s">
        <v>18793</v>
      </c>
      <c r="K83" t="str">
        <f>HYPERLINK("http://tuberculist.epfl.ch/quicksearch.php?gene+name=Rv0078A&amp;submit=Search")</f>
        <v>http://tuberculist.epfl.ch/quicksearch.php?gene+name=Rv0078A&amp;submit=Search</v>
      </c>
    </row>
    <row r="84" spans="1:11">
      <c r="A84" t="s">
        <v>9766</v>
      </c>
      <c r="B84" t="s">
        <v>9766</v>
      </c>
      <c r="C84" t="s">
        <v>9567</v>
      </c>
      <c r="D84" t="s">
        <v>9587</v>
      </c>
      <c r="E84" t="s">
        <v>9665</v>
      </c>
      <c r="F84" t="s">
        <v>9767</v>
      </c>
      <c r="G84" t="s">
        <v>19212</v>
      </c>
      <c r="H84" t="s">
        <v>19248</v>
      </c>
      <c r="I84" t="s">
        <v>18773</v>
      </c>
      <c r="K84" t="str">
        <f>HYPERLINK("http://tuberculist.epfl.ch/quicksearch.php?gene+name=Rv0078B&amp;submit=Search")</f>
        <v>http://tuberculist.epfl.ch/quicksearch.php?gene+name=Rv0078B&amp;submit=Search</v>
      </c>
    </row>
    <row r="85" spans="1:11">
      <c r="A85" t="s">
        <v>107</v>
      </c>
      <c r="B85" t="s">
        <v>107</v>
      </c>
      <c r="C85" t="s">
        <v>9567</v>
      </c>
      <c r="D85" t="s">
        <v>9587</v>
      </c>
      <c r="E85" t="s">
        <v>9768</v>
      </c>
      <c r="F85" t="s">
        <v>9769</v>
      </c>
      <c r="G85" t="s">
        <v>19204</v>
      </c>
      <c r="H85" t="s">
        <v>19249</v>
      </c>
      <c r="I85" t="s">
        <v>18780</v>
      </c>
      <c r="J85" t="s">
        <v>18799</v>
      </c>
      <c r="K85" t="str">
        <f>HYPERLINK("http://tuberculist.epfl.ch/quicksearch.php?gene+name=Rv0079&amp;submit=Search")</f>
        <v>http://tuberculist.epfl.ch/quicksearch.php?gene+name=Rv0079&amp;submit=Search</v>
      </c>
    </row>
    <row r="86" spans="1:11">
      <c r="A86" t="s">
        <v>110</v>
      </c>
      <c r="B86" t="s">
        <v>110</v>
      </c>
      <c r="C86" t="s">
        <v>9567</v>
      </c>
      <c r="D86" t="s">
        <v>9578</v>
      </c>
      <c r="E86" t="s">
        <v>9579</v>
      </c>
      <c r="F86" t="s">
        <v>9770</v>
      </c>
      <c r="G86" t="s">
        <v>19212</v>
      </c>
      <c r="I86" t="s">
        <v>18780</v>
      </c>
      <c r="J86" t="s">
        <v>18799</v>
      </c>
      <c r="K86" t="str">
        <f>HYPERLINK("http://tuberculist.epfl.ch/quicksearch.php?gene+name=Rv0080&amp;submit=Search")</f>
        <v>http://tuberculist.epfl.ch/quicksearch.php?gene+name=Rv0080&amp;submit=Search</v>
      </c>
    </row>
    <row r="87" spans="1:11">
      <c r="A87" t="s">
        <v>115</v>
      </c>
      <c r="B87" t="s">
        <v>115</v>
      </c>
      <c r="C87" t="s">
        <v>9567</v>
      </c>
      <c r="D87" t="s">
        <v>9629</v>
      </c>
      <c r="E87" t="s">
        <v>9763</v>
      </c>
      <c r="F87" t="s">
        <v>9771</v>
      </c>
      <c r="G87" t="s">
        <v>19197</v>
      </c>
      <c r="H87" t="s">
        <v>19250</v>
      </c>
      <c r="I87" t="s">
        <v>18789</v>
      </c>
      <c r="J87" t="s">
        <v>18799</v>
      </c>
      <c r="K87" t="str">
        <f>HYPERLINK("http://tuberculist.epfl.ch/quicksearch.php?gene+name=Rv0081&amp;submit=Search")</f>
        <v>http://tuberculist.epfl.ch/quicksearch.php?gene+name=Rv0081&amp;submit=Search</v>
      </c>
    </row>
    <row r="88" spans="1:11">
      <c r="A88" t="s">
        <v>121</v>
      </c>
      <c r="B88" t="s">
        <v>121</v>
      </c>
      <c r="C88" t="s">
        <v>9567</v>
      </c>
      <c r="D88" t="s">
        <v>9682</v>
      </c>
      <c r="E88" t="s">
        <v>9739</v>
      </c>
      <c r="F88" t="s">
        <v>9772</v>
      </c>
      <c r="G88" t="s">
        <v>19195</v>
      </c>
      <c r="H88" t="s">
        <v>19192</v>
      </c>
      <c r="I88" t="s">
        <v>18783</v>
      </c>
      <c r="K88" t="str">
        <f>HYPERLINK("http://tuberculist.epfl.ch/quicksearch.php?gene+name=Rv0082&amp;submit=Search")</f>
        <v>http://tuberculist.epfl.ch/quicksearch.php?gene+name=Rv0082&amp;submit=Search</v>
      </c>
    </row>
    <row r="89" spans="1:11">
      <c r="A89" t="s">
        <v>2526</v>
      </c>
      <c r="B89" t="s">
        <v>2526</v>
      </c>
      <c r="C89" t="s">
        <v>9567</v>
      </c>
      <c r="D89" t="s">
        <v>9682</v>
      </c>
      <c r="E89" t="s">
        <v>9739</v>
      </c>
      <c r="F89" t="s">
        <v>9773</v>
      </c>
      <c r="G89" t="s">
        <v>19195</v>
      </c>
      <c r="I89" t="s">
        <v>18780</v>
      </c>
      <c r="K89" t="str">
        <f>HYPERLINK("http://tuberculist.epfl.ch/quicksearch.php?gene+name=Rv0083&amp;submit=Search")</f>
        <v>http://tuberculist.epfl.ch/quicksearch.php?gene+name=Rv0083&amp;submit=Search</v>
      </c>
    </row>
    <row r="90" spans="1:11">
      <c r="A90" t="s">
        <v>8953</v>
      </c>
      <c r="B90" t="s">
        <v>3204</v>
      </c>
      <c r="C90" t="s">
        <v>9567</v>
      </c>
      <c r="D90" t="s">
        <v>9774</v>
      </c>
      <c r="E90" t="s">
        <v>9775</v>
      </c>
      <c r="F90" t="s">
        <v>9776</v>
      </c>
      <c r="G90" t="s">
        <v>19195</v>
      </c>
      <c r="I90" t="s">
        <v>18780</v>
      </c>
      <c r="K90" t="str">
        <f>HYPERLINK("http://tuberculist.epfl.ch/quicksearch.php?gene+name=Rv0084&amp;submit=Search")</f>
        <v>http://tuberculist.epfl.ch/quicksearch.php?gene+name=Rv0084&amp;submit=Search</v>
      </c>
    </row>
    <row r="91" spans="1:11">
      <c r="A91" t="s">
        <v>6871</v>
      </c>
      <c r="B91" t="s">
        <v>2198</v>
      </c>
      <c r="C91" t="s">
        <v>9567</v>
      </c>
      <c r="D91" t="s">
        <v>9777</v>
      </c>
      <c r="E91" t="s">
        <v>9778</v>
      </c>
      <c r="F91" t="s">
        <v>9779</v>
      </c>
      <c r="G91" t="s">
        <v>19195</v>
      </c>
      <c r="I91" t="s">
        <v>18800</v>
      </c>
      <c r="K91" t="str">
        <f>HYPERLINK("http://tuberculist.epfl.ch/quicksearch.php?gene+name=Rv0085&amp;submit=Search")</f>
        <v>http://tuberculist.epfl.ch/quicksearch.php?gene+name=Rv0085&amp;submit=Search</v>
      </c>
    </row>
    <row r="92" spans="1:11">
      <c r="A92" t="s">
        <v>8123</v>
      </c>
      <c r="B92" t="s">
        <v>2815</v>
      </c>
      <c r="C92" t="s">
        <v>9567</v>
      </c>
      <c r="D92" t="s">
        <v>9780</v>
      </c>
      <c r="E92" t="s">
        <v>9781</v>
      </c>
      <c r="F92" t="s">
        <v>9782</v>
      </c>
      <c r="G92" t="s">
        <v>19195</v>
      </c>
      <c r="I92" t="s">
        <v>18801</v>
      </c>
      <c r="K92" t="str">
        <f>HYPERLINK("http://tuberculist.epfl.ch/quicksearch.php?gene+name=Rv0086&amp;submit=Search")</f>
        <v>http://tuberculist.epfl.ch/quicksearch.php?gene+name=Rv0086&amp;submit=Search</v>
      </c>
    </row>
    <row r="93" spans="1:11">
      <c r="A93" t="s">
        <v>7547</v>
      </c>
      <c r="B93" t="s">
        <v>2527</v>
      </c>
      <c r="C93" t="s">
        <v>9567</v>
      </c>
      <c r="D93" t="s">
        <v>9774</v>
      </c>
      <c r="E93" t="s">
        <v>9783</v>
      </c>
      <c r="F93" t="s">
        <v>9784</v>
      </c>
      <c r="G93" t="s">
        <v>19195</v>
      </c>
      <c r="H93" t="s">
        <v>19207</v>
      </c>
      <c r="I93" t="s">
        <v>18802</v>
      </c>
      <c r="K93" t="str">
        <f>HYPERLINK("http://tuberculist.epfl.ch/quicksearch.php?gene+name=Rv0087&amp;submit=Search")</f>
        <v>http://tuberculist.epfl.ch/quicksearch.php?gene+name=Rv0087&amp;submit=Search</v>
      </c>
    </row>
    <row r="94" spans="1:11">
      <c r="A94" t="s">
        <v>1293</v>
      </c>
      <c r="B94" t="s">
        <v>1293</v>
      </c>
      <c r="C94" t="s">
        <v>9567</v>
      </c>
      <c r="D94" t="s">
        <v>9587</v>
      </c>
      <c r="E94" t="s">
        <v>9785</v>
      </c>
      <c r="F94" t="s">
        <v>9786</v>
      </c>
      <c r="G94" t="s">
        <v>19219</v>
      </c>
      <c r="H94" t="s">
        <v>19251</v>
      </c>
      <c r="I94" t="s">
        <v>18803</v>
      </c>
      <c r="K94" t="str">
        <f>HYPERLINK("http://tuberculist.epfl.ch/quicksearch.php?gene+name=Rv0088&amp;submit=Search")</f>
        <v>http://tuberculist.epfl.ch/quicksearch.php?gene+name=Rv0088&amp;submit=Search</v>
      </c>
    </row>
    <row r="95" spans="1:11">
      <c r="A95" t="s">
        <v>2036</v>
      </c>
      <c r="B95" t="s">
        <v>2036</v>
      </c>
      <c r="C95" t="s">
        <v>9567</v>
      </c>
      <c r="D95" t="s">
        <v>9787</v>
      </c>
      <c r="E95" t="s">
        <v>9788</v>
      </c>
      <c r="F95" t="s">
        <v>9789</v>
      </c>
      <c r="G95" t="s">
        <v>19195</v>
      </c>
      <c r="H95" t="s">
        <v>19205</v>
      </c>
      <c r="I95" t="s">
        <v>18804</v>
      </c>
      <c r="K95" t="str">
        <f>HYPERLINK("http://tuberculist.epfl.ch/quicksearch.php?gene+name=Rv0089&amp;submit=Search")</f>
        <v>http://tuberculist.epfl.ch/quicksearch.php?gene+name=Rv0089&amp;submit=Search</v>
      </c>
    </row>
    <row r="96" spans="1:11">
      <c r="A96" t="s">
        <v>9790</v>
      </c>
      <c r="B96" t="s">
        <v>9790</v>
      </c>
      <c r="C96" t="s">
        <v>9567</v>
      </c>
      <c r="D96" t="s">
        <v>9587</v>
      </c>
      <c r="E96" t="s">
        <v>9590</v>
      </c>
      <c r="F96" t="s">
        <v>9791</v>
      </c>
      <c r="G96" t="s">
        <v>19188</v>
      </c>
      <c r="I96" t="s">
        <v>18797</v>
      </c>
      <c r="K96" t="str">
        <f>HYPERLINK("http://tuberculist.epfl.ch/quicksearch.php?gene+name=Rv0090&amp;submit=Search")</f>
        <v>http://tuberculist.epfl.ch/quicksearch.php?gene+name=Rv0090&amp;submit=Search</v>
      </c>
    </row>
    <row r="97" spans="1:11">
      <c r="A97" t="s">
        <v>8186</v>
      </c>
      <c r="B97" t="s">
        <v>2849</v>
      </c>
      <c r="C97" t="s">
        <v>9567</v>
      </c>
      <c r="D97" t="s">
        <v>9792</v>
      </c>
      <c r="E97" t="s">
        <v>9793</v>
      </c>
      <c r="F97" t="s">
        <v>9794</v>
      </c>
      <c r="G97" t="s">
        <v>19195</v>
      </c>
      <c r="H97" t="s">
        <v>19213</v>
      </c>
      <c r="I97" t="s">
        <v>18780</v>
      </c>
      <c r="K97" t="str">
        <f>HYPERLINK("http://tuberculist.epfl.ch/quicksearch.php?gene+name=Rv0091&amp;submit=Search")</f>
        <v>http://tuberculist.epfl.ch/quicksearch.php?gene+name=Rv0091&amp;submit=Search</v>
      </c>
    </row>
    <row r="98" spans="1:11">
      <c r="A98" t="s">
        <v>8803</v>
      </c>
      <c r="B98" t="s">
        <v>3139</v>
      </c>
      <c r="C98" t="s">
        <v>9567</v>
      </c>
      <c r="D98" t="s">
        <v>9795</v>
      </c>
      <c r="E98" t="s">
        <v>9796</v>
      </c>
      <c r="F98" t="s">
        <v>9797</v>
      </c>
      <c r="G98" t="s">
        <v>19188</v>
      </c>
      <c r="H98" t="s">
        <v>19214</v>
      </c>
      <c r="I98" t="s">
        <v>18786</v>
      </c>
      <c r="K98" t="str">
        <f>HYPERLINK("http://tuberculist.epfl.ch/quicksearch.php?gene+name=Rv0092&amp;submit=Search")</f>
        <v>http://tuberculist.epfl.ch/quicksearch.php?gene+name=Rv0092&amp;submit=Search</v>
      </c>
    </row>
    <row r="99" spans="1:11">
      <c r="A99" t="s">
        <v>820</v>
      </c>
      <c r="B99" t="s">
        <v>820</v>
      </c>
      <c r="C99" t="s">
        <v>9567</v>
      </c>
      <c r="D99" t="s">
        <v>9587</v>
      </c>
      <c r="E99" t="s">
        <v>9595</v>
      </c>
      <c r="F99" t="s">
        <v>9798</v>
      </c>
      <c r="G99" t="s">
        <v>19188</v>
      </c>
      <c r="H99" t="s">
        <v>19252</v>
      </c>
      <c r="I99" t="s">
        <v>18793</v>
      </c>
      <c r="K99" t="str">
        <f>HYPERLINK("http://tuberculist.epfl.ch/quicksearch.php?gene+name=Rv0093c&amp;submit=Search")</f>
        <v>http://tuberculist.epfl.ch/quicksearch.php?gene+name=Rv0093c&amp;submit=Search</v>
      </c>
    </row>
    <row r="100" spans="1:11">
      <c r="A100" t="s">
        <v>9799</v>
      </c>
      <c r="B100" t="s">
        <v>9799</v>
      </c>
      <c r="C100" t="s">
        <v>9567</v>
      </c>
      <c r="D100" t="s">
        <v>9578</v>
      </c>
      <c r="E100" t="s">
        <v>9579</v>
      </c>
      <c r="F100" t="s">
        <v>9800</v>
      </c>
      <c r="G100" t="s">
        <v>19217</v>
      </c>
      <c r="I100" t="s">
        <v>18805</v>
      </c>
      <c r="K100" t="str">
        <f>HYPERLINK("http://tuberculist.epfl.ch/quicksearch.php?gene+name=Rv0094c&amp;submit=Search")</f>
        <v>http://tuberculist.epfl.ch/quicksearch.php?gene+name=Rv0094c&amp;submit=Search</v>
      </c>
    </row>
    <row r="101" spans="1:11">
      <c r="A101" t="s">
        <v>9801</v>
      </c>
      <c r="B101" t="s">
        <v>9801</v>
      </c>
      <c r="C101" t="s">
        <v>9567</v>
      </c>
      <c r="D101" t="s">
        <v>9578</v>
      </c>
      <c r="E101" t="s">
        <v>9579</v>
      </c>
      <c r="F101" t="s">
        <v>9802</v>
      </c>
      <c r="G101" t="s">
        <v>19217</v>
      </c>
      <c r="I101" t="s">
        <v>18779</v>
      </c>
      <c r="J101" t="s">
        <v>18806</v>
      </c>
      <c r="K101" t="str">
        <f>HYPERLINK("http://tuberculist.epfl.ch/quicksearch.php?gene+name=Rv0095c&amp;submit=Search")</f>
        <v>http://tuberculist.epfl.ch/quicksearch.php?gene+name=Rv0095c&amp;submit=Search</v>
      </c>
    </row>
    <row r="102" spans="1:11">
      <c r="A102" t="s">
        <v>9803</v>
      </c>
      <c r="B102" t="s">
        <v>9804</v>
      </c>
      <c r="C102" t="s">
        <v>9567</v>
      </c>
      <c r="D102" t="s">
        <v>9578</v>
      </c>
      <c r="E102" t="s">
        <v>9805</v>
      </c>
      <c r="F102" t="s">
        <v>9806</v>
      </c>
      <c r="G102" t="s">
        <v>19253</v>
      </c>
      <c r="H102" t="s">
        <v>19254</v>
      </c>
      <c r="I102" t="s">
        <v>18807</v>
      </c>
      <c r="J102" t="s">
        <v>18808</v>
      </c>
      <c r="K102" t="str">
        <f>HYPERLINK("http://tuberculist.epfl.ch/quicksearch.php?gene+name=Rv0096&amp;submit=Search")</f>
        <v>http://tuberculist.epfl.ch/quicksearch.php?gene+name=Rv0096&amp;submit=Search</v>
      </c>
    </row>
    <row r="103" spans="1:11">
      <c r="A103" t="s">
        <v>2317</v>
      </c>
      <c r="B103" t="s">
        <v>2317</v>
      </c>
      <c r="C103" t="s">
        <v>9567</v>
      </c>
      <c r="D103" t="s">
        <v>9682</v>
      </c>
      <c r="E103" t="s">
        <v>9683</v>
      </c>
      <c r="F103" t="s">
        <v>9807</v>
      </c>
      <c r="G103" t="s">
        <v>19195</v>
      </c>
      <c r="H103" t="s">
        <v>19255</v>
      </c>
      <c r="I103" t="s">
        <v>18789</v>
      </c>
      <c r="J103" t="s">
        <v>18809</v>
      </c>
      <c r="K103" t="str">
        <f>HYPERLINK("http://tuberculist.epfl.ch/quicksearch.php?gene+name=Rv0097&amp;submit=Search")</f>
        <v>http://tuberculist.epfl.ch/quicksearch.php?gene+name=Rv0097&amp;submit=Search</v>
      </c>
    </row>
    <row r="104" spans="1:11">
      <c r="A104" t="s">
        <v>9808</v>
      </c>
      <c r="B104" t="s">
        <v>1270</v>
      </c>
      <c r="C104" t="s">
        <v>9567</v>
      </c>
      <c r="D104" t="s">
        <v>9809</v>
      </c>
      <c r="E104" t="s">
        <v>9810</v>
      </c>
      <c r="F104" t="s">
        <v>9811</v>
      </c>
      <c r="G104" t="s">
        <v>19219</v>
      </c>
      <c r="H104" t="s">
        <v>19256</v>
      </c>
      <c r="I104" t="s">
        <v>18810</v>
      </c>
      <c r="J104" t="s">
        <v>18809</v>
      </c>
      <c r="K104" t="str">
        <f>HYPERLINK("http://tuberculist.epfl.ch/quicksearch.php?gene+name=Rv0098&amp;submit=Search")</f>
        <v>http://tuberculist.epfl.ch/quicksearch.php?gene+name=Rv0098&amp;submit=Search</v>
      </c>
    </row>
    <row r="105" spans="1:11">
      <c r="A105" t="s">
        <v>413</v>
      </c>
      <c r="B105" t="s">
        <v>412</v>
      </c>
      <c r="C105" t="s">
        <v>9567</v>
      </c>
      <c r="D105" t="s">
        <v>9812</v>
      </c>
      <c r="E105" t="s">
        <v>9813</v>
      </c>
      <c r="F105" t="s">
        <v>9814</v>
      </c>
      <c r="G105" t="s">
        <v>19219</v>
      </c>
      <c r="H105" t="s">
        <v>19257</v>
      </c>
      <c r="I105" t="s">
        <v>18811</v>
      </c>
      <c r="K105" t="str">
        <f>HYPERLINK("http://tuberculist.epfl.ch/quicksearch.php?gene+name=Rv0099&amp;submit=Search")</f>
        <v>http://tuberculist.epfl.ch/quicksearch.php?gene+name=Rv0099&amp;submit=Search</v>
      </c>
    </row>
    <row r="106" spans="1:11">
      <c r="A106" t="s">
        <v>2051</v>
      </c>
      <c r="B106" t="s">
        <v>2051</v>
      </c>
      <c r="C106" t="s">
        <v>9567</v>
      </c>
      <c r="D106" t="s">
        <v>9578</v>
      </c>
      <c r="E106" t="s">
        <v>9579</v>
      </c>
      <c r="F106" t="s">
        <v>9815</v>
      </c>
      <c r="G106" t="s">
        <v>19220</v>
      </c>
      <c r="I106" t="s">
        <v>18810</v>
      </c>
      <c r="K106" t="str">
        <f>HYPERLINK("http://tuberculist.epfl.ch/quicksearch.php?gene+name=Rv0100&amp;submit=Search")</f>
        <v>http://tuberculist.epfl.ch/quicksearch.php?gene+name=Rv0100&amp;submit=Search</v>
      </c>
    </row>
    <row r="107" spans="1:11">
      <c r="A107" t="s">
        <v>7264</v>
      </c>
      <c r="B107" t="s">
        <v>2389</v>
      </c>
      <c r="C107" t="s">
        <v>9567</v>
      </c>
      <c r="D107" t="s">
        <v>9816</v>
      </c>
      <c r="E107" t="s">
        <v>9817</v>
      </c>
      <c r="F107" t="s">
        <v>9818</v>
      </c>
      <c r="G107" t="s">
        <v>19219</v>
      </c>
      <c r="H107" t="s">
        <v>19258</v>
      </c>
      <c r="I107" t="s">
        <v>18812</v>
      </c>
      <c r="J107" t="s">
        <v>18809</v>
      </c>
      <c r="K107" t="str">
        <f>HYPERLINK("http://tuberculist.epfl.ch/quicksearch.php?gene+name=Rv0101&amp;submit=Search")</f>
        <v>http://tuberculist.epfl.ch/quicksearch.php?gene+name=Rv0101&amp;submit=Search</v>
      </c>
    </row>
    <row r="108" spans="1:11">
      <c r="A108" t="s">
        <v>2698</v>
      </c>
      <c r="B108" t="s">
        <v>2698</v>
      </c>
      <c r="C108" t="s">
        <v>9567</v>
      </c>
      <c r="D108" t="s">
        <v>9587</v>
      </c>
      <c r="E108" t="s">
        <v>9668</v>
      </c>
      <c r="F108" t="s">
        <v>9819</v>
      </c>
      <c r="G108" t="s">
        <v>19188</v>
      </c>
      <c r="H108" t="s">
        <v>19259</v>
      </c>
      <c r="I108" t="s">
        <v>18774</v>
      </c>
      <c r="K108" t="str">
        <f>HYPERLINK("http://tuberculist.epfl.ch/quicksearch.php?gene+name=Rv0102&amp;submit=Search")</f>
        <v>http://tuberculist.epfl.ch/quicksearch.php?gene+name=Rv0102&amp;submit=Search</v>
      </c>
    </row>
    <row r="109" spans="1:11">
      <c r="A109" t="s">
        <v>4236</v>
      </c>
      <c r="B109" t="s">
        <v>878</v>
      </c>
      <c r="C109" t="s">
        <v>9567</v>
      </c>
      <c r="D109" t="s">
        <v>9820</v>
      </c>
      <c r="E109" t="s">
        <v>9821</v>
      </c>
      <c r="F109" t="s">
        <v>9822</v>
      </c>
      <c r="G109" t="s">
        <v>19188</v>
      </c>
      <c r="H109" t="s">
        <v>19260</v>
      </c>
      <c r="I109" t="s">
        <v>18780</v>
      </c>
      <c r="J109" t="s">
        <v>18808</v>
      </c>
      <c r="K109" t="str">
        <f>HYPERLINK("http://tuberculist.epfl.ch/quicksearch.php?gene+name=Rv0103c&amp;submit=Search")</f>
        <v>http://tuberculist.epfl.ch/quicksearch.php?gene+name=Rv0103c&amp;submit=Search</v>
      </c>
    </row>
    <row r="110" spans="1:11">
      <c r="A110" t="s">
        <v>1458</v>
      </c>
      <c r="B110" t="s">
        <v>1458</v>
      </c>
      <c r="C110" t="s">
        <v>9567</v>
      </c>
      <c r="D110" t="s">
        <v>9578</v>
      </c>
      <c r="E110" t="s">
        <v>9579</v>
      </c>
      <c r="F110" t="s">
        <v>9823</v>
      </c>
      <c r="G110" t="s">
        <v>19204</v>
      </c>
      <c r="I110" t="s">
        <v>18813</v>
      </c>
      <c r="J110" t="s">
        <v>18806</v>
      </c>
      <c r="K110" t="str">
        <f>HYPERLINK("http://tuberculist.epfl.ch/quicksearch.php?gene+name=Rv0104&amp;submit=Search")</f>
        <v>http://tuberculist.epfl.ch/quicksearch.php?gene+name=Rv0104&amp;submit=Search</v>
      </c>
    </row>
    <row r="111" spans="1:11">
      <c r="A111" t="s">
        <v>103</v>
      </c>
      <c r="B111" t="s">
        <v>102</v>
      </c>
      <c r="C111" t="s">
        <v>9567</v>
      </c>
      <c r="D111" t="s">
        <v>9824</v>
      </c>
      <c r="E111" t="s">
        <v>9825</v>
      </c>
      <c r="F111" t="s">
        <v>9826</v>
      </c>
      <c r="G111" t="s">
        <v>19181</v>
      </c>
      <c r="I111" t="s">
        <v>18780</v>
      </c>
      <c r="J111" t="s">
        <v>18814</v>
      </c>
      <c r="K111" t="str">
        <f>HYPERLINK("http://tuberculist.epfl.ch/quicksearch.php?gene+name=Rv0105c&amp;submit=Search")</f>
        <v>http://tuberculist.epfl.ch/quicksearch.php?gene+name=Rv0105c&amp;submit=Search</v>
      </c>
    </row>
    <row r="112" spans="1:11">
      <c r="A112" t="s">
        <v>108</v>
      </c>
      <c r="B112" t="s">
        <v>108</v>
      </c>
      <c r="C112" t="s">
        <v>9567</v>
      </c>
      <c r="D112" t="s">
        <v>9578</v>
      </c>
      <c r="E112" t="s">
        <v>9579</v>
      </c>
      <c r="F112" t="s">
        <v>9827</v>
      </c>
      <c r="G112" t="s">
        <v>19185</v>
      </c>
      <c r="H112" t="s">
        <v>19213</v>
      </c>
      <c r="I112" t="s">
        <v>18792</v>
      </c>
      <c r="J112" t="s">
        <v>18814</v>
      </c>
      <c r="K112" t="str">
        <f>HYPERLINK("http://tuberculist.epfl.ch/quicksearch.php?gene+name=Rv0106&amp;submit=Search")</f>
        <v>http://tuberculist.epfl.ch/quicksearch.php?gene+name=Rv0106&amp;submit=Search</v>
      </c>
    </row>
    <row r="113" spans="1:11">
      <c r="A113" t="s">
        <v>7913</v>
      </c>
      <c r="B113" t="s">
        <v>2719</v>
      </c>
      <c r="C113" t="s">
        <v>9567</v>
      </c>
      <c r="D113" t="s">
        <v>9828</v>
      </c>
      <c r="E113" t="s">
        <v>9829</v>
      </c>
      <c r="F113" t="s">
        <v>9830</v>
      </c>
      <c r="G113" t="s">
        <v>19188</v>
      </c>
      <c r="H113" t="s">
        <v>19261</v>
      </c>
      <c r="I113" t="s">
        <v>18815</v>
      </c>
      <c r="K113" t="str">
        <f>HYPERLINK("http://tuberculist.epfl.ch/quicksearch.php?gene+name=Rv0107c&amp;submit=Search")</f>
        <v>http://tuberculist.epfl.ch/quicksearch.php?gene+name=Rv0107c&amp;submit=Search</v>
      </c>
    </row>
    <row r="114" spans="1:11">
      <c r="A114" t="s">
        <v>720</v>
      </c>
      <c r="B114" t="s">
        <v>720</v>
      </c>
      <c r="C114" t="s">
        <v>9567</v>
      </c>
      <c r="D114" t="s">
        <v>9587</v>
      </c>
      <c r="E114" t="s">
        <v>9713</v>
      </c>
      <c r="F114" t="s">
        <v>9831</v>
      </c>
      <c r="G114" t="s">
        <v>19212</v>
      </c>
      <c r="I114" t="s">
        <v>18780</v>
      </c>
      <c r="J114" t="s">
        <v>18816</v>
      </c>
      <c r="K114" t="str">
        <f>HYPERLINK("http://tuberculist.epfl.ch/quicksearch.php?gene+name=Rv0108c&amp;submit=Search")</f>
        <v>http://tuberculist.epfl.ch/quicksearch.php?gene+name=Rv0108c&amp;submit=Search</v>
      </c>
    </row>
    <row r="115" spans="1:11">
      <c r="A115" t="s">
        <v>8683</v>
      </c>
      <c r="B115" t="s">
        <v>3079</v>
      </c>
      <c r="C115" t="s">
        <v>9567</v>
      </c>
      <c r="D115" t="s">
        <v>9578</v>
      </c>
      <c r="E115" t="s">
        <v>9832</v>
      </c>
      <c r="F115" t="s">
        <v>9833</v>
      </c>
      <c r="G115" t="s">
        <v>19262</v>
      </c>
      <c r="H115" t="s">
        <v>19254</v>
      </c>
      <c r="I115" t="s">
        <v>18793</v>
      </c>
      <c r="K115" t="str">
        <f>HYPERLINK("http://tuberculist.epfl.ch/quicksearch.php?gene+name=Rv0109&amp;submit=Search")</f>
        <v>http://tuberculist.epfl.ch/quicksearch.php?gene+name=Rv0109&amp;submit=Search</v>
      </c>
    </row>
    <row r="116" spans="1:11">
      <c r="A116" t="s">
        <v>9834</v>
      </c>
      <c r="B116" t="s">
        <v>9834</v>
      </c>
      <c r="C116" t="s">
        <v>9567</v>
      </c>
      <c r="D116" t="s">
        <v>9587</v>
      </c>
      <c r="E116" t="s">
        <v>9668</v>
      </c>
      <c r="F116" t="s">
        <v>9835</v>
      </c>
      <c r="G116" t="s">
        <v>19188</v>
      </c>
      <c r="H116" t="s">
        <v>19192</v>
      </c>
      <c r="I116" t="s">
        <v>18789</v>
      </c>
      <c r="K116" t="str">
        <f>HYPERLINK("http://tuberculist.epfl.ch/quicksearch.php?gene+name=Rv0110&amp;submit=Search")</f>
        <v>http://tuberculist.epfl.ch/quicksearch.php?gene+name=Rv0110&amp;submit=Search</v>
      </c>
    </row>
    <row r="117" spans="1:11">
      <c r="A117" t="s">
        <v>2110</v>
      </c>
      <c r="B117" t="s">
        <v>2110</v>
      </c>
      <c r="C117" t="s">
        <v>9567</v>
      </c>
      <c r="D117" t="s">
        <v>9682</v>
      </c>
      <c r="E117" t="s">
        <v>9836</v>
      </c>
      <c r="F117" t="s">
        <v>9837</v>
      </c>
      <c r="G117" t="s">
        <v>19195</v>
      </c>
      <c r="H117" t="s">
        <v>19263</v>
      </c>
      <c r="I117" t="s">
        <v>18780</v>
      </c>
      <c r="K117" t="str">
        <f>HYPERLINK("http://tuberculist.epfl.ch/quicksearch.php?gene+name=Rv0111&amp;submit=Search")</f>
        <v>http://tuberculist.epfl.ch/quicksearch.php?gene+name=Rv0111&amp;submit=Search</v>
      </c>
    </row>
    <row r="118" spans="1:11">
      <c r="A118" t="s">
        <v>5504</v>
      </c>
      <c r="B118" t="s">
        <v>1515</v>
      </c>
      <c r="C118" t="s">
        <v>9567</v>
      </c>
      <c r="D118" t="s">
        <v>9838</v>
      </c>
      <c r="E118" t="s">
        <v>9839</v>
      </c>
      <c r="F118" t="s">
        <v>9840</v>
      </c>
      <c r="G118" t="s">
        <v>19188</v>
      </c>
      <c r="I118" t="s">
        <v>18774</v>
      </c>
      <c r="K118" t="str">
        <f>HYPERLINK("http://tuberculist.epfl.ch/quicksearch.php?gene+name=Rv0112&amp;submit=Search")</f>
        <v>http://tuberculist.epfl.ch/quicksearch.php?gene+name=Rv0112&amp;submit=Search</v>
      </c>
    </row>
    <row r="119" spans="1:11">
      <c r="A119" t="s">
        <v>8875</v>
      </c>
      <c r="B119" t="s">
        <v>3171</v>
      </c>
      <c r="C119" t="s">
        <v>9567</v>
      </c>
      <c r="D119" t="s">
        <v>9841</v>
      </c>
      <c r="E119" t="s">
        <v>9842</v>
      </c>
      <c r="F119" t="s">
        <v>9843</v>
      </c>
      <c r="G119" t="s">
        <v>19188</v>
      </c>
      <c r="I119" t="s">
        <v>18779</v>
      </c>
      <c r="K119" t="str">
        <f>HYPERLINK("http://tuberculist.epfl.ch/quicksearch.php?gene+name=Rv0113&amp;submit=Search")</f>
        <v>http://tuberculist.epfl.ch/quicksearch.php?gene+name=Rv0113&amp;submit=Search</v>
      </c>
    </row>
    <row r="120" spans="1:11">
      <c r="A120" t="s">
        <v>9844</v>
      </c>
      <c r="B120" t="s">
        <v>9845</v>
      </c>
      <c r="C120" t="s">
        <v>9567</v>
      </c>
      <c r="D120" t="s">
        <v>9846</v>
      </c>
      <c r="E120" t="s">
        <v>9847</v>
      </c>
      <c r="F120" t="s">
        <v>9848</v>
      </c>
      <c r="G120" t="s">
        <v>19188</v>
      </c>
      <c r="I120" t="s">
        <v>18779</v>
      </c>
      <c r="J120" t="s">
        <v>18817</v>
      </c>
      <c r="K120" t="str">
        <f>HYPERLINK("http://tuberculist.epfl.ch/quicksearch.php?gene+name=Rv0114&amp;submit=Search")</f>
        <v>http://tuberculist.epfl.ch/quicksearch.php?gene+name=Rv0114&amp;submit=Search</v>
      </c>
    </row>
    <row r="121" spans="1:11">
      <c r="A121" t="s">
        <v>9849</v>
      </c>
      <c r="B121" t="s">
        <v>2960</v>
      </c>
      <c r="C121" t="s">
        <v>9567</v>
      </c>
      <c r="D121" t="s">
        <v>9850</v>
      </c>
      <c r="E121" t="s">
        <v>9851</v>
      </c>
      <c r="F121" t="s">
        <v>9852</v>
      </c>
      <c r="G121" t="s">
        <v>19188</v>
      </c>
      <c r="H121" t="s">
        <v>19214</v>
      </c>
      <c r="I121" t="s">
        <v>18780</v>
      </c>
      <c r="K121" t="str">
        <f>HYPERLINK("http://tuberculist.epfl.ch/quicksearch.php?gene+name=Rv0115&amp;submit=Search")</f>
        <v>http://tuberculist.epfl.ch/quicksearch.php?gene+name=Rv0115&amp;submit=Search</v>
      </c>
    </row>
    <row r="122" spans="1:11">
      <c r="A122" t="s">
        <v>249</v>
      </c>
      <c r="B122" t="s">
        <v>248</v>
      </c>
      <c r="C122" t="s">
        <v>9567</v>
      </c>
      <c r="D122" t="s">
        <v>9853</v>
      </c>
      <c r="E122" t="s">
        <v>9854</v>
      </c>
      <c r="F122" t="s">
        <v>9855</v>
      </c>
      <c r="G122" t="s">
        <v>19188</v>
      </c>
      <c r="H122" t="s">
        <v>19264</v>
      </c>
      <c r="I122" t="s">
        <v>18780</v>
      </c>
      <c r="K122" t="str">
        <f>HYPERLINK("http://tuberculist.epfl.ch/quicksearch.php?gene+name=Rv0116c&amp;submit=Search")</f>
        <v>http://tuberculist.epfl.ch/quicksearch.php?gene+name=Rv0116c&amp;submit=Search</v>
      </c>
    </row>
    <row r="123" spans="1:11">
      <c r="A123" t="s">
        <v>4907</v>
      </c>
      <c r="B123" t="s">
        <v>1208</v>
      </c>
      <c r="C123" t="s">
        <v>9567</v>
      </c>
      <c r="D123" t="s">
        <v>9856</v>
      </c>
      <c r="E123" t="s">
        <v>9857</v>
      </c>
      <c r="F123" t="s">
        <v>9858</v>
      </c>
      <c r="G123" t="s">
        <v>19197</v>
      </c>
      <c r="H123" t="s">
        <v>19265</v>
      </c>
      <c r="I123" t="s">
        <v>18777</v>
      </c>
      <c r="K123" t="str">
        <f>HYPERLINK("http://tuberculist.epfl.ch/quicksearch.php?gene+name=Rv0117&amp;submit=Search")</f>
        <v>http://tuberculist.epfl.ch/quicksearch.php?gene+name=Rv0117&amp;submit=Search</v>
      </c>
    </row>
    <row r="124" spans="1:11">
      <c r="A124" t="s">
        <v>6098</v>
      </c>
      <c r="B124" t="s">
        <v>1804</v>
      </c>
      <c r="C124" t="s">
        <v>9567</v>
      </c>
      <c r="D124" t="s">
        <v>9859</v>
      </c>
      <c r="E124" t="s">
        <v>9860</v>
      </c>
      <c r="F124" t="s">
        <v>9861</v>
      </c>
      <c r="G124" t="s">
        <v>19195</v>
      </c>
      <c r="H124" t="s">
        <v>19257</v>
      </c>
      <c r="I124" t="s">
        <v>18774</v>
      </c>
      <c r="K124" t="str">
        <f>HYPERLINK("http://tuberculist.epfl.ch/quicksearch.php?gene+name=Rv0118c&amp;submit=Search")</f>
        <v>http://tuberculist.epfl.ch/quicksearch.php?gene+name=Rv0118c&amp;submit=Search</v>
      </c>
    </row>
    <row r="125" spans="1:11">
      <c r="A125" t="s">
        <v>4968</v>
      </c>
      <c r="B125" t="s">
        <v>1240</v>
      </c>
      <c r="C125" t="s">
        <v>9567</v>
      </c>
      <c r="D125" t="s">
        <v>9662</v>
      </c>
      <c r="E125" t="s">
        <v>9862</v>
      </c>
      <c r="F125" t="s">
        <v>9863</v>
      </c>
      <c r="G125" t="s">
        <v>19219</v>
      </c>
      <c r="H125" t="s">
        <v>19233</v>
      </c>
      <c r="I125" t="s">
        <v>18776</v>
      </c>
      <c r="K125" t="str">
        <f>HYPERLINK("http://tuberculist.epfl.ch/quicksearch.php?gene+name=Rv0119&amp;submit=Search")</f>
        <v>http://tuberculist.epfl.ch/quicksearch.php?gene+name=Rv0119&amp;submit=Search</v>
      </c>
    </row>
    <row r="126" spans="1:11">
      <c r="A126" t="s">
        <v>9864</v>
      </c>
      <c r="B126" t="s">
        <v>2241</v>
      </c>
      <c r="C126" t="s">
        <v>9567</v>
      </c>
      <c r="D126" t="s">
        <v>9865</v>
      </c>
      <c r="E126" t="s">
        <v>9866</v>
      </c>
      <c r="F126" t="s">
        <v>9867</v>
      </c>
      <c r="G126" t="s">
        <v>19181</v>
      </c>
      <c r="H126" t="s">
        <v>19266</v>
      </c>
      <c r="I126" t="s">
        <v>18818</v>
      </c>
      <c r="J126" t="s">
        <v>18775</v>
      </c>
      <c r="K126" t="str">
        <f>HYPERLINK("http://tuberculist.epfl.ch/quicksearch.php?gene+name=Rv0120c&amp;submit=Search")</f>
        <v>http://tuberculist.epfl.ch/quicksearch.php?gene+name=Rv0120c&amp;submit=Search</v>
      </c>
    </row>
    <row r="127" spans="1:11">
      <c r="A127" t="s">
        <v>2130</v>
      </c>
      <c r="B127" t="s">
        <v>2130</v>
      </c>
      <c r="C127" t="s">
        <v>9567</v>
      </c>
      <c r="D127" t="s">
        <v>9578</v>
      </c>
      <c r="E127" t="s">
        <v>9665</v>
      </c>
      <c r="F127" t="s">
        <v>9868</v>
      </c>
      <c r="G127" t="s">
        <v>19212</v>
      </c>
      <c r="H127" t="s">
        <v>19233</v>
      </c>
      <c r="I127" t="s">
        <v>18779</v>
      </c>
      <c r="K127" t="str">
        <f>HYPERLINK("http://tuberculist.epfl.ch/quicksearch.php?gene+name=Rv0121c&amp;submit=Search")</f>
        <v>http://tuberculist.epfl.ch/quicksearch.php?gene+name=Rv0121c&amp;submit=Search</v>
      </c>
    </row>
    <row r="128" spans="1:11">
      <c r="A128" t="s">
        <v>9869</v>
      </c>
      <c r="B128" t="s">
        <v>9869</v>
      </c>
      <c r="C128" t="s">
        <v>9567</v>
      </c>
      <c r="D128" t="s">
        <v>9587</v>
      </c>
      <c r="E128" t="s">
        <v>9713</v>
      </c>
      <c r="F128" t="s">
        <v>9870</v>
      </c>
      <c r="G128" t="s">
        <v>19212</v>
      </c>
      <c r="H128" t="s">
        <v>19205</v>
      </c>
      <c r="I128" t="s">
        <v>18779</v>
      </c>
      <c r="K128" t="str">
        <f>HYPERLINK("http://tuberculist.epfl.ch/quicksearch.php?gene+name=Rv0122&amp;submit=Search")</f>
        <v>http://tuberculist.epfl.ch/quicksearch.php?gene+name=Rv0122&amp;submit=Search</v>
      </c>
    </row>
    <row r="129" spans="1:11">
      <c r="A129" t="s">
        <v>9871</v>
      </c>
      <c r="B129" t="s">
        <v>9871</v>
      </c>
      <c r="C129" t="s">
        <v>9567</v>
      </c>
      <c r="D129" t="s">
        <v>9587</v>
      </c>
      <c r="E129" t="s">
        <v>9768</v>
      </c>
      <c r="F129" t="s">
        <v>9872</v>
      </c>
      <c r="G129" t="s">
        <v>19212</v>
      </c>
      <c r="H129" t="s">
        <v>19250</v>
      </c>
      <c r="I129" t="s">
        <v>18788</v>
      </c>
      <c r="K129" t="str">
        <f>HYPERLINK("http://tuberculist.epfl.ch/quicksearch.php?gene+name=Rv0123&amp;submit=Search")</f>
        <v>http://tuberculist.epfl.ch/quicksearch.php?gene+name=Rv0123&amp;submit=Search</v>
      </c>
    </row>
    <row r="130" spans="1:11">
      <c r="A130" t="s">
        <v>8750</v>
      </c>
      <c r="B130" t="s">
        <v>3115</v>
      </c>
      <c r="C130" t="s">
        <v>9567</v>
      </c>
      <c r="D130" t="s">
        <v>9578</v>
      </c>
      <c r="E130" t="s">
        <v>9873</v>
      </c>
      <c r="F130" t="s">
        <v>9874</v>
      </c>
      <c r="G130" t="s">
        <v>19262</v>
      </c>
      <c r="H130" t="s">
        <v>19267</v>
      </c>
      <c r="I130" t="s">
        <v>18793</v>
      </c>
      <c r="K130" t="str">
        <f>HYPERLINK("http://tuberculist.epfl.ch/quicksearch.php?gene+name=Rv0124&amp;submit=Search")</f>
        <v>http://tuberculist.epfl.ch/quicksearch.php?gene+name=Rv0124&amp;submit=Search</v>
      </c>
    </row>
    <row r="131" spans="1:11">
      <c r="A131" t="s">
        <v>9418</v>
      </c>
      <c r="B131" t="s">
        <v>3424</v>
      </c>
      <c r="C131" t="s">
        <v>9567</v>
      </c>
      <c r="D131" t="s">
        <v>9875</v>
      </c>
      <c r="E131" t="s">
        <v>9876</v>
      </c>
      <c r="F131" t="s">
        <v>9877</v>
      </c>
      <c r="G131" t="s">
        <v>19195</v>
      </c>
      <c r="H131" t="s">
        <v>19268</v>
      </c>
      <c r="I131" t="s">
        <v>18793</v>
      </c>
      <c r="K131" t="str">
        <f>HYPERLINK("http://tuberculist.epfl.ch/quicksearch.php?gene+name=Rv0125&amp;submit=Search")</f>
        <v>http://tuberculist.epfl.ch/quicksearch.php?gene+name=Rv0125&amp;submit=Search</v>
      </c>
    </row>
    <row r="132" spans="1:11">
      <c r="A132" t="s">
        <v>6850</v>
      </c>
      <c r="B132" t="s">
        <v>2187</v>
      </c>
      <c r="C132" t="s">
        <v>9567</v>
      </c>
      <c r="D132" t="s">
        <v>9878</v>
      </c>
      <c r="E132" t="s">
        <v>9879</v>
      </c>
      <c r="F132" t="s">
        <v>9880</v>
      </c>
      <c r="G132" t="s">
        <v>19206</v>
      </c>
      <c r="H132" t="s">
        <v>19269</v>
      </c>
      <c r="I132" t="s">
        <v>18819</v>
      </c>
      <c r="K132" t="str">
        <f>HYPERLINK("http://tuberculist.epfl.ch/quicksearch.php?gene+name=Rv0126&amp;submit=Search")</f>
        <v>http://tuberculist.epfl.ch/quicksearch.php?gene+name=Rv0126&amp;submit=Search</v>
      </c>
    </row>
    <row r="133" spans="1:11">
      <c r="A133" t="s">
        <v>9881</v>
      </c>
      <c r="B133" t="s">
        <v>2486</v>
      </c>
      <c r="C133" t="s">
        <v>9567</v>
      </c>
      <c r="D133" t="s">
        <v>9882</v>
      </c>
      <c r="E133" t="s">
        <v>9883</v>
      </c>
      <c r="F133" t="s">
        <v>9884</v>
      </c>
      <c r="G133" t="s">
        <v>19206</v>
      </c>
      <c r="H133" t="s">
        <v>19270</v>
      </c>
      <c r="I133" t="s">
        <v>18774</v>
      </c>
      <c r="K133" t="str">
        <f>HYPERLINK("http://tuberculist.epfl.ch/quicksearch.php?gene+name=Rv0127&amp;submit=Search")</f>
        <v>http://tuberculist.epfl.ch/quicksearch.php?gene+name=Rv0127&amp;submit=Search</v>
      </c>
    </row>
    <row r="134" spans="1:11">
      <c r="A134" t="s">
        <v>1805</v>
      </c>
      <c r="B134" t="s">
        <v>1805</v>
      </c>
      <c r="C134" t="s">
        <v>9567</v>
      </c>
      <c r="D134" t="s">
        <v>9587</v>
      </c>
      <c r="E134" t="s">
        <v>9597</v>
      </c>
      <c r="F134" t="s">
        <v>9885</v>
      </c>
      <c r="G134" t="s">
        <v>19188</v>
      </c>
      <c r="H134" t="s">
        <v>19213</v>
      </c>
      <c r="I134" t="s">
        <v>18780</v>
      </c>
      <c r="K134" t="str">
        <f>HYPERLINK("http://tuberculist.epfl.ch/quicksearch.php?gene+name=Rv0128&amp;submit=Search")</f>
        <v>http://tuberculist.epfl.ch/quicksearch.php?gene+name=Rv0128&amp;submit=Search</v>
      </c>
    </row>
    <row r="135" spans="1:11">
      <c r="A135" t="s">
        <v>7158</v>
      </c>
      <c r="B135" t="s">
        <v>2341</v>
      </c>
      <c r="C135" t="s">
        <v>9567</v>
      </c>
      <c r="D135" t="s">
        <v>9886</v>
      </c>
      <c r="E135" t="s">
        <v>9887</v>
      </c>
      <c r="F135" t="s">
        <v>9888</v>
      </c>
      <c r="G135" t="s">
        <v>19219</v>
      </c>
      <c r="H135" t="s">
        <v>19271</v>
      </c>
      <c r="I135" t="s">
        <v>18777</v>
      </c>
      <c r="J135" t="s">
        <v>18775</v>
      </c>
      <c r="K135" t="str">
        <f>HYPERLINK("http://tuberculist.epfl.ch/quicksearch.php?gene+name=Rv0129c&amp;submit=Search")</f>
        <v>http://tuberculist.epfl.ch/quicksearch.php?gene+name=Rv0129c&amp;submit=Search</v>
      </c>
    </row>
    <row r="136" spans="1:11">
      <c r="A136" t="s">
        <v>9889</v>
      </c>
      <c r="B136" t="s">
        <v>9890</v>
      </c>
      <c r="C136" t="s">
        <v>9567</v>
      </c>
      <c r="D136" t="s">
        <v>9587</v>
      </c>
      <c r="E136" t="s">
        <v>9891</v>
      </c>
      <c r="F136" t="s">
        <v>9892</v>
      </c>
      <c r="G136" t="s">
        <v>19195</v>
      </c>
      <c r="H136" t="s">
        <v>19272</v>
      </c>
      <c r="I136" t="s">
        <v>18780</v>
      </c>
      <c r="K136" t="str">
        <f>HYPERLINK("http://tuberculist.epfl.ch/quicksearch.php?gene+name=Rv0130&amp;submit=Search")</f>
        <v>http://tuberculist.epfl.ch/quicksearch.php?gene+name=Rv0130&amp;submit=Search</v>
      </c>
    </row>
    <row r="137" spans="1:11">
      <c r="A137" t="s">
        <v>4027</v>
      </c>
      <c r="B137" t="s">
        <v>772</v>
      </c>
      <c r="C137" t="s">
        <v>9567</v>
      </c>
      <c r="D137" t="s">
        <v>9662</v>
      </c>
      <c r="E137" t="s">
        <v>9893</v>
      </c>
      <c r="F137" t="s">
        <v>9894</v>
      </c>
      <c r="G137" t="s">
        <v>19219</v>
      </c>
      <c r="H137" t="s">
        <v>19273</v>
      </c>
      <c r="I137" t="s">
        <v>18780</v>
      </c>
      <c r="K137" t="str">
        <f>HYPERLINK("http://tuberculist.epfl.ch/quicksearch.php?gene+name=Rv0131c&amp;submit=Search")</f>
        <v>http://tuberculist.epfl.ch/quicksearch.php?gene+name=Rv0131c&amp;submit=Search</v>
      </c>
    </row>
    <row r="138" spans="1:11">
      <c r="A138" t="s">
        <v>9252</v>
      </c>
      <c r="B138" t="s">
        <v>3350</v>
      </c>
      <c r="C138" t="s">
        <v>9567</v>
      </c>
      <c r="D138" t="s">
        <v>9895</v>
      </c>
      <c r="E138" t="s">
        <v>9896</v>
      </c>
      <c r="F138" t="s">
        <v>9897</v>
      </c>
      <c r="G138" t="s">
        <v>19195</v>
      </c>
      <c r="H138" t="s">
        <v>19207</v>
      </c>
      <c r="I138" t="s">
        <v>18780</v>
      </c>
      <c r="K138" t="str">
        <f>HYPERLINK("http://tuberculist.epfl.ch/quicksearch.php?gene+name=Rv0132c&amp;submit=Search")</f>
        <v>http://tuberculist.epfl.ch/quicksearch.php?gene+name=Rv0132c&amp;submit=Search</v>
      </c>
    </row>
    <row r="139" spans="1:11">
      <c r="A139" t="s">
        <v>1231</v>
      </c>
      <c r="B139" t="s">
        <v>1231</v>
      </c>
      <c r="C139" t="s">
        <v>9567</v>
      </c>
      <c r="D139" t="s">
        <v>9898</v>
      </c>
      <c r="E139" t="s">
        <v>9899</v>
      </c>
      <c r="F139" t="s">
        <v>9900</v>
      </c>
      <c r="G139" t="s">
        <v>19195</v>
      </c>
      <c r="H139" t="s">
        <v>19225</v>
      </c>
      <c r="I139" t="s">
        <v>18780</v>
      </c>
      <c r="K139" t="str">
        <f>HYPERLINK("http://tuberculist.epfl.ch/quicksearch.php?gene+name=Rv0133&amp;submit=Search")</f>
        <v>http://tuberculist.epfl.ch/quicksearch.php?gene+name=Rv0133&amp;submit=Search</v>
      </c>
    </row>
    <row r="140" spans="1:11">
      <c r="A140" t="s">
        <v>9901</v>
      </c>
      <c r="B140" t="s">
        <v>9902</v>
      </c>
      <c r="C140" t="s">
        <v>9567</v>
      </c>
      <c r="D140" t="s">
        <v>9903</v>
      </c>
      <c r="E140" t="s">
        <v>9904</v>
      </c>
      <c r="F140" t="s">
        <v>9905</v>
      </c>
      <c r="G140" t="s">
        <v>19206</v>
      </c>
      <c r="H140" t="s">
        <v>19187</v>
      </c>
      <c r="I140" t="s">
        <v>18780</v>
      </c>
      <c r="K140" t="str">
        <f>HYPERLINK("http://tuberculist.epfl.ch/quicksearch.php?gene+name=Rv0134&amp;submit=Search")</f>
        <v>http://tuberculist.epfl.ch/quicksearch.php?gene+name=Rv0134&amp;submit=Search</v>
      </c>
    </row>
    <row r="141" spans="1:11">
      <c r="A141" t="s">
        <v>2148</v>
      </c>
      <c r="B141" t="s">
        <v>2148</v>
      </c>
      <c r="C141" t="s">
        <v>9567</v>
      </c>
      <c r="D141" t="s">
        <v>9906</v>
      </c>
      <c r="E141" t="s">
        <v>9633</v>
      </c>
      <c r="F141" t="s">
        <v>9907</v>
      </c>
      <c r="G141" t="s">
        <v>19197</v>
      </c>
      <c r="H141" t="s">
        <v>19207</v>
      </c>
      <c r="I141" t="s">
        <v>18780</v>
      </c>
      <c r="K141" t="str">
        <f>HYPERLINK("http://tuberculist.epfl.ch/quicksearch.php?gene+name=Rv0135c&amp;submit=Search")</f>
        <v>http://tuberculist.epfl.ch/quicksearch.php?gene+name=Rv0135c&amp;submit=Search</v>
      </c>
    </row>
    <row r="142" spans="1:11">
      <c r="A142" t="s">
        <v>6473</v>
      </c>
      <c r="B142" t="s">
        <v>1985</v>
      </c>
      <c r="C142" t="s">
        <v>9567</v>
      </c>
      <c r="D142" t="s">
        <v>9908</v>
      </c>
      <c r="E142" t="s">
        <v>9909</v>
      </c>
      <c r="F142" t="s">
        <v>9910</v>
      </c>
      <c r="G142" t="s">
        <v>19195</v>
      </c>
      <c r="H142" t="s">
        <v>19274</v>
      </c>
      <c r="I142" t="s">
        <v>18780</v>
      </c>
      <c r="K142" t="str">
        <f>HYPERLINK("http://tuberculist.epfl.ch/quicksearch.php?gene+name=Rv0136&amp;submit=Search")</f>
        <v>http://tuberculist.epfl.ch/quicksearch.php?gene+name=Rv0136&amp;submit=Search</v>
      </c>
    </row>
    <row r="143" spans="1:11">
      <c r="A143" t="s">
        <v>5687</v>
      </c>
      <c r="B143" t="s">
        <v>1606</v>
      </c>
      <c r="C143" t="s">
        <v>9567</v>
      </c>
      <c r="D143" t="s">
        <v>9911</v>
      </c>
      <c r="E143" t="s">
        <v>9912</v>
      </c>
      <c r="F143" t="s">
        <v>9913</v>
      </c>
      <c r="G143" t="s">
        <v>19195</v>
      </c>
      <c r="H143" t="s">
        <v>19213</v>
      </c>
      <c r="I143" t="s">
        <v>18780</v>
      </c>
      <c r="K143" t="str">
        <f>HYPERLINK("http://tuberculist.epfl.ch/quicksearch.php?gene+name=Rv0137c&amp;submit=Search")</f>
        <v>http://tuberculist.epfl.ch/quicksearch.php?gene+name=Rv0137c&amp;submit=Search</v>
      </c>
    </row>
    <row r="144" spans="1:11">
      <c r="A144" t="s">
        <v>2844</v>
      </c>
      <c r="B144" t="s">
        <v>2844</v>
      </c>
      <c r="C144" t="s">
        <v>9567</v>
      </c>
      <c r="D144" t="s">
        <v>9578</v>
      </c>
      <c r="E144" t="s">
        <v>9579</v>
      </c>
      <c r="F144" t="s">
        <v>9914</v>
      </c>
      <c r="G144" t="s">
        <v>19204</v>
      </c>
      <c r="H144" t="s">
        <v>19213</v>
      </c>
      <c r="I144" t="s">
        <v>18780</v>
      </c>
      <c r="J144" t="s">
        <v>18820</v>
      </c>
      <c r="K144" t="str">
        <f>HYPERLINK("http://tuberculist.epfl.ch/quicksearch.php?gene+name=Rv0138&amp;submit=Search")</f>
        <v>http://tuberculist.epfl.ch/quicksearch.php?gene+name=Rv0138&amp;submit=Search</v>
      </c>
    </row>
    <row r="145" spans="1:11">
      <c r="A145" t="s">
        <v>1109</v>
      </c>
      <c r="B145" t="s">
        <v>1109</v>
      </c>
      <c r="C145" t="s">
        <v>9567</v>
      </c>
      <c r="D145" t="s">
        <v>9682</v>
      </c>
      <c r="E145" t="s">
        <v>9683</v>
      </c>
      <c r="F145" t="s">
        <v>9915</v>
      </c>
      <c r="G145" t="s">
        <v>19195</v>
      </c>
      <c r="H145" t="s">
        <v>19275</v>
      </c>
      <c r="I145" t="s">
        <v>18780</v>
      </c>
      <c r="J145" t="s">
        <v>18820</v>
      </c>
      <c r="K145" t="str">
        <f>HYPERLINK("http://tuberculist.epfl.ch/quicksearch.php?gene+name=Rv0139&amp;submit=Search")</f>
        <v>http://tuberculist.epfl.ch/quicksearch.php?gene+name=Rv0139&amp;submit=Search</v>
      </c>
    </row>
    <row r="146" spans="1:11">
      <c r="A146" t="s">
        <v>2430</v>
      </c>
      <c r="B146" t="s">
        <v>2430</v>
      </c>
      <c r="C146" t="s">
        <v>9567</v>
      </c>
      <c r="D146" t="s">
        <v>9578</v>
      </c>
      <c r="E146" t="s">
        <v>9665</v>
      </c>
      <c r="F146" t="s">
        <v>9916</v>
      </c>
      <c r="G146" t="s">
        <v>19204</v>
      </c>
      <c r="H146" t="s">
        <v>19276</v>
      </c>
      <c r="I146" t="s">
        <v>18777</v>
      </c>
      <c r="K146" t="str">
        <f>HYPERLINK("http://tuberculist.epfl.ch/quicksearch.php?gene+name=Rv0140&amp;submit=Search")</f>
        <v>http://tuberculist.epfl.ch/quicksearch.php?gene+name=Rv0140&amp;submit=Search</v>
      </c>
    </row>
    <row r="147" spans="1:11">
      <c r="A147" t="s">
        <v>2912</v>
      </c>
      <c r="B147" t="s">
        <v>2912</v>
      </c>
      <c r="C147" t="s">
        <v>9567</v>
      </c>
      <c r="D147" t="s">
        <v>9587</v>
      </c>
      <c r="E147" t="s">
        <v>9768</v>
      </c>
      <c r="F147" t="s">
        <v>9917</v>
      </c>
      <c r="G147" t="s">
        <v>19212</v>
      </c>
      <c r="H147" t="s">
        <v>19277</v>
      </c>
      <c r="I147" t="s">
        <v>18780</v>
      </c>
      <c r="J147" t="s">
        <v>18775</v>
      </c>
      <c r="K147" t="str">
        <f>HYPERLINK("http://tuberculist.epfl.ch/quicksearch.php?gene+name=Rv0141c&amp;submit=Search")</f>
        <v>http://tuberculist.epfl.ch/quicksearch.php?gene+name=Rv0141c&amp;submit=Search</v>
      </c>
    </row>
    <row r="148" spans="1:11">
      <c r="A148" t="s">
        <v>9918</v>
      </c>
      <c r="B148" t="s">
        <v>9918</v>
      </c>
      <c r="C148" t="s">
        <v>9567</v>
      </c>
      <c r="D148" t="s">
        <v>9578</v>
      </c>
      <c r="E148" t="s">
        <v>9579</v>
      </c>
      <c r="F148" t="s">
        <v>9919</v>
      </c>
      <c r="G148" t="s">
        <v>19210</v>
      </c>
      <c r="I148" t="s">
        <v>18780</v>
      </c>
      <c r="K148" t="str">
        <f>HYPERLINK("http://tuberculist.epfl.ch/quicksearch.php?gene+name=Rv0142&amp;submit=Search")</f>
        <v>http://tuberculist.epfl.ch/quicksearch.php?gene+name=Rv0142&amp;submit=Search</v>
      </c>
    </row>
    <row r="149" spans="1:11">
      <c r="A149" t="s">
        <v>889</v>
      </c>
      <c r="B149" t="s">
        <v>889</v>
      </c>
      <c r="C149" t="s">
        <v>9567</v>
      </c>
      <c r="D149" t="s">
        <v>9920</v>
      </c>
      <c r="E149" t="s">
        <v>9597</v>
      </c>
      <c r="F149" t="s">
        <v>9921</v>
      </c>
      <c r="G149" t="s">
        <v>19188</v>
      </c>
      <c r="H149" t="s">
        <v>19278</v>
      </c>
      <c r="I149" t="s">
        <v>18821</v>
      </c>
      <c r="K149" t="str">
        <f>HYPERLINK("http://tuberculist.epfl.ch/quicksearch.php?gene+name=Rv0143c&amp;submit=Search")</f>
        <v>http://tuberculist.epfl.ch/quicksearch.php?gene+name=Rv0143c&amp;submit=Search</v>
      </c>
    </row>
    <row r="150" spans="1:11">
      <c r="A150" t="s">
        <v>3100</v>
      </c>
      <c r="B150" t="s">
        <v>3100</v>
      </c>
      <c r="C150" t="s">
        <v>9567</v>
      </c>
      <c r="D150" t="s">
        <v>9629</v>
      </c>
      <c r="E150" t="s">
        <v>9922</v>
      </c>
      <c r="F150" t="s">
        <v>9923</v>
      </c>
      <c r="G150" t="s">
        <v>19197</v>
      </c>
      <c r="H150" t="s">
        <v>19279</v>
      </c>
      <c r="I150" t="s">
        <v>18797</v>
      </c>
      <c r="J150" t="s">
        <v>18775</v>
      </c>
      <c r="K150" t="str">
        <f>HYPERLINK("http://tuberculist.epfl.ch/quicksearch.php?gene+name=Rv0144&amp;submit=Search")</f>
        <v>http://tuberculist.epfl.ch/quicksearch.php?gene+name=Rv0144&amp;submit=Search</v>
      </c>
    </row>
    <row r="151" spans="1:11">
      <c r="A151" t="s">
        <v>1495</v>
      </c>
      <c r="B151" t="s">
        <v>1495</v>
      </c>
      <c r="C151" t="s">
        <v>9567</v>
      </c>
      <c r="D151" t="s">
        <v>9924</v>
      </c>
      <c r="E151" t="s">
        <v>9925</v>
      </c>
      <c r="F151" t="s">
        <v>9926</v>
      </c>
      <c r="G151" t="s">
        <v>19219</v>
      </c>
      <c r="H151" t="s">
        <v>19211</v>
      </c>
      <c r="I151" t="s">
        <v>18821</v>
      </c>
      <c r="J151" t="s">
        <v>18822</v>
      </c>
      <c r="K151" t="str">
        <f>HYPERLINK("http://tuberculist.epfl.ch/quicksearch.php?gene+name=Rv0145&amp;submit=Search")</f>
        <v>http://tuberculist.epfl.ch/quicksearch.php?gene+name=Rv0145&amp;submit=Search</v>
      </c>
    </row>
    <row r="152" spans="1:11">
      <c r="A152" t="s">
        <v>821</v>
      </c>
      <c r="B152" t="s">
        <v>821</v>
      </c>
      <c r="C152" t="s">
        <v>9567</v>
      </c>
      <c r="D152" t="s">
        <v>9924</v>
      </c>
      <c r="E152" t="s">
        <v>9925</v>
      </c>
      <c r="F152" t="s">
        <v>9927</v>
      </c>
      <c r="G152" t="s">
        <v>19219</v>
      </c>
      <c r="H152" t="s">
        <v>19280</v>
      </c>
      <c r="I152" t="s">
        <v>18797</v>
      </c>
      <c r="K152" t="str">
        <f>HYPERLINK("http://tuberculist.epfl.ch/quicksearch.php?gene+name=Rv0146&amp;submit=Search")</f>
        <v>http://tuberculist.epfl.ch/quicksearch.php?gene+name=Rv0146&amp;submit=Search</v>
      </c>
    </row>
    <row r="153" spans="1:11">
      <c r="A153" t="s">
        <v>2809</v>
      </c>
      <c r="B153" t="s">
        <v>2809</v>
      </c>
      <c r="C153" t="s">
        <v>9567</v>
      </c>
      <c r="D153" t="s">
        <v>9928</v>
      </c>
      <c r="E153" t="s">
        <v>9929</v>
      </c>
      <c r="F153" t="s">
        <v>9930</v>
      </c>
      <c r="G153" t="s">
        <v>19195</v>
      </c>
      <c r="H153" t="s">
        <v>19281</v>
      </c>
      <c r="I153" t="s">
        <v>18821</v>
      </c>
      <c r="K153" t="str">
        <f>HYPERLINK("http://tuberculist.epfl.ch/quicksearch.php?gene+name=Rv0147&amp;submit=Search")</f>
        <v>http://tuberculist.epfl.ch/quicksearch.php?gene+name=Rv0147&amp;submit=Search</v>
      </c>
    </row>
    <row r="154" spans="1:11">
      <c r="A154" t="s">
        <v>1600</v>
      </c>
      <c r="B154" t="s">
        <v>1600</v>
      </c>
      <c r="C154" t="s">
        <v>9567</v>
      </c>
      <c r="D154" t="s">
        <v>9931</v>
      </c>
      <c r="E154" t="s">
        <v>9932</v>
      </c>
      <c r="F154" t="s">
        <v>9933</v>
      </c>
      <c r="G154" t="s">
        <v>19195</v>
      </c>
      <c r="H154" t="s">
        <v>19282</v>
      </c>
      <c r="I154" t="s">
        <v>18780</v>
      </c>
      <c r="K154" t="str">
        <f>HYPERLINK("http://tuberculist.epfl.ch/quicksearch.php?gene+name=Rv0148&amp;submit=Search")</f>
        <v>http://tuberculist.epfl.ch/quicksearch.php?gene+name=Rv0148&amp;submit=Search</v>
      </c>
    </row>
    <row r="155" spans="1:11">
      <c r="A155" t="s">
        <v>524</v>
      </c>
      <c r="B155" t="s">
        <v>524</v>
      </c>
      <c r="C155" t="s">
        <v>9567</v>
      </c>
      <c r="D155" t="s">
        <v>9934</v>
      </c>
      <c r="E155" t="s">
        <v>9935</v>
      </c>
      <c r="F155" t="s">
        <v>9936</v>
      </c>
      <c r="G155" t="s">
        <v>19195</v>
      </c>
      <c r="H155" t="s">
        <v>19225</v>
      </c>
      <c r="I155" t="s">
        <v>18777</v>
      </c>
      <c r="K155" t="str">
        <f>HYPERLINK("http://tuberculist.epfl.ch/quicksearch.php?gene+name=Rv0149&amp;submit=Search")</f>
        <v>http://tuberculist.epfl.ch/quicksearch.php?gene+name=Rv0149&amp;submit=Search</v>
      </c>
    </row>
    <row r="156" spans="1:11">
      <c r="A156" t="s">
        <v>1444</v>
      </c>
      <c r="B156" t="s">
        <v>1444</v>
      </c>
      <c r="C156" t="s">
        <v>9567</v>
      </c>
      <c r="D156" t="s">
        <v>9578</v>
      </c>
      <c r="E156" t="s">
        <v>9579</v>
      </c>
      <c r="F156" t="s">
        <v>9937</v>
      </c>
      <c r="G156" t="s">
        <v>19212</v>
      </c>
      <c r="I156" t="s">
        <v>18793</v>
      </c>
      <c r="K156" t="str">
        <f>HYPERLINK("http://tuberculist.epfl.ch/quicksearch.php?gene+name=Rv0150c&amp;submit=Search")</f>
        <v>http://tuberculist.epfl.ch/quicksearch.php?gene+name=Rv0150c&amp;submit=Search</v>
      </c>
    </row>
    <row r="157" spans="1:11">
      <c r="A157" t="s">
        <v>6715</v>
      </c>
      <c r="B157" t="s">
        <v>2117</v>
      </c>
      <c r="C157" t="s">
        <v>9567</v>
      </c>
      <c r="D157" t="s">
        <v>9578</v>
      </c>
      <c r="E157" t="s">
        <v>9938</v>
      </c>
      <c r="F157" t="s">
        <v>9939</v>
      </c>
      <c r="G157" t="s">
        <v>19262</v>
      </c>
      <c r="H157" t="s">
        <v>19211</v>
      </c>
      <c r="I157" t="s">
        <v>18789</v>
      </c>
      <c r="K157" t="str">
        <f>HYPERLINK("http://tuberculist.epfl.ch/quicksearch.php?gene+name=Rv0151c&amp;submit=Search")</f>
        <v>http://tuberculist.epfl.ch/quicksearch.php?gene+name=Rv0151c&amp;submit=Search</v>
      </c>
    </row>
    <row r="158" spans="1:11">
      <c r="A158" t="s">
        <v>6717</v>
      </c>
      <c r="B158" t="s">
        <v>2118</v>
      </c>
      <c r="C158" t="s">
        <v>9567</v>
      </c>
      <c r="D158" t="s">
        <v>9578</v>
      </c>
      <c r="E158" t="s">
        <v>9940</v>
      </c>
      <c r="F158" t="s">
        <v>9941</v>
      </c>
      <c r="G158" t="s">
        <v>19262</v>
      </c>
      <c r="H158" t="s">
        <v>19207</v>
      </c>
      <c r="I158" t="s">
        <v>18789</v>
      </c>
      <c r="K158" t="str">
        <f>HYPERLINK("http://tuberculist.epfl.ch/quicksearch.php?gene+name=Rv0152c&amp;submit=Search")</f>
        <v>http://tuberculist.epfl.ch/quicksearch.php?gene+name=Rv0152c&amp;submit=Search</v>
      </c>
    </row>
    <row r="159" spans="1:11">
      <c r="A159" t="s">
        <v>8646</v>
      </c>
      <c r="B159" t="s">
        <v>3062</v>
      </c>
      <c r="C159" t="s">
        <v>9567</v>
      </c>
      <c r="D159" t="s">
        <v>9942</v>
      </c>
      <c r="E159" t="s">
        <v>9943</v>
      </c>
      <c r="F159" t="s">
        <v>9944</v>
      </c>
      <c r="G159" t="s">
        <v>19197</v>
      </c>
      <c r="H159" t="s">
        <v>19213</v>
      </c>
      <c r="I159" t="s">
        <v>18823</v>
      </c>
      <c r="K159" t="str">
        <f>HYPERLINK("http://tuberculist.epfl.ch/quicksearch.php?gene+name=Rv0153c&amp;submit=Search")</f>
        <v>http://tuberculist.epfl.ch/quicksearch.php?gene+name=Rv0153c&amp;submit=Search</v>
      </c>
    </row>
    <row r="160" spans="1:11">
      <c r="A160" t="s">
        <v>6079</v>
      </c>
      <c r="B160" t="s">
        <v>1796</v>
      </c>
      <c r="C160" t="s">
        <v>9567</v>
      </c>
      <c r="D160" t="s">
        <v>9662</v>
      </c>
      <c r="E160" t="s">
        <v>9945</v>
      </c>
      <c r="F160" t="s">
        <v>9946</v>
      </c>
      <c r="G160" t="s">
        <v>19219</v>
      </c>
      <c r="H160" t="s">
        <v>19283</v>
      </c>
      <c r="I160" t="s">
        <v>18789</v>
      </c>
      <c r="K160" t="str">
        <f>HYPERLINK("http://tuberculist.epfl.ch/quicksearch.php?gene+name=Rv0154c&amp;submit=Search")</f>
        <v>http://tuberculist.epfl.ch/quicksearch.php?gene+name=Rv0154c&amp;submit=Search</v>
      </c>
    </row>
    <row r="161" spans="1:11">
      <c r="A161" t="s">
        <v>4628</v>
      </c>
      <c r="B161" t="s">
        <v>1071</v>
      </c>
      <c r="C161" t="s">
        <v>9567</v>
      </c>
      <c r="D161" t="s">
        <v>9947</v>
      </c>
      <c r="E161" t="s">
        <v>9948</v>
      </c>
      <c r="F161" t="s">
        <v>9949</v>
      </c>
      <c r="G161" t="s">
        <v>19195</v>
      </c>
      <c r="H161" t="s">
        <v>19284</v>
      </c>
      <c r="I161" t="s">
        <v>18793</v>
      </c>
      <c r="K161" t="str">
        <f>HYPERLINK("http://tuberculist.epfl.ch/quicksearch.php?gene+name=Rv0155&amp;submit=Search")</f>
        <v>http://tuberculist.epfl.ch/quicksearch.php?gene+name=Rv0155&amp;submit=Search</v>
      </c>
    </row>
    <row r="162" spans="1:11">
      <c r="A162" t="s">
        <v>3887</v>
      </c>
      <c r="B162" t="s">
        <v>697</v>
      </c>
      <c r="C162" t="s">
        <v>9567</v>
      </c>
      <c r="D162" t="s">
        <v>9947</v>
      </c>
      <c r="E162" t="s">
        <v>9950</v>
      </c>
      <c r="F162" t="s">
        <v>9951</v>
      </c>
      <c r="G162" t="s">
        <v>19195</v>
      </c>
      <c r="H162" t="s">
        <v>19207</v>
      </c>
      <c r="I162" t="s">
        <v>18779</v>
      </c>
      <c r="K162" t="str">
        <f>HYPERLINK("http://tuberculist.epfl.ch/quicksearch.php?gene+name=Rv0156&amp;submit=Search")</f>
        <v>http://tuberculist.epfl.ch/quicksearch.php?gene+name=Rv0156&amp;submit=Search</v>
      </c>
    </row>
    <row r="163" spans="1:11">
      <c r="A163" t="s">
        <v>5483</v>
      </c>
      <c r="B163" t="s">
        <v>1503</v>
      </c>
      <c r="C163" t="s">
        <v>9567</v>
      </c>
      <c r="D163" t="s">
        <v>9947</v>
      </c>
      <c r="E163" t="s">
        <v>9952</v>
      </c>
      <c r="F163" t="s">
        <v>9953</v>
      </c>
      <c r="G163" t="s">
        <v>19195</v>
      </c>
      <c r="H163" t="s">
        <v>19285</v>
      </c>
      <c r="I163" t="s">
        <v>18780</v>
      </c>
      <c r="K163" t="str">
        <f>HYPERLINK("http://tuberculist.epfl.ch/quicksearch.php?gene+name=Rv0157&amp;submit=Search")</f>
        <v>http://tuberculist.epfl.ch/quicksearch.php?gene+name=Rv0157&amp;submit=Search</v>
      </c>
    </row>
    <row r="164" spans="1:11">
      <c r="A164" t="s">
        <v>9954</v>
      </c>
      <c r="B164" t="s">
        <v>9954</v>
      </c>
      <c r="C164" t="s">
        <v>9567</v>
      </c>
      <c r="D164" t="s">
        <v>9587</v>
      </c>
      <c r="E164" t="s">
        <v>9665</v>
      </c>
      <c r="F164" t="s">
        <v>9955</v>
      </c>
      <c r="G164" t="s">
        <v>19212</v>
      </c>
      <c r="H164" t="s">
        <v>19286</v>
      </c>
      <c r="I164" t="s">
        <v>18773</v>
      </c>
      <c r="K164" t="str">
        <f>HYPERLINK("http://tuberculist.epfl.ch/quicksearch.php?gene+name=Rv0157A&amp;submit=Search")</f>
        <v>http://tuberculist.epfl.ch/quicksearch.php?gene+name=Rv0157A&amp;submit=Search</v>
      </c>
    </row>
    <row r="165" spans="1:11">
      <c r="A165" t="s">
        <v>130</v>
      </c>
      <c r="B165" t="s">
        <v>130</v>
      </c>
      <c r="C165" t="s">
        <v>9567</v>
      </c>
      <c r="D165" t="s">
        <v>9629</v>
      </c>
      <c r="E165" t="s">
        <v>9922</v>
      </c>
      <c r="F165" t="s">
        <v>9956</v>
      </c>
      <c r="G165" t="s">
        <v>19197</v>
      </c>
      <c r="H165" t="s">
        <v>19213</v>
      </c>
      <c r="I165" t="s">
        <v>18789</v>
      </c>
      <c r="K165" t="str">
        <f>HYPERLINK("http://tuberculist.epfl.ch/quicksearch.php?gene+name=Rv0158&amp;submit=Search")</f>
        <v>http://tuberculist.epfl.ch/quicksearch.php?gene+name=Rv0158&amp;submit=Search</v>
      </c>
    </row>
    <row r="166" spans="1:11">
      <c r="A166" t="s">
        <v>3982</v>
      </c>
      <c r="B166" t="s">
        <v>752</v>
      </c>
      <c r="C166" t="s">
        <v>9567</v>
      </c>
      <c r="D166" t="s">
        <v>9578</v>
      </c>
      <c r="E166" t="s">
        <v>9957</v>
      </c>
      <c r="F166" t="s">
        <v>9958</v>
      </c>
      <c r="G166" t="s">
        <v>19262</v>
      </c>
      <c r="I166" t="s">
        <v>18789</v>
      </c>
      <c r="K166" t="str">
        <f>HYPERLINK("http://tuberculist.epfl.ch/quicksearch.php?gene+name=Rv0159c&amp;submit=Search")</f>
        <v>http://tuberculist.epfl.ch/quicksearch.php?gene+name=Rv0159c&amp;submit=Search</v>
      </c>
    </row>
    <row r="167" spans="1:11">
      <c r="A167" t="s">
        <v>6589</v>
      </c>
      <c r="B167" t="s">
        <v>2052</v>
      </c>
      <c r="C167" t="s">
        <v>9567</v>
      </c>
      <c r="D167" t="s">
        <v>9578</v>
      </c>
      <c r="E167" t="s">
        <v>9959</v>
      </c>
      <c r="F167" t="s">
        <v>9960</v>
      </c>
      <c r="G167" t="s">
        <v>19262</v>
      </c>
      <c r="H167" t="s">
        <v>19211</v>
      </c>
      <c r="I167" t="s">
        <v>18780</v>
      </c>
      <c r="K167" t="str">
        <f>HYPERLINK("http://tuberculist.epfl.ch/quicksearch.php?gene+name=Rv0160c&amp;submit=Search")</f>
        <v>http://tuberculist.epfl.ch/quicksearch.php?gene+name=Rv0160c&amp;submit=Search</v>
      </c>
    </row>
    <row r="168" spans="1:11">
      <c r="A168" t="s">
        <v>3199</v>
      </c>
      <c r="B168" t="s">
        <v>3199</v>
      </c>
      <c r="C168" t="s">
        <v>9567</v>
      </c>
      <c r="D168" t="s">
        <v>9682</v>
      </c>
      <c r="E168" t="s">
        <v>9683</v>
      </c>
      <c r="F168" t="s">
        <v>9961</v>
      </c>
      <c r="G168" t="s">
        <v>19195</v>
      </c>
      <c r="H168" t="s">
        <v>19287</v>
      </c>
      <c r="I168" t="s">
        <v>18793</v>
      </c>
      <c r="K168" t="str">
        <f>HYPERLINK("http://tuberculist.epfl.ch/quicksearch.php?gene+name=Rv0161&amp;submit=Search")</f>
        <v>http://tuberculist.epfl.ch/quicksearch.php?gene+name=Rv0161&amp;submit=Search</v>
      </c>
    </row>
    <row r="169" spans="1:11">
      <c r="A169" t="s">
        <v>4050</v>
      </c>
      <c r="B169" t="s">
        <v>783</v>
      </c>
      <c r="C169" t="s">
        <v>9567</v>
      </c>
      <c r="D169" t="s">
        <v>9962</v>
      </c>
      <c r="E169" t="s">
        <v>9963</v>
      </c>
      <c r="F169" t="s">
        <v>9964</v>
      </c>
      <c r="G169" t="s">
        <v>19195</v>
      </c>
      <c r="H169" t="s">
        <v>19233</v>
      </c>
      <c r="I169" t="s">
        <v>18780</v>
      </c>
      <c r="J169" t="s">
        <v>18820</v>
      </c>
      <c r="K169" t="str">
        <f>HYPERLINK("http://tuberculist.epfl.ch/quicksearch.php?gene+name=Rv0162c&amp;submit=Search")</f>
        <v>http://tuberculist.epfl.ch/quicksearch.php?gene+name=Rv0162c&amp;submit=Search</v>
      </c>
    </row>
    <row r="170" spans="1:11">
      <c r="A170" t="s">
        <v>3216</v>
      </c>
      <c r="B170" t="s">
        <v>3216</v>
      </c>
      <c r="C170" t="s">
        <v>9567</v>
      </c>
      <c r="D170" t="s">
        <v>9578</v>
      </c>
      <c r="E170" t="s">
        <v>9665</v>
      </c>
      <c r="F170" t="s">
        <v>9965</v>
      </c>
      <c r="G170" t="s">
        <v>19212</v>
      </c>
      <c r="H170" t="s">
        <v>19233</v>
      </c>
      <c r="I170" t="s">
        <v>18780</v>
      </c>
      <c r="K170" t="str">
        <f>HYPERLINK("http://tuberculist.epfl.ch/quicksearch.php?gene+name=Rv0163&amp;submit=Search")</f>
        <v>http://tuberculist.epfl.ch/quicksearch.php?gene+name=Rv0163&amp;submit=Search</v>
      </c>
    </row>
    <row r="171" spans="1:11">
      <c r="A171" t="s">
        <v>9243</v>
      </c>
      <c r="B171" t="s">
        <v>3345</v>
      </c>
      <c r="C171" t="s">
        <v>9567</v>
      </c>
      <c r="D171" t="s">
        <v>9578</v>
      </c>
      <c r="E171" t="s">
        <v>9966</v>
      </c>
      <c r="F171" t="s">
        <v>9967</v>
      </c>
      <c r="G171" t="s">
        <v>19204</v>
      </c>
      <c r="H171" t="s">
        <v>19288</v>
      </c>
      <c r="I171" t="s">
        <v>18776</v>
      </c>
      <c r="K171" t="str">
        <f>HYPERLINK("http://tuberculist.epfl.ch/quicksearch.php?gene+name=Rv0164&amp;submit=Search")</f>
        <v>http://tuberculist.epfl.ch/quicksearch.php?gene+name=Rv0164&amp;submit=Search</v>
      </c>
    </row>
    <row r="172" spans="1:11">
      <c r="A172" t="s">
        <v>9968</v>
      </c>
      <c r="B172" t="s">
        <v>1482</v>
      </c>
      <c r="C172" t="s">
        <v>9567</v>
      </c>
      <c r="D172" t="s">
        <v>9969</v>
      </c>
      <c r="E172" t="s">
        <v>9970</v>
      </c>
      <c r="F172" t="s">
        <v>9971</v>
      </c>
      <c r="G172" t="s">
        <v>19197</v>
      </c>
      <c r="I172" t="s">
        <v>18824</v>
      </c>
      <c r="K172" t="str">
        <f>HYPERLINK("http://tuberculist.epfl.ch/quicksearch.php?gene+name=Rv0165c&amp;submit=Search")</f>
        <v>http://tuberculist.epfl.ch/quicksearch.php?gene+name=Rv0165c&amp;submit=Search</v>
      </c>
    </row>
    <row r="173" spans="1:11">
      <c r="A173" t="s">
        <v>7377</v>
      </c>
      <c r="B173" t="s">
        <v>2449</v>
      </c>
      <c r="C173" t="s">
        <v>9567</v>
      </c>
      <c r="D173" t="s">
        <v>9662</v>
      </c>
      <c r="E173" t="s">
        <v>9972</v>
      </c>
      <c r="F173" t="s">
        <v>9973</v>
      </c>
      <c r="G173" t="s">
        <v>19219</v>
      </c>
      <c r="H173" t="s">
        <v>19214</v>
      </c>
      <c r="I173" t="s">
        <v>18789</v>
      </c>
      <c r="K173" t="str">
        <f>HYPERLINK("http://tuberculist.epfl.ch/quicksearch.php?gene+name=Rv0166&amp;submit=Search")</f>
        <v>http://tuberculist.epfl.ch/quicksearch.php?gene+name=Rv0166&amp;submit=Search</v>
      </c>
    </row>
    <row r="174" spans="1:11">
      <c r="A174" t="s">
        <v>6428</v>
      </c>
      <c r="B174" t="s">
        <v>1964</v>
      </c>
      <c r="C174" t="s">
        <v>9567</v>
      </c>
      <c r="D174" t="s">
        <v>9587</v>
      </c>
      <c r="E174" t="s">
        <v>9974</v>
      </c>
      <c r="F174" t="s">
        <v>9975</v>
      </c>
      <c r="G174" t="s">
        <v>19206</v>
      </c>
      <c r="H174" t="s">
        <v>19289</v>
      </c>
      <c r="I174" t="s">
        <v>18793</v>
      </c>
      <c r="K174" t="str">
        <f>HYPERLINK("http://tuberculist.epfl.ch/quicksearch.php?gene+name=Rv0167&amp;submit=Search")</f>
        <v>http://tuberculist.epfl.ch/quicksearch.php?gene+name=Rv0167&amp;submit=Search</v>
      </c>
    </row>
    <row r="175" spans="1:11">
      <c r="A175" t="s">
        <v>7068</v>
      </c>
      <c r="B175" t="s">
        <v>2293</v>
      </c>
      <c r="C175" t="s">
        <v>9567</v>
      </c>
      <c r="D175" t="s">
        <v>9587</v>
      </c>
      <c r="E175" t="s">
        <v>9976</v>
      </c>
      <c r="F175" t="s">
        <v>9977</v>
      </c>
      <c r="G175" t="s">
        <v>19206</v>
      </c>
      <c r="H175" t="s">
        <v>19274</v>
      </c>
      <c r="I175" t="s">
        <v>18825</v>
      </c>
      <c r="K175" t="str">
        <f>HYPERLINK("http://tuberculist.epfl.ch/quicksearch.php?gene+name=Rv0168&amp;submit=Search")</f>
        <v>http://tuberculist.epfl.ch/quicksearch.php?gene+name=Rv0168&amp;submit=Search</v>
      </c>
    </row>
    <row r="176" spans="1:11">
      <c r="A176" t="s">
        <v>9166</v>
      </c>
      <c r="B176" t="s">
        <v>3309</v>
      </c>
      <c r="C176" t="s">
        <v>9567</v>
      </c>
      <c r="D176" t="s">
        <v>9978</v>
      </c>
      <c r="E176" t="s">
        <v>9979</v>
      </c>
      <c r="F176" t="s">
        <v>9980</v>
      </c>
      <c r="G176" t="s">
        <v>19206</v>
      </c>
      <c r="H176" t="s">
        <v>19290</v>
      </c>
      <c r="I176" t="s">
        <v>18826</v>
      </c>
      <c r="K176" t="str">
        <f>HYPERLINK("http://tuberculist.epfl.ch/quicksearch.php?gene+name=Rv0169&amp;submit=Search")</f>
        <v>http://tuberculist.epfl.ch/quicksearch.php?gene+name=Rv0169&amp;submit=Search</v>
      </c>
    </row>
    <row r="177" spans="1:11">
      <c r="A177" t="s">
        <v>8296</v>
      </c>
      <c r="B177" t="s">
        <v>2900</v>
      </c>
      <c r="C177" t="s">
        <v>9567</v>
      </c>
      <c r="D177" t="s">
        <v>9981</v>
      </c>
      <c r="E177" t="s">
        <v>9982</v>
      </c>
      <c r="F177" t="s">
        <v>9983</v>
      </c>
      <c r="G177" t="s">
        <v>19206</v>
      </c>
      <c r="H177" t="s">
        <v>19291</v>
      </c>
      <c r="I177" t="s">
        <v>18827</v>
      </c>
      <c r="K177" t="str">
        <f>HYPERLINK("http://tuberculist.epfl.ch/quicksearch.php?gene+name=Rv0170&amp;submit=Search")</f>
        <v>http://tuberculist.epfl.ch/quicksearch.php?gene+name=Rv0170&amp;submit=Search</v>
      </c>
    </row>
    <row r="178" spans="1:11">
      <c r="A178" t="s">
        <v>5941</v>
      </c>
      <c r="B178" t="s">
        <v>1724</v>
      </c>
      <c r="C178" t="s">
        <v>9567</v>
      </c>
      <c r="D178" t="s">
        <v>9981</v>
      </c>
      <c r="E178" t="s">
        <v>9984</v>
      </c>
      <c r="F178" t="s">
        <v>9985</v>
      </c>
      <c r="G178" t="s">
        <v>19206</v>
      </c>
      <c r="H178" t="s">
        <v>19292</v>
      </c>
      <c r="I178" t="s">
        <v>18827</v>
      </c>
      <c r="K178" t="str">
        <f>HYPERLINK("http://tuberculist.epfl.ch/quicksearch.php?gene+name=Rv0171&amp;submit=Search")</f>
        <v>http://tuberculist.epfl.ch/quicksearch.php?gene+name=Rv0171&amp;submit=Search</v>
      </c>
    </row>
    <row r="179" spans="1:11">
      <c r="A179" t="s">
        <v>9245</v>
      </c>
      <c r="B179" t="s">
        <v>3346</v>
      </c>
      <c r="C179" t="s">
        <v>9567</v>
      </c>
      <c r="D179" t="s">
        <v>9981</v>
      </c>
      <c r="E179" t="s">
        <v>9986</v>
      </c>
      <c r="F179" t="s">
        <v>9987</v>
      </c>
      <c r="G179" t="s">
        <v>19206</v>
      </c>
      <c r="H179" t="s">
        <v>19293</v>
      </c>
      <c r="I179" t="s">
        <v>18807</v>
      </c>
      <c r="K179" t="str">
        <f>HYPERLINK("http://tuberculist.epfl.ch/quicksearch.php?gene+name=Rv0172&amp;submit=Search")</f>
        <v>http://tuberculist.epfl.ch/quicksearch.php?gene+name=Rv0172&amp;submit=Search</v>
      </c>
    </row>
    <row r="180" spans="1:11">
      <c r="A180" t="s">
        <v>5768</v>
      </c>
      <c r="B180" t="s">
        <v>1642</v>
      </c>
      <c r="C180" t="s">
        <v>9567</v>
      </c>
      <c r="D180" t="s">
        <v>9981</v>
      </c>
      <c r="E180" t="s">
        <v>9988</v>
      </c>
      <c r="F180" t="s">
        <v>9989</v>
      </c>
      <c r="G180" t="s">
        <v>19188</v>
      </c>
      <c r="H180" t="s">
        <v>19294</v>
      </c>
      <c r="I180" t="s">
        <v>18828</v>
      </c>
      <c r="K180" t="str">
        <f>HYPERLINK("http://tuberculist.epfl.ch/quicksearch.php?gene+name=Rv0173&amp;submit=Search")</f>
        <v>http://tuberculist.epfl.ch/quicksearch.php?gene+name=Rv0173&amp;submit=Search</v>
      </c>
    </row>
    <row r="181" spans="1:11">
      <c r="A181" t="s">
        <v>5223</v>
      </c>
      <c r="B181" t="s">
        <v>1362</v>
      </c>
      <c r="C181" t="s">
        <v>9567</v>
      </c>
      <c r="D181" t="s">
        <v>9990</v>
      </c>
      <c r="E181" t="s">
        <v>9991</v>
      </c>
      <c r="F181" t="s">
        <v>9992</v>
      </c>
      <c r="G181" t="s">
        <v>19206</v>
      </c>
      <c r="H181" t="s">
        <v>19295</v>
      </c>
      <c r="I181" t="s">
        <v>18829</v>
      </c>
      <c r="K181" t="str">
        <f>HYPERLINK("http://tuberculist.epfl.ch/quicksearch.php?gene+name=Rv0174&amp;submit=Search")</f>
        <v>http://tuberculist.epfl.ch/quicksearch.php?gene+name=Rv0174&amp;submit=Search</v>
      </c>
    </row>
    <row r="182" spans="1:11">
      <c r="A182" t="s">
        <v>1661</v>
      </c>
      <c r="B182" t="s">
        <v>1661</v>
      </c>
      <c r="C182" t="s">
        <v>9567</v>
      </c>
      <c r="D182" t="s">
        <v>9587</v>
      </c>
      <c r="E182" t="s">
        <v>9993</v>
      </c>
      <c r="F182" t="s">
        <v>9994</v>
      </c>
      <c r="G182" t="s">
        <v>19188</v>
      </c>
      <c r="H182" t="s">
        <v>19296</v>
      </c>
      <c r="I182" t="s">
        <v>18827</v>
      </c>
      <c r="K182" t="str">
        <f>HYPERLINK("http://tuberculist.epfl.ch/quicksearch.php?gene+name=Rv0175&amp;submit=Search")</f>
        <v>http://tuberculist.epfl.ch/quicksearch.php?gene+name=Rv0175&amp;submit=Search</v>
      </c>
    </row>
    <row r="183" spans="1:11">
      <c r="A183" t="s">
        <v>2024</v>
      </c>
      <c r="B183" t="s">
        <v>2024</v>
      </c>
      <c r="C183" t="s">
        <v>9567</v>
      </c>
      <c r="D183" t="s">
        <v>9587</v>
      </c>
      <c r="E183" t="s">
        <v>9995</v>
      </c>
      <c r="F183" t="s">
        <v>9996</v>
      </c>
      <c r="G183" t="s">
        <v>19188</v>
      </c>
      <c r="H183" t="s">
        <v>19297</v>
      </c>
      <c r="I183" t="s">
        <v>18827</v>
      </c>
      <c r="K183" t="str">
        <f>HYPERLINK("http://tuberculist.epfl.ch/quicksearch.php?gene+name=Rv0176&amp;submit=Search")</f>
        <v>http://tuberculist.epfl.ch/quicksearch.php?gene+name=Rv0176&amp;submit=Search</v>
      </c>
    </row>
    <row r="184" spans="1:11">
      <c r="A184" t="s">
        <v>1035</v>
      </c>
      <c r="B184" t="s">
        <v>1035</v>
      </c>
      <c r="C184" t="s">
        <v>9567</v>
      </c>
      <c r="D184" t="s">
        <v>9587</v>
      </c>
      <c r="E184" t="s">
        <v>9997</v>
      </c>
      <c r="F184" t="s">
        <v>9998</v>
      </c>
      <c r="G184" t="s">
        <v>19298</v>
      </c>
      <c r="H184" t="s">
        <v>19299</v>
      </c>
      <c r="I184" t="s">
        <v>18786</v>
      </c>
      <c r="K184" t="str">
        <f>HYPERLINK("http://tuberculist.epfl.ch/quicksearch.php?gene+name=Rv0177&amp;submit=Search")</f>
        <v>http://tuberculist.epfl.ch/quicksearch.php?gene+name=Rv0177&amp;submit=Search</v>
      </c>
    </row>
    <row r="185" spans="1:11">
      <c r="A185" t="s">
        <v>2075</v>
      </c>
      <c r="B185" t="s">
        <v>2075</v>
      </c>
      <c r="C185" t="s">
        <v>9567</v>
      </c>
      <c r="D185" t="s">
        <v>9587</v>
      </c>
      <c r="E185" t="s">
        <v>9993</v>
      </c>
      <c r="F185" t="s">
        <v>9999</v>
      </c>
      <c r="G185" t="s">
        <v>19188</v>
      </c>
      <c r="H185" t="s">
        <v>19300</v>
      </c>
      <c r="I185" t="s">
        <v>18829</v>
      </c>
      <c r="K185" t="str">
        <f>HYPERLINK("http://tuberculist.epfl.ch/quicksearch.php?gene+name=Rv0178&amp;submit=Search")</f>
        <v>http://tuberculist.epfl.ch/quicksearch.php?gene+name=Rv0178&amp;submit=Search</v>
      </c>
    </row>
    <row r="186" spans="1:11">
      <c r="A186" t="s">
        <v>9143</v>
      </c>
      <c r="B186" t="s">
        <v>3299</v>
      </c>
      <c r="C186" t="s">
        <v>9567</v>
      </c>
      <c r="D186" t="s">
        <v>9587</v>
      </c>
      <c r="E186" t="s">
        <v>10000</v>
      </c>
      <c r="F186" t="s">
        <v>10001</v>
      </c>
      <c r="G186" t="s">
        <v>19188</v>
      </c>
      <c r="I186" t="s">
        <v>18786</v>
      </c>
      <c r="K186" t="str">
        <f>HYPERLINK("http://tuberculist.epfl.ch/quicksearch.php?gene+name=Rv0179c&amp;submit=Search")</f>
        <v>http://tuberculist.epfl.ch/quicksearch.php?gene+name=Rv0179c&amp;submit=Search</v>
      </c>
    </row>
    <row r="187" spans="1:11">
      <c r="A187" t="s">
        <v>3146</v>
      </c>
      <c r="B187" t="s">
        <v>3146</v>
      </c>
      <c r="C187" t="s">
        <v>9567</v>
      </c>
      <c r="D187" t="s">
        <v>9587</v>
      </c>
      <c r="E187" t="s">
        <v>9597</v>
      </c>
      <c r="F187" t="s">
        <v>10002</v>
      </c>
      <c r="G187" t="s">
        <v>19188</v>
      </c>
      <c r="H187" t="s">
        <v>19301</v>
      </c>
      <c r="I187" t="s">
        <v>18773</v>
      </c>
      <c r="K187" t="str">
        <f>HYPERLINK("http://tuberculist.epfl.ch/quicksearch.php?gene+name=Rv0180c&amp;submit=Search")</f>
        <v>http://tuberculist.epfl.ch/quicksearch.php?gene+name=Rv0180c&amp;submit=Search</v>
      </c>
    </row>
    <row r="188" spans="1:11">
      <c r="A188" t="s">
        <v>828</v>
      </c>
      <c r="B188" t="s">
        <v>828</v>
      </c>
      <c r="C188" t="s">
        <v>9567</v>
      </c>
      <c r="D188" t="s">
        <v>9578</v>
      </c>
      <c r="E188" t="s">
        <v>9579</v>
      </c>
      <c r="F188" t="s">
        <v>10003</v>
      </c>
      <c r="G188" t="s">
        <v>19204</v>
      </c>
      <c r="H188" t="s">
        <v>19302</v>
      </c>
      <c r="I188" t="s">
        <v>18789</v>
      </c>
      <c r="K188" t="str">
        <f>HYPERLINK("http://tuberculist.epfl.ch/quicksearch.php?gene+name=Rv0181c&amp;submit=Search")</f>
        <v>http://tuberculist.epfl.ch/quicksearch.php?gene+name=Rv0181c&amp;submit=Search</v>
      </c>
    </row>
    <row r="189" spans="1:11">
      <c r="A189" t="s">
        <v>3711</v>
      </c>
      <c r="B189" t="s">
        <v>617</v>
      </c>
      <c r="C189" t="s">
        <v>9567</v>
      </c>
      <c r="D189" t="s">
        <v>10004</v>
      </c>
      <c r="E189" t="s">
        <v>10005</v>
      </c>
      <c r="F189" t="s">
        <v>10006</v>
      </c>
      <c r="G189" t="s">
        <v>19181</v>
      </c>
      <c r="H189" t="s">
        <v>19303</v>
      </c>
      <c r="I189" t="s">
        <v>18830</v>
      </c>
      <c r="K189" t="str">
        <f>HYPERLINK("http://tuberculist.epfl.ch/quicksearch.php?gene+name=Rv0182c&amp;submit=Search")</f>
        <v>http://tuberculist.epfl.ch/quicksearch.php?gene+name=Rv0182c&amp;submit=Search</v>
      </c>
    </row>
    <row r="190" spans="1:11">
      <c r="A190" t="s">
        <v>1050</v>
      </c>
      <c r="B190" t="s">
        <v>1050</v>
      </c>
      <c r="C190" t="s">
        <v>9567</v>
      </c>
      <c r="D190" t="s">
        <v>9682</v>
      </c>
      <c r="E190" t="s">
        <v>10007</v>
      </c>
      <c r="F190" t="s">
        <v>10008</v>
      </c>
      <c r="G190" t="s">
        <v>19195</v>
      </c>
      <c r="H190" t="s">
        <v>19304</v>
      </c>
      <c r="I190" t="s">
        <v>18780</v>
      </c>
      <c r="J190" t="s">
        <v>18809</v>
      </c>
      <c r="K190" t="str">
        <f>HYPERLINK("http://tuberculist.epfl.ch/quicksearch.php?gene+name=Rv0183&amp;submit=Search")</f>
        <v>http://tuberculist.epfl.ch/quicksearch.php?gene+name=Rv0183&amp;submit=Search</v>
      </c>
    </row>
    <row r="191" spans="1:11">
      <c r="A191" t="s">
        <v>1115</v>
      </c>
      <c r="B191" t="s">
        <v>1115</v>
      </c>
      <c r="C191" t="s">
        <v>9567</v>
      </c>
      <c r="D191" t="s">
        <v>9578</v>
      </c>
      <c r="E191" t="s">
        <v>9579</v>
      </c>
      <c r="F191" t="s">
        <v>10009</v>
      </c>
      <c r="G191" t="s">
        <v>19204</v>
      </c>
      <c r="I191" t="s">
        <v>18780</v>
      </c>
      <c r="K191" t="str">
        <f>HYPERLINK("http://tuberculist.epfl.ch/quicksearch.php?gene+name=Rv0184&amp;submit=Search")</f>
        <v>http://tuberculist.epfl.ch/quicksearch.php?gene+name=Rv0184&amp;submit=Search</v>
      </c>
    </row>
    <row r="192" spans="1:11">
      <c r="A192" t="s">
        <v>2754</v>
      </c>
      <c r="B192" t="s">
        <v>2754</v>
      </c>
      <c r="C192" t="s">
        <v>9567</v>
      </c>
      <c r="D192" t="s">
        <v>10010</v>
      </c>
      <c r="E192" t="s">
        <v>9579</v>
      </c>
      <c r="F192" t="s">
        <v>10011</v>
      </c>
      <c r="G192" t="s">
        <v>19204</v>
      </c>
      <c r="H192" t="s">
        <v>19214</v>
      </c>
      <c r="I192" t="s">
        <v>18779</v>
      </c>
      <c r="K192" t="str">
        <f>HYPERLINK("http://tuberculist.epfl.ch/quicksearch.php?gene+name=Rv0185&amp;submit=Search")</f>
        <v>http://tuberculist.epfl.ch/quicksearch.php?gene+name=Rv0185&amp;submit=Search</v>
      </c>
    </row>
    <row r="193" spans="1:11">
      <c r="A193" t="s">
        <v>19</v>
      </c>
      <c r="B193" t="s">
        <v>20</v>
      </c>
      <c r="C193" t="s">
        <v>9567</v>
      </c>
      <c r="D193" t="s">
        <v>10012</v>
      </c>
      <c r="E193" t="s">
        <v>10013</v>
      </c>
      <c r="F193" t="s">
        <v>10014</v>
      </c>
      <c r="G193" t="s">
        <v>19195</v>
      </c>
      <c r="H193" t="s">
        <v>19305</v>
      </c>
      <c r="I193" t="s">
        <v>18773</v>
      </c>
      <c r="K193" t="str">
        <f>HYPERLINK("http://tuberculist.epfl.ch/quicksearch.php?gene+name=Rv0186&amp;submit=Search")</f>
        <v>http://tuberculist.epfl.ch/quicksearch.php?gene+name=Rv0186&amp;submit=Search</v>
      </c>
    </row>
    <row r="194" spans="1:11">
      <c r="A194" t="s">
        <v>10015</v>
      </c>
      <c r="B194" t="s">
        <v>10016</v>
      </c>
      <c r="C194" t="s">
        <v>9567</v>
      </c>
      <c r="D194" t="s">
        <v>10017</v>
      </c>
      <c r="E194" t="s">
        <v>10018</v>
      </c>
      <c r="F194" t="s">
        <v>10019</v>
      </c>
      <c r="G194" t="s">
        <v>19206</v>
      </c>
      <c r="I194" t="s">
        <v>18831</v>
      </c>
      <c r="K194" t="str">
        <f>HYPERLINK("http://tuberculist.epfl.ch/quicksearch.php?gene+name=Rv0186A&amp;submit=Search")</f>
        <v>http://tuberculist.epfl.ch/quicksearch.php?gene+name=Rv0186A&amp;submit=Search</v>
      </c>
    </row>
    <row r="195" spans="1:11">
      <c r="A195" t="s">
        <v>2727</v>
      </c>
      <c r="B195" t="s">
        <v>2727</v>
      </c>
      <c r="C195" t="s">
        <v>9567</v>
      </c>
      <c r="D195" t="s">
        <v>10020</v>
      </c>
      <c r="E195" t="s">
        <v>10021</v>
      </c>
      <c r="F195" t="s">
        <v>10022</v>
      </c>
      <c r="G195" t="s">
        <v>19195</v>
      </c>
      <c r="H195" t="s">
        <v>19306</v>
      </c>
      <c r="I195" t="s">
        <v>18783</v>
      </c>
      <c r="K195" t="str">
        <f>HYPERLINK("http://tuberculist.epfl.ch/quicksearch.php?gene+name=Rv0187&amp;submit=Search")</f>
        <v>http://tuberculist.epfl.ch/quicksearch.php?gene+name=Rv0187&amp;submit=Search</v>
      </c>
    </row>
    <row r="196" spans="1:11">
      <c r="A196" t="s">
        <v>414</v>
      </c>
      <c r="B196" t="s">
        <v>414</v>
      </c>
      <c r="C196" t="s">
        <v>9567</v>
      </c>
      <c r="D196" t="s">
        <v>9587</v>
      </c>
      <c r="E196" t="s">
        <v>9597</v>
      </c>
      <c r="F196" t="s">
        <v>10023</v>
      </c>
      <c r="G196" t="s">
        <v>19188</v>
      </c>
      <c r="H196" t="s">
        <v>19209</v>
      </c>
      <c r="I196" t="s">
        <v>18780</v>
      </c>
      <c r="K196" t="str">
        <f>HYPERLINK("http://tuberculist.epfl.ch/quicksearch.php?gene+name=Rv0188&amp;submit=Search")</f>
        <v>http://tuberculist.epfl.ch/quicksearch.php?gene+name=Rv0188&amp;submit=Search</v>
      </c>
    </row>
    <row r="197" spans="1:11">
      <c r="A197" t="s">
        <v>9120</v>
      </c>
      <c r="B197" t="s">
        <v>3288</v>
      </c>
      <c r="C197" t="s">
        <v>9567</v>
      </c>
      <c r="D197" t="s">
        <v>10024</v>
      </c>
      <c r="E197" t="s">
        <v>10025</v>
      </c>
      <c r="F197" t="s">
        <v>10026</v>
      </c>
      <c r="G197" t="s">
        <v>19195</v>
      </c>
      <c r="H197" t="s">
        <v>19307</v>
      </c>
      <c r="I197" t="s">
        <v>18774</v>
      </c>
      <c r="K197" t="str">
        <f>HYPERLINK("http://tuberculist.epfl.ch/quicksearch.php?gene+name=Rv0189c&amp;submit=Search")</f>
        <v>http://tuberculist.epfl.ch/quicksearch.php?gene+name=Rv0189c&amp;submit=Search</v>
      </c>
    </row>
    <row r="198" spans="1:11">
      <c r="A198" t="s">
        <v>3419</v>
      </c>
      <c r="B198" t="s">
        <v>3419</v>
      </c>
      <c r="C198" t="s">
        <v>9567</v>
      </c>
      <c r="D198" t="s">
        <v>9578</v>
      </c>
      <c r="E198" t="s">
        <v>9665</v>
      </c>
      <c r="F198" t="s">
        <v>10027</v>
      </c>
      <c r="G198" t="s">
        <v>19210</v>
      </c>
      <c r="H198" t="s">
        <v>19272</v>
      </c>
      <c r="I198" t="s">
        <v>18780</v>
      </c>
      <c r="K198" t="str">
        <f>HYPERLINK("http://tuberculist.epfl.ch/quicksearch.php?gene+name=Rv0190&amp;submit=Search")</f>
        <v>http://tuberculist.epfl.ch/quicksearch.php?gene+name=Rv0190&amp;submit=Search</v>
      </c>
    </row>
    <row r="199" spans="1:11">
      <c r="A199" t="s">
        <v>2134</v>
      </c>
      <c r="B199" t="s">
        <v>2134</v>
      </c>
      <c r="C199" t="s">
        <v>9567</v>
      </c>
      <c r="D199" t="s">
        <v>10028</v>
      </c>
      <c r="E199" t="s">
        <v>9668</v>
      </c>
      <c r="F199" t="s">
        <v>10029</v>
      </c>
      <c r="G199" t="s">
        <v>19188</v>
      </c>
      <c r="I199" t="s">
        <v>18780</v>
      </c>
      <c r="K199" t="str">
        <f>HYPERLINK("http://tuberculist.epfl.ch/quicksearch.php?gene+name=Rv0191&amp;submit=Search")</f>
        <v>http://tuberculist.epfl.ch/quicksearch.php?gene+name=Rv0191&amp;submit=Search</v>
      </c>
    </row>
    <row r="200" spans="1:11">
      <c r="A200" t="s">
        <v>2802</v>
      </c>
      <c r="B200" t="s">
        <v>2802</v>
      </c>
      <c r="C200" t="s">
        <v>9567</v>
      </c>
      <c r="D200" t="s">
        <v>9578</v>
      </c>
      <c r="E200" t="s">
        <v>9579</v>
      </c>
      <c r="F200" t="s">
        <v>10030</v>
      </c>
      <c r="G200" t="s">
        <v>19212</v>
      </c>
      <c r="H200" t="s">
        <v>19308</v>
      </c>
      <c r="I200" t="s">
        <v>18789</v>
      </c>
      <c r="K200" t="str">
        <f>HYPERLINK("http://tuberculist.epfl.ch/quicksearch.php?gene+name=Rv0192&amp;submit=Search")</f>
        <v>http://tuberculist.epfl.ch/quicksearch.php?gene+name=Rv0192&amp;submit=Search</v>
      </c>
    </row>
    <row r="201" spans="1:11">
      <c r="A201" t="s">
        <v>10031</v>
      </c>
      <c r="B201" t="s">
        <v>10031</v>
      </c>
      <c r="C201" t="s">
        <v>9567</v>
      </c>
      <c r="D201" t="s">
        <v>9578</v>
      </c>
      <c r="E201" t="s">
        <v>10032</v>
      </c>
      <c r="F201" t="s">
        <v>10033</v>
      </c>
      <c r="G201" t="s">
        <v>19188</v>
      </c>
      <c r="I201" t="s">
        <v>18773</v>
      </c>
      <c r="K201" t="str">
        <f>HYPERLINK("http://tuberculist.epfl.ch/quicksearch.php?gene+name=Rv0192A&amp;submit=Search")</f>
        <v>http://tuberculist.epfl.ch/quicksearch.php?gene+name=Rv0192A&amp;submit=Search</v>
      </c>
    </row>
    <row r="202" spans="1:11">
      <c r="A202" t="s">
        <v>440</v>
      </c>
      <c r="B202" t="s">
        <v>440</v>
      </c>
      <c r="C202" t="s">
        <v>9567</v>
      </c>
      <c r="D202" t="s">
        <v>9587</v>
      </c>
      <c r="E202" t="s">
        <v>9713</v>
      </c>
      <c r="F202" t="s">
        <v>10034</v>
      </c>
      <c r="G202" t="s">
        <v>19212</v>
      </c>
      <c r="I202" t="s">
        <v>18789</v>
      </c>
      <c r="J202" t="s">
        <v>18832</v>
      </c>
      <c r="K202" t="str">
        <f>HYPERLINK("http://tuberculist.epfl.ch/quicksearch.php?gene+name=Rv0193c&amp;submit=Search")</f>
        <v>http://tuberculist.epfl.ch/quicksearch.php?gene+name=Rv0193c&amp;submit=Search</v>
      </c>
    </row>
    <row r="203" spans="1:11">
      <c r="A203" t="s">
        <v>3010</v>
      </c>
      <c r="B203" t="s">
        <v>3010</v>
      </c>
      <c r="C203" t="s">
        <v>9567</v>
      </c>
      <c r="D203" t="s">
        <v>10035</v>
      </c>
      <c r="E203" t="s">
        <v>10036</v>
      </c>
      <c r="F203" t="s">
        <v>10037</v>
      </c>
      <c r="G203" t="s">
        <v>19188</v>
      </c>
      <c r="H203" t="s">
        <v>19263</v>
      </c>
      <c r="I203" t="s">
        <v>18797</v>
      </c>
      <c r="J203" t="s">
        <v>18832</v>
      </c>
      <c r="K203" t="str">
        <f>HYPERLINK("http://tuberculist.epfl.ch/quicksearch.php?gene+name=Rv0194&amp;submit=Search")</f>
        <v>http://tuberculist.epfl.ch/quicksearch.php?gene+name=Rv0194&amp;submit=Search</v>
      </c>
    </row>
    <row r="204" spans="1:11">
      <c r="A204" t="s">
        <v>698</v>
      </c>
      <c r="B204" t="s">
        <v>698</v>
      </c>
      <c r="C204" t="s">
        <v>9567</v>
      </c>
      <c r="D204" t="s">
        <v>10038</v>
      </c>
      <c r="E204" t="s">
        <v>10039</v>
      </c>
      <c r="F204" t="s">
        <v>10040</v>
      </c>
      <c r="G204" t="s">
        <v>19197</v>
      </c>
      <c r="I204" t="s">
        <v>18833</v>
      </c>
      <c r="J204" t="s">
        <v>18832</v>
      </c>
      <c r="K204" t="str">
        <f>HYPERLINK("http://tuberculist.epfl.ch/quicksearch.php?gene+name=Rv0195&amp;submit=Search")</f>
        <v>http://tuberculist.epfl.ch/quicksearch.php?gene+name=Rv0195&amp;submit=Search</v>
      </c>
    </row>
    <row r="205" spans="1:11">
      <c r="A205" t="s">
        <v>10041</v>
      </c>
      <c r="B205" t="s">
        <v>10041</v>
      </c>
      <c r="C205" t="s">
        <v>9567</v>
      </c>
      <c r="D205" t="s">
        <v>9632</v>
      </c>
      <c r="E205" t="s">
        <v>9633</v>
      </c>
      <c r="F205" t="s">
        <v>10042</v>
      </c>
      <c r="G205" t="s">
        <v>19197</v>
      </c>
      <c r="H205" t="s">
        <v>19309</v>
      </c>
      <c r="I205" t="s">
        <v>18821</v>
      </c>
      <c r="K205" t="str">
        <f>HYPERLINK("http://tuberculist.epfl.ch/quicksearch.php?gene+name=Rv0196&amp;submit=Search")</f>
        <v>http://tuberculist.epfl.ch/quicksearch.php?gene+name=Rv0196&amp;submit=Search</v>
      </c>
    </row>
    <row r="206" spans="1:11">
      <c r="A206" t="s">
        <v>3338</v>
      </c>
      <c r="B206" t="s">
        <v>3338</v>
      </c>
      <c r="C206" t="s">
        <v>9567</v>
      </c>
      <c r="D206" t="s">
        <v>9682</v>
      </c>
      <c r="E206" t="s">
        <v>9683</v>
      </c>
      <c r="F206" t="s">
        <v>10043</v>
      </c>
      <c r="G206" t="s">
        <v>19195</v>
      </c>
      <c r="H206" t="s">
        <v>19211</v>
      </c>
      <c r="I206" t="s">
        <v>18779</v>
      </c>
      <c r="K206" t="str">
        <f>HYPERLINK("http://tuberculist.epfl.ch/quicksearch.php?gene+name=Rv0197&amp;submit=Search")</f>
        <v>http://tuberculist.epfl.ch/quicksearch.php?gene+name=Rv0197&amp;submit=Search</v>
      </c>
    </row>
    <row r="207" spans="1:11">
      <c r="A207" t="s">
        <v>10044</v>
      </c>
      <c r="B207" t="s">
        <v>2373</v>
      </c>
      <c r="C207" t="s">
        <v>9567</v>
      </c>
      <c r="D207" t="s">
        <v>10045</v>
      </c>
      <c r="E207" t="s">
        <v>10046</v>
      </c>
      <c r="F207" t="s">
        <v>10047</v>
      </c>
      <c r="G207" t="s">
        <v>19195</v>
      </c>
      <c r="H207" t="s">
        <v>19310</v>
      </c>
      <c r="I207" t="s">
        <v>18834</v>
      </c>
      <c r="K207" t="str">
        <f>HYPERLINK("http://tuberculist.epfl.ch/quicksearch.php?gene+name=Rv0198c&amp;submit=Search")</f>
        <v>http://tuberculist.epfl.ch/quicksearch.php?gene+name=Rv0198c&amp;submit=Search</v>
      </c>
    </row>
    <row r="208" spans="1:11">
      <c r="A208" t="s">
        <v>2605</v>
      </c>
      <c r="B208" t="s">
        <v>2605</v>
      </c>
      <c r="C208" t="s">
        <v>9567</v>
      </c>
      <c r="D208" t="s">
        <v>9587</v>
      </c>
      <c r="E208" t="s">
        <v>9595</v>
      </c>
      <c r="F208" t="s">
        <v>10048</v>
      </c>
      <c r="G208" t="s">
        <v>19188</v>
      </c>
      <c r="H208" t="s">
        <v>19311</v>
      </c>
      <c r="I208" t="s">
        <v>18835</v>
      </c>
      <c r="K208" t="str">
        <f>HYPERLINK("http://tuberculist.epfl.ch/quicksearch.php?gene+name=Rv0199&amp;submit=Search")</f>
        <v>http://tuberculist.epfl.ch/quicksearch.php?gene+name=Rv0199&amp;submit=Search</v>
      </c>
    </row>
    <row r="209" spans="1:11">
      <c r="A209" t="s">
        <v>520</v>
      </c>
      <c r="B209" t="s">
        <v>520</v>
      </c>
      <c r="C209" t="s">
        <v>9567</v>
      </c>
      <c r="D209" t="s">
        <v>9587</v>
      </c>
      <c r="E209" t="s">
        <v>9671</v>
      </c>
      <c r="F209" t="s">
        <v>10049</v>
      </c>
      <c r="G209" t="s">
        <v>19188</v>
      </c>
      <c r="H209" t="s">
        <v>19312</v>
      </c>
      <c r="I209" t="s">
        <v>18779</v>
      </c>
      <c r="K209" t="str">
        <f>HYPERLINK("http://tuberculist.epfl.ch/quicksearch.php?gene+name=Rv0200&amp;submit=Search")</f>
        <v>http://tuberculist.epfl.ch/quicksearch.php?gene+name=Rv0200&amp;submit=Search</v>
      </c>
    </row>
    <row r="210" spans="1:11">
      <c r="A210" t="s">
        <v>2585</v>
      </c>
      <c r="B210" t="s">
        <v>2585</v>
      </c>
      <c r="C210" t="s">
        <v>9567</v>
      </c>
      <c r="D210" t="s">
        <v>9578</v>
      </c>
      <c r="E210" t="s">
        <v>9665</v>
      </c>
      <c r="F210" t="s">
        <v>10050</v>
      </c>
      <c r="G210" t="s">
        <v>19212</v>
      </c>
      <c r="H210" t="s">
        <v>19233</v>
      </c>
      <c r="I210" t="s">
        <v>18780</v>
      </c>
      <c r="K210" t="str">
        <f>HYPERLINK("http://tuberculist.epfl.ch/quicksearch.php?gene+name=Rv0201c&amp;submit=Search")</f>
        <v>http://tuberculist.epfl.ch/quicksearch.php?gene+name=Rv0201c&amp;submit=Search</v>
      </c>
    </row>
    <row r="211" spans="1:11">
      <c r="A211" t="s">
        <v>3744</v>
      </c>
      <c r="B211" t="s">
        <v>634</v>
      </c>
      <c r="C211" t="s">
        <v>9567</v>
      </c>
      <c r="D211" t="s">
        <v>10051</v>
      </c>
      <c r="E211" t="s">
        <v>10052</v>
      </c>
      <c r="F211" t="s">
        <v>10053</v>
      </c>
      <c r="G211" t="s">
        <v>19188</v>
      </c>
      <c r="H211" t="s">
        <v>19313</v>
      </c>
      <c r="I211" t="s">
        <v>18836</v>
      </c>
      <c r="K211" t="str">
        <f>HYPERLINK("http://tuberculist.epfl.ch/quicksearch.php?gene+name=Rv0202c&amp;submit=Search")</f>
        <v>http://tuberculist.epfl.ch/quicksearch.php?gene+name=Rv0202c&amp;submit=Search</v>
      </c>
    </row>
    <row r="212" spans="1:11">
      <c r="A212" t="s">
        <v>2463</v>
      </c>
      <c r="B212" t="s">
        <v>2463</v>
      </c>
      <c r="C212" t="s">
        <v>9567</v>
      </c>
      <c r="D212" t="s">
        <v>9587</v>
      </c>
      <c r="E212" t="s">
        <v>10054</v>
      </c>
      <c r="F212" t="s">
        <v>10055</v>
      </c>
      <c r="G212" t="s">
        <v>19188</v>
      </c>
      <c r="H212" t="s">
        <v>19264</v>
      </c>
      <c r="I212" t="s">
        <v>18793</v>
      </c>
      <c r="K212" t="str">
        <f>HYPERLINK("http://tuberculist.epfl.ch/quicksearch.php?gene+name=Rv0203&amp;submit=Search")</f>
        <v>http://tuberculist.epfl.ch/quicksearch.php?gene+name=Rv0203&amp;submit=Search</v>
      </c>
    </row>
    <row r="213" spans="1:11">
      <c r="A213" t="s">
        <v>1080</v>
      </c>
      <c r="B213" t="s">
        <v>1080</v>
      </c>
      <c r="C213" t="s">
        <v>9567</v>
      </c>
      <c r="D213" t="s">
        <v>9587</v>
      </c>
      <c r="E213" t="s">
        <v>9597</v>
      </c>
      <c r="F213" t="s">
        <v>10056</v>
      </c>
      <c r="G213" t="s">
        <v>19188</v>
      </c>
      <c r="H213" t="s">
        <v>19314</v>
      </c>
      <c r="I213" t="s">
        <v>18837</v>
      </c>
      <c r="K213" t="str">
        <f>HYPERLINK("http://tuberculist.epfl.ch/quicksearch.php?gene+name=Rv0204c&amp;submit=Search")</f>
        <v>http://tuberculist.epfl.ch/quicksearch.php?gene+name=Rv0204c&amp;submit=Search</v>
      </c>
    </row>
    <row r="214" spans="1:11">
      <c r="A214" t="s">
        <v>925</v>
      </c>
      <c r="B214" t="s">
        <v>925</v>
      </c>
      <c r="C214" t="s">
        <v>9567</v>
      </c>
      <c r="D214" t="s">
        <v>9587</v>
      </c>
      <c r="E214" t="s">
        <v>9597</v>
      </c>
      <c r="F214" t="s">
        <v>10057</v>
      </c>
      <c r="G214" t="s">
        <v>19188</v>
      </c>
      <c r="H214" t="s">
        <v>19192</v>
      </c>
      <c r="I214" t="s">
        <v>18838</v>
      </c>
      <c r="K214" t="str">
        <f>HYPERLINK("http://tuberculist.epfl.ch/quicksearch.php?gene+name=Rv0205&amp;submit=Search")</f>
        <v>http://tuberculist.epfl.ch/quicksearch.php?gene+name=Rv0205&amp;submit=Search</v>
      </c>
    </row>
    <row r="215" spans="1:11">
      <c r="A215" t="s">
        <v>5657</v>
      </c>
      <c r="B215" t="s">
        <v>1591</v>
      </c>
      <c r="C215" t="s">
        <v>9567</v>
      </c>
      <c r="D215" t="s">
        <v>10051</v>
      </c>
      <c r="E215" t="s">
        <v>10058</v>
      </c>
      <c r="F215" t="s">
        <v>10059</v>
      </c>
      <c r="G215" t="s">
        <v>19188</v>
      </c>
      <c r="H215" t="s">
        <v>19315</v>
      </c>
      <c r="I215" t="s">
        <v>18788</v>
      </c>
      <c r="K215" t="str">
        <f>HYPERLINK("http://tuberculist.epfl.ch/quicksearch.php?gene+name=Rv0206c&amp;submit=Search")</f>
        <v>http://tuberculist.epfl.ch/quicksearch.php?gene+name=Rv0206c&amp;submit=Search</v>
      </c>
    </row>
    <row r="216" spans="1:11">
      <c r="A216" t="s">
        <v>2537</v>
      </c>
      <c r="B216" t="s">
        <v>2537</v>
      </c>
      <c r="C216" t="s">
        <v>9567</v>
      </c>
      <c r="D216" t="s">
        <v>9578</v>
      </c>
      <c r="E216" t="s">
        <v>9579</v>
      </c>
      <c r="F216" t="s">
        <v>10060</v>
      </c>
      <c r="G216" t="s">
        <v>19212</v>
      </c>
      <c r="H216" t="s">
        <v>19316</v>
      </c>
      <c r="I216" t="s">
        <v>18786</v>
      </c>
      <c r="K216" t="str">
        <f>HYPERLINK("http://tuberculist.epfl.ch/quicksearch.php?gene+name=Rv0207c&amp;submit=Search")</f>
        <v>http://tuberculist.epfl.ch/quicksearch.php?gene+name=Rv0207c&amp;submit=Search</v>
      </c>
    </row>
    <row r="217" spans="1:11">
      <c r="A217" t="s">
        <v>1714</v>
      </c>
      <c r="B217" t="s">
        <v>1714</v>
      </c>
      <c r="C217" t="s">
        <v>9567</v>
      </c>
      <c r="D217" t="s">
        <v>10061</v>
      </c>
      <c r="E217" t="s">
        <v>10062</v>
      </c>
      <c r="F217" t="s">
        <v>10063</v>
      </c>
      <c r="G217" t="s">
        <v>19195</v>
      </c>
      <c r="I217" t="s">
        <v>18774</v>
      </c>
      <c r="K217" t="str">
        <f>HYPERLINK("http://tuberculist.epfl.ch/quicksearch.php?gene+name=Rv0208c&amp;submit=Search")</f>
        <v>http://tuberculist.epfl.ch/quicksearch.php?gene+name=Rv0208c&amp;submit=Search</v>
      </c>
    </row>
    <row r="218" spans="1:11">
      <c r="A218" t="s">
        <v>1624</v>
      </c>
      <c r="B218" t="s">
        <v>1624</v>
      </c>
      <c r="C218" t="s">
        <v>9567</v>
      </c>
      <c r="D218" t="s">
        <v>9587</v>
      </c>
      <c r="E218" t="s">
        <v>9713</v>
      </c>
      <c r="F218" t="s">
        <v>10064</v>
      </c>
      <c r="G218" t="s">
        <v>19204</v>
      </c>
      <c r="H218" t="s">
        <v>19207</v>
      </c>
      <c r="I218" t="s">
        <v>18780</v>
      </c>
      <c r="K218" t="str">
        <f>HYPERLINK("http://tuberculist.epfl.ch/quicksearch.php?gene+name=Rv0209&amp;submit=Search")</f>
        <v>http://tuberculist.epfl.ch/quicksearch.php?gene+name=Rv0209&amp;submit=Search</v>
      </c>
    </row>
    <row r="219" spans="1:11">
      <c r="A219" t="s">
        <v>2999</v>
      </c>
      <c r="B219" t="s">
        <v>2999</v>
      </c>
      <c r="C219" t="s">
        <v>9567</v>
      </c>
      <c r="D219" t="s">
        <v>9587</v>
      </c>
      <c r="E219" t="s">
        <v>9713</v>
      </c>
      <c r="F219" t="s">
        <v>10065</v>
      </c>
      <c r="G219" t="s">
        <v>19212</v>
      </c>
      <c r="I219" t="s">
        <v>18780</v>
      </c>
      <c r="K219" t="str">
        <f>HYPERLINK("http://tuberculist.epfl.ch/quicksearch.php?gene+name=Rv0210&amp;submit=Search")</f>
        <v>http://tuberculist.epfl.ch/quicksearch.php?gene+name=Rv0210&amp;submit=Search</v>
      </c>
    </row>
    <row r="220" spans="1:11">
      <c r="A220" t="s">
        <v>4431</v>
      </c>
      <c r="B220" t="s">
        <v>983</v>
      </c>
      <c r="C220" t="s">
        <v>9567</v>
      </c>
      <c r="D220" t="s">
        <v>10066</v>
      </c>
      <c r="E220" t="s">
        <v>10067</v>
      </c>
      <c r="F220" t="s">
        <v>10068</v>
      </c>
      <c r="G220" t="s">
        <v>19195</v>
      </c>
      <c r="H220" t="s">
        <v>19317</v>
      </c>
      <c r="I220" t="s">
        <v>18776</v>
      </c>
      <c r="K220" t="str">
        <f>HYPERLINK("http://tuberculist.epfl.ch/quicksearch.php?gene+name=Rv0211&amp;submit=Search")</f>
        <v>http://tuberculist.epfl.ch/quicksearch.php?gene+name=Rv0211&amp;submit=Search</v>
      </c>
    </row>
    <row r="221" spans="1:11">
      <c r="A221" t="s">
        <v>5988</v>
      </c>
      <c r="B221" t="s">
        <v>1750</v>
      </c>
      <c r="C221" t="s">
        <v>9567</v>
      </c>
      <c r="D221" t="s">
        <v>9629</v>
      </c>
      <c r="E221" t="s">
        <v>10069</v>
      </c>
      <c r="F221" t="s">
        <v>10070</v>
      </c>
      <c r="G221" t="s">
        <v>19197</v>
      </c>
      <c r="I221" t="s">
        <v>18821</v>
      </c>
      <c r="K221" t="str">
        <f>HYPERLINK("http://tuberculist.epfl.ch/quicksearch.php?gene+name=Rv0212c&amp;submit=Search")</f>
        <v>http://tuberculist.epfl.ch/quicksearch.php?gene+name=Rv0212c&amp;submit=Search</v>
      </c>
    </row>
    <row r="222" spans="1:11">
      <c r="A222" t="s">
        <v>693</v>
      </c>
      <c r="B222" t="s">
        <v>693</v>
      </c>
      <c r="C222" t="s">
        <v>9567</v>
      </c>
      <c r="D222" t="s">
        <v>10061</v>
      </c>
      <c r="E222" t="s">
        <v>10071</v>
      </c>
      <c r="F222" t="s">
        <v>10072</v>
      </c>
      <c r="G222" t="s">
        <v>19195</v>
      </c>
      <c r="H222" t="s">
        <v>19302</v>
      </c>
      <c r="I222" t="s">
        <v>18797</v>
      </c>
      <c r="J222" t="s">
        <v>18839</v>
      </c>
      <c r="K222" t="str">
        <f>HYPERLINK("http://tuberculist.epfl.ch/quicksearch.php?gene+name=Rv0213c&amp;submit=Search")</f>
        <v>http://tuberculist.epfl.ch/quicksearch.php?gene+name=Rv0213c&amp;submit=Search</v>
      </c>
    </row>
    <row r="223" spans="1:11">
      <c r="A223" t="s">
        <v>7427</v>
      </c>
      <c r="B223" t="s">
        <v>2476</v>
      </c>
      <c r="C223" t="s">
        <v>9567</v>
      </c>
      <c r="D223" t="s">
        <v>9662</v>
      </c>
      <c r="E223" t="s">
        <v>10073</v>
      </c>
      <c r="F223" t="s">
        <v>10074</v>
      </c>
      <c r="G223" t="s">
        <v>19219</v>
      </c>
      <c r="H223" t="s">
        <v>19318</v>
      </c>
      <c r="I223" t="s">
        <v>18821</v>
      </c>
      <c r="J223" t="s">
        <v>18839</v>
      </c>
      <c r="K223" t="str">
        <f>HYPERLINK("http://tuberculist.epfl.ch/quicksearch.php?gene+name=Rv0214&amp;submit=Search")</f>
        <v>http://tuberculist.epfl.ch/quicksearch.php?gene+name=Rv0214&amp;submit=Search</v>
      </c>
    </row>
    <row r="224" spans="1:11">
      <c r="A224" t="s">
        <v>6676</v>
      </c>
      <c r="B224" t="s">
        <v>2098</v>
      </c>
      <c r="C224" t="s">
        <v>9567</v>
      </c>
      <c r="D224" t="s">
        <v>9662</v>
      </c>
      <c r="E224" t="s">
        <v>10075</v>
      </c>
      <c r="F224" t="s">
        <v>10076</v>
      </c>
      <c r="G224" t="s">
        <v>19219</v>
      </c>
      <c r="I224" t="s">
        <v>18780</v>
      </c>
      <c r="K224" t="str">
        <f>HYPERLINK("http://tuberculist.epfl.ch/quicksearch.php?gene+name=Rv0215c&amp;submit=Search")</f>
        <v>http://tuberculist.epfl.ch/quicksearch.php?gene+name=Rv0215c&amp;submit=Search</v>
      </c>
    </row>
    <row r="225" spans="1:11">
      <c r="A225" t="s">
        <v>2541</v>
      </c>
      <c r="B225" t="s">
        <v>2541</v>
      </c>
      <c r="C225" t="s">
        <v>9567</v>
      </c>
      <c r="D225" t="s">
        <v>9587</v>
      </c>
      <c r="E225" t="s">
        <v>10077</v>
      </c>
      <c r="F225" t="s">
        <v>10078</v>
      </c>
      <c r="G225" t="s">
        <v>19195</v>
      </c>
      <c r="H225" t="s">
        <v>19319</v>
      </c>
      <c r="I225" t="s">
        <v>18810</v>
      </c>
      <c r="K225" t="str">
        <f>HYPERLINK("http://tuberculist.epfl.ch/quicksearch.php?gene+name=Rv0216&amp;submit=Search")</f>
        <v>http://tuberculist.epfl.ch/quicksearch.php?gene+name=Rv0216&amp;submit=Search</v>
      </c>
    </row>
    <row r="226" spans="1:11">
      <c r="A226" t="s">
        <v>7826</v>
      </c>
      <c r="B226" t="s">
        <v>2672</v>
      </c>
      <c r="C226" t="s">
        <v>9567</v>
      </c>
      <c r="D226" t="s">
        <v>10079</v>
      </c>
      <c r="E226" t="s">
        <v>10080</v>
      </c>
      <c r="F226" t="s">
        <v>10081</v>
      </c>
      <c r="G226" t="s">
        <v>19195</v>
      </c>
      <c r="I226" t="s">
        <v>18780</v>
      </c>
      <c r="K226" t="str">
        <f>HYPERLINK("http://tuberculist.epfl.ch/quicksearch.php?gene+name=Rv0217c&amp;submit=Search")</f>
        <v>http://tuberculist.epfl.ch/quicksearch.php?gene+name=Rv0217c&amp;submit=Search</v>
      </c>
    </row>
    <row r="227" spans="1:11">
      <c r="A227" t="s">
        <v>555</v>
      </c>
      <c r="B227" t="s">
        <v>555</v>
      </c>
      <c r="C227" t="s">
        <v>9567</v>
      </c>
      <c r="D227" t="s">
        <v>9587</v>
      </c>
      <c r="E227" t="s">
        <v>9597</v>
      </c>
      <c r="F227" t="s">
        <v>10082</v>
      </c>
      <c r="G227" t="s">
        <v>19188</v>
      </c>
      <c r="H227" t="s">
        <v>19192</v>
      </c>
      <c r="I227" t="s">
        <v>18835</v>
      </c>
      <c r="K227" t="str">
        <f>HYPERLINK("http://tuberculist.epfl.ch/quicksearch.php?gene+name=Rv0218&amp;submit=Search")</f>
        <v>http://tuberculist.epfl.ch/quicksearch.php?gene+name=Rv0218&amp;submit=Search</v>
      </c>
    </row>
    <row r="228" spans="1:11">
      <c r="A228" t="s">
        <v>10083</v>
      </c>
      <c r="B228" t="s">
        <v>10083</v>
      </c>
      <c r="C228" t="s">
        <v>9567</v>
      </c>
      <c r="D228" t="s">
        <v>9587</v>
      </c>
      <c r="E228" t="s">
        <v>9597</v>
      </c>
      <c r="F228" t="s">
        <v>10084</v>
      </c>
      <c r="G228" t="s">
        <v>19188</v>
      </c>
      <c r="H228" t="s">
        <v>19320</v>
      </c>
      <c r="I228" t="s">
        <v>18780</v>
      </c>
      <c r="K228" t="str">
        <f>HYPERLINK("http://tuberculist.epfl.ch/quicksearch.php?gene+name=Rv0219&amp;submit=Search")</f>
        <v>http://tuberculist.epfl.ch/quicksearch.php?gene+name=Rv0219&amp;submit=Search</v>
      </c>
    </row>
    <row r="229" spans="1:11">
      <c r="A229" t="s">
        <v>6283</v>
      </c>
      <c r="B229" t="s">
        <v>1892</v>
      </c>
      <c r="C229" t="s">
        <v>9567</v>
      </c>
      <c r="D229" t="s">
        <v>10079</v>
      </c>
      <c r="E229" t="s">
        <v>10085</v>
      </c>
      <c r="F229" t="s">
        <v>10086</v>
      </c>
      <c r="G229" t="s">
        <v>19195</v>
      </c>
      <c r="I229" t="s">
        <v>18779</v>
      </c>
      <c r="K229" t="str">
        <f>HYPERLINK("http://tuberculist.epfl.ch/quicksearch.php?gene+name=Rv0220&amp;submit=Search")</f>
        <v>http://tuberculist.epfl.ch/quicksearch.php?gene+name=Rv0220&amp;submit=Search</v>
      </c>
    </row>
    <row r="230" spans="1:11">
      <c r="A230" t="s">
        <v>2071</v>
      </c>
      <c r="B230" t="s">
        <v>2071</v>
      </c>
      <c r="C230" t="s">
        <v>9567</v>
      </c>
      <c r="D230" t="s">
        <v>10087</v>
      </c>
      <c r="E230" t="s">
        <v>10088</v>
      </c>
      <c r="F230" t="s">
        <v>10089</v>
      </c>
      <c r="G230" t="s">
        <v>19219</v>
      </c>
      <c r="H230" t="s">
        <v>19225</v>
      </c>
      <c r="I230" t="s">
        <v>18792</v>
      </c>
      <c r="K230" t="str">
        <f>HYPERLINK("http://tuberculist.epfl.ch/quicksearch.php?gene+name=Rv0221&amp;submit=Search")</f>
        <v>http://tuberculist.epfl.ch/quicksearch.php?gene+name=Rv0221&amp;submit=Search</v>
      </c>
    </row>
    <row r="231" spans="1:11">
      <c r="A231" t="s">
        <v>10090</v>
      </c>
      <c r="B231" t="s">
        <v>10091</v>
      </c>
      <c r="C231" t="s">
        <v>9567</v>
      </c>
      <c r="D231" t="s">
        <v>10092</v>
      </c>
      <c r="E231" t="s">
        <v>10093</v>
      </c>
      <c r="F231" t="s">
        <v>10094</v>
      </c>
      <c r="G231" t="s">
        <v>19219</v>
      </c>
      <c r="H231" t="s">
        <v>19321</v>
      </c>
      <c r="I231" t="s">
        <v>18773</v>
      </c>
      <c r="K231" t="str">
        <f>HYPERLINK("http://tuberculist.epfl.ch/quicksearch.php?gene+name=Rv0222&amp;submit=Search")</f>
        <v>http://tuberculist.epfl.ch/quicksearch.php?gene+name=Rv0222&amp;submit=Search</v>
      </c>
    </row>
    <row r="232" spans="1:11">
      <c r="A232" t="s">
        <v>1685</v>
      </c>
      <c r="B232" t="s">
        <v>1685</v>
      </c>
      <c r="C232" t="s">
        <v>9567</v>
      </c>
      <c r="D232" t="s">
        <v>10095</v>
      </c>
      <c r="E232" t="s">
        <v>10096</v>
      </c>
      <c r="F232" t="s">
        <v>10097</v>
      </c>
      <c r="G232" t="s">
        <v>19195</v>
      </c>
      <c r="H232" t="s">
        <v>19322</v>
      </c>
      <c r="I232" t="s">
        <v>18818</v>
      </c>
      <c r="J232" t="s">
        <v>18820</v>
      </c>
      <c r="K232" t="str">
        <f>HYPERLINK("http://tuberculist.epfl.ch/quicksearch.php?gene+name=Rv0223c&amp;submit=Search")</f>
        <v>http://tuberculist.epfl.ch/quicksearch.php?gene+name=Rv0223c&amp;submit=Search</v>
      </c>
    </row>
    <row r="233" spans="1:11">
      <c r="A233" t="s">
        <v>822</v>
      </c>
      <c r="B233" t="s">
        <v>822</v>
      </c>
      <c r="C233" t="s">
        <v>9567</v>
      </c>
      <c r="D233" t="s">
        <v>10061</v>
      </c>
      <c r="E233" t="s">
        <v>10071</v>
      </c>
      <c r="F233" t="s">
        <v>10098</v>
      </c>
      <c r="G233" t="s">
        <v>19195</v>
      </c>
      <c r="I233" t="s">
        <v>18774</v>
      </c>
      <c r="K233" t="str">
        <f>HYPERLINK("http://tuberculist.epfl.ch/quicksearch.php?gene+name=Rv0224c&amp;submit=Search")</f>
        <v>http://tuberculist.epfl.ch/quicksearch.php?gene+name=Rv0224c&amp;submit=Search</v>
      </c>
    </row>
    <row r="234" spans="1:11">
      <c r="A234" t="s">
        <v>2723</v>
      </c>
      <c r="B234" t="s">
        <v>2723</v>
      </c>
      <c r="C234" t="s">
        <v>9567</v>
      </c>
      <c r="D234" t="s">
        <v>10099</v>
      </c>
      <c r="E234" t="s">
        <v>10100</v>
      </c>
      <c r="F234" t="s">
        <v>10101</v>
      </c>
      <c r="G234" t="s">
        <v>19188</v>
      </c>
      <c r="I234" t="s">
        <v>18776</v>
      </c>
      <c r="K234" t="str">
        <f>HYPERLINK("http://tuberculist.epfl.ch/quicksearch.php?gene+name=Rv0225&amp;submit=Search")</f>
        <v>http://tuberculist.epfl.ch/quicksearch.php?gene+name=Rv0225&amp;submit=Search</v>
      </c>
    </row>
    <row r="235" spans="1:11">
      <c r="A235" t="s">
        <v>810</v>
      </c>
      <c r="B235" t="s">
        <v>810</v>
      </c>
      <c r="C235" t="s">
        <v>9567</v>
      </c>
      <c r="D235" t="s">
        <v>9587</v>
      </c>
      <c r="E235" t="s">
        <v>9597</v>
      </c>
      <c r="F235" t="s">
        <v>10102</v>
      </c>
      <c r="G235" t="s">
        <v>19188</v>
      </c>
      <c r="H235" t="s">
        <v>19252</v>
      </c>
      <c r="I235" t="s">
        <v>18774</v>
      </c>
      <c r="K235" t="str">
        <f>HYPERLINK("http://tuberculist.epfl.ch/quicksearch.php?gene+name=Rv0226c&amp;submit=Search")</f>
        <v>http://tuberculist.epfl.ch/quicksearch.php?gene+name=Rv0226c&amp;submit=Search</v>
      </c>
    </row>
    <row r="236" spans="1:11">
      <c r="A236" t="s">
        <v>1060</v>
      </c>
      <c r="B236" t="s">
        <v>1060</v>
      </c>
      <c r="C236" t="s">
        <v>9567</v>
      </c>
      <c r="D236" t="s">
        <v>9587</v>
      </c>
      <c r="E236" t="s">
        <v>9595</v>
      </c>
      <c r="F236" t="s">
        <v>10103</v>
      </c>
      <c r="G236" t="s">
        <v>19188</v>
      </c>
      <c r="H236" t="s">
        <v>19323</v>
      </c>
      <c r="I236" t="s">
        <v>18774</v>
      </c>
      <c r="K236" t="str">
        <f>HYPERLINK("http://tuberculist.epfl.ch/quicksearch.php?gene+name=Rv0227c&amp;submit=Search")</f>
        <v>http://tuberculist.epfl.ch/quicksearch.php?gene+name=Rv0227c&amp;submit=Search</v>
      </c>
    </row>
    <row r="237" spans="1:11">
      <c r="A237" t="s">
        <v>1542</v>
      </c>
      <c r="B237" t="s">
        <v>1542</v>
      </c>
      <c r="C237" t="s">
        <v>9567</v>
      </c>
      <c r="D237" t="s">
        <v>9682</v>
      </c>
      <c r="E237" t="s">
        <v>10104</v>
      </c>
      <c r="F237" t="s">
        <v>10105</v>
      </c>
      <c r="G237" t="s">
        <v>19195</v>
      </c>
      <c r="I237" t="s">
        <v>18774</v>
      </c>
      <c r="K237" t="str">
        <f>HYPERLINK("http://tuberculist.epfl.ch/quicksearch.php?gene+name=Rv0228&amp;submit=Search")</f>
        <v>http://tuberculist.epfl.ch/quicksearch.php?gene+name=Rv0228&amp;submit=Search</v>
      </c>
    </row>
    <row r="238" spans="1:11">
      <c r="A238" t="s">
        <v>2558</v>
      </c>
      <c r="B238" t="s">
        <v>2558</v>
      </c>
      <c r="C238" t="s">
        <v>9567</v>
      </c>
      <c r="D238" t="s">
        <v>9587</v>
      </c>
      <c r="E238" t="s">
        <v>10106</v>
      </c>
      <c r="F238" t="s">
        <v>10107</v>
      </c>
      <c r="G238" t="s">
        <v>19188</v>
      </c>
      <c r="H238" t="s">
        <v>19229</v>
      </c>
      <c r="I238" t="s">
        <v>18777</v>
      </c>
      <c r="K238" t="str">
        <f>HYPERLINK("http://tuberculist.epfl.ch/quicksearch.php?gene+name=Rv0229c&amp;submit=Search")</f>
        <v>http://tuberculist.epfl.ch/quicksearch.php?gene+name=Rv0229c&amp;submit=Search</v>
      </c>
    </row>
    <row r="239" spans="1:11">
      <c r="A239" t="s">
        <v>8806</v>
      </c>
      <c r="B239" t="s">
        <v>3140</v>
      </c>
      <c r="C239" t="s">
        <v>9567</v>
      </c>
      <c r="D239" t="s">
        <v>10108</v>
      </c>
      <c r="E239" t="s">
        <v>10109</v>
      </c>
      <c r="F239" t="s">
        <v>10110</v>
      </c>
      <c r="G239" t="s">
        <v>19219</v>
      </c>
      <c r="H239" t="s">
        <v>19324</v>
      </c>
      <c r="I239" t="s">
        <v>18789</v>
      </c>
      <c r="K239" t="str">
        <f>HYPERLINK("http://tuberculist.epfl.ch/quicksearch.php?gene+name=Rv0230c&amp;submit=Search")</f>
        <v>http://tuberculist.epfl.ch/quicksearch.php?gene+name=Rv0230c&amp;submit=Search</v>
      </c>
    </row>
    <row r="240" spans="1:11">
      <c r="A240" t="s">
        <v>22</v>
      </c>
      <c r="B240" t="s">
        <v>21</v>
      </c>
      <c r="C240" t="s">
        <v>9567</v>
      </c>
      <c r="D240" t="s">
        <v>9662</v>
      </c>
      <c r="E240" t="s">
        <v>10111</v>
      </c>
      <c r="F240" t="s">
        <v>10112</v>
      </c>
      <c r="G240" t="s">
        <v>19219</v>
      </c>
      <c r="H240" t="s">
        <v>19325</v>
      </c>
      <c r="I240" t="s">
        <v>18789</v>
      </c>
      <c r="K240" t="str">
        <f>HYPERLINK("http://tuberculist.epfl.ch/quicksearch.php?gene+name=Rv0231&amp;submit=Search")</f>
        <v>http://tuberculist.epfl.ch/quicksearch.php?gene+name=Rv0231&amp;submit=Search</v>
      </c>
    </row>
    <row r="241" spans="1:11">
      <c r="A241" t="s">
        <v>113</v>
      </c>
      <c r="B241" t="s">
        <v>113</v>
      </c>
      <c r="C241" t="s">
        <v>9567</v>
      </c>
      <c r="D241" t="s">
        <v>9629</v>
      </c>
      <c r="E241" t="s">
        <v>10113</v>
      </c>
      <c r="F241" t="s">
        <v>10114</v>
      </c>
      <c r="G241" t="s">
        <v>19197</v>
      </c>
      <c r="H241" t="s">
        <v>19213</v>
      </c>
      <c r="I241" t="s">
        <v>18780</v>
      </c>
      <c r="J241" t="s">
        <v>18840</v>
      </c>
      <c r="K241" t="str">
        <f>HYPERLINK("http://tuberculist.epfl.ch/quicksearch.php?gene+name=Rv0232&amp;submit=Search")</f>
        <v>http://tuberculist.epfl.ch/quicksearch.php?gene+name=Rv0232&amp;submit=Search</v>
      </c>
    </row>
    <row r="242" spans="1:11">
      <c r="A242" t="s">
        <v>7535</v>
      </c>
      <c r="B242" t="s">
        <v>2521</v>
      </c>
      <c r="C242" t="s">
        <v>9567</v>
      </c>
      <c r="D242" t="s">
        <v>10115</v>
      </c>
      <c r="E242" t="s">
        <v>10116</v>
      </c>
      <c r="F242" t="s">
        <v>10117</v>
      </c>
      <c r="G242" t="s">
        <v>19181</v>
      </c>
      <c r="H242" t="s">
        <v>19326</v>
      </c>
      <c r="I242" t="s">
        <v>18841</v>
      </c>
      <c r="K242" t="str">
        <f>HYPERLINK("http://tuberculist.epfl.ch/quicksearch.php?gene+name=Rv0233&amp;submit=Search")</f>
        <v>http://tuberculist.epfl.ch/quicksearch.php?gene+name=Rv0233&amp;submit=Search</v>
      </c>
    </row>
    <row r="243" spans="1:11">
      <c r="A243" t="s">
        <v>8498</v>
      </c>
      <c r="B243" t="s">
        <v>2994</v>
      </c>
      <c r="C243" t="s">
        <v>9567</v>
      </c>
      <c r="D243" t="s">
        <v>10118</v>
      </c>
      <c r="E243" t="s">
        <v>10119</v>
      </c>
      <c r="F243" t="s">
        <v>10120</v>
      </c>
      <c r="G243" t="s">
        <v>19195</v>
      </c>
      <c r="H243" t="s">
        <v>19327</v>
      </c>
      <c r="I243" t="s">
        <v>18793</v>
      </c>
      <c r="K243" t="str">
        <f>HYPERLINK("http://tuberculist.epfl.ch/quicksearch.php?gene+name=Rv0234c&amp;submit=Search")</f>
        <v>http://tuberculist.epfl.ch/quicksearch.php?gene+name=Rv0234c&amp;submit=Search</v>
      </c>
    </row>
    <row r="244" spans="1:11">
      <c r="A244" t="s">
        <v>1093</v>
      </c>
      <c r="B244" t="s">
        <v>1093</v>
      </c>
      <c r="C244" t="s">
        <v>9567</v>
      </c>
      <c r="D244" t="s">
        <v>9587</v>
      </c>
      <c r="E244" t="s">
        <v>9597</v>
      </c>
      <c r="F244" t="s">
        <v>10121</v>
      </c>
      <c r="G244" t="s">
        <v>19188</v>
      </c>
      <c r="H244" t="s">
        <v>19328</v>
      </c>
      <c r="I244" t="s">
        <v>18788</v>
      </c>
      <c r="K244" t="str">
        <f>HYPERLINK("http://tuberculist.epfl.ch/quicksearch.php?gene+name=Rv0235c&amp;submit=Search")</f>
        <v>http://tuberculist.epfl.ch/quicksearch.php?gene+name=Rv0235c&amp;submit=Search</v>
      </c>
    </row>
    <row r="245" spans="1:11">
      <c r="A245" t="s">
        <v>3262</v>
      </c>
      <c r="B245" t="s">
        <v>3262</v>
      </c>
      <c r="C245" t="s">
        <v>9567</v>
      </c>
      <c r="D245" t="s">
        <v>9587</v>
      </c>
      <c r="E245" t="s">
        <v>10122</v>
      </c>
      <c r="F245" t="s">
        <v>10123</v>
      </c>
      <c r="G245" t="s">
        <v>19188</v>
      </c>
      <c r="H245" t="s">
        <v>19213</v>
      </c>
      <c r="I245" t="s">
        <v>18773</v>
      </c>
      <c r="K245" t="str">
        <f>HYPERLINK("http://tuberculist.epfl.ch/quicksearch.php?gene+name=Rv0236A&amp;submit=Search")</f>
        <v>http://tuberculist.epfl.ch/quicksearch.php?gene+name=Rv0236A&amp;submit=Search</v>
      </c>
    </row>
    <row r="246" spans="1:11">
      <c r="A246" t="s">
        <v>10124</v>
      </c>
      <c r="B246" t="s">
        <v>1228</v>
      </c>
      <c r="C246" t="s">
        <v>9567</v>
      </c>
      <c r="D246" t="s">
        <v>10125</v>
      </c>
      <c r="E246" t="s">
        <v>10126</v>
      </c>
      <c r="F246" t="s">
        <v>10127</v>
      </c>
      <c r="G246" t="s">
        <v>19188</v>
      </c>
      <c r="H246" t="s">
        <v>19257</v>
      </c>
      <c r="I246" t="s">
        <v>18842</v>
      </c>
      <c r="K246" t="str">
        <f>HYPERLINK("http://tuberculist.epfl.ch/quicksearch.php?gene+name=Rv0236c&amp;submit=Search")</f>
        <v>http://tuberculist.epfl.ch/quicksearch.php?gene+name=Rv0236c&amp;submit=Search</v>
      </c>
    </row>
    <row r="247" spans="1:11">
      <c r="A247" t="s">
        <v>6304</v>
      </c>
      <c r="B247" t="s">
        <v>1900</v>
      </c>
      <c r="C247" t="s">
        <v>9567</v>
      </c>
      <c r="D247" t="s">
        <v>9587</v>
      </c>
      <c r="E247" t="s">
        <v>10128</v>
      </c>
      <c r="F247" t="s">
        <v>10129</v>
      </c>
      <c r="G247" t="s">
        <v>19188</v>
      </c>
      <c r="H247" t="s">
        <v>19329</v>
      </c>
      <c r="I247" t="s">
        <v>18780</v>
      </c>
      <c r="K247" t="str">
        <f>HYPERLINK("http://tuberculist.epfl.ch/quicksearch.php?gene+name=Rv0237&amp;submit=Search")</f>
        <v>http://tuberculist.epfl.ch/quicksearch.php?gene+name=Rv0237&amp;submit=Search</v>
      </c>
    </row>
    <row r="248" spans="1:11">
      <c r="A248" t="s">
        <v>3316</v>
      </c>
      <c r="B248" t="s">
        <v>3316</v>
      </c>
      <c r="C248" t="s">
        <v>9567</v>
      </c>
      <c r="D248" t="s">
        <v>9632</v>
      </c>
      <c r="E248" t="s">
        <v>10130</v>
      </c>
      <c r="F248" t="s">
        <v>10131</v>
      </c>
      <c r="G248" t="s">
        <v>19197</v>
      </c>
      <c r="H248" t="s">
        <v>19283</v>
      </c>
      <c r="I248" t="s">
        <v>18777</v>
      </c>
      <c r="K248" t="str">
        <f>HYPERLINK("http://tuberculist.epfl.ch/quicksearch.php?gene+name=Rv0238&amp;submit=Search")</f>
        <v>http://tuberculist.epfl.ch/quicksearch.php?gene+name=Rv0238&amp;submit=Search</v>
      </c>
    </row>
    <row r="249" spans="1:11">
      <c r="A249" t="s">
        <v>10132</v>
      </c>
      <c r="B249" t="s">
        <v>2074</v>
      </c>
      <c r="C249" t="s">
        <v>9567</v>
      </c>
      <c r="D249" t="s">
        <v>9587</v>
      </c>
      <c r="E249" t="s">
        <v>10133</v>
      </c>
      <c r="F249" t="s">
        <v>10134</v>
      </c>
      <c r="G249" t="s">
        <v>19206</v>
      </c>
      <c r="I249" t="s">
        <v>18780</v>
      </c>
      <c r="K249" s="15" t="str">
        <f>HYPERLINK("http://tuberculist.epfl.ch/quicksearch.php?gene+name=Rv0239&amp;submit=Search")</f>
        <v>http://tuberculist.epfl.ch/quicksearch.php?gene+name=Rv0239&amp;submit=Search</v>
      </c>
    </row>
    <row r="250" spans="1:11">
      <c r="A250" t="s">
        <v>10135</v>
      </c>
      <c r="B250" t="s">
        <v>2220</v>
      </c>
      <c r="C250" t="s">
        <v>9567</v>
      </c>
      <c r="D250" t="s">
        <v>9587</v>
      </c>
      <c r="E250" t="s">
        <v>10136</v>
      </c>
      <c r="F250" t="s">
        <v>10137</v>
      </c>
      <c r="G250" t="s">
        <v>19206</v>
      </c>
      <c r="H250" t="s">
        <v>19250</v>
      </c>
      <c r="I250" t="s">
        <v>18821</v>
      </c>
      <c r="K250" t="str">
        <f>HYPERLINK("http://tuberculist.epfl.ch/quicksearch.php?gene+name=Rv0240&amp;submit=Search")</f>
        <v>http://tuberculist.epfl.ch/quicksearch.php?gene+name=Rv0240&amp;submit=Search</v>
      </c>
    </row>
    <row r="251" spans="1:11">
      <c r="A251" t="s">
        <v>10138</v>
      </c>
      <c r="B251" t="s">
        <v>1094</v>
      </c>
      <c r="C251" t="s">
        <v>9567</v>
      </c>
      <c r="D251" t="s">
        <v>10139</v>
      </c>
      <c r="E251" t="s">
        <v>10140</v>
      </c>
      <c r="F251" t="s">
        <v>10141</v>
      </c>
      <c r="G251" t="s">
        <v>19195</v>
      </c>
      <c r="H251" t="s">
        <v>19330</v>
      </c>
      <c r="I251" t="s">
        <v>18796</v>
      </c>
      <c r="K251" t="str">
        <f>HYPERLINK("http://tuberculist.epfl.ch/quicksearch.php?gene+name=Rv0241c&amp;submit=Search")</f>
        <v>http://tuberculist.epfl.ch/quicksearch.php?gene+name=Rv0241c&amp;submit=Search</v>
      </c>
    </row>
    <row r="252" spans="1:11">
      <c r="A252" t="s">
        <v>10142</v>
      </c>
      <c r="B252" t="s">
        <v>3407</v>
      </c>
      <c r="C252" t="s">
        <v>9567</v>
      </c>
      <c r="D252" t="s">
        <v>10143</v>
      </c>
      <c r="E252" t="s">
        <v>10144</v>
      </c>
      <c r="F252" t="s">
        <v>10145</v>
      </c>
      <c r="G252" t="s">
        <v>19219</v>
      </c>
      <c r="H252" t="s">
        <v>19331</v>
      </c>
      <c r="I252" t="s">
        <v>18779</v>
      </c>
      <c r="K252" t="str">
        <f>HYPERLINK("http://tuberculist.epfl.ch/quicksearch.php?gene+name=Rv0242c&amp;submit=Search")</f>
        <v>http://tuberculist.epfl.ch/quicksearch.php?gene+name=Rv0242c&amp;submit=Search</v>
      </c>
    </row>
    <row r="253" spans="1:11">
      <c r="A253" t="s">
        <v>8812</v>
      </c>
      <c r="B253" t="s">
        <v>3142</v>
      </c>
      <c r="C253" t="s">
        <v>9567</v>
      </c>
      <c r="D253" t="s">
        <v>10146</v>
      </c>
      <c r="E253" t="s">
        <v>10147</v>
      </c>
      <c r="F253" t="s">
        <v>10148</v>
      </c>
      <c r="G253" t="s">
        <v>19219</v>
      </c>
      <c r="H253" t="s">
        <v>19332</v>
      </c>
      <c r="I253" t="s">
        <v>18777</v>
      </c>
      <c r="K253" t="str">
        <f>HYPERLINK("http://tuberculist.epfl.ch/quicksearch.php?gene+name=Rv0243&amp;submit=Search")</f>
        <v>http://tuberculist.epfl.ch/quicksearch.php?gene+name=Rv0243&amp;submit=Search</v>
      </c>
    </row>
    <row r="254" spans="1:11">
      <c r="A254" t="s">
        <v>9434</v>
      </c>
      <c r="B254" t="s">
        <v>452</v>
      </c>
      <c r="C254" t="s">
        <v>9567</v>
      </c>
      <c r="D254" t="s">
        <v>9662</v>
      </c>
      <c r="E254" t="s">
        <v>10149</v>
      </c>
      <c r="F254" t="s">
        <v>10150</v>
      </c>
      <c r="G254" t="s">
        <v>19219</v>
      </c>
      <c r="H254" t="s">
        <v>19333</v>
      </c>
      <c r="I254" t="s">
        <v>18843</v>
      </c>
      <c r="K254" t="str">
        <f>HYPERLINK("http://tuberculist.epfl.ch/quicksearch.php?gene+name=Rv0244c&amp;submit=Search")</f>
        <v>http://tuberculist.epfl.ch/quicksearch.php?gene+name=Rv0244c&amp;submit=Search</v>
      </c>
    </row>
    <row r="255" spans="1:11">
      <c r="A255" t="s">
        <v>2281</v>
      </c>
      <c r="B255" t="s">
        <v>2281</v>
      </c>
      <c r="C255" t="s">
        <v>9567</v>
      </c>
      <c r="D255" t="s">
        <v>9682</v>
      </c>
      <c r="E255" t="s">
        <v>9683</v>
      </c>
      <c r="F255" t="s">
        <v>10151</v>
      </c>
      <c r="G255" t="s">
        <v>19195</v>
      </c>
      <c r="H255" t="s">
        <v>19334</v>
      </c>
      <c r="I255" t="s">
        <v>18780</v>
      </c>
      <c r="K255" t="str">
        <f>HYPERLINK("http://tuberculist.epfl.ch/quicksearch.php?gene+name=Rv0245&amp;submit=Search")</f>
        <v>http://tuberculist.epfl.ch/quicksearch.php?gene+name=Rv0245&amp;submit=Search</v>
      </c>
    </row>
    <row r="256" spans="1:11">
      <c r="A256" t="s">
        <v>1161</v>
      </c>
      <c r="B256" t="s">
        <v>1161</v>
      </c>
      <c r="C256" t="s">
        <v>9567</v>
      </c>
      <c r="D256" t="s">
        <v>9587</v>
      </c>
      <c r="E256" t="s">
        <v>9668</v>
      </c>
      <c r="F256" t="s">
        <v>10152</v>
      </c>
      <c r="G256" t="s">
        <v>19188</v>
      </c>
      <c r="H256" t="s">
        <v>19205</v>
      </c>
      <c r="I256" t="s">
        <v>18789</v>
      </c>
      <c r="J256" t="s">
        <v>18844</v>
      </c>
      <c r="K256" t="str">
        <f>HYPERLINK("http://tuberculist.epfl.ch/quicksearch.php?gene+name=Rv0246&amp;submit=Search")</f>
        <v>http://tuberculist.epfl.ch/quicksearch.php?gene+name=Rv0246&amp;submit=Search</v>
      </c>
    </row>
    <row r="257" spans="1:11">
      <c r="A257" t="s">
        <v>993</v>
      </c>
      <c r="B257" t="s">
        <v>993</v>
      </c>
      <c r="C257" t="s">
        <v>9567</v>
      </c>
      <c r="D257" t="s">
        <v>10153</v>
      </c>
      <c r="E257" t="s">
        <v>10154</v>
      </c>
      <c r="F257" t="s">
        <v>10155</v>
      </c>
      <c r="G257" t="s">
        <v>19195</v>
      </c>
      <c r="H257" t="s">
        <v>19230</v>
      </c>
      <c r="I257" t="s">
        <v>18776</v>
      </c>
      <c r="K257" t="str">
        <f>HYPERLINK("http://tuberculist.epfl.ch/quicksearch.php?gene+name=Rv0247c&amp;submit=Search")</f>
        <v>http://tuberculist.epfl.ch/quicksearch.php?gene+name=Rv0247c&amp;submit=Search</v>
      </c>
    </row>
    <row r="258" spans="1:11">
      <c r="A258" t="s">
        <v>2555</v>
      </c>
      <c r="B258" t="s">
        <v>2555</v>
      </c>
      <c r="C258" t="s">
        <v>9567</v>
      </c>
      <c r="D258" t="s">
        <v>10153</v>
      </c>
      <c r="E258" t="s">
        <v>10154</v>
      </c>
      <c r="F258" t="s">
        <v>10156</v>
      </c>
      <c r="G258" t="s">
        <v>19195</v>
      </c>
      <c r="H258" t="s">
        <v>19335</v>
      </c>
      <c r="I258" t="s">
        <v>18845</v>
      </c>
      <c r="K258" t="str">
        <f>HYPERLINK("http://tuberculist.epfl.ch/quicksearch.php?gene+name=Rv0248c&amp;submit=Search")</f>
        <v>http://tuberculist.epfl.ch/quicksearch.php?gene+name=Rv0248c&amp;submit=Search</v>
      </c>
    </row>
    <row r="259" spans="1:11">
      <c r="A259" t="s">
        <v>2602</v>
      </c>
      <c r="B259" t="s">
        <v>2602</v>
      </c>
      <c r="C259" t="s">
        <v>9567</v>
      </c>
      <c r="D259" t="s">
        <v>10157</v>
      </c>
      <c r="E259" t="s">
        <v>10158</v>
      </c>
      <c r="F259" t="s">
        <v>10159</v>
      </c>
      <c r="G259" t="s">
        <v>19195</v>
      </c>
      <c r="H259" t="s">
        <v>19324</v>
      </c>
      <c r="I259" t="s">
        <v>18846</v>
      </c>
      <c r="K259" t="str">
        <f>HYPERLINK("http://tuberculist.epfl.ch/quicksearch.php?gene+name=Rv0249c&amp;submit=Search")</f>
        <v>http://tuberculist.epfl.ch/quicksearch.php?gene+name=Rv0249c&amp;submit=Search</v>
      </c>
    </row>
    <row r="260" spans="1:11">
      <c r="A260" t="s">
        <v>29</v>
      </c>
      <c r="B260" t="s">
        <v>29</v>
      </c>
      <c r="C260" t="s">
        <v>9567</v>
      </c>
      <c r="D260" t="s">
        <v>10160</v>
      </c>
      <c r="E260" t="s">
        <v>9665</v>
      </c>
      <c r="F260" t="s">
        <v>10161</v>
      </c>
      <c r="G260" t="s">
        <v>19212</v>
      </c>
      <c r="H260" t="s">
        <v>19287</v>
      </c>
      <c r="I260" t="s">
        <v>18780</v>
      </c>
      <c r="K260" t="str">
        <f>HYPERLINK("http://tuberculist.epfl.ch/quicksearch.php?gene+name=Rv0250c&amp;submit=Search")</f>
        <v>http://tuberculist.epfl.ch/quicksearch.php?gene+name=Rv0250c&amp;submit=Search</v>
      </c>
    </row>
    <row r="261" spans="1:11">
      <c r="A261" t="s">
        <v>38</v>
      </c>
      <c r="B261" t="s">
        <v>39</v>
      </c>
      <c r="C261" t="s">
        <v>9567</v>
      </c>
      <c r="D261" t="s">
        <v>10162</v>
      </c>
      <c r="E261" t="s">
        <v>10163</v>
      </c>
      <c r="F261" t="s">
        <v>10164</v>
      </c>
      <c r="G261" t="s">
        <v>19206</v>
      </c>
      <c r="H261" t="s">
        <v>19336</v>
      </c>
      <c r="I261" t="s">
        <v>18789</v>
      </c>
      <c r="J261" t="s">
        <v>18847</v>
      </c>
      <c r="K261" t="str">
        <f>HYPERLINK("http://tuberculist.epfl.ch/quicksearch.php?gene+name=Rv0251c&amp;submit=Search")</f>
        <v>http://tuberculist.epfl.ch/quicksearch.php?gene+name=Rv0251c&amp;submit=Search</v>
      </c>
    </row>
    <row r="262" spans="1:11">
      <c r="A262" t="s">
        <v>139</v>
      </c>
      <c r="B262" t="s">
        <v>138</v>
      </c>
      <c r="C262" t="s">
        <v>9567</v>
      </c>
      <c r="D262" t="s">
        <v>10165</v>
      </c>
      <c r="E262" t="s">
        <v>10166</v>
      </c>
      <c r="F262" t="s">
        <v>10167</v>
      </c>
      <c r="G262" t="s">
        <v>19195</v>
      </c>
      <c r="H262" t="s">
        <v>19337</v>
      </c>
      <c r="I262" t="s">
        <v>18779</v>
      </c>
      <c r="K262" t="str">
        <f>HYPERLINK("http://tuberculist.epfl.ch/quicksearch.php?gene+name=Rv0252&amp;submit=Search")</f>
        <v>http://tuberculist.epfl.ch/quicksearch.php?gene+name=Rv0252&amp;submit=Search</v>
      </c>
    </row>
    <row r="263" spans="1:11">
      <c r="A263" t="s">
        <v>10168</v>
      </c>
      <c r="B263" t="s">
        <v>10169</v>
      </c>
      <c r="C263" t="s">
        <v>9567</v>
      </c>
      <c r="D263" t="s">
        <v>10170</v>
      </c>
      <c r="E263" t="s">
        <v>10171</v>
      </c>
      <c r="F263" t="s">
        <v>10172</v>
      </c>
      <c r="G263" t="s">
        <v>19195</v>
      </c>
      <c r="I263" t="s">
        <v>18789</v>
      </c>
      <c r="K263" t="str">
        <f>HYPERLINK("http://tuberculist.epfl.ch/quicksearch.php?gene+name=Rv0253&amp;submit=Search")</f>
        <v>http://tuberculist.epfl.ch/quicksearch.php?gene+name=Rv0253&amp;submit=Search</v>
      </c>
    </row>
    <row r="264" spans="1:11">
      <c r="A264" t="s">
        <v>5113</v>
      </c>
      <c r="B264" t="s">
        <v>1308</v>
      </c>
      <c r="C264" t="s">
        <v>9567</v>
      </c>
      <c r="D264" t="s">
        <v>10173</v>
      </c>
      <c r="E264" t="s">
        <v>10174</v>
      </c>
      <c r="F264" t="s">
        <v>10175</v>
      </c>
      <c r="G264" t="s">
        <v>19195</v>
      </c>
      <c r="H264" t="s">
        <v>19213</v>
      </c>
      <c r="I264" t="s">
        <v>18789</v>
      </c>
      <c r="K264" t="str">
        <f>HYPERLINK("http://tuberculist.epfl.ch/quicksearch.php?gene+name=Rv0254c&amp;submit=Search")</f>
        <v>http://tuberculist.epfl.ch/quicksearch.php?gene+name=Rv0254c&amp;submit=Search</v>
      </c>
    </row>
    <row r="265" spans="1:11">
      <c r="A265" t="s">
        <v>5635</v>
      </c>
      <c r="B265" t="s">
        <v>1583</v>
      </c>
      <c r="C265" t="s">
        <v>9567</v>
      </c>
      <c r="D265" t="s">
        <v>10176</v>
      </c>
      <c r="E265" t="s">
        <v>10177</v>
      </c>
      <c r="F265" t="s">
        <v>10178</v>
      </c>
      <c r="G265" t="s">
        <v>19195</v>
      </c>
      <c r="H265" t="s">
        <v>19214</v>
      </c>
      <c r="I265" t="s">
        <v>18780</v>
      </c>
      <c r="K265" t="str">
        <f>HYPERLINK("http://tuberculist.epfl.ch/quicksearch.php?gene+name=Rv0255c&amp;submit=Search")</f>
        <v>http://tuberculist.epfl.ch/quicksearch.php?gene+name=Rv0255c&amp;submit=Search</v>
      </c>
    </row>
    <row r="266" spans="1:11">
      <c r="A266" t="s">
        <v>6311</v>
      </c>
      <c r="B266" t="s">
        <v>1903</v>
      </c>
      <c r="C266" t="s">
        <v>9567</v>
      </c>
      <c r="D266" t="s">
        <v>9578</v>
      </c>
      <c r="E266" t="s">
        <v>10179</v>
      </c>
      <c r="F266" t="s">
        <v>10180</v>
      </c>
      <c r="G266" t="s">
        <v>19262</v>
      </c>
      <c r="H266" t="s">
        <v>19207</v>
      </c>
      <c r="I266" t="s">
        <v>18780</v>
      </c>
      <c r="K266" t="str">
        <f>HYPERLINK("http://tuberculist.epfl.ch/quicksearch.php?gene+name=Rv0256c&amp;submit=Search")</f>
        <v>http://tuberculist.epfl.ch/quicksearch.php?gene+name=Rv0256c&amp;submit=Search</v>
      </c>
    </row>
    <row r="267" spans="1:11">
      <c r="A267" t="s">
        <v>10181</v>
      </c>
      <c r="B267" t="s">
        <v>10181</v>
      </c>
      <c r="C267" t="s">
        <v>9567</v>
      </c>
      <c r="D267" t="s">
        <v>9578</v>
      </c>
      <c r="E267" t="s">
        <v>9579</v>
      </c>
      <c r="F267" t="s">
        <v>10182</v>
      </c>
      <c r="G267" t="s">
        <v>19204</v>
      </c>
      <c r="I267" t="s">
        <v>18789</v>
      </c>
      <c r="K267" t="str">
        <f>HYPERLINK("http://tuberculist.epfl.ch/quicksearch.php?gene+name=Rv0257&amp;submit=Search")</f>
        <v>http://tuberculist.epfl.ch/quicksearch.php?gene+name=Rv0257&amp;submit=Search</v>
      </c>
    </row>
    <row r="268" spans="1:11">
      <c r="A268" t="s">
        <v>2658</v>
      </c>
      <c r="B268" t="s">
        <v>2658</v>
      </c>
      <c r="C268" t="s">
        <v>9567</v>
      </c>
      <c r="D268" t="s">
        <v>9578</v>
      </c>
      <c r="E268" t="s">
        <v>9579</v>
      </c>
      <c r="F268" t="s">
        <v>10183</v>
      </c>
      <c r="G268" t="s">
        <v>19210</v>
      </c>
      <c r="I268" t="s">
        <v>18779</v>
      </c>
      <c r="K268" t="str">
        <f>HYPERLINK("http://tuberculist.epfl.ch/quicksearch.php?gene+name=Rv0258c&amp;submit=Search")</f>
        <v>http://tuberculist.epfl.ch/quicksearch.php?gene+name=Rv0258c&amp;submit=Search</v>
      </c>
    </row>
    <row r="269" spans="1:11">
      <c r="A269" t="s">
        <v>1508</v>
      </c>
      <c r="B269" t="s">
        <v>1508</v>
      </c>
      <c r="C269" t="s">
        <v>9567</v>
      </c>
      <c r="D269" t="s">
        <v>9578</v>
      </c>
      <c r="E269" t="s">
        <v>9579</v>
      </c>
      <c r="F269" t="s">
        <v>10184</v>
      </c>
      <c r="G269" t="s">
        <v>19212</v>
      </c>
      <c r="I269" t="s">
        <v>18780</v>
      </c>
      <c r="K269" t="str">
        <f>HYPERLINK("http://tuberculist.epfl.ch/quicksearch.php?gene+name=Rv0259c&amp;submit=Search")</f>
        <v>http://tuberculist.epfl.ch/quicksearch.php?gene+name=Rv0259c&amp;submit=Search</v>
      </c>
    </row>
    <row r="270" spans="1:11">
      <c r="A270" t="s">
        <v>1861</v>
      </c>
      <c r="B270" t="s">
        <v>1861</v>
      </c>
      <c r="C270" t="s">
        <v>9567</v>
      </c>
      <c r="D270" t="s">
        <v>9906</v>
      </c>
      <c r="E270" t="s">
        <v>9633</v>
      </c>
      <c r="F270" t="s">
        <v>10185</v>
      </c>
      <c r="G270" t="s">
        <v>19197</v>
      </c>
      <c r="H270" t="s">
        <v>19338</v>
      </c>
      <c r="I270" t="s">
        <v>18795</v>
      </c>
      <c r="K270" t="str">
        <f>HYPERLINK("http://tuberculist.epfl.ch/quicksearch.php?gene+name=Rv0260c&amp;submit=Search")</f>
        <v>http://tuberculist.epfl.ch/quicksearch.php?gene+name=Rv0260c&amp;submit=Search</v>
      </c>
    </row>
    <row r="271" spans="1:11">
      <c r="A271" t="s">
        <v>5083</v>
      </c>
      <c r="B271" t="s">
        <v>1294</v>
      </c>
      <c r="C271" t="s">
        <v>9567</v>
      </c>
      <c r="D271" t="s">
        <v>10186</v>
      </c>
      <c r="E271" t="s">
        <v>10187</v>
      </c>
      <c r="F271" t="s">
        <v>10188</v>
      </c>
      <c r="G271" t="s">
        <v>19188</v>
      </c>
      <c r="I271" t="s">
        <v>18779</v>
      </c>
      <c r="K271" t="str">
        <f>HYPERLINK("http://tuberculist.epfl.ch/quicksearch.php?gene+name=Rv0261c&amp;submit=Search")</f>
        <v>http://tuberculist.epfl.ch/quicksearch.php?gene+name=Rv0261c&amp;submit=Search</v>
      </c>
    </row>
    <row r="272" spans="1:11">
      <c r="A272" t="s">
        <v>7953</v>
      </c>
      <c r="B272" t="s">
        <v>2738</v>
      </c>
      <c r="C272" t="s">
        <v>9567</v>
      </c>
      <c r="D272" t="s">
        <v>10189</v>
      </c>
      <c r="E272" t="s">
        <v>10190</v>
      </c>
      <c r="F272" t="s">
        <v>10191</v>
      </c>
      <c r="G272" t="s">
        <v>19206</v>
      </c>
      <c r="H272" t="s">
        <v>19339</v>
      </c>
      <c r="I272" t="s">
        <v>18780</v>
      </c>
      <c r="K272" t="str">
        <f>HYPERLINK("http://tuberculist.epfl.ch/quicksearch.php?gene+name=Rv0262c&amp;submit=Search")</f>
        <v>http://tuberculist.epfl.ch/quicksearch.php?gene+name=Rv0262c&amp;submit=Search</v>
      </c>
    </row>
    <row r="273" spans="1:11">
      <c r="A273" t="s">
        <v>2166</v>
      </c>
      <c r="B273" t="s">
        <v>2166</v>
      </c>
      <c r="C273" t="s">
        <v>9567</v>
      </c>
      <c r="D273" t="s">
        <v>9578</v>
      </c>
      <c r="E273" t="s">
        <v>9579</v>
      </c>
      <c r="F273" t="s">
        <v>10192</v>
      </c>
      <c r="G273" t="s">
        <v>19212</v>
      </c>
      <c r="H273" t="s">
        <v>19213</v>
      </c>
      <c r="I273" t="s">
        <v>18780</v>
      </c>
      <c r="K273" t="str">
        <f>HYPERLINK("http://tuberculist.epfl.ch/quicksearch.php?gene+name=Rv0263c&amp;submit=Search")</f>
        <v>http://tuberculist.epfl.ch/quicksearch.php?gene+name=Rv0263c&amp;submit=Search</v>
      </c>
    </row>
    <row r="274" spans="1:11">
      <c r="A274" t="s">
        <v>1806</v>
      </c>
      <c r="B274" t="s">
        <v>1806</v>
      </c>
      <c r="C274" t="s">
        <v>9567</v>
      </c>
      <c r="D274" t="s">
        <v>9578</v>
      </c>
      <c r="E274" t="s">
        <v>9579</v>
      </c>
      <c r="F274" t="s">
        <v>10193</v>
      </c>
      <c r="G274" t="s">
        <v>19212</v>
      </c>
      <c r="H274" t="s">
        <v>19213</v>
      </c>
      <c r="I274" t="s">
        <v>18780</v>
      </c>
      <c r="K274" t="str">
        <f>HYPERLINK("http://tuberculist.epfl.ch/quicksearch.php?gene+name=Rv0264c&amp;submit=Search")</f>
        <v>http://tuberculist.epfl.ch/quicksearch.php?gene+name=Rv0264c&amp;submit=Search</v>
      </c>
    </row>
    <row r="275" spans="1:11">
      <c r="A275" t="s">
        <v>2105</v>
      </c>
      <c r="B275" t="s">
        <v>2105</v>
      </c>
      <c r="C275" t="s">
        <v>9567</v>
      </c>
      <c r="D275" t="s">
        <v>10194</v>
      </c>
      <c r="E275" t="s">
        <v>10195</v>
      </c>
      <c r="F275" t="s">
        <v>10196</v>
      </c>
      <c r="G275" t="s">
        <v>19188</v>
      </c>
      <c r="H275" t="s">
        <v>19340</v>
      </c>
      <c r="I275" t="s">
        <v>18780</v>
      </c>
      <c r="K275" t="str">
        <f>HYPERLINK("http://tuberculist.epfl.ch/quicksearch.php?gene+name=Rv0265c&amp;submit=Search")</f>
        <v>http://tuberculist.epfl.ch/quicksearch.php?gene+name=Rv0265c&amp;submit=Search</v>
      </c>
    </row>
    <row r="276" spans="1:11">
      <c r="A276" t="s">
        <v>5005</v>
      </c>
      <c r="B276" t="s">
        <v>1256</v>
      </c>
      <c r="C276" t="s">
        <v>9567</v>
      </c>
      <c r="D276" t="s">
        <v>10197</v>
      </c>
      <c r="E276" t="s">
        <v>10198</v>
      </c>
      <c r="F276" t="s">
        <v>10199</v>
      </c>
      <c r="G276" t="s">
        <v>19195</v>
      </c>
      <c r="H276" t="s">
        <v>19341</v>
      </c>
      <c r="I276" t="s">
        <v>18780</v>
      </c>
      <c r="K276" t="str">
        <f>HYPERLINK("http://tuberculist.epfl.ch/quicksearch.php?gene+name=Rv0266c&amp;submit=Search")</f>
        <v>http://tuberculist.epfl.ch/quicksearch.php?gene+name=Rv0266c&amp;submit=Search</v>
      </c>
    </row>
    <row r="277" spans="1:11">
      <c r="A277" t="s">
        <v>145</v>
      </c>
      <c r="B277" t="s">
        <v>144</v>
      </c>
      <c r="C277" t="s">
        <v>9567</v>
      </c>
      <c r="D277" t="s">
        <v>10186</v>
      </c>
      <c r="E277" t="s">
        <v>10200</v>
      </c>
      <c r="F277" t="s">
        <v>10201</v>
      </c>
      <c r="G277" t="s">
        <v>19188</v>
      </c>
      <c r="H277" t="s">
        <v>19342</v>
      </c>
      <c r="I277" t="s">
        <v>18789</v>
      </c>
      <c r="K277" t="str">
        <f>HYPERLINK("http://tuberculist.epfl.ch/quicksearch.php?gene+name=Rv0267&amp;submit=Search")</f>
        <v>http://tuberculist.epfl.ch/quicksearch.php?gene+name=Rv0267&amp;submit=Search</v>
      </c>
    </row>
    <row r="278" spans="1:11">
      <c r="A278" t="s">
        <v>2922</v>
      </c>
      <c r="B278" t="s">
        <v>2922</v>
      </c>
      <c r="C278" t="s">
        <v>9567</v>
      </c>
      <c r="D278" t="s">
        <v>9587</v>
      </c>
      <c r="E278" t="s">
        <v>9713</v>
      </c>
      <c r="F278" t="s">
        <v>10202</v>
      </c>
      <c r="G278" t="s">
        <v>19298</v>
      </c>
      <c r="I278" t="s">
        <v>18789</v>
      </c>
      <c r="K278" t="str">
        <f>HYPERLINK("http://tuberculist.epfl.ch/quicksearch.php?gene+name=Rv0268c&amp;submit=Search")</f>
        <v>http://tuberculist.epfl.ch/quicksearch.php?gene+name=Rv0268c&amp;submit=Search</v>
      </c>
    </row>
    <row r="279" spans="1:11">
      <c r="A279" t="s">
        <v>2410</v>
      </c>
      <c r="B279" t="s">
        <v>2410</v>
      </c>
      <c r="C279" t="s">
        <v>9567</v>
      </c>
      <c r="D279" t="s">
        <v>9578</v>
      </c>
      <c r="E279" t="s">
        <v>9579</v>
      </c>
      <c r="F279" t="s">
        <v>10203</v>
      </c>
      <c r="G279" t="s">
        <v>19212</v>
      </c>
      <c r="I279" t="s">
        <v>18780</v>
      </c>
      <c r="K279" t="str">
        <f>HYPERLINK("http://tuberculist.epfl.ch/quicksearch.php?gene+name=Rv0269c&amp;submit=Search")</f>
        <v>http://tuberculist.epfl.ch/quicksearch.php?gene+name=Rv0269c&amp;submit=Search</v>
      </c>
    </row>
    <row r="280" spans="1:11">
      <c r="A280" t="s">
        <v>7267</v>
      </c>
      <c r="B280" t="s">
        <v>2390</v>
      </c>
      <c r="C280" t="s">
        <v>9567</v>
      </c>
      <c r="D280" t="s">
        <v>9662</v>
      </c>
      <c r="E280" t="s">
        <v>10204</v>
      </c>
      <c r="F280" t="s">
        <v>10205</v>
      </c>
      <c r="G280" t="s">
        <v>19219</v>
      </c>
      <c r="H280" t="s">
        <v>19343</v>
      </c>
      <c r="I280" t="s">
        <v>18789</v>
      </c>
      <c r="K280" t="str">
        <f>HYPERLINK("http://tuberculist.epfl.ch/quicksearch.php?gene+name=Rv0270&amp;submit=Search")</f>
        <v>http://tuberculist.epfl.ch/quicksearch.php?gene+name=Rv0270&amp;submit=Search</v>
      </c>
    </row>
    <row r="281" spans="1:11">
      <c r="A281" t="s">
        <v>7281</v>
      </c>
      <c r="B281" t="s">
        <v>2397</v>
      </c>
      <c r="C281" t="s">
        <v>9567</v>
      </c>
      <c r="D281" t="s">
        <v>9662</v>
      </c>
      <c r="E281" t="s">
        <v>10206</v>
      </c>
      <c r="F281" t="s">
        <v>10207</v>
      </c>
      <c r="G281" t="s">
        <v>19219</v>
      </c>
      <c r="H281" t="s">
        <v>19344</v>
      </c>
      <c r="I281" t="s">
        <v>18780</v>
      </c>
      <c r="K281" t="str">
        <f>HYPERLINK("http://tuberculist.epfl.ch/quicksearch.php?gene+name=Rv0271c&amp;submit=Search")</f>
        <v>http://tuberculist.epfl.ch/quicksearch.php?gene+name=Rv0271c&amp;submit=Search</v>
      </c>
    </row>
    <row r="282" spans="1:11">
      <c r="A282" t="s">
        <v>1957</v>
      </c>
      <c r="B282" t="s">
        <v>1957</v>
      </c>
      <c r="C282" t="s">
        <v>9567</v>
      </c>
      <c r="D282" t="s">
        <v>9587</v>
      </c>
      <c r="E282" t="s">
        <v>9768</v>
      </c>
      <c r="F282" t="s">
        <v>10208</v>
      </c>
      <c r="G282" t="s">
        <v>19212</v>
      </c>
      <c r="H282" t="s">
        <v>19229</v>
      </c>
      <c r="I282" t="s">
        <v>18848</v>
      </c>
      <c r="K282" t="str">
        <f>HYPERLINK("http://tuberculist.epfl.ch/quicksearch.php?gene+name=Rv0272c&amp;submit=Search")</f>
        <v>http://tuberculist.epfl.ch/quicksearch.php?gene+name=Rv0272c&amp;submit=Search</v>
      </c>
    </row>
    <row r="283" spans="1:11">
      <c r="A283" t="s">
        <v>1364</v>
      </c>
      <c r="B283" t="s">
        <v>1364</v>
      </c>
      <c r="C283" t="s">
        <v>9567</v>
      </c>
      <c r="D283" t="s">
        <v>9906</v>
      </c>
      <c r="E283" t="s">
        <v>9633</v>
      </c>
      <c r="F283" t="s">
        <v>10209</v>
      </c>
      <c r="G283" t="s">
        <v>19197</v>
      </c>
      <c r="I283" t="s">
        <v>18848</v>
      </c>
      <c r="K283" t="str">
        <f>HYPERLINK("http://tuberculist.epfl.ch/quicksearch.php?gene+name=Rv0273c&amp;submit=Search")</f>
        <v>http://tuberculist.epfl.ch/quicksearch.php?gene+name=Rv0273c&amp;submit=Search</v>
      </c>
    </row>
    <row r="284" spans="1:11">
      <c r="A284" t="s">
        <v>1445</v>
      </c>
      <c r="B284" t="s">
        <v>1445</v>
      </c>
      <c r="C284" t="s">
        <v>9567</v>
      </c>
      <c r="D284" t="s">
        <v>9578</v>
      </c>
      <c r="E284" t="s">
        <v>9665</v>
      </c>
      <c r="F284" t="s">
        <v>10210</v>
      </c>
      <c r="G284" t="s">
        <v>19212</v>
      </c>
      <c r="H284" t="s">
        <v>19345</v>
      </c>
      <c r="I284" t="s">
        <v>18848</v>
      </c>
      <c r="K284" t="str">
        <f>HYPERLINK("http://tuberculist.epfl.ch/quicksearch.php?gene+name=Rv0274&amp;submit=Search")</f>
        <v>http://tuberculist.epfl.ch/quicksearch.php?gene+name=Rv0274&amp;submit=Search</v>
      </c>
    </row>
    <row r="285" spans="1:11">
      <c r="A285" t="s">
        <v>3172</v>
      </c>
      <c r="B285" t="s">
        <v>3172</v>
      </c>
      <c r="C285" t="s">
        <v>9567</v>
      </c>
      <c r="D285" t="s">
        <v>9906</v>
      </c>
      <c r="E285" t="s">
        <v>9737</v>
      </c>
      <c r="F285" t="s">
        <v>10211</v>
      </c>
      <c r="G285" t="s">
        <v>19197</v>
      </c>
      <c r="H285" t="s">
        <v>19250</v>
      </c>
      <c r="I285" t="s">
        <v>18792</v>
      </c>
      <c r="K285" t="str">
        <f>HYPERLINK("http://tuberculist.epfl.ch/quicksearch.php?gene+name=Rv0275c&amp;submit=Search")</f>
        <v>http://tuberculist.epfl.ch/quicksearch.php?gene+name=Rv0275c&amp;submit=Search</v>
      </c>
    </row>
    <row r="286" spans="1:11">
      <c r="A286" t="s">
        <v>10212</v>
      </c>
      <c r="B286" t="s">
        <v>10212</v>
      </c>
      <c r="C286" t="s">
        <v>9567</v>
      </c>
      <c r="D286" t="s">
        <v>9578</v>
      </c>
      <c r="E286" t="s">
        <v>9579</v>
      </c>
      <c r="F286" t="s">
        <v>10213</v>
      </c>
      <c r="G286" t="s">
        <v>19210</v>
      </c>
      <c r="H286" t="s">
        <v>19207</v>
      </c>
      <c r="I286" t="s">
        <v>18780</v>
      </c>
      <c r="K286" t="str">
        <f>HYPERLINK("http://tuberculist.epfl.ch/quicksearch.php?gene+name=Rv0276&amp;submit=Search")</f>
        <v>http://tuberculist.epfl.ch/quicksearch.php?gene+name=Rv0276&amp;submit=Search</v>
      </c>
    </row>
    <row r="287" spans="1:11">
      <c r="A287" t="s">
        <v>10214</v>
      </c>
      <c r="B287" t="s">
        <v>10215</v>
      </c>
      <c r="C287" t="s">
        <v>10216</v>
      </c>
      <c r="D287" t="s">
        <v>9587</v>
      </c>
      <c r="E287" t="s">
        <v>10217</v>
      </c>
      <c r="F287" t="s">
        <v>10218</v>
      </c>
      <c r="G287" t="s">
        <v>19206</v>
      </c>
      <c r="I287" t="s">
        <v>18773</v>
      </c>
      <c r="K287" t="str">
        <f>HYPERLINK("http://tuberculist.epfl.ch/quicksearch.php?gene+name=Rv0277A&amp;submit=Search")</f>
        <v>http://tuberculist.epfl.ch/quicksearch.php?gene+name=Rv0277A&amp;submit=Search</v>
      </c>
    </row>
    <row r="288" spans="1:11">
      <c r="A288" t="s">
        <v>10219</v>
      </c>
      <c r="B288" t="s">
        <v>1365</v>
      </c>
      <c r="C288" t="s">
        <v>9567</v>
      </c>
      <c r="D288" t="s">
        <v>9587</v>
      </c>
      <c r="E288" t="s">
        <v>10220</v>
      </c>
      <c r="F288" t="s">
        <v>10221</v>
      </c>
      <c r="G288" t="s">
        <v>19206</v>
      </c>
      <c r="I288" t="s">
        <v>18780</v>
      </c>
      <c r="K288" t="str">
        <f>HYPERLINK("http://tuberculist.epfl.ch/quicksearch.php?gene+name=Rv0277c&amp;submit=Search")</f>
        <v>http://tuberculist.epfl.ch/quicksearch.php?gene+name=Rv0277c&amp;submit=Search</v>
      </c>
    </row>
    <row r="289" spans="1:11">
      <c r="A289" t="s">
        <v>7801</v>
      </c>
      <c r="B289" t="s">
        <v>2659</v>
      </c>
      <c r="C289" t="s">
        <v>9567</v>
      </c>
      <c r="D289" t="s">
        <v>9578</v>
      </c>
      <c r="E289" t="s">
        <v>10222</v>
      </c>
      <c r="F289" t="s">
        <v>10223</v>
      </c>
      <c r="G289" t="s">
        <v>19346</v>
      </c>
      <c r="H289" t="s">
        <v>19267</v>
      </c>
      <c r="I289" t="s">
        <v>18773</v>
      </c>
      <c r="K289" t="str">
        <f>HYPERLINK("http://tuberculist.epfl.ch/quicksearch.php?gene+name=Rv0278c&amp;submit=Search")</f>
        <v>http://tuberculist.epfl.ch/quicksearch.php?gene+name=Rv0278c&amp;submit=Search</v>
      </c>
    </row>
    <row r="290" spans="1:11">
      <c r="A290" t="s">
        <v>10224</v>
      </c>
      <c r="B290" t="s">
        <v>10225</v>
      </c>
      <c r="C290" t="s">
        <v>9567</v>
      </c>
      <c r="D290" t="s">
        <v>9578</v>
      </c>
      <c r="E290" t="s">
        <v>10226</v>
      </c>
      <c r="F290" t="s">
        <v>10227</v>
      </c>
      <c r="G290" t="s">
        <v>19262</v>
      </c>
      <c r="H290" t="s">
        <v>19267</v>
      </c>
      <c r="I290" t="s">
        <v>18793</v>
      </c>
      <c r="K290" t="str">
        <f>HYPERLINK("http://tuberculist.epfl.ch/quicksearch.php?gene+name=Rv0279c&amp;submit=Search")</f>
        <v>http://tuberculist.epfl.ch/quicksearch.php?gene+name=Rv0279c&amp;submit=Search</v>
      </c>
    </row>
    <row r="291" spans="1:11">
      <c r="A291" t="s">
        <v>9197</v>
      </c>
      <c r="B291" t="s">
        <v>3323</v>
      </c>
      <c r="C291" t="s">
        <v>9567</v>
      </c>
      <c r="D291" t="s">
        <v>9578</v>
      </c>
      <c r="E291" t="s">
        <v>10228</v>
      </c>
      <c r="F291" t="s">
        <v>10229</v>
      </c>
      <c r="G291" t="s">
        <v>19262</v>
      </c>
      <c r="H291" t="s">
        <v>19254</v>
      </c>
      <c r="I291" t="s">
        <v>18793</v>
      </c>
      <c r="J291" t="s">
        <v>18840</v>
      </c>
      <c r="K291" t="str">
        <f>HYPERLINK("http://tuberculist.epfl.ch/quicksearch.php?gene+name=Rv0280&amp;submit=Search")</f>
        <v>http://tuberculist.epfl.ch/quicksearch.php?gene+name=Rv0280&amp;submit=Search</v>
      </c>
    </row>
    <row r="292" spans="1:11">
      <c r="A292" t="s">
        <v>118</v>
      </c>
      <c r="B292" t="s">
        <v>118</v>
      </c>
      <c r="C292" t="s">
        <v>9567</v>
      </c>
      <c r="D292" t="s">
        <v>9924</v>
      </c>
      <c r="E292" t="s">
        <v>9925</v>
      </c>
      <c r="F292" t="s">
        <v>10230</v>
      </c>
      <c r="G292" t="s">
        <v>19219</v>
      </c>
      <c r="H292" t="s">
        <v>19347</v>
      </c>
      <c r="I292" t="s">
        <v>18780</v>
      </c>
      <c r="J292" t="s">
        <v>18840</v>
      </c>
      <c r="K292" t="str">
        <f>HYPERLINK("http://tuberculist.epfl.ch/quicksearch.php?gene+name=Rv0281&amp;submit=Search")</f>
        <v>http://tuberculist.epfl.ch/quicksearch.php?gene+name=Rv0281&amp;submit=Search</v>
      </c>
    </row>
    <row r="293" spans="1:11">
      <c r="A293" t="s">
        <v>14</v>
      </c>
      <c r="B293" t="s">
        <v>13</v>
      </c>
      <c r="C293" t="s">
        <v>9567</v>
      </c>
      <c r="D293" t="s">
        <v>9578</v>
      </c>
      <c r="E293" t="s">
        <v>10231</v>
      </c>
      <c r="F293" t="s">
        <v>10232</v>
      </c>
      <c r="G293" t="s">
        <v>19188</v>
      </c>
      <c r="H293" t="s">
        <v>19348</v>
      </c>
      <c r="I293" t="s">
        <v>18774</v>
      </c>
      <c r="J293" t="s">
        <v>18849</v>
      </c>
      <c r="K293" t="str">
        <f>HYPERLINK("http://tuberculist.epfl.ch/quicksearch.php?gene+name=Rv0282&amp;submit=Search")</f>
        <v>http://tuberculist.epfl.ch/quicksearch.php?gene+name=Rv0282&amp;submit=Search</v>
      </c>
    </row>
    <row r="294" spans="1:11">
      <c r="A294" t="s">
        <v>24</v>
      </c>
      <c r="B294" t="s">
        <v>23</v>
      </c>
      <c r="C294" t="s">
        <v>9567</v>
      </c>
      <c r="D294" t="s">
        <v>9587</v>
      </c>
      <c r="E294" t="s">
        <v>10233</v>
      </c>
      <c r="F294" t="s">
        <v>10234</v>
      </c>
      <c r="G294" t="s">
        <v>19188</v>
      </c>
      <c r="H294" t="s">
        <v>19349</v>
      </c>
      <c r="I294" t="s">
        <v>18774</v>
      </c>
      <c r="J294" t="s">
        <v>18840</v>
      </c>
      <c r="K294" t="str">
        <f>HYPERLINK("http://tuberculist.epfl.ch/quicksearch.php?gene+name=Rv0283&amp;submit=Search")</f>
        <v>http://tuberculist.epfl.ch/quicksearch.php?gene+name=Rv0283&amp;submit=Search</v>
      </c>
    </row>
    <row r="295" spans="1:11">
      <c r="A295" t="s">
        <v>35</v>
      </c>
      <c r="B295" t="s">
        <v>34</v>
      </c>
      <c r="C295" t="s">
        <v>9567</v>
      </c>
      <c r="D295" t="s">
        <v>9587</v>
      </c>
      <c r="E295" t="s">
        <v>10235</v>
      </c>
      <c r="F295" t="s">
        <v>10236</v>
      </c>
      <c r="G295" t="s">
        <v>19188</v>
      </c>
      <c r="H295" t="s">
        <v>19350</v>
      </c>
      <c r="I295" t="s">
        <v>18774</v>
      </c>
      <c r="J295" t="s">
        <v>18840</v>
      </c>
      <c r="K295" t="str">
        <f>HYPERLINK("http://tuberculist.epfl.ch/quicksearch.php?gene+name=Rv0284&amp;submit=Search")</f>
        <v>http://tuberculist.epfl.ch/quicksearch.php?gene+name=Rv0284&amp;submit=Search</v>
      </c>
    </row>
    <row r="296" spans="1:11">
      <c r="A296" t="s">
        <v>44</v>
      </c>
      <c r="B296" t="s">
        <v>43</v>
      </c>
      <c r="C296" t="s">
        <v>9567</v>
      </c>
      <c r="D296" t="s">
        <v>9578</v>
      </c>
      <c r="E296" t="s">
        <v>10237</v>
      </c>
      <c r="F296" t="s">
        <v>10238</v>
      </c>
      <c r="G296" t="s">
        <v>19253</v>
      </c>
      <c r="H296" t="s">
        <v>19351</v>
      </c>
      <c r="I296" t="s">
        <v>18800</v>
      </c>
      <c r="J296" t="s">
        <v>18840</v>
      </c>
      <c r="K296" t="str">
        <f>HYPERLINK("http://tuberculist.epfl.ch/quicksearch.php?gene+name=Rv0285&amp;submit=Search")</f>
        <v>http://tuberculist.epfl.ch/quicksearch.php?gene+name=Rv0285&amp;submit=Search</v>
      </c>
    </row>
    <row r="297" spans="1:11">
      <c r="A297" t="s">
        <v>53</v>
      </c>
      <c r="B297" t="s">
        <v>52</v>
      </c>
      <c r="C297" t="s">
        <v>9567</v>
      </c>
      <c r="D297" t="s">
        <v>9578</v>
      </c>
      <c r="E297" t="s">
        <v>10239</v>
      </c>
      <c r="F297" t="s">
        <v>10240</v>
      </c>
      <c r="G297" t="s">
        <v>19253</v>
      </c>
      <c r="I297" t="s">
        <v>18774</v>
      </c>
      <c r="J297" t="s">
        <v>18840</v>
      </c>
      <c r="K297" t="str">
        <f>HYPERLINK("http://tuberculist.epfl.ch/quicksearch.php?gene+name=Rv0286&amp;submit=Search")</f>
        <v>http://tuberculist.epfl.ch/quicksearch.php?gene+name=Rv0286&amp;submit=Search</v>
      </c>
    </row>
    <row r="298" spans="1:11">
      <c r="A298" t="s">
        <v>63</v>
      </c>
      <c r="B298" t="s">
        <v>62</v>
      </c>
      <c r="C298" t="s">
        <v>9567</v>
      </c>
      <c r="D298" t="s">
        <v>9578</v>
      </c>
      <c r="E298" t="s">
        <v>10241</v>
      </c>
      <c r="F298" t="s">
        <v>10242</v>
      </c>
      <c r="G298" t="s">
        <v>19188</v>
      </c>
      <c r="H298" t="s">
        <v>19352</v>
      </c>
      <c r="I298" t="s">
        <v>18773</v>
      </c>
      <c r="J298" t="s">
        <v>18850</v>
      </c>
      <c r="K298" t="str">
        <f>HYPERLINK("http://tuberculist.epfl.ch/quicksearch.php?gene+name=Rv0287&amp;submit=Search")</f>
        <v>http://tuberculist.epfl.ch/quicksearch.php?gene+name=Rv0287&amp;submit=Search</v>
      </c>
    </row>
    <row r="299" spans="1:11">
      <c r="A299" t="s">
        <v>75</v>
      </c>
      <c r="B299" t="s">
        <v>74</v>
      </c>
      <c r="C299" t="s">
        <v>9567</v>
      </c>
      <c r="D299" t="s">
        <v>10243</v>
      </c>
      <c r="E299" t="s">
        <v>10244</v>
      </c>
      <c r="F299" t="s">
        <v>10245</v>
      </c>
      <c r="G299" t="s">
        <v>19188</v>
      </c>
      <c r="H299" t="s">
        <v>19353</v>
      </c>
      <c r="I299" t="s">
        <v>18788</v>
      </c>
      <c r="J299" t="s">
        <v>18840</v>
      </c>
      <c r="K299" t="str">
        <f>HYPERLINK("http://tuberculist.epfl.ch/quicksearch.php?gene+name=Rv0288&amp;submit=Search")</f>
        <v>http://tuberculist.epfl.ch/quicksearch.php?gene+name=Rv0288&amp;submit=Search</v>
      </c>
    </row>
    <row r="300" spans="1:11">
      <c r="A300" t="s">
        <v>83</v>
      </c>
      <c r="B300" t="s">
        <v>82</v>
      </c>
      <c r="C300" t="s">
        <v>9567</v>
      </c>
      <c r="D300" t="s">
        <v>9578</v>
      </c>
      <c r="E300" t="s">
        <v>10246</v>
      </c>
      <c r="F300" t="s">
        <v>10247</v>
      </c>
      <c r="G300" t="s">
        <v>19188</v>
      </c>
      <c r="I300" t="s">
        <v>18774</v>
      </c>
      <c r="J300" t="s">
        <v>18840</v>
      </c>
      <c r="K300" t="str">
        <f>HYPERLINK("http://tuberculist.epfl.ch/quicksearch.php?gene+name=Rv0289&amp;submit=Search")</f>
        <v>http://tuberculist.epfl.ch/quicksearch.php?gene+name=Rv0289&amp;submit=Search</v>
      </c>
    </row>
    <row r="301" spans="1:11">
      <c r="A301" t="s">
        <v>92</v>
      </c>
      <c r="B301" t="s">
        <v>91</v>
      </c>
      <c r="C301" t="s">
        <v>9567</v>
      </c>
      <c r="D301" t="s">
        <v>9587</v>
      </c>
      <c r="E301" t="s">
        <v>10248</v>
      </c>
      <c r="F301" t="s">
        <v>10249</v>
      </c>
      <c r="G301" t="s">
        <v>19188</v>
      </c>
      <c r="H301" t="s">
        <v>19354</v>
      </c>
      <c r="I301" t="s">
        <v>18774</v>
      </c>
      <c r="J301" t="s">
        <v>18840</v>
      </c>
      <c r="K301" t="str">
        <f>HYPERLINK("http://tuberculist.epfl.ch/quicksearch.php?gene+name=Rv0290&amp;submit=Search")</f>
        <v>http://tuberculist.epfl.ch/quicksearch.php?gene+name=Rv0290&amp;submit=Search</v>
      </c>
    </row>
    <row r="302" spans="1:11">
      <c r="A302" t="s">
        <v>101</v>
      </c>
      <c r="B302" t="s">
        <v>100</v>
      </c>
      <c r="C302" t="s">
        <v>9567</v>
      </c>
      <c r="D302" t="s">
        <v>10250</v>
      </c>
      <c r="E302" t="s">
        <v>10251</v>
      </c>
      <c r="F302" t="s">
        <v>10252</v>
      </c>
      <c r="G302" t="s">
        <v>19195</v>
      </c>
      <c r="H302" t="s">
        <v>19355</v>
      </c>
      <c r="I302" t="s">
        <v>18774</v>
      </c>
      <c r="J302" t="s">
        <v>18840</v>
      </c>
      <c r="K302" t="str">
        <f>HYPERLINK("http://tuberculist.epfl.ch/quicksearch.php?gene+name=Rv0291&amp;submit=Search")</f>
        <v>http://tuberculist.epfl.ch/quicksearch.php?gene+name=Rv0291&amp;submit=Search</v>
      </c>
    </row>
    <row r="303" spans="1:11">
      <c r="A303" t="s">
        <v>10253</v>
      </c>
      <c r="B303" t="s">
        <v>1959</v>
      </c>
      <c r="C303" t="s">
        <v>9567</v>
      </c>
      <c r="D303" t="s">
        <v>9587</v>
      </c>
      <c r="E303" t="s">
        <v>10254</v>
      </c>
      <c r="F303" t="s">
        <v>10255</v>
      </c>
      <c r="G303" t="s">
        <v>19188</v>
      </c>
      <c r="H303" t="s">
        <v>19244</v>
      </c>
      <c r="I303" t="s">
        <v>18774</v>
      </c>
      <c r="J303" t="s">
        <v>18840</v>
      </c>
      <c r="K303" t="str">
        <f>HYPERLINK("http://tuberculist.epfl.ch/quicksearch.php?gene+name=Rv0292&amp;submit=Search")</f>
        <v>http://tuberculist.epfl.ch/quicksearch.php?gene+name=Rv0292&amp;submit=Search</v>
      </c>
    </row>
    <row r="304" spans="1:11">
      <c r="A304" t="s">
        <v>1637</v>
      </c>
      <c r="B304" t="s">
        <v>1637</v>
      </c>
      <c r="C304" t="s">
        <v>9567</v>
      </c>
      <c r="D304" t="s">
        <v>9578</v>
      </c>
      <c r="E304" t="s">
        <v>9665</v>
      </c>
      <c r="F304" t="s">
        <v>10256</v>
      </c>
      <c r="G304" t="s">
        <v>19212</v>
      </c>
      <c r="H304" t="s">
        <v>19192</v>
      </c>
      <c r="I304" t="s">
        <v>18780</v>
      </c>
      <c r="K304" t="str">
        <f>HYPERLINK("http://tuberculist.epfl.ch/quicksearch.php?gene+name=Rv0293c&amp;submit=Search")</f>
        <v>http://tuberculist.epfl.ch/quicksearch.php?gene+name=Rv0293c&amp;submit=Search</v>
      </c>
    </row>
    <row r="305" spans="1:11">
      <c r="A305" t="s">
        <v>4918</v>
      </c>
      <c r="B305" t="s">
        <v>1215</v>
      </c>
      <c r="C305" t="s">
        <v>9567</v>
      </c>
      <c r="D305" t="s">
        <v>10257</v>
      </c>
      <c r="E305" t="s">
        <v>10258</v>
      </c>
      <c r="F305" t="s">
        <v>10259</v>
      </c>
      <c r="G305" t="s">
        <v>19195</v>
      </c>
      <c r="H305" t="s">
        <v>19213</v>
      </c>
      <c r="I305" t="s">
        <v>18779</v>
      </c>
      <c r="K305" t="str">
        <f>HYPERLINK("http://tuberculist.epfl.ch/quicksearch.php?gene+name=Rv0294&amp;submit=Search")</f>
        <v>http://tuberculist.epfl.ch/quicksearch.php?gene+name=Rv0294&amp;submit=Search</v>
      </c>
    </row>
    <row r="306" spans="1:11">
      <c r="A306" t="s">
        <v>1342</v>
      </c>
      <c r="B306" t="s">
        <v>1342</v>
      </c>
      <c r="C306" t="s">
        <v>9567</v>
      </c>
      <c r="D306" t="s">
        <v>9578</v>
      </c>
      <c r="E306" t="s">
        <v>9665</v>
      </c>
      <c r="F306" t="s">
        <v>10260</v>
      </c>
      <c r="G306" t="s">
        <v>19204</v>
      </c>
      <c r="H306" t="s">
        <v>19356</v>
      </c>
      <c r="I306" t="s">
        <v>18780</v>
      </c>
      <c r="K306" t="str">
        <f>HYPERLINK("http://tuberculist.epfl.ch/quicksearch.php?gene+name=Rv0295c&amp;submit=Search")</f>
        <v>http://tuberculist.epfl.ch/quicksearch.php?gene+name=Rv0295c&amp;submit=Search</v>
      </c>
    </row>
    <row r="307" spans="1:11">
      <c r="A307" t="s">
        <v>757</v>
      </c>
      <c r="B307" t="s">
        <v>757</v>
      </c>
      <c r="C307" t="s">
        <v>9567</v>
      </c>
      <c r="D307" t="s">
        <v>9682</v>
      </c>
      <c r="E307" t="s">
        <v>10261</v>
      </c>
      <c r="F307" t="s">
        <v>10262</v>
      </c>
      <c r="G307" t="s">
        <v>19195</v>
      </c>
      <c r="H307" t="s">
        <v>19357</v>
      </c>
      <c r="I307" t="s">
        <v>18777</v>
      </c>
      <c r="K307" t="str">
        <f>HYPERLINK("http://tuberculist.epfl.ch/quicksearch.php?gene+name=Rv0296c&amp;submit=Search")</f>
        <v>http://tuberculist.epfl.ch/quicksearch.php?gene+name=Rv0296c&amp;submit=Search</v>
      </c>
    </row>
    <row r="308" spans="1:11">
      <c r="A308" t="s">
        <v>10263</v>
      </c>
      <c r="B308" t="s">
        <v>10264</v>
      </c>
      <c r="C308" t="s">
        <v>9567</v>
      </c>
      <c r="D308" t="s">
        <v>9578</v>
      </c>
      <c r="E308" t="s">
        <v>10265</v>
      </c>
      <c r="F308" t="s">
        <v>10266</v>
      </c>
      <c r="G308" t="s">
        <v>19262</v>
      </c>
      <c r="H308" t="s">
        <v>19254</v>
      </c>
      <c r="I308" t="s">
        <v>18779</v>
      </c>
      <c r="K308" t="str">
        <f>HYPERLINK("http://tuberculist.epfl.ch/quicksearch.php?gene+name=Rv0297&amp;submit=Search")</f>
        <v>http://tuberculist.epfl.ch/quicksearch.php?gene+name=Rv0297&amp;submit=Search</v>
      </c>
    </row>
    <row r="309" spans="1:11">
      <c r="A309" t="s">
        <v>1463</v>
      </c>
      <c r="B309" t="s">
        <v>1463</v>
      </c>
      <c r="C309" t="s">
        <v>9567</v>
      </c>
      <c r="D309" t="s">
        <v>9587</v>
      </c>
      <c r="E309" t="s">
        <v>9713</v>
      </c>
      <c r="F309" t="s">
        <v>10267</v>
      </c>
      <c r="G309" t="s">
        <v>19298</v>
      </c>
      <c r="H309" t="s">
        <v>19213</v>
      </c>
      <c r="I309" t="s">
        <v>18780</v>
      </c>
      <c r="K309" t="str">
        <f>HYPERLINK("http://tuberculist.epfl.ch/quicksearch.php?gene+name=Rv0298&amp;submit=Search")</f>
        <v>http://tuberculist.epfl.ch/quicksearch.php?gene+name=Rv0298&amp;submit=Search</v>
      </c>
    </row>
    <row r="310" spans="1:11">
      <c r="A310" t="s">
        <v>3121</v>
      </c>
      <c r="B310" t="s">
        <v>3121</v>
      </c>
      <c r="C310" t="s">
        <v>9567</v>
      </c>
      <c r="D310" t="s">
        <v>9587</v>
      </c>
      <c r="E310" t="s">
        <v>9713</v>
      </c>
      <c r="F310" t="s">
        <v>10268</v>
      </c>
      <c r="G310" t="s">
        <v>19212</v>
      </c>
      <c r="I310" t="s">
        <v>18780</v>
      </c>
      <c r="K310" t="str">
        <f>HYPERLINK("http://tuberculist.epfl.ch/quicksearch.php?gene+name=Rv0299&amp;submit=Search")</f>
        <v>http://tuberculist.epfl.ch/quicksearch.php?gene+name=Rv0299&amp;submit=Search</v>
      </c>
    </row>
    <row r="311" spans="1:11">
      <c r="A311" t="s">
        <v>10269</v>
      </c>
      <c r="B311" t="s">
        <v>1613</v>
      </c>
      <c r="C311" t="s">
        <v>9567</v>
      </c>
      <c r="D311" t="s">
        <v>9587</v>
      </c>
      <c r="E311" t="s">
        <v>10270</v>
      </c>
      <c r="F311" t="s">
        <v>10271</v>
      </c>
      <c r="G311" t="s">
        <v>19206</v>
      </c>
      <c r="H311" t="s">
        <v>19213</v>
      </c>
      <c r="I311" t="s">
        <v>18780</v>
      </c>
      <c r="K311" t="str">
        <f>HYPERLINK("http://tuberculist.epfl.ch/quicksearch.php?gene+name=Rv0300&amp;submit=Search")</f>
        <v>http://tuberculist.epfl.ch/quicksearch.php?gene+name=Rv0300&amp;submit=Search</v>
      </c>
    </row>
    <row r="312" spans="1:11">
      <c r="A312" t="s">
        <v>10272</v>
      </c>
      <c r="B312" t="s">
        <v>763</v>
      </c>
      <c r="C312" t="s">
        <v>9567</v>
      </c>
      <c r="D312" t="s">
        <v>9587</v>
      </c>
      <c r="E312" t="s">
        <v>10273</v>
      </c>
      <c r="F312" t="s">
        <v>10274</v>
      </c>
      <c r="G312" t="s">
        <v>19206</v>
      </c>
      <c r="H312" t="s">
        <v>19277</v>
      </c>
      <c r="I312" t="s">
        <v>18789</v>
      </c>
      <c r="K312" t="str">
        <f>HYPERLINK("http://tuberculist.epfl.ch/quicksearch.php?gene+name=Rv0301&amp;submit=Search")</f>
        <v>http://tuberculist.epfl.ch/quicksearch.php?gene+name=Rv0301&amp;submit=Search</v>
      </c>
    </row>
    <row r="313" spans="1:11">
      <c r="A313" t="s">
        <v>1764</v>
      </c>
      <c r="B313" t="s">
        <v>1764</v>
      </c>
      <c r="C313" t="s">
        <v>9567</v>
      </c>
      <c r="D313" t="s">
        <v>9629</v>
      </c>
      <c r="E313" t="s">
        <v>10113</v>
      </c>
      <c r="F313" t="s">
        <v>10275</v>
      </c>
      <c r="G313" t="s">
        <v>19197</v>
      </c>
      <c r="I313" t="s">
        <v>18789</v>
      </c>
      <c r="K313" t="str">
        <f>HYPERLINK("http://tuberculist.epfl.ch/quicksearch.php?gene+name=Rv0302&amp;submit=Search")</f>
        <v>http://tuberculist.epfl.ch/quicksearch.php?gene+name=Rv0302&amp;submit=Search</v>
      </c>
    </row>
    <row r="314" spans="1:11">
      <c r="A314" t="s">
        <v>1821</v>
      </c>
      <c r="B314" t="s">
        <v>1821</v>
      </c>
      <c r="C314" t="s">
        <v>9567</v>
      </c>
      <c r="D314" t="s">
        <v>9682</v>
      </c>
      <c r="E314" t="s">
        <v>10276</v>
      </c>
      <c r="F314" t="s">
        <v>10277</v>
      </c>
      <c r="G314" t="s">
        <v>19195</v>
      </c>
      <c r="H314" t="s">
        <v>19334</v>
      </c>
      <c r="I314" t="s">
        <v>18780</v>
      </c>
      <c r="K314" t="str">
        <f>HYPERLINK("http://tuberculist.epfl.ch/quicksearch.php?gene+name=Rv0303&amp;submit=Search")</f>
        <v>http://tuberculist.epfl.ch/quicksearch.php?gene+name=Rv0303&amp;submit=Search</v>
      </c>
    </row>
    <row r="315" spans="1:11">
      <c r="A315" t="s">
        <v>10278</v>
      </c>
      <c r="B315" t="s">
        <v>2553</v>
      </c>
      <c r="C315" t="s">
        <v>9567</v>
      </c>
      <c r="D315" t="s">
        <v>9578</v>
      </c>
      <c r="E315" t="s">
        <v>10279</v>
      </c>
      <c r="F315" t="s">
        <v>10280</v>
      </c>
      <c r="G315" t="s">
        <v>19262</v>
      </c>
      <c r="H315" t="s">
        <v>19211</v>
      </c>
      <c r="I315" t="s">
        <v>18777</v>
      </c>
      <c r="K315" t="str">
        <f>HYPERLINK("http://tuberculist.epfl.ch/quicksearch.php?gene+name=Rv0304c&amp;submit=Search")</f>
        <v>http://tuberculist.epfl.ch/quicksearch.php?gene+name=Rv0304c&amp;submit=Search</v>
      </c>
    </row>
    <row r="316" spans="1:11">
      <c r="A316" t="s">
        <v>7606</v>
      </c>
      <c r="B316" t="s">
        <v>10281</v>
      </c>
      <c r="C316" t="s">
        <v>9567</v>
      </c>
      <c r="D316" t="s">
        <v>9578</v>
      </c>
      <c r="E316" t="s">
        <v>10282</v>
      </c>
      <c r="F316" t="s">
        <v>10283</v>
      </c>
      <c r="G316" t="s">
        <v>19262</v>
      </c>
      <c r="H316" t="s">
        <v>19358</v>
      </c>
      <c r="I316" t="s">
        <v>18779</v>
      </c>
      <c r="K316" t="str">
        <f>HYPERLINK("http://tuberculist.epfl.ch/quicksearch.php?gene+name=Rv0305c&amp;submit=Search")</f>
        <v>http://tuberculist.epfl.ch/quicksearch.php?gene+name=Rv0305c&amp;submit=Search</v>
      </c>
    </row>
    <row r="317" spans="1:11">
      <c r="A317" t="s">
        <v>2691</v>
      </c>
      <c r="B317" t="s">
        <v>2691</v>
      </c>
      <c r="C317" t="s">
        <v>9567</v>
      </c>
      <c r="D317" t="s">
        <v>9682</v>
      </c>
      <c r="E317" t="s">
        <v>10284</v>
      </c>
      <c r="F317" t="s">
        <v>10285</v>
      </c>
      <c r="G317" t="s">
        <v>19195</v>
      </c>
      <c r="H317" t="s">
        <v>19205</v>
      </c>
      <c r="I317" t="s">
        <v>18780</v>
      </c>
      <c r="K317" t="str">
        <f>HYPERLINK("http://tuberculist.epfl.ch/quicksearch.php?gene+name=Rv0306&amp;submit=Search")</f>
        <v>http://tuberculist.epfl.ch/quicksearch.php?gene+name=Rv0306&amp;submit=Search</v>
      </c>
    </row>
    <row r="318" spans="1:11">
      <c r="A318" t="s">
        <v>1665</v>
      </c>
      <c r="B318" t="s">
        <v>1665</v>
      </c>
      <c r="C318" t="s">
        <v>9567</v>
      </c>
      <c r="D318" t="s">
        <v>9587</v>
      </c>
      <c r="E318" t="s">
        <v>9768</v>
      </c>
      <c r="F318" t="s">
        <v>10286</v>
      </c>
      <c r="G318" t="s">
        <v>19210</v>
      </c>
      <c r="H318" t="s">
        <v>19233</v>
      </c>
      <c r="I318" t="s">
        <v>18780</v>
      </c>
      <c r="K318" t="str">
        <f>HYPERLINK("http://tuberculist.epfl.ch/quicksearch.php?gene+name=Rv0307c&amp;submit=Search")</f>
        <v>http://tuberculist.epfl.ch/quicksearch.php?gene+name=Rv0307c&amp;submit=Search</v>
      </c>
    </row>
    <row r="319" spans="1:11">
      <c r="A319" t="s">
        <v>3399</v>
      </c>
      <c r="B319" t="s">
        <v>3399</v>
      </c>
      <c r="C319" t="s">
        <v>9567</v>
      </c>
      <c r="D319" t="s">
        <v>9587</v>
      </c>
      <c r="E319" t="s">
        <v>9668</v>
      </c>
      <c r="F319" t="s">
        <v>10287</v>
      </c>
      <c r="G319" t="s">
        <v>19188</v>
      </c>
      <c r="H319" t="s">
        <v>19233</v>
      </c>
      <c r="I319" t="s">
        <v>18793</v>
      </c>
      <c r="K319" t="str">
        <f>HYPERLINK("http://tuberculist.epfl.ch/quicksearch.php?gene+name=Rv0308&amp;submit=Search")</f>
        <v>http://tuberculist.epfl.ch/quicksearch.php?gene+name=Rv0308&amp;submit=Search</v>
      </c>
    </row>
    <row r="320" spans="1:11">
      <c r="A320" t="s">
        <v>2082</v>
      </c>
      <c r="B320" t="s">
        <v>2082</v>
      </c>
      <c r="C320" t="s">
        <v>9567</v>
      </c>
      <c r="D320" t="s">
        <v>9587</v>
      </c>
      <c r="E320" t="s">
        <v>10288</v>
      </c>
      <c r="F320" t="s">
        <v>10289</v>
      </c>
      <c r="G320" t="s">
        <v>19188</v>
      </c>
      <c r="H320" t="s">
        <v>19359</v>
      </c>
      <c r="I320" t="s">
        <v>18773</v>
      </c>
      <c r="K320" t="str">
        <f>HYPERLINK("http://tuberculist.epfl.ch/quicksearch.php?gene+name=Rv0309&amp;submit=Search")</f>
        <v>http://tuberculist.epfl.ch/quicksearch.php?gene+name=Rv0309&amp;submit=Search</v>
      </c>
    </row>
    <row r="321" spans="1:11">
      <c r="A321" t="s">
        <v>2478</v>
      </c>
      <c r="B321" t="s">
        <v>2478</v>
      </c>
      <c r="C321" t="s">
        <v>9567</v>
      </c>
      <c r="D321" t="s">
        <v>9578</v>
      </c>
      <c r="E321" t="s">
        <v>9665</v>
      </c>
      <c r="F321" t="s">
        <v>10290</v>
      </c>
      <c r="G321" t="s">
        <v>19212</v>
      </c>
      <c r="H321" t="s">
        <v>19233</v>
      </c>
      <c r="I321" t="s">
        <v>18780</v>
      </c>
      <c r="K321" t="str">
        <f>HYPERLINK("http://tuberculist.epfl.ch/quicksearch.php?gene+name=Rv0310c&amp;submit=Search")</f>
        <v>http://tuberculist.epfl.ch/quicksearch.php?gene+name=Rv0310c&amp;submit=Search</v>
      </c>
    </row>
    <row r="322" spans="1:11">
      <c r="A322" t="s">
        <v>1150</v>
      </c>
      <c r="B322" t="s">
        <v>1150</v>
      </c>
      <c r="C322" t="s">
        <v>9567</v>
      </c>
      <c r="D322" t="s">
        <v>9587</v>
      </c>
      <c r="E322" t="s">
        <v>9768</v>
      </c>
      <c r="F322" t="s">
        <v>10291</v>
      </c>
      <c r="G322" t="s">
        <v>19210</v>
      </c>
      <c r="H322" t="s">
        <v>19229</v>
      </c>
      <c r="I322" t="s">
        <v>18851</v>
      </c>
      <c r="K322" t="str">
        <f>HYPERLINK("http://tuberculist.epfl.ch/quicksearch.php?gene+name=Rv0311&amp;submit=Search")</f>
        <v>http://tuberculist.epfl.ch/quicksearch.php?gene+name=Rv0311&amp;submit=Search</v>
      </c>
    </row>
    <row r="323" spans="1:11">
      <c r="A323" t="s">
        <v>795</v>
      </c>
      <c r="B323" t="s">
        <v>795</v>
      </c>
      <c r="C323" t="s">
        <v>9567</v>
      </c>
      <c r="D323" t="s">
        <v>9578</v>
      </c>
      <c r="E323" t="s">
        <v>10292</v>
      </c>
      <c r="F323" t="s">
        <v>10293</v>
      </c>
      <c r="G323" t="s">
        <v>19298</v>
      </c>
      <c r="H323" t="s">
        <v>19207</v>
      </c>
      <c r="I323" t="s">
        <v>18800</v>
      </c>
      <c r="J323" t="s">
        <v>18808</v>
      </c>
      <c r="K323" t="str">
        <f>HYPERLINK("http://tuberculist.epfl.ch/quicksearch.php?gene+name=Rv0312&amp;submit=Search")</f>
        <v>http://tuberculist.epfl.ch/quicksearch.php?gene+name=Rv0312&amp;submit=Search</v>
      </c>
    </row>
    <row r="324" spans="1:11">
      <c r="A324" t="s">
        <v>2722</v>
      </c>
      <c r="B324" t="s">
        <v>2722</v>
      </c>
      <c r="C324" t="s">
        <v>9567</v>
      </c>
      <c r="D324" t="s">
        <v>9578</v>
      </c>
      <c r="E324" t="s">
        <v>9665</v>
      </c>
      <c r="F324" t="s">
        <v>10294</v>
      </c>
      <c r="G324" t="s">
        <v>19212</v>
      </c>
      <c r="H324" t="s">
        <v>19272</v>
      </c>
      <c r="I324" t="s">
        <v>18780</v>
      </c>
      <c r="K324" t="str">
        <f>HYPERLINK("http://tuberculist.epfl.ch/quicksearch.php?gene+name=Rv0313&amp;submit=Search")</f>
        <v>http://tuberculist.epfl.ch/quicksearch.php?gene+name=Rv0313&amp;submit=Search</v>
      </c>
    </row>
    <row r="325" spans="1:11">
      <c r="A325" t="s">
        <v>2391</v>
      </c>
      <c r="B325" t="s">
        <v>2391</v>
      </c>
      <c r="C325" t="s">
        <v>9567</v>
      </c>
      <c r="D325" t="s">
        <v>9587</v>
      </c>
      <c r="E325" t="s">
        <v>9588</v>
      </c>
      <c r="F325" t="s">
        <v>10295</v>
      </c>
      <c r="G325" t="s">
        <v>19188</v>
      </c>
      <c r="H325" t="s">
        <v>19233</v>
      </c>
      <c r="I325" t="s">
        <v>18780</v>
      </c>
      <c r="K325" t="str">
        <f>HYPERLINK("http://tuberculist.epfl.ch/quicksearch.php?gene+name=Rv0314c&amp;submit=Search")</f>
        <v>http://tuberculist.epfl.ch/quicksearch.php?gene+name=Rv0314c&amp;submit=Search</v>
      </c>
    </row>
    <row r="326" spans="1:11">
      <c r="A326" t="s">
        <v>2081</v>
      </c>
      <c r="B326" t="s">
        <v>2081</v>
      </c>
      <c r="C326" t="s">
        <v>9567</v>
      </c>
      <c r="D326" t="s">
        <v>10296</v>
      </c>
      <c r="E326" t="s">
        <v>10297</v>
      </c>
      <c r="F326" t="s">
        <v>10298</v>
      </c>
      <c r="G326" t="s">
        <v>19195</v>
      </c>
      <c r="H326" t="s">
        <v>19360</v>
      </c>
      <c r="I326" t="s">
        <v>18780</v>
      </c>
      <c r="J326" t="s">
        <v>18775</v>
      </c>
      <c r="K326" t="str">
        <f>HYPERLINK("http://tuberculist.epfl.ch/quicksearch.php?gene+name=Rv0315&amp;submit=Search")</f>
        <v>http://tuberculist.epfl.ch/quicksearch.php?gene+name=Rv0315&amp;submit=Search</v>
      </c>
    </row>
    <row r="327" spans="1:11">
      <c r="A327" t="s">
        <v>2766</v>
      </c>
      <c r="B327" t="s">
        <v>2766</v>
      </c>
      <c r="C327" t="s">
        <v>9567</v>
      </c>
      <c r="D327" t="s">
        <v>10299</v>
      </c>
      <c r="E327" t="s">
        <v>10300</v>
      </c>
      <c r="F327" t="s">
        <v>10301</v>
      </c>
      <c r="G327" t="s">
        <v>19195</v>
      </c>
      <c r="H327" t="s">
        <v>19361</v>
      </c>
      <c r="I327" t="s">
        <v>18780</v>
      </c>
      <c r="K327" t="str">
        <f>HYPERLINK("http://tuberculist.epfl.ch/quicksearch.php?gene+name=Rv0316&amp;submit=Search")</f>
        <v>http://tuberculist.epfl.ch/quicksearch.php?gene+name=Rv0316&amp;submit=Search</v>
      </c>
    </row>
    <row r="328" spans="1:11">
      <c r="A328" t="s">
        <v>5155</v>
      </c>
      <c r="B328" t="s">
        <v>1329</v>
      </c>
      <c r="C328" t="s">
        <v>9567</v>
      </c>
      <c r="D328" t="s">
        <v>10302</v>
      </c>
      <c r="E328" t="s">
        <v>10303</v>
      </c>
      <c r="F328" t="s">
        <v>10304</v>
      </c>
      <c r="G328" t="s">
        <v>19195</v>
      </c>
      <c r="H328" t="s">
        <v>19213</v>
      </c>
      <c r="I328" t="s">
        <v>18789</v>
      </c>
      <c r="J328" t="s">
        <v>18852</v>
      </c>
      <c r="K328" t="str">
        <f>HYPERLINK("http://tuberculist.epfl.ch/quicksearch.php?gene+name=Rv0317c&amp;submit=Search")</f>
        <v>http://tuberculist.epfl.ch/quicksearch.php?gene+name=Rv0317c&amp;submit=Search</v>
      </c>
    </row>
    <row r="329" spans="1:11">
      <c r="A329" t="s">
        <v>152</v>
      </c>
      <c r="B329" t="s">
        <v>152</v>
      </c>
      <c r="C329" t="s">
        <v>9567</v>
      </c>
      <c r="D329" t="s">
        <v>9587</v>
      </c>
      <c r="E329" t="s">
        <v>9668</v>
      </c>
      <c r="F329" t="s">
        <v>10305</v>
      </c>
      <c r="G329" t="s">
        <v>19188</v>
      </c>
      <c r="I329" t="s">
        <v>18780</v>
      </c>
      <c r="K329" t="str">
        <f>HYPERLINK("http://tuberculist.epfl.ch/quicksearch.php?gene+name=Rv0318c&amp;submit=Search")</f>
        <v>http://tuberculist.epfl.ch/quicksearch.php?gene+name=Rv0318c&amp;submit=Search</v>
      </c>
    </row>
    <row r="330" spans="1:11">
      <c r="A330" t="s">
        <v>3452</v>
      </c>
      <c r="B330" t="s">
        <v>481</v>
      </c>
      <c r="C330" t="s">
        <v>9567</v>
      </c>
      <c r="D330" t="s">
        <v>10306</v>
      </c>
      <c r="E330" t="s">
        <v>10307</v>
      </c>
      <c r="F330" t="s">
        <v>10308</v>
      </c>
      <c r="G330" t="s">
        <v>19195</v>
      </c>
      <c r="H330" t="s">
        <v>19287</v>
      </c>
      <c r="I330" t="s">
        <v>18789</v>
      </c>
      <c r="K330" t="str">
        <f>HYPERLINK("http://tuberculist.epfl.ch/quicksearch.php?gene+name=Rv0319&amp;submit=Search")</f>
        <v>http://tuberculist.epfl.ch/quicksearch.php?gene+name=Rv0319&amp;submit=Search</v>
      </c>
    </row>
    <row r="331" spans="1:11">
      <c r="A331" t="s">
        <v>10309</v>
      </c>
      <c r="B331" t="s">
        <v>10309</v>
      </c>
      <c r="C331" t="s">
        <v>9567</v>
      </c>
      <c r="D331" t="s">
        <v>9587</v>
      </c>
      <c r="E331" t="s">
        <v>10288</v>
      </c>
      <c r="F331" t="s">
        <v>10310</v>
      </c>
      <c r="G331" t="s">
        <v>19188</v>
      </c>
      <c r="I331" t="s">
        <v>18780</v>
      </c>
      <c r="K331" t="str">
        <f>HYPERLINK("http://tuberculist.epfl.ch/quicksearch.php?gene+name=Rv0320&amp;submit=Search")</f>
        <v>http://tuberculist.epfl.ch/quicksearch.php?gene+name=Rv0320&amp;submit=Search</v>
      </c>
    </row>
    <row r="332" spans="1:11">
      <c r="A332" t="s">
        <v>6385</v>
      </c>
      <c r="B332" t="s">
        <v>1940</v>
      </c>
      <c r="C332" t="s">
        <v>9567</v>
      </c>
      <c r="D332" t="s">
        <v>10311</v>
      </c>
      <c r="E332" t="s">
        <v>10312</v>
      </c>
      <c r="F332" t="s">
        <v>10313</v>
      </c>
      <c r="G332" t="s">
        <v>19195</v>
      </c>
      <c r="H332" t="s">
        <v>19362</v>
      </c>
      <c r="I332" t="s">
        <v>18789</v>
      </c>
      <c r="K332" t="str">
        <f>HYPERLINK("http://tuberculist.epfl.ch/quicksearch.php?gene+name=Rv0321&amp;submit=Search")</f>
        <v>http://tuberculist.epfl.ch/quicksearch.php?gene+name=Rv0321&amp;submit=Search</v>
      </c>
    </row>
    <row r="333" spans="1:11">
      <c r="A333" t="s">
        <v>4901</v>
      </c>
      <c r="B333" t="s">
        <v>1206</v>
      </c>
      <c r="C333" t="s">
        <v>9567</v>
      </c>
      <c r="D333" t="s">
        <v>10314</v>
      </c>
      <c r="E333" t="s">
        <v>10315</v>
      </c>
      <c r="F333" t="s">
        <v>10316</v>
      </c>
      <c r="G333" t="s">
        <v>19195</v>
      </c>
      <c r="H333" t="s">
        <v>19207</v>
      </c>
      <c r="I333" t="s">
        <v>18780</v>
      </c>
      <c r="K333" t="str">
        <f>HYPERLINK("http://tuberculist.epfl.ch/quicksearch.php?gene+name=Rv0322&amp;submit=Search")</f>
        <v>http://tuberculist.epfl.ch/quicksearch.php?gene+name=Rv0322&amp;submit=Search</v>
      </c>
    </row>
    <row r="334" spans="1:11">
      <c r="A334" t="s">
        <v>899</v>
      </c>
      <c r="B334" t="s">
        <v>899</v>
      </c>
      <c r="C334" t="s">
        <v>9567</v>
      </c>
      <c r="D334" t="s">
        <v>9578</v>
      </c>
      <c r="E334" t="s">
        <v>9579</v>
      </c>
      <c r="F334" t="s">
        <v>10317</v>
      </c>
      <c r="G334" t="s">
        <v>19212</v>
      </c>
      <c r="I334" t="s">
        <v>18789</v>
      </c>
      <c r="K334" t="str">
        <f>HYPERLINK("http://tuberculist.epfl.ch/quicksearch.php?gene+name=Rv0323c&amp;submit=Search")</f>
        <v>http://tuberculist.epfl.ch/quicksearch.php?gene+name=Rv0323c&amp;submit=Search</v>
      </c>
    </row>
    <row r="335" spans="1:11">
      <c r="A335" t="s">
        <v>10318</v>
      </c>
      <c r="B335" t="s">
        <v>10318</v>
      </c>
      <c r="C335" t="s">
        <v>9567</v>
      </c>
      <c r="D335" t="s">
        <v>9632</v>
      </c>
      <c r="E335" t="s">
        <v>10319</v>
      </c>
      <c r="F335" t="s">
        <v>10320</v>
      </c>
      <c r="G335" t="s">
        <v>19197</v>
      </c>
      <c r="H335" t="s">
        <v>19213</v>
      </c>
      <c r="I335" t="s">
        <v>18780</v>
      </c>
      <c r="K335" t="str">
        <f>HYPERLINK("http://tuberculist.epfl.ch/quicksearch.php?gene+name=Rv0324&amp;submit=Search")</f>
        <v>http://tuberculist.epfl.ch/quicksearch.php?gene+name=Rv0324&amp;submit=Search</v>
      </c>
    </row>
    <row r="336" spans="1:11">
      <c r="A336" t="s">
        <v>10321</v>
      </c>
      <c r="B336" t="s">
        <v>10321</v>
      </c>
      <c r="C336" t="s">
        <v>9567</v>
      </c>
      <c r="D336" t="s">
        <v>9587</v>
      </c>
      <c r="E336" t="s">
        <v>9713</v>
      </c>
      <c r="F336" t="s">
        <v>10322</v>
      </c>
      <c r="G336" t="s">
        <v>19363</v>
      </c>
      <c r="I336" t="s">
        <v>18789</v>
      </c>
      <c r="K336" t="str">
        <f>HYPERLINK("http://tuberculist.epfl.ch/quicksearch.php?gene+name=Rv0325&amp;submit=Search")</f>
        <v>http://tuberculist.epfl.ch/quicksearch.php?gene+name=Rv0325&amp;submit=Search</v>
      </c>
    </row>
    <row r="337" spans="1:11">
      <c r="A337" t="s">
        <v>966</v>
      </c>
      <c r="B337" t="s">
        <v>966</v>
      </c>
      <c r="C337" t="s">
        <v>9567</v>
      </c>
      <c r="D337" t="s">
        <v>9587</v>
      </c>
      <c r="E337" t="s">
        <v>9713</v>
      </c>
      <c r="F337" t="s">
        <v>10323</v>
      </c>
      <c r="G337" t="s">
        <v>19363</v>
      </c>
      <c r="H337" t="s">
        <v>19215</v>
      </c>
      <c r="I337" t="s">
        <v>18853</v>
      </c>
      <c r="K337" t="str">
        <f>HYPERLINK("http://tuberculist.epfl.ch/quicksearch.php?gene+name=Rv0326&amp;submit=Search")</f>
        <v>http://tuberculist.epfl.ch/quicksearch.php?gene+name=Rv0326&amp;submit=Search</v>
      </c>
    </row>
    <row r="338" spans="1:11">
      <c r="A338" t="s">
        <v>6487</v>
      </c>
      <c r="B338" t="s">
        <v>1992</v>
      </c>
      <c r="C338" t="s">
        <v>9567</v>
      </c>
      <c r="D338" t="s">
        <v>9908</v>
      </c>
      <c r="E338" t="s">
        <v>10324</v>
      </c>
      <c r="F338" t="s">
        <v>10325</v>
      </c>
      <c r="G338" t="s">
        <v>19195</v>
      </c>
      <c r="I338" t="s">
        <v>18845</v>
      </c>
      <c r="K338" t="str">
        <f>HYPERLINK("http://tuberculist.epfl.ch/quicksearch.php?gene+name=Rv0327c&amp;submit=Search")</f>
        <v>http://tuberculist.epfl.ch/quicksearch.php?gene+name=Rv0327c&amp;submit=Search</v>
      </c>
    </row>
    <row r="339" spans="1:11">
      <c r="A339" t="s">
        <v>829</v>
      </c>
      <c r="B339" t="s">
        <v>829</v>
      </c>
      <c r="C339" t="s">
        <v>9567</v>
      </c>
      <c r="D339" t="s">
        <v>10326</v>
      </c>
      <c r="E339" t="s">
        <v>10327</v>
      </c>
      <c r="F339" t="s">
        <v>10328</v>
      </c>
      <c r="G339" t="s">
        <v>19197</v>
      </c>
      <c r="H339" t="s">
        <v>19252</v>
      </c>
      <c r="I339" t="s">
        <v>18779</v>
      </c>
      <c r="K339" t="str">
        <f>HYPERLINK("http://tuberculist.epfl.ch/quicksearch.php?gene+name=Rv0328&amp;submit=Search")</f>
        <v>http://tuberculist.epfl.ch/quicksearch.php?gene+name=Rv0328&amp;submit=Search</v>
      </c>
    </row>
    <row r="340" spans="1:11">
      <c r="A340" t="s">
        <v>10329</v>
      </c>
      <c r="B340" t="s">
        <v>10329</v>
      </c>
      <c r="C340" t="s">
        <v>9567</v>
      </c>
      <c r="D340" t="s">
        <v>9578</v>
      </c>
      <c r="E340" t="s">
        <v>9579</v>
      </c>
      <c r="F340" t="s">
        <v>10330</v>
      </c>
      <c r="G340" t="s">
        <v>19204</v>
      </c>
      <c r="H340" t="s">
        <v>19211</v>
      </c>
      <c r="I340" t="s">
        <v>18789</v>
      </c>
      <c r="K340" t="str">
        <f>HYPERLINK("http://tuberculist.epfl.ch/quicksearch.php?gene+name=Rv0329c&amp;submit=Search")</f>
        <v>http://tuberculist.epfl.ch/quicksearch.php?gene+name=Rv0329c&amp;submit=Search</v>
      </c>
    </row>
    <row r="341" spans="1:11">
      <c r="A341" t="s">
        <v>1428</v>
      </c>
      <c r="B341" t="s">
        <v>1428</v>
      </c>
      <c r="C341" t="s">
        <v>9567</v>
      </c>
      <c r="D341" t="s">
        <v>9587</v>
      </c>
      <c r="E341" t="s">
        <v>9713</v>
      </c>
      <c r="F341" t="s">
        <v>10331</v>
      </c>
      <c r="G341" t="s">
        <v>19208</v>
      </c>
      <c r="I341" t="s">
        <v>18780</v>
      </c>
      <c r="J341" t="s">
        <v>18806</v>
      </c>
      <c r="K341" t="str">
        <f>HYPERLINK("http://tuberculist.epfl.ch/quicksearch.php?gene+name=Rv0330c&amp;submit=Search")</f>
        <v>http://tuberculist.epfl.ch/quicksearch.php?gene+name=Rv0330c&amp;submit=Search</v>
      </c>
    </row>
    <row r="342" spans="1:11">
      <c r="A342" t="s">
        <v>850</v>
      </c>
      <c r="B342" t="s">
        <v>850</v>
      </c>
      <c r="C342" t="s">
        <v>9567</v>
      </c>
      <c r="D342" t="s">
        <v>9682</v>
      </c>
      <c r="E342" t="s">
        <v>10332</v>
      </c>
      <c r="F342" t="s">
        <v>10333</v>
      </c>
      <c r="G342" t="s">
        <v>19195</v>
      </c>
      <c r="H342" t="s">
        <v>19229</v>
      </c>
      <c r="I342" t="s">
        <v>18789</v>
      </c>
      <c r="J342" t="s">
        <v>18806</v>
      </c>
      <c r="K342" t="str">
        <f>HYPERLINK("http://tuberculist.epfl.ch/quicksearch.php?gene+name=Rv0331&amp;submit=Search")</f>
        <v>http://tuberculist.epfl.ch/quicksearch.php?gene+name=Rv0331&amp;submit=Search</v>
      </c>
    </row>
    <row r="343" spans="1:11">
      <c r="A343" t="s">
        <v>1477</v>
      </c>
      <c r="B343" t="s">
        <v>1477</v>
      </c>
      <c r="C343" t="s">
        <v>9567</v>
      </c>
      <c r="D343" t="s">
        <v>9578</v>
      </c>
      <c r="E343" t="s">
        <v>9665</v>
      </c>
      <c r="F343" t="s">
        <v>10334</v>
      </c>
      <c r="G343" t="s">
        <v>19212</v>
      </c>
      <c r="H343" t="s">
        <v>19283</v>
      </c>
      <c r="I343" t="s">
        <v>18780</v>
      </c>
      <c r="K343" t="str">
        <f>HYPERLINK("http://tuberculist.epfl.ch/quicksearch.php?gene+name=Rv0332&amp;submit=Search")</f>
        <v>http://tuberculist.epfl.ch/quicksearch.php?gene+name=Rv0332&amp;submit=Search</v>
      </c>
    </row>
    <row r="344" spans="1:11">
      <c r="A344" t="s">
        <v>3343</v>
      </c>
      <c r="B344" t="s">
        <v>3343</v>
      </c>
      <c r="C344" t="s">
        <v>9567</v>
      </c>
      <c r="D344" t="s">
        <v>9587</v>
      </c>
      <c r="E344" t="s">
        <v>9768</v>
      </c>
      <c r="F344" t="s">
        <v>10335</v>
      </c>
      <c r="G344" t="s">
        <v>19212</v>
      </c>
      <c r="H344" t="s">
        <v>19233</v>
      </c>
      <c r="I344" t="s">
        <v>18780</v>
      </c>
      <c r="K344" t="str">
        <f>HYPERLINK("http://tuberculist.epfl.ch/quicksearch.php?gene+name=Rv0333&amp;submit=Search")</f>
        <v>http://tuberculist.epfl.ch/quicksearch.php?gene+name=Rv0333&amp;submit=Search</v>
      </c>
    </row>
    <row r="345" spans="1:11">
      <c r="A345" t="s">
        <v>6874</v>
      </c>
      <c r="B345" t="s">
        <v>2199</v>
      </c>
      <c r="C345" t="s">
        <v>9567</v>
      </c>
      <c r="D345" t="s">
        <v>10336</v>
      </c>
      <c r="E345" t="s">
        <v>10337</v>
      </c>
      <c r="F345" t="s">
        <v>10338</v>
      </c>
      <c r="G345" t="s">
        <v>19195</v>
      </c>
      <c r="H345" t="s">
        <v>19196</v>
      </c>
      <c r="I345" t="s">
        <v>18854</v>
      </c>
      <c r="K345" t="str">
        <f>HYPERLINK("http://tuberculist.epfl.ch/quicksearch.php?gene+name=Rv0334&amp;submit=Search")</f>
        <v>http://tuberculist.epfl.ch/quicksearch.php?gene+name=Rv0334&amp;submit=Search</v>
      </c>
    </row>
    <row r="346" spans="1:11">
      <c r="A346" t="s">
        <v>10339</v>
      </c>
      <c r="B346" t="s">
        <v>10340</v>
      </c>
      <c r="C346" t="s">
        <v>9567</v>
      </c>
      <c r="D346" t="s">
        <v>9578</v>
      </c>
      <c r="E346" t="s">
        <v>10341</v>
      </c>
      <c r="F346" t="s">
        <v>10342</v>
      </c>
      <c r="G346" t="s">
        <v>19364</v>
      </c>
      <c r="H346" t="s">
        <v>19205</v>
      </c>
      <c r="I346" t="s">
        <v>18801</v>
      </c>
      <c r="K346" t="str">
        <f>HYPERLINK("http://tuberculist.epfl.ch/quicksearch.php?gene+name=Rv0335c&amp;submit=Search")</f>
        <v>http://tuberculist.epfl.ch/quicksearch.php?gene+name=Rv0335c&amp;submit=Search</v>
      </c>
    </row>
    <row r="347" spans="1:11">
      <c r="A347" t="s">
        <v>10343</v>
      </c>
      <c r="B347" t="s">
        <v>10343</v>
      </c>
      <c r="C347" t="s">
        <v>9567</v>
      </c>
      <c r="D347" t="s">
        <v>9578</v>
      </c>
      <c r="E347" t="s">
        <v>10344</v>
      </c>
      <c r="F347" t="s">
        <v>10345</v>
      </c>
      <c r="G347" t="s">
        <v>19217</v>
      </c>
      <c r="H347" t="s">
        <v>19205</v>
      </c>
      <c r="I347" t="s">
        <v>18777</v>
      </c>
      <c r="J347" t="s">
        <v>18855</v>
      </c>
      <c r="K347" t="str">
        <f>HYPERLINK("http://tuberculist.epfl.ch/quicksearch.php?gene+name=Rv0336&amp;submit=Search")</f>
        <v>http://tuberculist.epfl.ch/quicksearch.php?gene+name=Rv0336&amp;submit=Search</v>
      </c>
    </row>
    <row r="348" spans="1:11">
      <c r="A348" t="s">
        <v>4437</v>
      </c>
      <c r="B348" t="s">
        <v>985</v>
      </c>
      <c r="C348" t="s">
        <v>9567</v>
      </c>
      <c r="D348" t="s">
        <v>10346</v>
      </c>
      <c r="E348" t="s">
        <v>10347</v>
      </c>
      <c r="F348" t="s">
        <v>10348</v>
      </c>
      <c r="G348" t="s">
        <v>19195</v>
      </c>
      <c r="H348" t="s">
        <v>19256</v>
      </c>
      <c r="I348" t="s">
        <v>18774</v>
      </c>
      <c r="K348" t="str">
        <f>HYPERLINK("http://tuberculist.epfl.ch/quicksearch.php?gene+name=Rv0337c&amp;submit=Search")</f>
        <v>http://tuberculist.epfl.ch/quicksearch.php?gene+name=Rv0337c&amp;submit=Search</v>
      </c>
    </row>
    <row r="349" spans="1:11">
      <c r="A349" t="s">
        <v>3401</v>
      </c>
      <c r="B349" t="s">
        <v>3401</v>
      </c>
      <c r="C349" t="s">
        <v>9567</v>
      </c>
      <c r="D349" t="s">
        <v>9682</v>
      </c>
      <c r="E349" t="s">
        <v>10349</v>
      </c>
      <c r="F349" t="s">
        <v>10350</v>
      </c>
      <c r="G349" t="s">
        <v>19195</v>
      </c>
      <c r="H349" t="s">
        <v>19365</v>
      </c>
      <c r="I349" t="s">
        <v>18774</v>
      </c>
      <c r="J349" t="s">
        <v>18856</v>
      </c>
      <c r="K349" t="str">
        <f>HYPERLINK("http://tuberculist.epfl.ch/quicksearch.php?gene+name=Rv0338c&amp;submit=Search")</f>
        <v>http://tuberculist.epfl.ch/quicksearch.php?gene+name=Rv0338c&amp;submit=Search</v>
      </c>
    </row>
    <row r="350" spans="1:11">
      <c r="A350" t="s">
        <v>1915</v>
      </c>
      <c r="B350" t="s">
        <v>1915</v>
      </c>
      <c r="C350" t="s">
        <v>9567</v>
      </c>
      <c r="D350" t="s">
        <v>9906</v>
      </c>
      <c r="E350" t="s">
        <v>9633</v>
      </c>
      <c r="F350" t="s">
        <v>10351</v>
      </c>
      <c r="G350" t="s">
        <v>19197</v>
      </c>
      <c r="I350" t="s">
        <v>18793</v>
      </c>
      <c r="K350" t="str">
        <f>HYPERLINK("http://tuberculist.epfl.ch/quicksearch.php?gene+name=Rv0339c&amp;submit=Search")</f>
        <v>http://tuberculist.epfl.ch/quicksearch.php?gene+name=Rv0339c&amp;submit=Search</v>
      </c>
    </row>
    <row r="351" spans="1:11">
      <c r="A351" t="s">
        <v>10352</v>
      </c>
      <c r="B351" t="s">
        <v>10352</v>
      </c>
      <c r="C351" t="s">
        <v>9567</v>
      </c>
      <c r="D351" t="s">
        <v>9578</v>
      </c>
      <c r="E351" t="s">
        <v>9665</v>
      </c>
      <c r="F351" t="s">
        <v>10353</v>
      </c>
      <c r="G351" t="s">
        <v>19210</v>
      </c>
      <c r="H351" t="s">
        <v>19366</v>
      </c>
      <c r="I351" t="s">
        <v>18779</v>
      </c>
      <c r="K351" t="str">
        <f>HYPERLINK("http://tuberculist.epfl.ch/quicksearch.php?gene+name=Rv0340&amp;submit=Search")</f>
        <v>http://tuberculist.epfl.ch/quicksearch.php?gene+name=Rv0340&amp;submit=Search</v>
      </c>
    </row>
    <row r="352" spans="1:11">
      <c r="A352" t="s">
        <v>8945</v>
      </c>
      <c r="B352" t="s">
        <v>3201</v>
      </c>
      <c r="C352" t="s">
        <v>9567</v>
      </c>
      <c r="D352" t="s">
        <v>9587</v>
      </c>
      <c r="E352" t="s">
        <v>10354</v>
      </c>
      <c r="F352" t="s">
        <v>10355</v>
      </c>
      <c r="G352" t="s">
        <v>19188</v>
      </c>
      <c r="H352" t="s">
        <v>19367</v>
      </c>
      <c r="I352" t="s">
        <v>18779</v>
      </c>
      <c r="J352" t="s">
        <v>18857</v>
      </c>
      <c r="K352" t="str">
        <f>HYPERLINK("http://tuberculist.epfl.ch/quicksearch.php?gene+name=Rv0341&amp;submit=Search")</f>
        <v>http://tuberculist.epfl.ch/quicksearch.php?gene+name=Rv0341&amp;submit=Search</v>
      </c>
    </row>
    <row r="353" spans="1:11">
      <c r="A353" t="s">
        <v>8653</v>
      </c>
      <c r="B353" t="s">
        <v>3064</v>
      </c>
      <c r="C353" t="s">
        <v>9567</v>
      </c>
      <c r="D353" t="s">
        <v>9587</v>
      </c>
      <c r="E353" t="s">
        <v>10356</v>
      </c>
      <c r="F353" t="s">
        <v>10357</v>
      </c>
      <c r="G353" t="s">
        <v>19188</v>
      </c>
      <c r="H353" t="s">
        <v>19368</v>
      </c>
      <c r="I353" t="s">
        <v>18789</v>
      </c>
      <c r="K353" t="str">
        <f>HYPERLINK("http://tuberculist.epfl.ch/quicksearch.php?gene+name=Rv0342&amp;submit=Search")</f>
        <v>http://tuberculist.epfl.ch/quicksearch.php?gene+name=Rv0342&amp;submit=Search</v>
      </c>
    </row>
    <row r="354" spans="1:11">
      <c r="A354" t="s">
        <v>6796</v>
      </c>
      <c r="B354" t="s">
        <v>2160</v>
      </c>
      <c r="C354" t="s">
        <v>9567</v>
      </c>
      <c r="D354" t="s">
        <v>9587</v>
      </c>
      <c r="E354" t="s">
        <v>10358</v>
      </c>
      <c r="F354" t="s">
        <v>10359</v>
      </c>
      <c r="G354" t="s">
        <v>19188</v>
      </c>
      <c r="H354" t="s">
        <v>19369</v>
      </c>
      <c r="I354" t="s">
        <v>18793</v>
      </c>
      <c r="K354" t="str">
        <f>HYPERLINK("http://tuberculist.epfl.ch/quicksearch.php?gene+name=Rv0343&amp;submit=Search")</f>
        <v>http://tuberculist.epfl.ch/quicksearch.php?gene+name=Rv0343&amp;submit=Search</v>
      </c>
    </row>
    <row r="355" spans="1:11">
      <c r="A355" t="s">
        <v>10360</v>
      </c>
      <c r="B355" t="s">
        <v>10361</v>
      </c>
      <c r="C355" t="s">
        <v>9567</v>
      </c>
      <c r="D355" t="s">
        <v>9587</v>
      </c>
      <c r="E355" t="s">
        <v>10362</v>
      </c>
      <c r="F355" t="s">
        <v>10363</v>
      </c>
      <c r="G355" t="s">
        <v>19188</v>
      </c>
      <c r="I355" t="s">
        <v>18780</v>
      </c>
      <c r="K355" t="str">
        <f>HYPERLINK("http://tuberculist.epfl.ch/quicksearch.php?gene+name=Rv0344c&amp;submit=Search")</f>
        <v>http://tuberculist.epfl.ch/quicksearch.php?gene+name=Rv0344c&amp;submit=Search</v>
      </c>
    </row>
    <row r="356" spans="1:11">
      <c r="A356" t="s">
        <v>2942</v>
      </c>
      <c r="B356" t="s">
        <v>2942</v>
      </c>
      <c r="C356" t="s">
        <v>9567</v>
      </c>
      <c r="D356" t="s">
        <v>9578</v>
      </c>
      <c r="E356" t="s">
        <v>9579</v>
      </c>
      <c r="F356" t="s">
        <v>10364</v>
      </c>
      <c r="G356" t="s">
        <v>19212</v>
      </c>
      <c r="I356" t="s">
        <v>18780</v>
      </c>
      <c r="K356" t="str">
        <f>HYPERLINK("http://tuberculist.epfl.ch/quicksearch.php?gene+name=Rv0345&amp;submit=Search")</f>
        <v>http://tuberculist.epfl.ch/quicksearch.php?gene+name=Rv0345&amp;submit=Search</v>
      </c>
    </row>
    <row r="357" spans="1:11">
      <c r="A357" t="s">
        <v>6125</v>
      </c>
      <c r="B357" t="s">
        <v>1815</v>
      </c>
      <c r="C357" t="s">
        <v>9567</v>
      </c>
      <c r="D357" t="s">
        <v>10365</v>
      </c>
      <c r="E357" t="s">
        <v>10366</v>
      </c>
      <c r="F357" t="s">
        <v>10367</v>
      </c>
      <c r="G357" t="s">
        <v>19188</v>
      </c>
      <c r="H357" t="s">
        <v>19370</v>
      </c>
      <c r="I357" t="s">
        <v>18779</v>
      </c>
      <c r="J357" t="s">
        <v>18806</v>
      </c>
      <c r="K357" t="str">
        <f>HYPERLINK("http://tuberculist.epfl.ch/quicksearch.php?gene+name=Rv0346c&amp;submit=Search")</f>
        <v>http://tuberculist.epfl.ch/quicksearch.php?gene+name=Rv0346c&amp;submit=Search</v>
      </c>
    </row>
    <row r="358" spans="1:11">
      <c r="A358" t="s">
        <v>3293</v>
      </c>
      <c r="B358" t="s">
        <v>3293</v>
      </c>
      <c r="C358" t="s">
        <v>9567</v>
      </c>
      <c r="D358" t="s">
        <v>9587</v>
      </c>
      <c r="E358" t="s">
        <v>9595</v>
      </c>
      <c r="F358" t="s">
        <v>10368</v>
      </c>
      <c r="G358" t="s">
        <v>19188</v>
      </c>
      <c r="H358" t="s">
        <v>19371</v>
      </c>
      <c r="I358" t="s">
        <v>18774</v>
      </c>
      <c r="J358" t="s">
        <v>18806</v>
      </c>
      <c r="K358" t="str">
        <f>HYPERLINK("http://tuberculist.epfl.ch/quicksearch.php?gene+name=Rv0347&amp;submit=Search")</f>
        <v>http://tuberculist.epfl.ch/quicksearch.php?gene+name=Rv0347&amp;submit=Search</v>
      </c>
    </row>
    <row r="359" spans="1:11">
      <c r="A359" t="s">
        <v>657</v>
      </c>
      <c r="B359" t="s">
        <v>657</v>
      </c>
      <c r="C359" t="s">
        <v>9567</v>
      </c>
      <c r="D359" t="s">
        <v>9906</v>
      </c>
      <c r="E359" t="s">
        <v>9633</v>
      </c>
      <c r="F359" t="s">
        <v>10369</v>
      </c>
      <c r="G359" t="s">
        <v>19197</v>
      </c>
      <c r="I359" t="s">
        <v>18788</v>
      </c>
      <c r="K359" t="str">
        <f>HYPERLINK("http://tuberculist.epfl.ch/quicksearch.php?gene+name=Rv0348&amp;submit=Search")</f>
        <v>http://tuberculist.epfl.ch/quicksearch.php?gene+name=Rv0348&amp;submit=Search</v>
      </c>
    </row>
    <row r="360" spans="1:11">
      <c r="A360" t="s">
        <v>160</v>
      </c>
      <c r="B360" t="s">
        <v>160</v>
      </c>
      <c r="C360" t="s">
        <v>9567</v>
      </c>
      <c r="D360" t="s">
        <v>9587</v>
      </c>
      <c r="E360" t="s">
        <v>9713</v>
      </c>
      <c r="F360" t="s">
        <v>10370</v>
      </c>
      <c r="G360" t="s">
        <v>19212</v>
      </c>
      <c r="I360" t="s">
        <v>18789</v>
      </c>
      <c r="K360" t="str">
        <f>HYPERLINK("http://tuberculist.epfl.ch/quicksearch.php?gene+name=Rv0349&amp;submit=Search")</f>
        <v>http://tuberculist.epfl.ch/quicksearch.php?gene+name=Rv0349&amp;submit=Search</v>
      </c>
    </row>
    <row r="361" spans="1:11">
      <c r="A361" t="s">
        <v>9515</v>
      </c>
      <c r="B361" t="s">
        <v>448</v>
      </c>
      <c r="C361" t="s">
        <v>9567</v>
      </c>
      <c r="D361" t="s">
        <v>10371</v>
      </c>
      <c r="E361" t="s">
        <v>10372</v>
      </c>
      <c r="F361" t="s">
        <v>10373</v>
      </c>
      <c r="G361" t="s">
        <v>19206</v>
      </c>
      <c r="H361" t="s">
        <v>19372</v>
      </c>
      <c r="I361" t="s">
        <v>18774</v>
      </c>
      <c r="K361" t="str">
        <f>HYPERLINK("http://tuberculist.epfl.ch/quicksearch.php?gene+name=Rv0350&amp;submit=Search")</f>
        <v>http://tuberculist.epfl.ch/quicksearch.php?gene+name=Rv0350&amp;submit=Search</v>
      </c>
    </row>
    <row r="362" spans="1:11">
      <c r="A362" t="s">
        <v>6960</v>
      </c>
      <c r="B362" t="s">
        <v>2242</v>
      </c>
      <c r="C362" t="s">
        <v>9567</v>
      </c>
      <c r="D362" t="s">
        <v>10374</v>
      </c>
      <c r="E362" t="s">
        <v>10375</v>
      </c>
      <c r="F362" t="s">
        <v>10376</v>
      </c>
      <c r="G362" t="s">
        <v>19206</v>
      </c>
      <c r="H362" t="s">
        <v>19373</v>
      </c>
      <c r="I362" t="s">
        <v>18774</v>
      </c>
      <c r="K362" t="str">
        <f>HYPERLINK("http://tuberculist.epfl.ch/quicksearch.php?gene+name=Rv0351&amp;submit=Search")</f>
        <v>http://tuberculist.epfl.ch/quicksearch.php?gene+name=Rv0351&amp;submit=Search</v>
      </c>
    </row>
    <row r="363" spans="1:11">
      <c r="A363" t="s">
        <v>8110</v>
      </c>
      <c r="B363" t="s">
        <v>2808</v>
      </c>
      <c r="C363" t="s">
        <v>9567</v>
      </c>
      <c r="D363" t="s">
        <v>10377</v>
      </c>
      <c r="E363" t="s">
        <v>10378</v>
      </c>
      <c r="F363" t="s">
        <v>10379</v>
      </c>
      <c r="G363" t="s">
        <v>19206</v>
      </c>
      <c r="H363" t="s">
        <v>19374</v>
      </c>
      <c r="I363" t="s">
        <v>18774</v>
      </c>
      <c r="K363" t="str">
        <f>HYPERLINK("http://tuberculist.epfl.ch/quicksearch.php?gene+name=Rv0352&amp;submit=Search")</f>
        <v>http://tuberculist.epfl.ch/quicksearch.php?gene+name=Rv0352&amp;submit=Search</v>
      </c>
    </row>
    <row r="364" spans="1:11">
      <c r="A364" t="s">
        <v>9016</v>
      </c>
      <c r="B364" t="s">
        <v>3238</v>
      </c>
      <c r="C364" t="s">
        <v>9567</v>
      </c>
      <c r="D364" t="s">
        <v>10380</v>
      </c>
      <c r="E364" t="s">
        <v>10381</v>
      </c>
      <c r="F364" t="s">
        <v>10382</v>
      </c>
      <c r="G364" t="s">
        <v>19206</v>
      </c>
      <c r="H364" t="s">
        <v>19250</v>
      </c>
      <c r="I364" t="s">
        <v>18780</v>
      </c>
      <c r="K364" t="str">
        <f>HYPERLINK("http://tuberculist.epfl.ch/quicksearch.php?gene+name=Rv0353&amp;submit=Search")</f>
        <v>http://tuberculist.epfl.ch/quicksearch.php?gene+name=Rv0353&amp;submit=Search</v>
      </c>
    </row>
    <row r="365" spans="1:11">
      <c r="A365" t="s">
        <v>10383</v>
      </c>
      <c r="B365" t="s">
        <v>10384</v>
      </c>
      <c r="C365" t="s">
        <v>9567</v>
      </c>
      <c r="D365" t="s">
        <v>9578</v>
      </c>
      <c r="E365" t="s">
        <v>10385</v>
      </c>
      <c r="F365" t="s">
        <v>10386</v>
      </c>
      <c r="G365" t="s">
        <v>19262</v>
      </c>
      <c r="H365" t="s">
        <v>19254</v>
      </c>
      <c r="I365" t="s">
        <v>18789</v>
      </c>
      <c r="J365" t="s">
        <v>18839</v>
      </c>
      <c r="K365" t="str">
        <f>HYPERLINK("http://tuberculist.epfl.ch/quicksearch.php?gene+name=Rv0354c&amp;submit=Search")</f>
        <v>http://tuberculist.epfl.ch/quicksearch.php?gene+name=Rv0354c&amp;submit=Search</v>
      </c>
    </row>
    <row r="366" spans="1:11">
      <c r="A366" t="s">
        <v>6089</v>
      </c>
      <c r="B366" t="s">
        <v>1800</v>
      </c>
      <c r="C366" t="s">
        <v>9567</v>
      </c>
      <c r="D366" t="s">
        <v>9578</v>
      </c>
      <c r="E366" t="s">
        <v>10387</v>
      </c>
      <c r="F366" t="s">
        <v>10388</v>
      </c>
      <c r="G366" t="s">
        <v>19262</v>
      </c>
      <c r="H366" t="s">
        <v>19267</v>
      </c>
      <c r="I366" t="s">
        <v>18792</v>
      </c>
      <c r="K366" t="str">
        <f>HYPERLINK("http://tuberculist.epfl.ch/quicksearch.php?gene+name=Rv0355c&amp;submit=Search")</f>
        <v>http://tuberculist.epfl.ch/quicksearch.php?gene+name=Rv0355c&amp;submit=Search</v>
      </c>
    </row>
    <row r="367" spans="1:11">
      <c r="A367" t="s">
        <v>2692</v>
      </c>
      <c r="B367" t="s">
        <v>2692</v>
      </c>
      <c r="C367" t="s">
        <v>9567</v>
      </c>
      <c r="D367" t="s">
        <v>9578</v>
      </c>
      <c r="E367" t="s">
        <v>9665</v>
      </c>
      <c r="F367" t="s">
        <v>10389</v>
      </c>
      <c r="G367" t="s">
        <v>19212</v>
      </c>
      <c r="H367" t="s">
        <v>19192</v>
      </c>
      <c r="I367" t="s">
        <v>18780</v>
      </c>
      <c r="K367" t="str">
        <f>HYPERLINK("http://tuberculist.epfl.ch/quicksearch.php?gene+name=Rv0356c&amp;submit=Search")</f>
        <v>http://tuberculist.epfl.ch/quicksearch.php?gene+name=Rv0356c&amp;submit=Search</v>
      </c>
    </row>
    <row r="368" spans="1:11">
      <c r="A368" t="s">
        <v>6321</v>
      </c>
      <c r="B368" t="s">
        <v>1908</v>
      </c>
      <c r="C368" t="s">
        <v>9567</v>
      </c>
      <c r="D368" t="s">
        <v>10390</v>
      </c>
      <c r="E368" t="s">
        <v>10391</v>
      </c>
      <c r="F368" t="s">
        <v>10392</v>
      </c>
      <c r="G368" t="s">
        <v>19195</v>
      </c>
      <c r="H368" t="s">
        <v>19375</v>
      </c>
      <c r="I368" t="s">
        <v>18774</v>
      </c>
      <c r="K368" t="str">
        <f>HYPERLINK("http://tuberculist.epfl.ch/quicksearch.php?gene+name=Rv0357c&amp;submit=Search")</f>
        <v>http://tuberculist.epfl.ch/quicksearch.php?gene+name=Rv0357c&amp;submit=Search</v>
      </c>
    </row>
    <row r="369" spans="1:11">
      <c r="A369" t="s">
        <v>10393</v>
      </c>
      <c r="B369" t="s">
        <v>10393</v>
      </c>
      <c r="C369" t="s">
        <v>9567</v>
      </c>
      <c r="D369" t="s">
        <v>9578</v>
      </c>
      <c r="E369" t="s">
        <v>9665</v>
      </c>
      <c r="F369" t="s">
        <v>10394</v>
      </c>
      <c r="G369" t="s">
        <v>19204</v>
      </c>
      <c r="H369" t="s">
        <v>19192</v>
      </c>
      <c r="I369" t="s">
        <v>18776</v>
      </c>
      <c r="K369" t="str">
        <f>HYPERLINK("http://tuberculist.epfl.ch/quicksearch.php?gene+name=Rv0358&amp;submit=Search")</f>
        <v>http://tuberculist.epfl.ch/quicksearch.php?gene+name=Rv0358&amp;submit=Search</v>
      </c>
    </row>
    <row r="370" spans="1:11">
      <c r="A370" t="s">
        <v>1666</v>
      </c>
      <c r="B370" t="s">
        <v>1666</v>
      </c>
      <c r="C370" t="s">
        <v>9567</v>
      </c>
      <c r="D370" t="s">
        <v>9587</v>
      </c>
      <c r="E370" t="s">
        <v>9668</v>
      </c>
      <c r="F370" t="s">
        <v>10395</v>
      </c>
      <c r="G370" t="s">
        <v>19188</v>
      </c>
      <c r="H370" t="s">
        <v>19192</v>
      </c>
      <c r="I370" t="s">
        <v>18780</v>
      </c>
      <c r="K370" t="str">
        <f>HYPERLINK("http://tuberculist.epfl.ch/quicksearch.php?gene+name=Rv0359&amp;submit=Search")</f>
        <v>http://tuberculist.epfl.ch/quicksearch.php?gene+name=Rv0359&amp;submit=Search</v>
      </c>
    </row>
    <row r="371" spans="1:11">
      <c r="A371" t="s">
        <v>10396</v>
      </c>
      <c r="B371" t="s">
        <v>10396</v>
      </c>
      <c r="C371" t="s">
        <v>9567</v>
      </c>
      <c r="D371" t="s">
        <v>9578</v>
      </c>
      <c r="E371" t="s">
        <v>9665</v>
      </c>
      <c r="F371" t="s">
        <v>10397</v>
      </c>
      <c r="G371" t="s">
        <v>19212</v>
      </c>
      <c r="H371" t="s">
        <v>19233</v>
      </c>
      <c r="I371" t="s">
        <v>18789</v>
      </c>
      <c r="K371" t="str">
        <f>HYPERLINK("http://tuberculist.epfl.ch/quicksearch.php?gene+name=Rv0360c&amp;submit=Search")</f>
        <v>http://tuberculist.epfl.ch/quicksearch.php?gene+name=Rv0360c&amp;submit=Search</v>
      </c>
    </row>
    <row r="372" spans="1:11">
      <c r="A372" t="s">
        <v>1530</v>
      </c>
      <c r="B372" t="s">
        <v>1530</v>
      </c>
      <c r="C372" t="s">
        <v>9567</v>
      </c>
      <c r="D372" t="s">
        <v>9587</v>
      </c>
      <c r="E372" t="s">
        <v>9595</v>
      </c>
      <c r="F372" t="s">
        <v>10398</v>
      </c>
      <c r="G372" t="s">
        <v>19188</v>
      </c>
      <c r="H372" t="s">
        <v>19189</v>
      </c>
      <c r="I372" t="s">
        <v>18789</v>
      </c>
      <c r="K372" t="str">
        <f>HYPERLINK("http://tuberculist.epfl.ch/quicksearch.php?gene+name=Rv0361&amp;submit=Search")</f>
        <v>http://tuberculist.epfl.ch/quicksearch.php?gene+name=Rv0361&amp;submit=Search</v>
      </c>
    </row>
    <row r="373" spans="1:11">
      <c r="A373" t="s">
        <v>8249</v>
      </c>
      <c r="B373" t="s">
        <v>2880</v>
      </c>
      <c r="C373" t="s">
        <v>9567</v>
      </c>
      <c r="D373" t="s">
        <v>10399</v>
      </c>
      <c r="E373" t="s">
        <v>10400</v>
      </c>
      <c r="F373" t="s">
        <v>10401</v>
      </c>
      <c r="G373" t="s">
        <v>19188</v>
      </c>
      <c r="I373" t="s">
        <v>18836</v>
      </c>
      <c r="K373" t="str">
        <f>HYPERLINK("http://tuberculist.epfl.ch/quicksearch.php?gene+name=Rv0362&amp;submit=Search")</f>
        <v>http://tuberculist.epfl.ch/quicksearch.php?gene+name=Rv0362&amp;submit=Search</v>
      </c>
    </row>
    <row r="374" spans="1:11">
      <c r="A374" t="s">
        <v>5487</v>
      </c>
      <c r="B374" t="s">
        <v>1505</v>
      </c>
      <c r="C374" t="s">
        <v>9567</v>
      </c>
      <c r="D374" t="s">
        <v>10402</v>
      </c>
      <c r="E374" t="s">
        <v>10403</v>
      </c>
      <c r="F374" t="s">
        <v>10404</v>
      </c>
      <c r="G374" t="s">
        <v>19195</v>
      </c>
      <c r="H374" t="s">
        <v>19376</v>
      </c>
      <c r="I374" t="s">
        <v>18776</v>
      </c>
      <c r="K374" t="str">
        <f>HYPERLINK("http://tuberculist.epfl.ch/quicksearch.php?gene+name=Rv0363c&amp;submit=Search")</f>
        <v>http://tuberculist.epfl.ch/quicksearch.php?gene+name=Rv0363c&amp;submit=Search</v>
      </c>
    </row>
    <row r="375" spans="1:11">
      <c r="A375" t="s">
        <v>2571</v>
      </c>
      <c r="B375" t="s">
        <v>2571</v>
      </c>
      <c r="C375" t="s">
        <v>9567</v>
      </c>
      <c r="D375" t="s">
        <v>9587</v>
      </c>
      <c r="E375" t="s">
        <v>9671</v>
      </c>
      <c r="F375" t="s">
        <v>10405</v>
      </c>
      <c r="G375" t="s">
        <v>19188</v>
      </c>
      <c r="H375" t="s">
        <v>19192</v>
      </c>
      <c r="I375" t="s">
        <v>18776</v>
      </c>
      <c r="K375" t="str">
        <f>HYPERLINK("http://tuberculist.epfl.ch/quicksearch.php?gene+name=Rv0364&amp;submit=Search")</f>
        <v>http://tuberculist.epfl.ch/quicksearch.php?gene+name=Rv0364&amp;submit=Search</v>
      </c>
    </row>
    <row r="376" spans="1:11">
      <c r="A376" t="s">
        <v>2955</v>
      </c>
      <c r="B376" t="s">
        <v>2955</v>
      </c>
      <c r="C376" t="s">
        <v>9567</v>
      </c>
      <c r="D376" t="s">
        <v>10406</v>
      </c>
      <c r="E376" t="s">
        <v>9665</v>
      </c>
      <c r="F376" t="s">
        <v>10407</v>
      </c>
      <c r="G376" t="s">
        <v>19204</v>
      </c>
      <c r="H376" t="s">
        <v>19377</v>
      </c>
      <c r="I376" t="s">
        <v>18780</v>
      </c>
      <c r="K376" t="str">
        <f>HYPERLINK("http://tuberculist.epfl.ch/quicksearch.php?gene+name=Rv0365c&amp;submit=Search")</f>
        <v>http://tuberculist.epfl.ch/quicksearch.php?gene+name=Rv0365c&amp;submit=Search</v>
      </c>
    </row>
    <row r="377" spans="1:11">
      <c r="A377" t="s">
        <v>10408</v>
      </c>
      <c r="B377" t="s">
        <v>10408</v>
      </c>
      <c r="C377" t="s">
        <v>9567</v>
      </c>
      <c r="D377" t="s">
        <v>9578</v>
      </c>
      <c r="E377" t="s">
        <v>9579</v>
      </c>
      <c r="F377" t="s">
        <v>10409</v>
      </c>
      <c r="G377" t="s">
        <v>19212</v>
      </c>
      <c r="H377" t="s">
        <v>19205</v>
      </c>
      <c r="I377" t="s">
        <v>18789</v>
      </c>
      <c r="K377" t="str">
        <f>HYPERLINK("http://tuberculist.epfl.ch/quicksearch.php?gene+name=Rv0366c&amp;submit=Search")</f>
        <v>http://tuberculist.epfl.ch/quicksearch.php?gene+name=Rv0366c&amp;submit=Search</v>
      </c>
    </row>
    <row r="378" spans="1:11">
      <c r="A378" t="s">
        <v>2755</v>
      </c>
      <c r="B378" t="s">
        <v>2755</v>
      </c>
      <c r="C378" t="s">
        <v>9567</v>
      </c>
      <c r="D378" t="s">
        <v>9587</v>
      </c>
      <c r="E378" t="s">
        <v>9713</v>
      </c>
      <c r="F378" t="s">
        <v>10410</v>
      </c>
      <c r="G378" t="s">
        <v>19212</v>
      </c>
      <c r="H378" t="s">
        <v>19213</v>
      </c>
      <c r="I378" t="s">
        <v>18780</v>
      </c>
      <c r="K378" t="str">
        <f>HYPERLINK("http://tuberculist.epfl.ch/quicksearch.php?gene+name=Rv0367c&amp;submit=Search")</f>
        <v>http://tuberculist.epfl.ch/quicksearch.php?gene+name=Rv0367c&amp;submit=Search</v>
      </c>
    </row>
    <row r="379" spans="1:11">
      <c r="A379" t="s">
        <v>967</v>
      </c>
      <c r="B379" t="s">
        <v>967</v>
      </c>
      <c r="C379" t="s">
        <v>9567</v>
      </c>
      <c r="D379" t="s">
        <v>9578</v>
      </c>
      <c r="E379" t="s">
        <v>9579</v>
      </c>
      <c r="F379" t="s">
        <v>10411</v>
      </c>
      <c r="G379" t="s">
        <v>19212</v>
      </c>
      <c r="H379" t="s">
        <v>19302</v>
      </c>
      <c r="I379" t="s">
        <v>18780</v>
      </c>
      <c r="K379" t="str">
        <f>HYPERLINK("http://tuberculist.epfl.ch/quicksearch.php?gene+name=Rv0368c&amp;submit=Search")</f>
        <v>http://tuberculist.epfl.ch/quicksearch.php?gene+name=Rv0368c&amp;submit=Search</v>
      </c>
    </row>
    <row r="380" spans="1:11">
      <c r="A380" t="s">
        <v>10412</v>
      </c>
      <c r="B380" t="s">
        <v>10412</v>
      </c>
      <c r="C380" t="s">
        <v>9567</v>
      </c>
      <c r="D380" t="s">
        <v>9682</v>
      </c>
      <c r="E380" t="s">
        <v>10413</v>
      </c>
      <c r="F380" t="s">
        <v>10414</v>
      </c>
      <c r="G380" t="s">
        <v>19195</v>
      </c>
      <c r="H380" t="s">
        <v>19250</v>
      </c>
      <c r="I380" t="s">
        <v>18780</v>
      </c>
      <c r="K380" t="str">
        <f>HYPERLINK("http://tuberculist.epfl.ch/quicksearch.php?gene+name=Rv0369c&amp;submit=Search")</f>
        <v>http://tuberculist.epfl.ch/quicksearch.php?gene+name=Rv0369c&amp;submit=Search</v>
      </c>
    </row>
    <row r="381" spans="1:11">
      <c r="A381" t="s">
        <v>2761</v>
      </c>
      <c r="B381" t="s">
        <v>2761</v>
      </c>
      <c r="C381" t="s">
        <v>9567</v>
      </c>
      <c r="D381" t="s">
        <v>9682</v>
      </c>
      <c r="E381" t="s">
        <v>9683</v>
      </c>
      <c r="F381" t="s">
        <v>10415</v>
      </c>
      <c r="G381" t="s">
        <v>19195</v>
      </c>
      <c r="I381" t="s">
        <v>18776</v>
      </c>
      <c r="K381" t="str">
        <f>HYPERLINK("http://tuberculist.epfl.ch/quicksearch.php?gene+name=Rv0370c&amp;submit=Search")</f>
        <v>http://tuberculist.epfl.ch/quicksearch.php?gene+name=Rv0370c&amp;submit=Search</v>
      </c>
    </row>
    <row r="382" spans="1:11">
      <c r="A382" t="s">
        <v>10416</v>
      </c>
      <c r="B382" t="s">
        <v>10416</v>
      </c>
      <c r="C382" t="s">
        <v>9567</v>
      </c>
      <c r="D382" t="s">
        <v>9578</v>
      </c>
      <c r="E382" t="s">
        <v>9579</v>
      </c>
      <c r="F382" t="s">
        <v>10417</v>
      </c>
      <c r="G382" t="s">
        <v>19204</v>
      </c>
      <c r="I382" t="s">
        <v>18779</v>
      </c>
      <c r="K382" t="str">
        <f>HYPERLINK("http://tuberculist.epfl.ch/quicksearch.php?gene+name=Rv0371c&amp;submit=Search")</f>
        <v>http://tuberculist.epfl.ch/quicksearch.php?gene+name=Rv0371c&amp;submit=Search</v>
      </c>
    </row>
    <row r="383" spans="1:11">
      <c r="A383" t="s">
        <v>10418</v>
      </c>
      <c r="B383" t="s">
        <v>10418</v>
      </c>
      <c r="C383" t="s">
        <v>9567</v>
      </c>
      <c r="D383" t="s">
        <v>9578</v>
      </c>
      <c r="E383" t="s">
        <v>9579</v>
      </c>
      <c r="F383" t="s">
        <v>10419</v>
      </c>
      <c r="G383" t="s">
        <v>19204</v>
      </c>
      <c r="I383" t="s">
        <v>18858</v>
      </c>
      <c r="K383" t="str">
        <f>HYPERLINK("http://tuberculist.epfl.ch/quicksearch.php?gene+name=Rv0372c&amp;submit=Search")</f>
        <v>http://tuberculist.epfl.ch/quicksearch.php?gene+name=Rv0372c&amp;submit=Search</v>
      </c>
    </row>
    <row r="384" spans="1:11">
      <c r="A384" t="s">
        <v>2693</v>
      </c>
      <c r="B384" t="s">
        <v>2693</v>
      </c>
      <c r="C384" t="s">
        <v>9567</v>
      </c>
      <c r="D384" t="s">
        <v>10420</v>
      </c>
      <c r="E384" t="s">
        <v>10421</v>
      </c>
      <c r="F384" t="s">
        <v>10422</v>
      </c>
      <c r="G384" t="s">
        <v>19195</v>
      </c>
      <c r="H384" t="s">
        <v>19207</v>
      </c>
      <c r="I384" t="s">
        <v>18788</v>
      </c>
      <c r="K384" t="str">
        <f>HYPERLINK("http://tuberculist.epfl.ch/quicksearch.php?gene+name=Rv0373c&amp;submit=Search")</f>
        <v>http://tuberculist.epfl.ch/quicksearch.php?gene+name=Rv0373c&amp;submit=Search</v>
      </c>
    </row>
    <row r="385" spans="1:11">
      <c r="A385" t="s">
        <v>10423</v>
      </c>
      <c r="B385" t="s">
        <v>10423</v>
      </c>
      <c r="C385" t="s">
        <v>9567</v>
      </c>
      <c r="D385" t="s">
        <v>10420</v>
      </c>
      <c r="E385" t="s">
        <v>10424</v>
      </c>
      <c r="F385" t="s">
        <v>10425</v>
      </c>
      <c r="G385" t="s">
        <v>19195</v>
      </c>
      <c r="I385" t="s">
        <v>18859</v>
      </c>
      <c r="K385" t="str">
        <f>HYPERLINK("http://tuberculist.epfl.ch/quicksearch.php?gene+name=Rv0374c&amp;submit=Search")</f>
        <v>http://tuberculist.epfl.ch/quicksearch.php?gene+name=Rv0374c&amp;submit=Search</v>
      </c>
    </row>
    <row r="386" spans="1:11">
      <c r="A386" t="s">
        <v>10426</v>
      </c>
      <c r="B386" t="s">
        <v>10426</v>
      </c>
      <c r="C386" t="s">
        <v>9567</v>
      </c>
      <c r="D386" t="s">
        <v>10420</v>
      </c>
      <c r="E386" t="s">
        <v>10427</v>
      </c>
      <c r="F386" t="s">
        <v>10428</v>
      </c>
      <c r="G386" t="s">
        <v>19195</v>
      </c>
      <c r="H386" t="s">
        <v>19215</v>
      </c>
      <c r="I386" t="s">
        <v>18779</v>
      </c>
      <c r="K386" t="str">
        <f>HYPERLINK("http://tuberculist.epfl.ch/quicksearch.php?gene+name=Rv0375c&amp;submit=Search")</f>
        <v>http://tuberculist.epfl.ch/quicksearch.php?gene+name=Rv0375c&amp;submit=Search</v>
      </c>
    </row>
    <row r="387" spans="1:11">
      <c r="A387" t="s">
        <v>10429</v>
      </c>
      <c r="B387" t="s">
        <v>10429</v>
      </c>
      <c r="C387" t="s">
        <v>9567</v>
      </c>
      <c r="D387" t="s">
        <v>9578</v>
      </c>
      <c r="E387" t="s">
        <v>9579</v>
      </c>
      <c r="F387" t="s">
        <v>10430</v>
      </c>
      <c r="G387" t="s">
        <v>19212</v>
      </c>
      <c r="H387" t="s">
        <v>19213</v>
      </c>
      <c r="I387" t="s">
        <v>18821</v>
      </c>
      <c r="K387" t="str">
        <f>HYPERLINK("http://tuberculist.epfl.ch/quicksearch.php?gene+name=Rv0376c&amp;submit=Search")</f>
        <v>http://tuberculist.epfl.ch/quicksearch.php?gene+name=Rv0376c&amp;submit=Search</v>
      </c>
    </row>
    <row r="388" spans="1:11">
      <c r="A388" t="s">
        <v>1429</v>
      </c>
      <c r="B388" t="s">
        <v>1429</v>
      </c>
      <c r="C388" t="s">
        <v>9567</v>
      </c>
      <c r="D388" t="s">
        <v>9632</v>
      </c>
      <c r="E388" t="s">
        <v>10431</v>
      </c>
      <c r="F388" t="s">
        <v>10432</v>
      </c>
      <c r="G388" t="s">
        <v>19197</v>
      </c>
      <c r="I388" t="s">
        <v>18821</v>
      </c>
      <c r="K388" t="str">
        <f>HYPERLINK("http://tuberculist.epfl.ch/quicksearch.php?gene+name=Rv0377&amp;submit=Search")</f>
        <v>http://tuberculist.epfl.ch/quicksearch.php?gene+name=Rv0377&amp;submit=Search</v>
      </c>
    </row>
    <row r="389" spans="1:11">
      <c r="A389" t="s">
        <v>10433</v>
      </c>
      <c r="B389" t="s">
        <v>10433</v>
      </c>
      <c r="C389" t="s">
        <v>9567</v>
      </c>
      <c r="D389" t="s">
        <v>9578</v>
      </c>
      <c r="E389" t="s">
        <v>10434</v>
      </c>
      <c r="F389" t="s">
        <v>10435</v>
      </c>
      <c r="G389" t="s">
        <v>19212</v>
      </c>
      <c r="I389" t="s">
        <v>18802</v>
      </c>
      <c r="K389" t="str">
        <f>HYPERLINK("http://tuberculist.epfl.ch/quicksearch.php?gene+name=Rv0378&amp;submit=Search")</f>
        <v>http://tuberculist.epfl.ch/quicksearch.php?gene+name=Rv0378&amp;submit=Search</v>
      </c>
    </row>
    <row r="390" spans="1:11">
      <c r="A390" t="s">
        <v>7340</v>
      </c>
      <c r="B390" t="s">
        <v>2431</v>
      </c>
      <c r="C390" t="s">
        <v>9567</v>
      </c>
      <c r="D390" t="s">
        <v>10436</v>
      </c>
      <c r="E390" t="s">
        <v>10437</v>
      </c>
      <c r="F390" t="s">
        <v>10438</v>
      </c>
      <c r="G390" t="s">
        <v>19188</v>
      </c>
      <c r="H390" t="s">
        <v>19378</v>
      </c>
      <c r="I390" t="s">
        <v>18780</v>
      </c>
      <c r="K390" t="str">
        <f>HYPERLINK("http://tuberculist.epfl.ch/quicksearch.php?gene+name=Rv0379&amp;submit=Search")</f>
        <v>http://tuberculist.epfl.ch/quicksearch.php?gene+name=Rv0379&amp;submit=Search</v>
      </c>
    </row>
    <row r="391" spans="1:11">
      <c r="A391" t="s">
        <v>830</v>
      </c>
      <c r="B391" t="s">
        <v>830</v>
      </c>
      <c r="C391" t="s">
        <v>9567</v>
      </c>
      <c r="D391" t="s">
        <v>10439</v>
      </c>
      <c r="E391" t="s">
        <v>10440</v>
      </c>
      <c r="F391" t="s">
        <v>10441</v>
      </c>
      <c r="G391" t="s">
        <v>19195</v>
      </c>
      <c r="H391" t="s">
        <v>19213</v>
      </c>
      <c r="I391" t="s">
        <v>18779</v>
      </c>
      <c r="K391" t="str">
        <f>HYPERLINK("http://tuberculist.epfl.ch/quicksearch.php?gene+name=Rv0380c&amp;submit=Search")</f>
        <v>http://tuberculist.epfl.ch/quicksearch.php?gene+name=Rv0380c&amp;submit=Search</v>
      </c>
    </row>
    <row r="392" spans="1:11">
      <c r="A392" t="s">
        <v>1729</v>
      </c>
      <c r="B392" t="s">
        <v>1729</v>
      </c>
      <c r="C392" t="s">
        <v>9567</v>
      </c>
      <c r="D392" t="s">
        <v>9587</v>
      </c>
      <c r="E392" t="s">
        <v>9713</v>
      </c>
      <c r="F392" t="s">
        <v>10442</v>
      </c>
      <c r="G392" t="s">
        <v>19212</v>
      </c>
      <c r="H392" t="s">
        <v>19379</v>
      </c>
      <c r="I392" t="s">
        <v>18780</v>
      </c>
      <c r="K392" t="str">
        <f>HYPERLINK("http://tuberculist.epfl.ch/quicksearch.php?gene+name=Rv0381c&amp;submit=Search")</f>
        <v>http://tuberculist.epfl.ch/quicksearch.php?gene+name=Rv0381c&amp;submit=Search</v>
      </c>
    </row>
    <row r="393" spans="1:11">
      <c r="A393" t="s">
        <v>8879</v>
      </c>
      <c r="B393" t="s">
        <v>3173</v>
      </c>
      <c r="C393" t="s">
        <v>9567</v>
      </c>
      <c r="D393" t="s">
        <v>10443</v>
      </c>
      <c r="E393" t="s">
        <v>10444</v>
      </c>
      <c r="F393" t="s">
        <v>10445</v>
      </c>
      <c r="G393" t="s">
        <v>19195</v>
      </c>
      <c r="H393" t="s">
        <v>19272</v>
      </c>
      <c r="I393" t="s">
        <v>18788</v>
      </c>
      <c r="K393" t="str">
        <f>HYPERLINK("http://tuberculist.epfl.ch/quicksearch.php?gene+name=Rv0382c&amp;submit=Search")</f>
        <v>http://tuberculist.epfl.ch/quicksearch.php?gene+name=Rv0382c&amp;submit=Search</v>
      </c>
    </row>
    <row r="394" spans="1:11">
      <c r="A394" t="s">
        <v>2841</v>
      </c>
      <c r="B394" t="s">
        <v>2841</v>
      </c>
      <c r="C394" t="s">
        <v>9567</v>
      </c>
      <c r="D394" t="s">
        <v>9587</v>
      </c>
      <c r="E394" t="s">
        <v>10446</v>
      </c>
      <c r="F394" t="s">
        <v>10447</v>
      </c>
      <c r="G394" t="s">
        <v>19188</v>
      </c>
      <c r="H394" t="s">
        <v>19380</v>
      </c>
      <c r="I394" t="s">
        <v>18774</v>
      </c>
      <c r="K394" t="str">
        <f>HYPERLINK("http://tuberculist.epfl.ch/quicksearch.php?gene+name=Rv0383c&amp;submit=Search")</f>
        <v>http://tuberculist.epfl.ch/quicksearch.php?gene+name=Rv0383c&amp;submit=Search</v>
      </c>
    </row>
    <row r="395" spans="1:11">
      <c r="A395" t="s">
        <v>9093</v>
      </c>
      <c r="B395" t="s">
        <v>3275</v>
      </c>
      <c r="C395" t="s">
        <v>9567</v>
      </c>
      <c r="D395" t="s">
        <v>10448</v>
      </c>
      <c r="E395" t="s">
        <v>10449</v>
      </c>
      <c r="F395" t="s">
        <v>10450</v>
      </c>
      <c r="G395" t="s">
        <v>19206</v>
      </c>
      <c r="H395" t="s">
        <v>19381</v>
      </c>
      <c r="I395" t="s">
        <v>18774</v>
      </c>
      <c r="K395" t="str">
        <f>HYPERLINK("http://tuberculist.epfl.ch/quicksearch.php?gene+name=Rv0384c&amp;submit=Search")</f>
        <v>http://tuberculist.epfl.ch/quicksearch.php?gene+name=Rv0384c&amp;submit=Search</v>
      </c>
    </row>
    <row r="396" spans="1:11">
      <c r="A396" t="s">
        <v>2119</v>
      </c>
      <c r="B396" t="s">
        <v>2119</v>
      </c>
      <c r="C396" t="s">
        <v>9567</v>
      </c>
      <c r="D396" t="s">
        <v>9682</v>
      </c>
      <c r="E396" t="s">
        <v>10451</v>
      </c>
      <c r="F396" t="s">
        <v>10452</v>
      </c>
      <c r="G396" t="s">
        <v>19195</v>
      </c>
      <c r="H396" t="s">
        <v>19213</v>
      </c>
      <c r="I396" t="s">
        <v>18789</v>
      </c>
      <c r="K396" t="str">
        <f>HYPERLINK("http://tuberculist.epfl.ch/quicksearch.php?gene+name=Rv0385&amp;submit=Search")</f>
        <v>http://tuberculist.epfl.ch/quicksearch.php?gene+name=Rv0385&amp;submit=Search</v>
      </c>
    </row>
    <row r="397" spans="1:11">
      <c r="A397" t="s">
        <v>2908</v>
      </c>
      <c r="B397" t="s">
        <v>2908</v>
      </c>
      <c r="C397" t="s">
        <v>9567</v>
      </c>
      <c r="D397" t="s">
        <v>9629</v>
      </c>
      <c r="E397" t="s">
        <v>9547</v>
      </c>
      <c r="F397" t="s">
        <v>10453</v>
      </c>
      <c r="G397" t="s">
        <v>19197</v>
      </c>
      <c r="H397" t="s">
        <v>19263</v>
      </c>
      <c r="I397" t="s">
        <v>18797</v>
      </c>
      <c r="K397" t="str">
        <f>HYPERLINK("http://tuberculist.epfl.ch/quicksearch.php?gene+name=Rv0386&amp;submit=Search")</f>
        <v>http://tuberculist.epfl.ch/quicksearch.php?gene+name=Rv0386&amp;submit=Search</v>
      </c>
    </row>
    <row r="398" spans="1:11">
      <c r="A398" t="s">
        <v>10454</v>
      </c>
      <c r="B398" t="s">
        <v>10454</v>
      </c>
      <c r="C398" t="s">
        <v>9567</v>
      </c>
      <c r="D398" t="s">
        <v>9578</v>
      </c>
      <c r="E398" t="s">
        <v>9579</v>
      </c>
      <c r="F398" t="s">
        <v>10455</v>
      </c>
      <c r="G398" t="s">
        <v>19212</v>
      </c>
      <c r="I398" t="s">
        <v>18821</v>
      </c>
      <c r="K398" t="str">
        <f>HYPERLINK("http://tuberculist.epfl.ch/quicksearch.php?gene+name=Rv0387c&amp;submit=Search")</f>
        <v>http://tuberculist.epfl.ch/quicksearch.php?gene+name=Rv0387c&amp;submit=Search</v>
      </c>
    </row>
    <row r="399" spans="1:11">
      <c r="A399" t="s">
        <v>4209</v>
      </c>
      <c r="B399" t="s">
        <v>299</v>
      </c>
      <c r="C399" t="s">
        <v>9567</v>
      </c>
      <c r="D399" t="s">
        <v>9578</v>
      </c>
      <c r="E399" t="s">
        <v>10456</v>
      </c>
      <c r="F399" t="s">
        <v>10457</v>
      </c>
      <c r="G399" t="s">
        <v>19262</v>
      </c>
      <c r="I399" t="s">
        <v>18860</v>
      </c>
      <c r="K399" t="str">
        <f>HYPERLINK("http://tuberculist.epfl.ch/quicksearch.php?gene+name=Rv0388c&amp;submit=Search")</f>
        <v>http://tuberculist.epfl.ch/quicksearch.php?gene+name=Rv0388c&amp;submit=Search</v>
      </c>
    </row>
    <row r="400" spans="1:11">
      <c r="A400" t="s">
        <v>5842</v>
      </c>
      <c r="B400" t="s">
        <v>1673</v>
      </c>
      <c r="C400" t="s">
        <v>9567</v>
      </c>
      <c r="D400" t="s">
        <v>10458</v>
      </c>
      <c r="E400" t="s">
        <v>10459</v>
      </c>
      <c r="F400" t="s">
        <v>10460</v>
      </c>
      <c r="G400" t="s">
        <v>19195</v>
      </c>
      <c r="H400" t="s">
        <v>19382</v>
      </c>
      <c r="I400" t="s">
        <v>18780</v>
      </c>
      <c r="K400" t="str">
        <f>HYPERLINK("http://tuberculist.epfl.ch/quicksearch.php?gene+name=Rv0389&amp;submit=Search")</f>
        <v>http://tuberculist.epfl.ch/quicksearch.php?gene+name=Rv0389&amp;submit=Search</v>
      </c>
    </row>
    <row r="401" spans="1:11">
      <c r="A401" t="s">
        <v>1658</v>
      </c>
      <c r="B401" t="s">
        <v>1658</v>
      </c>
      <c r="C401" t="s">
        <v>9567</v>
      </c>
      <c r="D401" t="s">
        <v>9578</v>
      </c>
      <c r="E401" t="s">
        <v>9665</v>
      </c>
      <c r="F401" t="s">
        <v>10461</v>
      </c>
      <c r="G401" t="s">
        <v>19212</v>
      </c>
      <c r="H401" t="s">
        <v>19383</v>
      </c>
      <c r="I401" t="s">
        <v>18780</v>
      </c>
      <c r="K401" t="str">
        <f>HYPERLINK("http://tuberculist.epfl.ch/quicksearch.php?gene+name=Rv0390&amp;submit=Search")</f>
        <v>http://tuberculist.epfl.ch/quicksearch.php?gene+name=Rv0390&amp;submit=Search</v>
      </c>
    </row>
    <row r="402" spans="1:11">
      <c r="A402" t="s">
        <v>8899</v>
      </c>
      <c r="B402" t="s">
        <v>3181</v>
      </c>
      <c r="C402" t="s">
        <v>9567</v>
      </c>
      <c r="D402" t="s">
        <v>10462</v>
      </c>
      <c r="E402" t="s">
        <v>10463</v>
      </c>
      <c r="F402" t="s">
        <v>10464</v>
      </c>
      <c r="G402" t="s">
        <v>19195</v>
      </c>
      <c r="H402" t="s">
        <v>19229</v>
      </c>
      <c r="I402" t="s">
        <v>18861</v>
      </c>
      <c r="J402" t="s">
        <v>18775</v>
      </c>
      <c r="K402" t="str">
        <f>HYPERLINK("http://tuberculist.epfl.ch/quicksearch.php?gene+name=Rv0391&amp;submit=Search")</f>
        <v>http://tuberculist.epfl.ch/quicksearch.php?gene+name=Rv0391&amp;submit=Search</v>
      </c>
    </row>
    <row r="403" spans="1:11">
      <c r="A403" t="s">
        <v>4830</v>
      </c>
      <c r="B403" t="s">
        <v>1175</v>
      </c>
      <c r="C403" t="s">
        <v>9567</v>
      </c>
      <c r="D403" t="s">
        <v>10465</v>
      </c>
      <c r="E403" t="s">
        <v>10466</v>
      </c>
      <c r="F403" t="s">
        <v>10467</v>
      </c>
      <c r="G403" t="s">
        <v>19195</v>
      </c>
      <c r="H403" t="s">
        <v>19384</v>
      </c>
      <c r="I403" t="s">
        <v>18862</v>
      </c>
      <c r="K403" t="str">
        <f>HYPERLINK("http://tuberculist.epfl.ch/quicksearch.php?gene+name=Rv0392c&amp;submit=Search")</f>
        <v>http://tuberculist.epfl.ch/quicksearch.php?gene+name=Rv0392c&amp;submit=Search</v>
      </c>
    </row>
    <row r="404" spans="1:11">
      <c r="A404" t="s">
        <v>2423</v>
      </c>
      <c r="B404" t="s">
        <v>2423</v>
      </c>
      <c r="C404" t="s">
        <v>9567</v>
      </c>
      <c r="D404" t="s">
        <v>9578</v>
      </c>
      <c r="E404" t="s">
        <v>10344</v>
      </c>
      <c r="F404" t="s">
        <v>10468</v>
      </c>
      <c r="G404" t="s">
        <v>19217</v>
      </c>
      <c r="I404" t="s">
        <v>18780</v>
      </c>
      <c r="K404" t="str">
        <f>HYPERLINK("http://tuberculist.epfl.ch/quicksearch.php?gene+name=Rv0393&amp;submit=Search")</f>
        <v>http://tuberculist.epfl.ch/quicksearch.php?gene+name=Rv0393&amp;submit=Search</v>
      </c>
    </row>
    <row r="405" spans="1:11">
      <c r="A405" t="s">
        <v>564</v>
      </c>
      <c r="B405" t="s">
        <v>564</v>
      </c>
      <c r="C405" t="s">
        <v>9567</v>
      </c>
      <c r="D405" t="s">
        <v>9587</v>
      </c>
      <c r="E405" t="s">
        <v>10469</v>
      </c>
      <c r="F405" t="s">
        <v>10470</v>
      </c>
      <c r="G405" t="s">
        <v>19188</v>
      </c>
      <c r="H405" t="s">
        <v>19213</v>
      </c>
      <c r="I405" t="s">
        <v>18780</v>
      </c>
      <c r="K405" t="str">
        <f>HYPERLINK("http://tuberculist.epfl.ch/quicksearch.php?gene+name=Rv0394c&amp;submit=Search")</f>
        <v>http://tuberculist.epfl.ch/quicksearch.php?gene+name=Rv0394c&amp;submit=Search</v>
      </c>
    </row>
    <row r="406" spans="1:11">
      <c r="A406" t="s">
        <v>10471</v>
      </c>
      <c r="B406" t="s">
        <v>10471</v>
      </c>
      <c r="C406" t="s">
        <v>9567</v>
      </c>
      <c r="D406" t="s">
        <v>9587</v>
      </c>
      <c r="E406" t="s">
        <v>9713</v>
      </c>
      <c r="F406" t="s">
        <v>10472</v>
      </c>
      <c r="G406" t="s">
        <v>19212</v>
      </c>
      <c r="I406" t="s">
        <v>18780</v>
      </c>
      <c r="K406" t="str">
        <f>HYPERLINK("http://tuberculist.epfl.ch/quicksearch.php?gene+name=Rv0395&amp;submit=Search")</f>
        <v>http://tuberculist.epfl.ch/quicksearch.php?gene+name=Rv0395&amp;submit=Search</v>
      </c>
    </row>
    <row r="407" spans="1:11">
      <c r="A407" t="s">
        <v>10473</v>
      </c>
      <c r="B407" t="s">
        <v>10473</v>
      </c>
      <c r="C407" t="s">
        <v>9567</v>
      </c>
      <c r="D407" t="s">
        <v>9587</v>
      </c>
      <c r="E407" t="s">
        <v>9713</v>
      </c>
      <c r="F407" t="s">
        <v>10474</v>
      </c>
      <c r="G407" t="s">
        <v>19212</v>
      </c>
      <c r="I407" t="s">
        <v>18780</v>
      </c>
      <c r="K407" t="str">
        <f>HYPERLINK("http://tuberculist.epfl.ch/quicksearch.php?gene+name=Rv0396&amp;submit=Search")</f>
        <v>http://tuberculist.epfl.ch/quicksearch.php?gene+name=Rv0396&amp;submit=Search</v>
      </c>
    </row>
    <row r="408" spans="1:11">
      <c r="A408" t="s">
        <v>10475</v>
      </c>
      <c r="B408" t="s">
        <v>10475</v>
      </c>
      <c r="C408" t="s">
        <v>9567</v>
      </c>
      <c r="D408" t="s">
        <v>9578</v>
      </c>
      <c r="E408" t="s">
        <v>10344</v>
      </c>
      <c r="F408" t="s">
        <v>10476</v>
      </c>
      <c r="G408" t="s">
        <v>19217</v>
      </c>
      <c r="I408" t="s">
        <v>18779</v>
      </c>
      <c r="K408" t="str">
        <f>HYPERLINK("http://tuberculist.epfl.ch/quicksearch.php?gene+name=Rv0397&amp;submit=Search")</f>
        <v>http://tuberculist.epfl.ch/quicksearch.php?gene+name=Rv0397&amp;submit=Search</v>
      </c>
    </row>
    <row r="409" spans="1:11">
      <c r="A409" t="s">
        <v>10477</v>
      </c>
      <c r="B409" t="s">
        <v>10477</v>
      </c>
      <c r="C409" t="s">
        <v>9567</v>
      </c>
      <c r="D409" t="s">
        <v>9587</v>
      </c>
      <c r="E409" t="s">
        <v>9665</v>
      </c>
      <c r="F409" t="s">
        <v>10478</v>
      </c>
      <c r="G409" t="s">
        <v>19212</v>
      </c>
      <c r="H409" t="s">
        <v>19385</v>
      </c>
      <c r="I409" t="s">
        <v>18773</v>
      </c>
      <c r="K409" t="str">
        <f>HYPERLINK("http://tuberculist.epfl.ch/quicksearch.php?gene+name=Rv0397A&amp;submit=Search")</f>
        <v>http://tuberculist.epfl.ch/quicksearch.php?gene+name=Rv0397A&amp;submit=Search</v>
      </c>
    </row>
    <row r="410" spans="1:11">
      <c r="A410" t="s">
        <v>10479</v>
      </c>
      <c r="B410" t="s">
        <v>10479</v>
      </c>
      <c r="C410" t="s">
        <v>9567</v>
      </c>
      <c r="D410" t="s">
        <v>9587</v>
      </c>
      <c r="E410" t="s">
        <v>10469</v>
      </c>
      <c r="F410" t="s">
        <v>10480</v>
      </c>
      <c r="G410" t="s">
        <v>19188</v>
      </c>
      <c r="H410" t="s">
        <v>19386</v>
      </c>
      <c r="I410" t="s">
        <v>18793</v>
      </c>
      <c r="K410" t="str">
        <f>HYPERLINK("http://tuberculist.epfl.ch/quicksearch.php?gene+name=Rv0398c&amp;submit=Search")</f>
        <v>http://tuberculist.epfl.ch/quicksearch.php?gene+name=Rv0398c&amp;submit=Search</v>
      </c>
    </row>
    <row r="411" spans="1:11">
      <c r="A411" t="s">
        <v>10481</v>
      </c>
      <c r="B411" t="s">
        <v>10482</v>
      </c>
      <c r="C411" t="s">
        <v>9567</v>
      </c>
      <c r="D411" t="s">
        <v>9587</v>
      </c>
      <c r="E411" t="s">
        <v>10483</v>
      </c>
      <c r="F411" t="s">
        <v>10484</v>
      </c>
      <c r="G411" t="s">
        <v>19188</v>
      </c>
      <c r="H411" t="s">
        <v>19192</v>
      </c>
      <c r="I411" t="s">
        <v>18800</v>
      </c>
      <c r="K411" t="str">
        <f>HYPERLINK("http://tuberculist.epfl.ch/quicksearch.php?gene+name=Rv0399c&amp;submit=Search")</f>
        <v>http://tuberculist.epfl.ch/quicksearch.php?gene+name=Rv0399c&amp;submit=Search</v>
      </c>
    </row>
    <row r="412" spans="1:11">
      <c r="A412" t="s">
        <v>6665</v>
      </c>
      <c r="B412" t="s">
        <v>2093</v>
      </c>
      <c r="C412" t="s">
        <v>9567</v>
      </c>
      <c r="D412" t="s">
        <v>9662</v>
      </c>
      <c r="E412" t="s">
        <v>10485</v>
      </c>
      <c r="F412" t="s">
        <v>10486</v>
      </c>
      <c r="G412" t="s">
        <v>19219</v>
      </c>
      <c r="H412" t="s">
        <v>19387</v>
      </c>
      <c r="I412" t="s">
        <v>18800</v>
      </c>
      <c r="K412" t="str">
        <f>HYPERLINK("http://tuberculist.epfl.ch/quicksearch.php?gene+name=Rv0400c&amp;submit=Search")</f>
        <v>http://tuberculist.epfl.ch/quicksearch.php?gene+name=Rv0400c&amp;submit=Search</v>
      </c>
    </row>
    <row r="413" spans="1:11">
      <c r="A413" t="s">
        <v>10487</v>
      </c>
      <c r="B413" t="s">
        <v>10487</v>
      </c>
      <c r="C413" t="s">
        <v>9567</v>
      </c>
      <c r="D413" t="s">
        <v>9587</v>
      </c>
      <c r="E413" t="s">
        <v>9597</v>
      </c>
      <c r="F413" t="s">
        <v>10488</v>
      </c>
      <c r="G413" t="s">
        <v>19188</v>
      </c>
      <c r="I413" t="s">
        <v>18780</v>
      </c>
      <c r="K413" t="str">
        <f>HYPERLINK("http://tuberculist.epfl.ch/quicksearch.php?gene+name=Rv0401&amp;submit=Search")</f>
        <v>http://tuberculist.epfl.ch/quicksearch.php?gene+name=Rv0401&amp;submit=Search</v>
      </c>
    </row>
    <row r="414" spans="1:11">
      <c r="A414" t="s">
        <v>10489</v>
      </c>
      <c r="B414" t="s">
        <v>1259</v>
      </c>
      <c r="C414" t="s">
        <v>9567</v>
      </c>
      <c r="D414" t="s">
        <v>10051</v>
      </c>
      <c r="E414" t="s">
        <v>10490</v>
      </c>
      <c r="F414" t="s">
        <v>10491</v>
      </c>
      <c r="G414" t="s">
        <v>19188</v>
      </c>
      <c r="H414" t="s">
        <v>19388</v>
      </c>
      <c r="I414" t="s">
        <v>18777</v>
      </c>
      <c r="K414" t="str">
        <f>HYPERLINK("http://tuberculist.epfl.ch/quicksearch.php?gene+name=Rv0402c&amp;submit=Search")</f>
        <v>http://tuberculist.epfl.ch/quicksearch.php?gene+name=Rv0402c&amp;submit=Search</v>
      </c>
    </row>
    <row r="415" spans="1:11">
      <c r="A415" t="s">
        <v>10492</v>
      </c>
      <c r="B415" t="s">
        <v>10493</v>
      </c>
      <c r="C415" t="s">
        <v>9567</v>
      </c>
      <c r="D415" t="s">
        <v>9587</v>
      </c>
      <c r="E415" t="s">
        <v>10494</v>
      </c>
      <c r="F415" t="s">
        <v>10495</v>
      </c>
      <c r="G415" t="s">
        <v>19188</v>
      </c>
      <c r="H415" t="s">
        <v>19389</v>
      </c>
      <c r="I415" t="s">
        <v>18780</v>
      </c>
      <c r="K415" t="str">
        <f>HYPERLINK("http://tuberculist.epfl.ch/quicksearch.php?gene+name=Rv0403c&amp;submit=Search")</f>
        <v>http://tuberculist.epfl.ch/quicksearch.php?gene+name=Rv0403c&amp;submit=Search</v>
      </c>
    </row>
    <row r="416" spans="1:11">
      <c r="A416" t="s">
        <v>5076</v>
      </c>
      <c r="B416" t="s">
        <v>1291</v>
      </c>
      <c r="C416" t="s">
        <v>9567</v>
      </c>
      <c r="D416" t="s">
        <v>9662</v>
      </c>
      <c r="E416" t="s">
        <v>10496</v>
      </c>
      <c r="F416" t="s">
        <v>10497</v>
      </c>
      <c r="G416" t="s">
        <v>19219</v>
      </c>
      <c r="I416" t="s">
        <v>18863</v>
      </c>
      <c r="K416" t="str">
        <f>HYPERLINK("http://tuberculist.epfl.ch/quicksearch.php?gene+name=Rv0404&amp;submit=Search")</f>
        <v>http://tuberculist.epfl.ch/quicksearch.php?gene+name=Rv0404&amp;submit=Search</v>
      </c>
    </row>
    <row r="417" spans="1:11">
      <c r="A417" t="s">
        <v>10498</v>
      </c>
      <c r="B417" t="s">
        <v>1081</v>
      </c>
      <c r="C417" t="s">
        <v>9567</v>
      </c>
      <c r="D417" t="s">
        <v>10499</v>
      </c>
      <c r="E417" t="s">
        <v>10500</v>
      </c>
      <c r="F417" t="s">
        <v>10501</v>
      </c>
      <c r="G417" t="s">
        <v>19219</v>
      </c>
      <c r="H417" t="s">
        <v>19211</v>
      </c>
      <c r="I417" t="s">
        <v>18864</v>
      </c>
      <c r="K417" t="str">
        <f>HYPERLINK("http://tuberculist.epfl.ch/quicksearch.php?gene+name=Rv0405&amp;submit=Search")</f>
        <v>http://tuberculist.epfl.ch/quicksearch.php?gene+name=Rv0405&amp;submit=Search</v>
      </c>
    </row>
    <row r="418" spans="1:11">
      <c r="A418" t="s">
        <v>501</v>
      </c>
      <c r="B418" t="s">
        <v>501</v>
      </c>
      <c r="C418" t="s">
        <v>9567</v>
      </c>
      <c r="D418" t="s">
        <v>9578</v>
      </c>
      <c r="E418" t="s">
        <v>10502</v>
      </c>
      <c r="F418" t="s">
        <v>10503</v>
      </c>
      <c r="G418" t="s">
        <v>19212</v>
      </c>
      <c r="H418" t="s">
        <v>19287</v>
      </c>
      <c r="I418" t="s">
        <v>18821</v>
      </c>
      <c r="K418" t="str">
        <f>HYPERLINK("http://tuberculist.epfl.ch/quicksearch.php?gene+name=Rv0406c&amp;submit=Search")</f>
        <v>http://tuberculist.epfl.ch/quicksearch.php?gene+name=Rv0406c&amp;submit=Search</v>
      </c>
    </row>
    <row r="419" spans="1:11">
      <c r="A419" t="s">
        <v>5594</v>
      </c>
      <c r="B419" t="s">
        <v>1561</v>
      </c>
      <c r="C419" t="s">
        <v>9567</v>
      </c>
      <c r="D419" t="s">
        <v>9895</v>
      </c>
      <c r="E419" t="s">
        <v>10504</v>
      </c>
      <c r="F419" t="s">
        <v>10505</v>
      </c>
      <c r="G419" t="s">
        <v>19195</v>
      </c>
      <c r="H419" t="s">
        <v>19390</v>
      </c>
      <c r="I419" t="s">
        <v>18780</v>
      </c>
      <c r="K419" t="str">
        <f>HYPERLINK("http://tuberculist.epfl.ch/quicksearch.php?gene+name=Rv0407&amp;submit=Search")</f>
        <v>http://tuberculist.epfl.ch/quicksearch.php?gene+name=Rv0407&amp;submit=Search</v>
      </c>
    </row>
    <row r="420" spans="1:11">
      <c r="A420" t="s">
        <v>7078</v>
      </c>
      <c r="B420" t="s">
        <v>2298</v>
      </c>
      <c r="C420" t="s">
        <v>9567</v>
      </c>
      <c r="D420" t="s">
        <v>10506</v>
      </c>
      <c r="E420" t="s">
        <v>10507</v>
      </c>
      <c r="F420" t="s">
        <v>10508</v>
      </c>
      <c r="G420" t="s">
        <v>19195</v>
      </c>
      <c r="H420" t="s">
        <v>19391</v>
      </c>
      <c r="I420" t="s">
        <v>18773</v>
      </c>
      <c r="K420" t="str">
        <f>HYPERLINK("http://tuberculist.epfl.ch/quicksearch.php?gene+name=Rv0408&amp;submit=Search")</f>
        <v>http://tuberculist.epfl.ch/quicksearch.php?gene+name=Rv0408&amp;submit=Search</v>
      </c>
    </row>
    <row r="421" spans="1:11">
      <c r="A421" t="s">
        <v>7890</v>
      </c>
      <c r="B421" t="s">
        <v>2707</v>
      </c>
      <c r="C421" t="s">
        <v>9567</v>
      </c>
      <c r="D421" t="s">
        <v>10509</v>
      </c>
      <c r="E421" t="s">
        <v>10510</v>
      </c>
      <c r="F421" t="s">
        <v>10511</v>
      </c>
      <c r="G421" t="s">
        <v>19195</v>
      </c>
      <c r="H421" t="s">
        <v>19334</v>
      </c>
      <c r="I421" t="s">
        <v>18789</v>
      </c>
      <c r="K421" t="str">
        <f>HYPERLINK("http://tuberculist.epfl.ch/quicksearch.php?gene+name=Rv0409&amp;submit=Search")</f>
        <v>http://tuberculist.epfl.ch/quicksearch.php?gene+name=Rv0409&amp;submit=Search</v>
      </c>
    </row>
    <row r="422" spans="1:11">
      <c r="A422" t="s">
        <v>5794</v>
      </c>
      <c r="B422" t="s">
        <v>1653</v>
      </c>
      <c r="C422" t="s">
        <v>9567</v>
      </c>
      <c r="D422" t="s">
        <v>10512</v>
      </c>
      <c r="E422" t="s">
        <v>10513</v>
      </c>
      <c r="F422" t="s">
        <v>10514</v>
      </c>
      <c r="G422" t="s">
        <v>19197</v>
      </c>
      <c r="H422" t="s">
        <v>19392</v>
      </c>
      <c r="I422" t="s">
        <v>18865</v>
      </c>
      <c r="K422" t="str">
        <f>HYPERLINK("http://tuberculist.epfl.ch/quicksearch.php?gene+name=Rv0410c&amp;submit=Search")</f>
        <v>http://tuberculist.epfl.ch/quicksearch.php?gene+name=Rv0410c&amp;submit=Search</v>
      </c>
    </row>
    <row r="423" spans="1:11">
      <c r="A423" t="s">
        <v>6324</v>
      </c>
      <c r="B423" t="s">
        <v>1909</v>
      </c>
      <c r="C423" t="s">
        <v>9567</v>
      </c>
      <c r="D423" t="s">
        <v>10515</v>
      </c>
      <c r="E423" t="s">
        <v>10516</v>
      </c>
      <c r="F423" t="s">
        <v>10517</v>
      </c>
      <c r="G423" t="s">
        <v>19188</v>
      </c>
      <c r="H423" t="s">
        <v>19393</v>
      </c>
      <c r="I423" t="s">
        <v>18774</v>
      </c>
      <c r="K423" t="str">
        <f>HYPERLINK("http://tuberculist.epfl.ch/quicksearch.php?gene+name=Rv0411c&amp;submit=Search")</f>
        <v>http://tuberculist.epfl.ch/quicksearch.php?gene+name=Rv0411c&amp;submit=Search</v>
      </c>
    </row>
    <row r="424" spans="1:11">
      <c r="A424" t="s">
        <v>1398</v>
      </c>
      <c r="B424" t="s">
        <v>1398</v>
      </c>
      <c r="C424" t="s">
        <v>9567</v>
      </c>
      <c r="D424" t="s">
        <v>9587</v>
      </c>
      <c r="E424" t="s">
        <v>9588</v>
      </c>
      <c r="F424" t="s">
        <v>10518</v>
      </c>
      <c r="G424" t="s">
        <v>19188</v>
      </c>
      <c r="H424" t="s">
        <v>19189</v>
      </c>
      <c r="I424" t="s">
        <v>18842</v>
      </c>
      <c r="K424" t="str">
        <f>HYPERLINK("http://tuberculist.epfl.ch/quicksearch.php?gene+name=Rv0412c&amp;submit=Search")</f>
        <v>http://tuberculist.epfl.ch/quicksearch.php?gene+name=Rv0412c&amp;submit=Search</v>
      </c>
    </row>
    <row r="425" spans="1:11">
      <c r="A425" t="s">
        <v>5615</v>
      </c>
      <c r="B425" t="s">
        <v>1570</v>
      </c>
      <c r="C425" t="s">
        <v>9567</v>
      </c>
      <c r="D425" t="s">
        <v>10519</v>
      </c>
      <c r="E425" t="s">
        <v>10520</v>
      </c>
      <c r="F425" t="s">
        <v>10521</v>
      </c>
      <c r="G425" t="s">
        <v>19181</v>
      </c>
      <c r="H425" t="s">
        <v>19254</v>
      </c>
      <c r="I425" t="s">
        <v>18780</v>
      </c>
      <c r="K425" t="str">
        <f>HYPERLINK("http://tuberculist.epfl.ch/quicksearch.php?gene+name=Rv0413&amp;submit=Search")</f>
        <v>http://tuberculist.epfl.ch/quicksearch.php?gene+name=Rv0413&amp;submit=Search</v>
      </c>
    </row>
    <row r="426" spans="1:11">
      <c r="A426" t="s">
        <v>9381</v>
      </c>
      <c r="B426" t="s">
        <v>3408</v>
      </c>
      <c r="C426" t="s">
        <v>9567</v>
      </c>
      <c r="D426" t="s">
        <v>10522</v>
      </c>
      <c r="E426" t="s">
        <v>10523</v>
      </c>
      <c r="F426" t="s">
        <v>10524</v>
      </c>
      <c r="G426" t="s">
        <v>19195</v>
      </c>
      <c r="H426" t="s">
        <v>19233</v>
      </c>
      <c r="I426" t="s">
        <v>18866</v>
      </c>
      <c r="K426" t="str">
        <f>HYPERLINK("http://tuberculist.epfl.ch/quicksearch.php?gene+name=Rv0414c&amp;submit=Search")</f>
        <v>http://tuberculist.epfl.ch/quicksearch.php?gene+name=Rv0414c&amp;submit=Search</v>
      </c>
    </row>
    <row r="427" spans="1:11">
      <c r="A427" t="s">
        <v>6891</v>
      </c>
      <c r="B427" t="s">
        <v>2209</v>
      </c>
      <c r="C427" t="s">
        <v>9567</v>
      </c>
      <c r="D427" t="s">
        <v>10525</v>
      </c>
      <c r="E427" t="s">
        <v>10526</v>
      </c>
      <c r="F427" t="s">
        <v>10527</v>
      </c>
      <c r="G427" t="s">
        <v>19195</v>
      </c>
      <c r="H427" t="s">
        <v>19287</v>
      </c>
      <c r="I427" t="s">
        <v>18774</v>
      </c>
      <c r="K427" t="str">
        <f>HYPERLINK("http://tuberculist.epfl.ch/quicksearch.php?gene+name=Rv0415&amp;submit=Search")</f>
        <v>http://tuberculist.epfl.ch/quicksearch.php?gene+name=Rv0415&amp;submit=Search</v>
      </c>
    </row>
    <row r="428" spans="1:11">
      <c r="A428" t="s">
        <v>10528</v>
      </c>
      <c r="B428" t="s">
        <v>10529</v>
      </c>
      <c r="C428" t="s">
        <v>9567</v>
      </c>
      <c r="D428" t="s">
        <v>10525</v>
      </c>
      <c r="E428" t="s">
        <v>10530</v>
      </c>
      <c r="F428" t="s">
        <v>10531</v>
      </c>
      <c r="G428" t="s">
        <v>19195</v>
      </c>
      <c r="I428" t="s">
        <v>18800</v>
      </c>
      <c r="K428" t="str">
        <f>HYPERLINK("http://tuberculist.epfl.ch/quicksearch.php?gene+name=Rv0416&amp;submit=Search")</f>
        <v>http://tuberculist.epfl.ch/quicksearch.php?gene+name=Rv0416&amp;submit=Search</v>
      </c>
    </row>
    <row r="429" spans="1:11">
      <c r="A429" t="s">
        <v>7661</v>
      </c>
      <c r="B429" t="s">
        <v>2586</v>
      </c>
      <c r="C429" t="s">
        <v>9567</v>
      </c>
      <c r="D429" t="s">
        <v>10532</v>
      </c>
      <c r="E429" t="s">
        <v>10533</v>
      </c>
      <c r="F429" t="s">
        <v>10534</v>
      </c>
      <c r="G429" t="s">
        <v>19195</v>
      </c>
      <c r="H429" t="s">
        <v>19233</v>
      </c>
      <c r="I429" t="s">
        <v>18774</v>
      </c>
      <c r="K429" t="str">
        <f>HYPERLINK("http://tuberculist.epfl.ch/quicksearch.php?gene+name=Rv0417&amp;submit=Search")</f>
        <v>http://tuberculist.epfl.ch/quicksearch.php?gene+name=Rv0417&amp;submit=Search</v>
      </c>
    </row>
    <row r="430" spans="1:11">
      <c r="A430" t="s">
        <v>5599</v>
      </c>
      <c r="B430" t="s">
        <v>1564</v>
      </c>
      <c r="C430" t="s">
        <v>9567</v>
      </c>
      <c r="D430" t="s">
        <v>10045</v>
      </c>
      <c r="E430" t="s">
        <v>10535</v>
      </c>
      <c r="F430" t="s">
        <v>10536</v>
      </c>
      <c r="G430" t="s">
        <v>19188</v>
      </c>
      <c r="H430" t="s">
        <v>19394</v>
      </c>
      <c r="I430" t="s">
        <v>18780</v>
      </c>
      <c r="K430" t="str">
        <f>HYPERLINK("http://tuberculist.epfl.ch/quicksearch.php?gene+name=Rv0418&amp;submit=Search")</f>
        <v>http://tuberculist.epfl.ch/quicksearch.php?gene+name=Rv0418&amp;submit=Search</v>
      </c>
    </row>
    <row r="431" spans="1:11">
      <c r="A431" t="s">
        <v>3758</v>
      </c>
      <c r="B431" t="s">
        <v>640</v>
      </c>
      <c r="C431" t="s">
        <v>9567</v>
      </c>
      <c r="D431" t="s">
        <v>10537</v>
      </c>
      <c r="E431" t="s">
        <v>10538</v>
      </c>
      <c r="F431" t="s">
        <v>10539</v>
      </c>
      <c r="G431" t="s">
        <v>19188</v>
      </c>
      <c r="H431" t="s">
        <v>19233</v>
      </c>
      <c r="I431" t="s">
        <v>18780</v>
      </c>
      <c r="K431" t="str">
        <f>HYPERLINK("http://tuberculist.epfl.ch/quicksearch.php?gene+name=Rv0419&amp;submit=Search")</f>
        <v>http://tuberculist.epfl.ch/quicksearch.php?gene+name=Rv0419&amp;submit=Search</v>
      </c>
    </row>
    <row r="432" spans="1:11">
      <c r="A432" t="s">
        <v>1614</v>
      </c>
      <c r="B432" t="s">
        <v>1614</v>
      </c>
      <c r="C432" t="s">
        <v>9567</v>
      </c>
      <c r="D432" t="s">
        <v>9587</v>
      </c>
      <c r="E432" t="s">
        <v>10540</v>
      </c>
      <c r="F432" t="s">
        <v>10541</v>
      </c>
      <c r="G432" t="s">
        <v>19188</v>
      </c>
      <c r="I432" t="s">
        <v>18780</v>
      </c>
      <c r="K432" t="str">
        <f>HYPERLINK("http://tuberculist.epfl.ch/quicksearch.php?gene+name=Rv0420c&amp;submit=Search")</f>
        <v>http://tuberculist.epfl.ch/quicksearch.php?gene+name=Rv0420c&amp;submit=Search</v>
      </c>
    </row>
    <row r="433" spans="1:11">
      <c r="A433" t="s">
        <v>2479</v>
      </c>
      <c r="B433" t="s">
        <v>2479</v>
      </c>
      <c r="C433" t="s">
        <v>9567</v>
      </c>
      <c r="D433" t="s">
        <v>9578</v>
      </c>
      <c r="E433" t="s">
        <v>9579</v>
      </c>
      <c r="F433" t="s">
        <v>10542</v>
      </c>
      <c r="G433" t="s">
        <v>19204</v>
      </c>
      <c r="H433" t="s">
        <v>19395</v>
      </c>
      <c r="I433" t="s">
        <v>18779</v>
      </c>
      <c r="K433" t="str">
        <f>HYPERLINK("http://tuberculist.epfl.ch/quicksearch.php?gene+name=Rv0421c&amp;submit=Search")</f>
        <v>http://tuberculist.epfl.ch/quicksearch.php?gene+name=Rv0421c&amp;submit=Search</v>
      </c>
    </row>
    <row r="434" spans="1:11">
      <c r="A434" t="s">
        <v>5583</v>
      </c>
      <c r="B434" t="s">
        <v>1556</v>
      </c>
      <c r="C434" t="s">
        <v>9567</v>
      </c>
      <c r="D434" t="s">
        <v>10543</v>
      </c>
      <c r="E434" t="s">
        <v>10544</v>
      </c>
      <c r="F434" t="s">
        <v>10545</v>
      </c>
      <c r="G434" t="s">
        <v>19195</v>
      </c>
      <c r="H434" t="s">
        <v>19213</v>
      </c>
      <c r="I434" t="s">
        <v>18774</v>
      </c>
      <c r="K434" t="str">
        <f>HYPERLINK("http://tuberculist.epfl.ch/quicksearch.php?gene+name=Rv0422c&amp;submit=Search")</f>
        <v>http://tuberculist.epfl.ch/quicksearch.php?gene+name=Rv0422c&amp;submit=Search</v>
      </c>
    </row>
    <row r="435" spans="1:11">
      <c r="A435" t="s">
        <v>5516</v>
      </c>
      <c r="B435" t="s">
        <v>1521</v>
      </c>
      <c r="C435" t="s">
        <v>9567</v>
      </c>
      <c r="D435" t="s">
        <v>10546</v>
      </c>
      <c r="E435" t="s">
        <v>10547</v>
      </c>
      <c r="F435" t="s">
        <v>10548</v>
      </c>
      <c r="G435" t="s">
        <v>19195</v>
      </c>
      <c r="H435" t="s">
        <v>19396</v>
      </c>
      <c r="I435" t="s">
        <v>18774</v>
      </c>
      <c r="K435" t="str">
        <f>HYPERLINK("http://tuberculist.epfl.ch/quicksearch.php?gene+name=Rv0423c&amp;submit=Search")</f>
        <v>http://tuberculist.epfl.ch/quicksearch.php?gene+name=Rv0423c&amp;submit=Search</v>
      </c>
    </row>
    <row r="436" spans="1:11">
      <c r="A436" t="s">
        <v>831</v>
      </c>
      <c r="B436" t="s">
        <v>831</v>
      </c>
      <c r="C436" t="s">
        <v>9567</v>
      </c>
      <c r="D436" t="s">
        <v>9587</v>
      </c>
      <c r="E436" t="s">
        <v>9713</v>
      </c>
      <c r="F436" t="s">
        <v>10549</v>
      </c>
      <c r="G436" t="s">
        <v>19212</v>
      </c>
      <c r="I436" t="s">
        <v>18780</v>
      </c>
      <c r="J436" t="s">
        <v>18839</v>
      </c>
      <c r="K436" t="str">
        <f>HYPERLINK("http://tuberculist.epfl.ch/quicksearch.php?gene+name=Rv0424c&amp;submit=Search")</f>
        <v>http://tuberculist.epfl.ch/quicksearch.php?gene+name=Rv0424c&amp;submit=Search</v>
      </c>
    </row>
    <row r="437" spans="1:11">
      <c r="A437" t="s">
        <v>8293</v>
      </c>
      <c r="B437" t="s">
        <v>2899</v>
      </c>
      <c r="C437" t="s">
        <v>9567</v>
      </c>
      <c r="D437" t="s">
        <v>10550</v>
      </c>
      <c r="E437" t="s">
        <v>10551</v>
      </c>
      <c r="F437" t="s">
        <v>10552</v>
      </c>
      <c r="G437" t="s">
        <v>19188</v>
      </c>
      <c r="H437" t="s">
        <v>19337</v>
      </c>
      <c r="I437" t="s">
        <v>18838</v>
      </c>
      <c r="K437" t="str">
        <f>HYPERLINK("http://tuberculist.epfl.ch/quicksearch.php?gene+name=Rv0425c&amp;submit=Search")</f>
        <v>http://tuberculist.epfl.ch/quicksearch.php?gene+name=Rv0425c&amp;submit=Search</v>
      </c>
    </row>
    <row r="438" spans="1:11">
      <c r="A438" t="s">
        <v>10553</v>
      </c>
      <c r="B438" t="s">
        <v>10553</v>
      </c>
      <c r="C438" t="s">
        <v>9567</v>
      </c>
      <c r="D438" t="s">
        <v>9587</v>
      </c>
      <c r="E438" t="s">
        <v>10540</v>
      </c>
      <c r="F438" t="s">
        <v>10554</v>
      </c>
      <c r="G438" t="s">
        <v>19188</v>
      </c>
      <c r="H438" t="s">
        <v>19193</v>
      </c>
      <c r="I438" t="s">
        <v>18867</v>
      </c>
      <c r="K438" t="str">
        <f>HYPERLINK("http://tuberculist.epfl.ch/quicksearch.php?gene+name=Rv0426c&amp;submit=Search")</f>
        <v>http://tuberculist.epfl.ch/quicksearch.php?gene+name=Rv0426c&amp;submit=Search</v>
      </c>
    </row>
    <row r="439" spans="1:11">
      <c r="A439" t="s">
        <v>5586</v>
      </c>
      <c r="B439" t="s">
        <v>1557</v>
      </c>
      <c r="C439" t="s">
        <v>9567</v>
      </c>
      <c r="D439" t="s">
        <v>10555</v>
      </c>
      <c r="E439" t="s">
        <v>10556</v>
      </c>
      <c r="F439" t="s">
        <v>10557</v>
      </c>
      <c r="G439" t="s">
        <v>19181</v>
      </c>
      <c r="H439" t="s">
        <v>19334</v>
      </c>
      <c r="I439" t="s">
        <v>18835</v>
      </c>
      <c r="K439" t="str">
        <f>HYPERLINK("http://tuberculist.epfl.ch/quicksearch.php?gene+name=Rv0427c&amp;submit=Search")</f>
        <v>http://tuberculist.epfl.ch/quicksearch.php?gene+name=Rv0427c&amp;submit=Search</v>
      </c>
    </row>
    <row r="440" spans="1:11">
      <c r="A440" t="s">
        <v>2867</v>
      </c>
      <c r="B440" t="s">
        <v>2867</v>
      </c>
      <c r="C440" t="s">
        <v>9567</v>
      </c>
      <c r="D440" t="s">
        <v>9898</v>
      </c>
      <c r="E440" t="s">
        <v>9899</v>
      </c>
      <c r="F440" t="s">
        <v>10558</v>
      </c>
      <c r="G440" t="s">
        <v>19195</v>
      </c>
      <c r="H440" t="s">
        <v>19397</v>
      </c>
      <c r="I440" t="s">
        <v>18780</v>
      </c>
      <c r="K440" t="str">
        <f>HYPERLINK("http://tuberculist.epfl.ch/quicksearch.php?gene+name=Rv0428c&amp;submit=Search")</f>
        <v>http://tuberculist.epfl.ch/quicksearch.php?gene+name=Rv0428c&amp;submit=Search</v>
      </c>
    </row>
    <row r="441" spans="1:11">
      <c r="A441" t="s">
        <v>6154</v>
      </c>
      <c r="B441" t="s">
        <v>1834</v>
      </c>
      <c r="C441" t="s">
        <v>9567</v>
      </c>
      <c r="D441" t="s">
        <v>10559</v>
      </c>
      <c r="E441" t="s">
        <v>10560</v>
      </c>
      <c r="F441" t="s">
        <v>10561</v>
      </c>
      <c r="G441" t="s">
        <v>19181</v>
      </c>
      <c r="H441" t="s">
        <v>19213</v>
      </c>
      <c r="I441" t="s">
        <v>18774</v>
      </c>
      <c r="K441" t="str">
        <f>HYPERLINK("http://tuberculist.epfl.ch/quicksearch.php?gene+name=Rv0429c&amp;submit=Search")</f>
        <v>http://tuberculist.epfl.ch/quicksearch.php?gene+name=Rv0429c&amp;submit=Search</v>
      </c>
    </row>
    <row r="442" spans="1:11">
      <c r="A442" t="s">
        <v>585</v>
      </c>
      <c r="B442" t="s">
        <v>585</v>
      </c>
      <c r="C442" t="s">
        <v>9567</v>
      </c>
      <c r="D442" t="s">
        <v>9578</v>
      </c>
      <c r="E442" t="s">
        <v>9579</v>
      </c>
      <c r="F442" t="s">
        <v>10562</v>
      </c>
      <c r="G442" t="s">
        <v>19212</v>
      </c>
      <c r="I442" t="s">
        <v>18800</v>
      </c>
      <c r="J442" t="s">
        <v>18809</v>
      </c>
      <c r="K442" t="str">
        <f>HYPERLINK("http://tuberculist.epfl.ch/quicksearch.php?gene+name=Rv0430&amp;submit=Search")</f>
        <v>http://tuberculist.epfl.ch/quicksearch.php?gene+name=Rv0430&amp;submit=Search</v>
      </c>
    </row>
    <row r="443" spans="1:11">
      <c r="A443" t="s">
        <v>1871</v>
      </c>
      <c r="B443" t="s">
        <v>1871</v>
      </c>
      <c r="C443" t="s">
        <v>9567</v>
      </c>
      <c r="D443" t="s">
        <v>9587</v>
      </c>
      <c r="E443" t="s">
        <v>10563</v>
      </c>
      <c r="F443" t="s">
        <v>10564</v>
      </c>
      <c r="G443" t="s">
        <v>19188</v>
      </c>
      <c r="H443" t="s">
        <v>19398</v>
      </c>
      <c r="I443" t="s">
        <v>18788</v>
      </c>
      <c r="K443" t="str">
        <f>HYPERLINK("http://tuberculist.epfl.ch/quicksearch.php?gene+name=Rv0431&amp;submit=Search")</f>
        <v>http://tuberculist.epfl.ch/quicksearch.php?gene+name=Rv0431&amp;submit=Search</v>
      </c>
    </row>
    <row r="444" spans="1:11">
      <c r="A444" t="s">
        <v>6280</v>
      </c>
      <c r="B444" t="s">
        <v>1891</v>
      </c>
      <c r="C444" t="s">
        <v>9567</v>
      </c>
      <c r="D444" t="s">
        <v>10565</v>
      </c>
      <c r="E444" t="s">
        <v>10566</v>
      </c>
      <c r="F444" t="s">
        <v>10567</v>
      </c>
      <c r="G444" t="s">
        <v>19206</v>
      </c>
      <c r="H444" t="s">
        <v>19399</v>
      </c>
      <c r="I444" t="s">
        <v>18780</v>
      </c>
      <c r="K444" t="str">
        <f>HYPERLINK("http://tuberculist.epfl.ch/quicksearch.php?gene+name=Rv0432&amp;submit=Search")</f>
        <v>http://tuberculist.epfl.ch/quicksearch.php?gene+name=Rv0432&amp;submit=Search</v>
      </c>
    </row>
    <row r="445" spans="1:11">
      <c r="A445" t="s">
        <v>2975</v>
      </c>
      <c r="B445" t="s">
        <v>2975</v>
      </c>
      <c r="C445" t="s">
        <v>9567</v>
      </c>
      <c r="D445" t="s">
        <v>9578</v>
      </c>
      <c r="E445" t="s">
        <v>9579</v>
      </c>
      <c r="F445" t="s">
        <v>10568</v>
      </c>
      <c r="G445" t="s">
        <v>19204</v>
      </c>
      <c r="H445" t="s">
        <v>19213</v>
      </c>
      <c r="I445" t="s">
        <v>18780</v>
      </c>
      <c r="K445" t="str">
        <f>HYPERLINK("http://tuberculist.epfl.ch/quicksearch.php?gene+name=Rv0433&amp;submit=Search")</f>
        <v>http://tuberculist.epfl.ch/quicksearch.php?gene+name=Rv0433&amp;submit=Search</v>
      </c>
    </row>
    <row r="446" spans="1:11">
      <c r="A446" t="s">
        <v>1492</v>
      </c>
      <c r="B446" t="s">
        <v>1492</v>
      </c>
      <c r="C446" t="s">
        <v>9567</v>
      </c>
      <c r="D446" t="s">
        <v>9578</v>
      </c>
      <c r="E446" t="s">
        <v>9579</v>
      </c>
      <c r="F446" t="s">
        <v>10569</v>
      </c>
      <c r="G446" t="s">
        <v>19212</v>
      </c>
      <c r="I446" t="s">
        <v>18789</v>
      </c>
      <c r="K446" t="str">
        <f>HYPERLINK("http://tuberculist.epfl.ch/quicksearch.php?gene+name=Rv0434&amp;submit=Search")</f>
        <v>http://tuberculist.epfl.ch/quicksearch.php?gene+name=Rv0434&amp;submit=Search</v>
      </c>
    </row>
    <row r="447" spans="1:11">
      <c r="A447" t="s">
        <v>1026</v>
      </c>
      <c r="B447" t="s">
        <v>1026</v>
      </c>
      <c r="C447" t="s">
        <v>9567</v>
      </c>
      <c r="D447" t="s">
        <v>10570</v>
      </c>
      <c r="E447" t="s">
        <v>10571</v>
      </c>
      <c r="F447" t="s">
        <v>10572</v>
      </c>
      <c r="G447" t="s">
        <v>19188</v>
      </c>
      <c r="H447" t="s">
        <v>19400</v>
      </c>
      <c r="I447" t="s">
        <v>18789</v>
      </c>
      <c r="K447" t="str">
        <f>HYPERLINK("http://tuberculist.epfl.ch/quicksearch.php?gene+name=Rv0435c&amp;submit=Search")</f>
        <v>http://tuberculist.epfl.ch/quicksearch.php?gene+name=Rv0435c&amp;submit=Search</v>
      </c>
    </row>
    <row r="448" spans="1:11">
      <c r="A448" t="s">
        <v>7829</v>
      </c>
      <c r="B448" t="s">
        <v>2673</v>
      </c>
      <c r="C448" t="s">
        <v>9567</v>
      </c>
      <c r="D448" t="s">
        <v>10573</v>
      </c>
      <c r="E448" t="s">
        <v>10574</v>
      </c>
      <c r="F448" t="s">
        <v>10575</v>
      </c>
      <c r="G448" t="s">
        <v>19219</v>
      </c>
      <c r="H448" t="s">
        <v>19320</v>
      </c>
      <c r="I448" t="s">
        <v>18845</v>
      </c>
      <c r="K448" t="str">
        <f>HYPERLINK("http://tuberculist.epfl.ch/quicksearch.php?gene+name=Rv0436c&amp;submit=Search")</f>
        <v>http://tuberculist.epfl.ch/quicksearch.php?gene+name=Rv0436c&amp;submit=Search</v>
      </c>
    </row>
    <row r="449" spans="1:11">
      <c r="A449" t="s">
        <v>5845</v>
      </c>
      <c r="B449" t="s">
        <v>1674</v>
      </c>
      <c r="C449" t="s">
        <v>9567</v>
      </c>
      <c r="D449" t="s">
        <v>10576</v>
      </c>
      <c r="E449" t="s">
        <v>10577</v>
      </c>
      <c r="F449" t="s">
        <v>10578</v>
      </c>
      <c r="G449" t="s">
        <v>19219</v>
      </c>
      <c r="H449" t="s">
        <v>19401</v>
      </c>
      <c r="I449" t="s">
        <v>18779</v>
      </c>
      <c r="K449" t="str">
        <f>HYPERLINK("http://tuberculist.epfl.ch/quicksearch.php?gene+name=Rv0437c&amp;submit=Search")</f>
        <v>http://tuberculist.epfl.ch/quicksearch.php?gene+name=Rv0437c&amp;submit=Search</v>
      </c>
    </row>
    <row r="450" spans="1:11">
      <c r="A450" t="s">
        <v>5200</v>
      </c>
      <c r="B450" t="s">
        <v>1350</v>
      </c>
      <c r="C450" t="s">
        <v>9567</v>
      </c>
      <c r="D450" t="s">
        <v>10579</v>
      </c>
      <c r="E450" t="s">
        <v>10580</v>
      </c>
      <c r="F450" t="s">
        <v>10581</v>
      </c>
      <c r="G450" t="s">
        <v>19195</v>
      </c>
      <c r="H450" t="s">
        <v>19309</v>
      </c>
      <c r="I450" t="s">
        <v>18780</v>
      </c>
      <c r="K450" t="str">
        <f>HYPERLINK("http://tuberculist.epfl.ch/quicksearch.php?gene+name=Rv0438c&amp;submit=Search")</f>
        <v>http://tuberculist.epfl.ch/quicksearch.php?gene+name=Rv0438c&amp;submit=Search</v>
      </c>
    </row>
    <row r="451" spans="1:11">
      <c r="A451" t="s">
        <v>2419</v>
      </c>
      <c r="B451" t="s">
        <v>2419</v>
      </c>
      <c r="C451" t="s">
        <v>9567</v>
      </c>
      <c r="D451" t="s">
        <v>9931</v>
      </c>
      <c r="E451" t="s">
        <v>10276</v>
      </c>
      <c r="F451" t="s">
        <v>10582</v>
      </c>
      <c r="G451" t="s">
        <v>19195</v>
      </c>
      <c r="H451" t="s">
        <v>19225</v>
      </c>
      <c r="I451" t="s">
        <v>18789</v>
      </c>
      <c r="K451" t="str">
        <f>HYPERLINK("http://tuberculist.epfl.ch/quicksearch.php?gene+name=Rv0439c&amp;submit=Search")</f>
        <v>http://tuberculist.epfl.ch/quicksearch.php?gene+name=Rv0439c&amp;submit=Search</v>
      </c>
    </row>
    <row r="452" spans="1:11">
      <c r="A452" t="s">
        <v>47</v>
      </c>
      <c r="B452" t="s">
        <v>48</v>
      </c>
      <c r="C452" t="s">
        <v>9567</v>
      </c>
      <c r="D452" t="s">
        <v>10583</v>
      </c>
      <c r="E452" t="s">
        <v>10584</v>
      </c>
      <c r="F452" t="s">
        <v>10585</v>
      </c>
      <c r="G452" t="s">
        <v>19206</v>
      </c>
      <c r="H452" t="s">
        <v>19402</v>
      </c>
      <c r="I452" t="s">
        <v>18774</v>
      </c>
      <c r="J452" t="s">
        <v>18868</v>
      </c>
      <c r="K452" t="str">
        <f>HYPERLINK("http://tuberculist.epfl.ch/quicksearch.php?gene+name=Rv0440&amp;submit=Search")</f>
        <v>http://tuberculist.epfl.ch/quicksearch.php?gene+name=Rv0440&amp;submit=Search</v>
      </c>
    </row>
    <row r="453" spans="1:11">
      <c r="A453" t="s">
        <v>1484</v>
      </c>
      <c r="B453" t="s">
        <v>1484</v>
      </c>
      <c r="C453" t="s">
        <v>9567</v>
      </c>
      <c r="D453" t="s">
        <v>9587</v>
      </c>
      <c r="E453" t="s">
        <v>9713</v>
      </c>
      <c r="F453" t="s">
        <v>10586</v>
      </c>
      <c r="G453" t="s">
        <v>19212</v>
      </c>
      <c r="I453" t="s">
        <v>18789</v>
      </c>
      <c r="K453" t="str">
        <f>HYPERLINK("http://tuberculist.epfl.ch/quicksearch.php?gene+name=Rv0441c&amp;submit=Search")</f>
        <v>http://tuberculist.epfl.ch/quicksearch.php?gene+name=Rv0441c&amp;submit=Search</v>
      </c>
    </row>
    <row r="454" spans="1:11">
      <c r="A454" t="s">
        <v>7824</v>
      </c>
      <c r="B454" t="s">
        <v>2671</v>
      </c>
      <c r="C454" t="s">
        <v>9567</v>
      </c>
      <c r="D454" t="s">
        <v>9578</v>
      </c>
      <c r="E454" t="s">
        <v>10587</v>
      </c>
      <c r="F454" t="s">
        <v>10588</v>
      </c>
      <c r="G454" t="s">
        <v>19262</v>
      </c>
      <c r="H454" t="s">
        <v>19267</v>
      </c>
      <c r="I454" t="s">
        <v>18789</v>
      </c>
      <c r="K454" t="str">
        <f>HYPERLINK("http://tuberculist.epfl.ch/quicksearch.php?gene+name=Rv0442c&amp;submit=Search")</f>
        <v>http://tuberculist.epfl.ch/quicksearch.php?gene+name=Rv0442c&amp;submit=Search</v>
      </c>
    </row>
    <row r="455" spans="1:11">
      <c r="A455" t="s">
        <v>3206</v>
      </c>
      <c r="B455" t="s">
        <v>3206</v>
      </c>
      <c r="C455" t="s">
        <v>9567</v>
      </c>
      <c r="D455" t="s">
        <v>9578</v>
      </c>
      <c r="E455" t="s">
        <v>9665</v>
      </c>
      <c r="F455" t="s">
        <v>10589</v>
      </c>
      <c r="G455" t="s">
        <v>19212</v>
      </c>
      <c r="H455" t="s">
        <v>19272</v>
      </c>
      <c r="I455" t="s">
        <v>18789</v>
      </c>
      <c r="K455" t="str">
        <f>HYPERLINK("http://tuberculist.epfl.ch/quicksearch.php?gene+name=Rv0443&amp;submit=Search")</f>
        <v>http://tuberculist.epfl.ch/quicksearch.php?gene+name=Rv0443&amp;submit=Search</v>
      </c>
    </row>
    <row r="456" spans="1:11">
      <c r="A456" t="s">
        <v>10590</v>
      </c>
      <c r="B456" t="s">
        <v>2424</v>
      </c>
      <c r="C456" t="s">
        <v>9567</v>
      </c>
      <c r="D456" t="s">
        <v>10591</v>
      </c>
      <c r="E456" t="s">
        <v>10592</v>
      </c>
      <c r="F456" t="s">
        <v>10593</v>
      </c>
      <c r="G456" t="s">
        <v>19181</v>
      </c>
      <c r="H456" t="s">
        <v>19403</v>
      </c>
      <c r="I456" t="s">
        <v>18780</v>
      </c>
      <c r="K456" t="str">
        <f>HYPERLINK("http://tuberculist.epfl.ch/quicksearch.php?gene+name=Rv0444c&amp;submit=Search")</f>
        <v>http://tuberculist.epfl.ch/quicksearch.php?gene+name=Rv0444c&amp;submit=Search</v>
      </c>
    </row>
    <row r="457" spans="1:11">
      <c r="A457" t="s">
        <v>7893</v>
      </c>
      <c r="B457" t="s">
        <v>2708</v>
      </c>
      <c r="C457" t="s">
        <v>9567</v>
      </c>
      <c r="D457" t="s">
        <v>10594</v>
      </c>
      <c r="E457" t="s">
        <v>10595</v>
      </c>
      <c r="F457" t="s">
        <v>10596</v>
      </c>
      <c r="G457" t="s">
        <v>19181</v>
      </c>
      <c r="H457" t="s">
        <v>19404</v>
      </c>
      <c r="I457" t="s">
        <v>18780</v>
      </c>
      <c r="K457" t="str">
        <f>HYPERLINK("http://tuberculist.epfl.ch/quicksearch.php?gene+name=Rv0445c&amp;submit=Search")</f>
        <v>http://tuberculist.epfl.ch/quicksearch.php?gene+name=Rv0445c&amp;submit=Search</v>
      </c>
    </row>
    <row r="458" spans="1:11">
      <c r="A458" t="s">
        <v>3261</v>
      </c>
      <c r="B458" t="s">
        <v>3261</v>
      </c>
      <c r="C458" t="s">
        <v>9567</v>
      </c>
      <c r="D458" t="s">
        <v>9587</v>
      </c>
      <c r="E458" t="s">
        <v>9671</v>
      </c>
      <c r="F458" t="s">
        <v>10597</v>
      </c>
      <c r="G458" t="s">
        <v>19188</v>
      </c>
      <c r="H458" t="s">
        <v>19320</v>
      </c>
      <c r="I458" t="s">
        <v>18789</v>
      </c>
      <c r="K458" t="str">
        <f>HYPERLINK("http://tuberculist.epfl.ch/quicksearch.php?gene+name=Rv0446c&amp;submit=Search")</f>
        <v>http://tuberculist.epfl.ch/quicksearch.php?gene+name=Rv0446c&amp;submit=Search</v>
      </c>
    </row>
    <row r="459" spans="1:11">
      <c r="A459" t="s">
        <v>5179</v>
      </c>
      <c r="B459" t="s">
        <v>1343</v>
      </c>
      <c r="C459" t="s">
        <v>9567</v>
      </c>
      <c r="D459" t="s">
        <v>10598</v>
      </c>
      <c r="E459" t="s">
        <v>10599</v>
      </c>
      <c r="F459" t="s">
        <v>10600</v>
      </c>
      <c r="G459" t="s">
        <v>19219</v>
      </c>
      <c r="I459" t="s">
        <v>18789</v>
      </c>
      <c r="K459" t="str">
        <f>HYPERLINK("http://tuberculist.epfl.ch/quicksearch.php?gene+name=Rv0447c&amp;submit=Search")</f>
        <v>http://tuberculist.epfl.ch/quicksearch.php?gene+name=Rv0447c&amp;submit=Search</v>
      </c>
    </row>
    <row r="460" spans="1:11">
      <c r="A460" t="s">
        <v>1667</v>
      </c>
      <c r="B460" t="s">
        <v>1667</v>
      </c>
      <c r="C460" t="s">
        <v>9567</v>
      </c>
      <c r="D460" t="s">
        <v>9578</v>
      </c>
      <c r="E460" t="s">
        <v>9579</v>
      </c>
      <c r="F460" t="s">
        <v>10601</v>
      </c>
      <c r="G460" t="s">
        <v>19212</v>
      </c>
      <c r="I460" t="s">
        <v>18780</v>
      </c>
      <c r="K460" t="str">
        <f>HYPERLINK("http://tuberculist.epfl.ch/quicksearch.php?gene+name=Rv0448c&amp;submit=Search")</f>
        <v>http://tuberculist.epfl.ch/quicksearch.php?gene+name=Rv0448c&amp;submit=Search</v>
      </c>
    </row>
    <row r="461" spans="1:11">
      <c r="A461" t="s">
        <v>502</v>
      </c>
      <c r="B461" t="s">
        <v>502</v>
      </c>
      <c r="C461" t="s">
        <v>9567</v>
      </c>
      <c r="D461" t="s">
        <v>9578</v>
      </c>
      <c r="E461" t="s">
        <v>9579</v>
      </c>
      <c r="F461" t="s">
        <v>10602</v>
      </c>
      <c r="G461" t="s">
        <v>19204</v>
      </c>
      <c r="H461" t="s">
        <v>19207</v>
      </c>
      <c r="I461" t="s">
        <v>18792</v>
      </c>
      <c r="K461" t="str">
        <f>HYPERLINK("http://tuberculist.epfl.ch/quicksearch.php?gene+name=Rv0449c&amp;submit=Search")</f>
        <v>http://tuberculist.epfl.ch/quicksearch.php?gene+name=Rv0449c&amp;submit=Search</v>
      </c>
    </row>
    <row r="462" spans="1:11">
      <c r="A462" t="s">
        <v>112</v>
      </c>
      <c r="B462" t="s">
        <v>111</v>
      </c>
      <c r="C462" t="s">
        <v>9567</v>
      </c>
      <c r="D462" t="s">
        <v>10051</v>
      </c>
      <c r="E462" t="s">
        <v>10603</v>
      </c>
      <c r="F462" t="s">
        <v>10604</v>
      </c>
      <c r="G462" t="s">
        <v>19188</v>
      </c>
      <c r="H462" t="s">
        <v>19405</v>
      </c>
      <c r="I462" t="s">
        <v>18869</v>
      </c>
      <c r="K462" t="str">
        <f>HYPERLINK("http://tuberculist.epfl.ch/quicksearch.php?gene+name=Rv0450c&amp;submit=Search")</f>
        <v>http://tuberculist.epfl.ch/quicksearch.php?gene+name=Rv0450c&amp;submit=Search</v>
      </c>
    </row>
    <row r="463" spans="1:11">
      <c r="A463" t="s">
        <v>10605</v>
      </c>
      <c r="B463" t="s">
        <v>116</v>
      </c>
      <c r="C463" t="s">
        <v>9567</v>
      </c>
      <c r="D463" t="s">
        <v>9587</v>
      </c>
      <c r="E463" t="s">
        <v>10606</v>
      </c>
      <c r="F463" t="s">
        <v>10607</v>
      </c>
      <c r="G463" t="s">
        <v>19188</v>
      </c>
      <c r="H463" t="s">
        <v>19213</v>
      </c>
      <c r="I463" t="s">
        <v>18779</v>
      </c>
      <c r="J463" t="s">
        <v>18856</v>
      </c>
      <c r="K463" t="str">
        <f>HYPERLINK("http://tuberculist.epfl.ch/quicksearch.php?gene+name=Rv0451c&amp;submit=Search")</f>
        <v>http://tuberculist.epfl.ch/quicksearch.php?gene+name=Rv0451c&amp;submit=Search</v>
      </c>
    </row>
    <row r="464" spans="1:11">
      <c r="A464" t="s">
        <v>2929</v>
      </c>
      <c r="B464" t="s">
        <v>2929</v>
      </c>
      <c r="C464" t="s">
        <v>9567</v>
      </c>
      <c r="D464" t="s">
        <v>9632</v>
      </c>
      <c r="E464" t="s">
        <v>9633</v>
      </c>
      <c r="F464" t="s">
        <v>10608</v>
      </c>
      <c r="G464" t="s">
        <v>19197</v>
      </c>
      <c r="I464" t="s">
        <v>18780</v>
      </c>
      <c r="J464" t="s">
        <v>18856</v>
      </c>
      <c r="K464" t="str">
        <f>HYPERLINK("http://tuberculist.epfl.ch/quicksearch.php?gene+name=Rv0452&amp;submit=Search")</f>
        <v>http://tuberculist.epfl.ch/quicksearch.php?gene+name=Rv0452&amp;submit=Search</v>
      </c>
    </row>
    <row r="465" spans="1:11">
      <c r="A465" t="s">
        <v>9432</v>
      </c>
      <c r="B465" t="s">
        <v>434</v>
      </c>
      <c r="C465" t="s">
        <v>9567</v>
      </c>
      <c r="D465" t="s">
        <v>9578</v>
      </c>
      <c r="E465" t="s">
        <v>10609</v>
      </c>
      <c r="F465" t="s">
        <v>10610</v>
      </c>
      <c r="G465" t="s">
        <v>19262</v>
      </c>
      <c r="H465" t="s">
        <v>19406</v>
      </c>
      <c r="I465" t="s">
        <v>18789</v>
      </c>
      <c r="K465" t="str">
        <f>HYPERLINK("http://tuberculist.epfl.ch/quicksearch.php?gene+name=Rv0453&amp;submit=Search")</f>
        <v>http://tuberculist.epfl.ch/quicksearch.php?gene+name=Rv0453&amp;submit=Search</v>
      </c>
    </row>
    <row r="466" spans="1:11">
      <c r="A466" t="s">
        <v>2566</v>
      </c>
      <c r="B466" t="s">
        <v>2566</v>
      </c>
      <c r="C466" t="s">
        <v>9567</v>
      </c>
      <c r="D466" t="s">
        <v>9578</v>
      </c>
      <c r="E466" t="s">
        <v>9579</v>
      </c>
      <c r="F466" t="s">
        <v>10611</v>
      </c>
      <c r="G466" t="s">
        <v>19212</v>
      </c>
      <c r="I466" t="s">
        <v>18780</v>
      </c>
      <c r="K466" t="str">
        <f>HYPERLINK("http://tuberculist.epfl.ch/quicksearch.php?gene+name=Rv0454&amp;submit=Search")</f>
        <v>http://tuberculist.epfl.ch/quicksearch.php?gene+name=Rv0454&amp;submit=Search</v>
      </c>
    </row>
    <row r="467" spans="1:11">
      <c r="A467" t="s">
        <v>1997</v>
      </c>
      <c r="B467" t="s">
        <v>1997</v>
      </c>
      <c r="C467" t="s">
        <v>9567</v>
      </c>
      <c r="D467" t="s">
        <v>9578</v>
      </c>
      <c r="E467" t="s">
        <v>9665</v>
      </c>
      <c r="F467" t="s">
        <v>10612</v>
      </c>
      <c r="G467" t="s">
        <v>19212</v>
      </c>
      <c r="H467" t="s">
        <v>19407</v>
      </c>
      <c r="I467" t="s">
        <v>18788</v>
      </c>
      <c r="K467" t="str">
        <f>HYPERLINK("http://tuberculist.epfl.ch/quicksearch.php?gene+name=Rv0455c&amp;submit=Search")</f>
        <v>http://tuberculist.epfl.ch/quicksearch.php?gene+name=Rv0455c&amp;submit=Search</v>
      </c>
    </row>
    <row r="468" spans="1:11">
      <c r="A468" t="s">
        <v>10613</v>
      </c>
      <c r="B468" t="s">
        <v>10614</v>
      </c>
      <c r="C468" t="s">
        <v>9567</v>
      </c>
      <c r="D468" t="s">
        <v>9578</v>
      </c>
      <c r="E468" t="s">
        <v>10615</v>
      </c>
      <c r="F468" t="s">
        <v>10616</v>
      </c>
      <c r="G468" t="s">
        <v>19206</v>
      </c>
      <c r="I468" t="s">
        <v>18793</v>
      </c>
      <c r="K468" t="str">
        <f>HYPERLINK("http://tuberculist.epfl.ch/quicksearch.php?gene+name=Rv0456A&amp;submit=Search")</f>
        <v>http://tuberculist.epfl.ch/quicksearch.php?gene+name=Rv0456A&amp;submit=Search</v>
      </c>
    </row>
    <row r="469" spans="1:11">
      <c r="A469" t="s">
        <v>10617</v>
      </c>
      <c r="B469" t="s">
        <v>10618</v>
      </c>
      <c r="C469" t="s">
        <v>9567</v>
      </c>
      <c r="D469" t="s">
        <v>9587</v>
      </c>
      <c r="E469" t="s">
        <v>10619</v>
      </c>
      <c r="F469" t="s">
        <v>10620</v>
      </c>
      <c r="G469" t="s">
        <v>19206</v>
      </c>
      <c r="I469" t="s">
        <v>18773</v>
      </c>
      <c r="K469" t="str">
        <f>HYPERLINK("http://tuberculist.epfl.ch/quicksearch.php?gene+name=Rv0456B&amp;submit=Search")</f>
        <v>http://tuberculist.epfl.ch/quicksearch.php?gene+name=Rv0456B&amp;submit=Search</v>
      </c>
    </row>
    <row r="470" spans="1:11">
      <c r="A470" t="s">
        <v>10621</v>
      </c>
      <c r="B470" t="s">
        <v>10622</v>
      </c>
      <c r="C470" t="s">
        <v>9567</v>
      </c>
      <c r="D470" t="s">
        <v>10092</v>
      </c>
      <c r="E470" t="s">
        <v>10623</v>
      </c>
      <c r="F470" t="s">
        <v>10624</v>
      </c>
      <c r="G470" t="s">
        <v>19219</v>
      </c>
      <c r="H470" t="s">
        <v>19233</v>
      </c>
      <c r="I470" t="s">
        <v>18780</v>
      </c>
      <c r="K470" t="str">
        <f>HYPERLINK("http://tuberculist.epfl.ch/quicksearch.php?gene+name=Rv0456c&amp;submit=Search")</f>
        <v>http://tuberculist.epfl.ch/quicksearch.php?gene+name=Rv0456c&amp;submit=Search</v>
      </c>
    </row>
    <row r="471" spans="1:11">
      <c r="A471" t="s">
        <v>1996</v>
      </c>
      <c r="B471" t="s">
        <v>1996</v>
      </c>
      <c r="C471" t="s">
        <v>9567</v>
      </c>
      <c r="D471" t="s">
        <v>10045</v>
      </c>
      <c r="E471" t="s">
        <v>10625</v>
      </c>
      <c r="F471" t="s">
        <v>10626</v>
      </c>
      <c r="G471" t="s">
        <v>19195</v>
      </c>
      <c r="H471" t="s">
        <v>19408</v>
      </c>
      <c r="I471" t="s">
        <v>18777</v>
      </c>
      <c r="K471" t="str">
        <f>HYPERLINK("http://tuberculist.epfl.ch/quicksearch.php?gene+name=Rv0457c&amp;submit=Search")</f>
        <v>http://tuberculist.epfl.ch/quicksearch.php?gene+name=Rv0457c&amp;submit=Search</v>
      </c>
    </row>
    <row r="472" spans="1:11">
      <c r="A472" t="s">
        <v>968</v>
      </c>
      <c r="B472" t="s">
        <v>968</v>
      </c>
      <c r="C472" t="s">
        <v>9567</v>
      </c>
      <c r="D472" t="s">
        <v>10627</v>
      </c>
      <c r="E472" t="s">
        <v>10096</v>
      </c>
      <c r="F472" t="s">
        <v>10628</v>
      </c>
      <c r="G472" t="s">
        <v>19195</v>
      </c>
      <c r="H472" t="s">
        <v>19269</v>
      </c>
      <c r="I472" t="s">
        <v>18789</v>
      </c>
      <c r="K472" t="str">
        <f>HYPERLINK("http://tuberculist.epfl.ch/quicksearch.php?gene+name=Rv0458&amp;submit=Search")</f>
        <v>http://tuberculist.epfl.ch/quicksearch.php?gene+name=Rv0458&amp;submit=Search</v>
      </c>
    </row>
    <row r="473" spans="1:11">
      <c r="A473" t="s">
        <v>2660</v>
      </c>
      <c r="B473" t="s">
        <v>2660</v>
      </c>
      <c r="C473" t="s">
        <v>9567</v>
      </c>
      <c r="D473" t="s">
        <v>9578</v>
      </c>
      <c r="E473" t="s">
        <v>9579</v>
      </c>
      <c r="F473" t="s">
        <v>10629</v>
      </c>
      <c r="G473" t="s">
        <v>19204</v>
      </c>
      <c r="I473" t="s">
        <v>18780</v>
      </c>
      <c r="K473" t="str">
        <f>HYPERLINK("http://tuberculist.epfl.ch/quicksearch.php?gene+name=Rv0459&amp;submit=Search")</f>
        <v>http://tuberculist.epfl.ch/quicksearch.php?gene+name=Rv0459&amp;submit=Search</v>
      </c>
    </row>
    <row r="474" spans="1:11">
      <c r="A474" t="s">
        <v>604</v>
      </c>
      <c r="B474" t="s">
        <v>604</v>
      </c>
      <c r="C474" t="s">
        <v>9567</v>
      </c>
      <c r="D474" t="s">
        <v>9578</v>
      </c>
      <c r="E474" t="s">
        <v>10630</v>
      </c>
      <c r="F474" t="s">
        <v>10631</v>
      </c>
      <c r="G474" t="s">
        <v>19212</v>
      </c>
      <c r="I474" t="s">
        <v>18793</v>
      </c>
      <c r="K474" t="str">
        <f>HYPERLINK("http://tuberculist.epfl.ch/quicksearch.php?gene+name=Rv0460&amp;submit=Search")</f>
        <v>http://tuberculist.epfl.ch/quicksearch.php?gene+name=Rv0460&amp;submit=Search</v>
      </c>
    </row>
    <row r="475" spans="1:11">
      <c r="A475" t="s">
        <v>2177</v>
      </c>
      <c r="B475" t="s">
        <v>2177</v>
      </c>
      <c r="C475" t="s">
        <v>9567</v>
      </c>
      <c r="D475" t="s">
        <v>9587</v>
      </c>
      <c r="E475" t="s">
        <v>10632</v>
      </c>
      <c r="F475" t="s">
        <v>10633</v>
      </c>
      <c r="G475" t="s">
        <v>19188</v>
      </c>
      <c r="H475" t="s">
        <v>19192</v>
      </c>
      <c r="I475" t="s">
        <v>18789</v>
      </c>
      <c r="K475" t="str">
        <f>HYPERLINK("http://tuberculist.epfl.ch/quicksearch.php?gene+name=Rv0461&amp;submit=Search")</f>
        <v>http://tuberculist.epfl.ch/quicksearch.php?gene+name=Rv0461&amp;submit=Search</v>
      </c>
    </row>
    <row r="476" spans="1:11">
      <c r="A476" t="s">
        <v>10634</v>
      </c>
      <c r="B476" t="s">
        <v>1703</v>
      </c>
      <c r="C476" t="s">
        <v>9567</v>
      </c>
      <c r="D476" t="s">
        <v>10635</v>
      </c>
      <c r="E476" t="s">
        <v>10636</v>
      </c>
      <c r="F476" t="s">
        <v>10637</v>
      </c>
      <c r="G476" t="s">
        <v>19195</v>
      </c>
      <c r="H476" t="s">
        <v>19409</v>
      </c>
      <c r="I476" t="s">
        <v>18870</v>
      </c>
      <c r="J476" t="s">
        <v>18775</v>
      </c>
      <c r="K476" t="str">
        <f>HYPERLINK("http://tuberculist.epfl.ch/quicksearch.php?gene+name=Rv0462&amp;submit=Search")</f>
        <v>http://tuberculist.epfl.ch/quicksearch.php?gene+name=Rv0462&amp;submit=Search</v>
      </c>
    </row>
    <row r="477" spans="1:11">
      <c r="A477" t="s">
        <v>1931</v>
      </c>
      <c r="B477" t="s">
        <v>1931</v>
      </c>
      <c r="C477" t="s">
        <v>9567</v>
      </c>
      <c r="D477" t="s">
        <v>9587</v>
      </c>
      <c r="E477" t="s">
        <v>9595</v>
      </c>
      <c r="F477" t="s">
        <v>10638</v>
      </c>
      <c r="G477" t="s">
        <v>19188</v>
      </c>
      <c r="I477" t="s">
        <v>18780</v>
      </c>
      <c r="K477" t="str">
        <f>HYPERLINK("http://tuberculist.epfl.ch/quicksearch.php?gene+name=Rv0463&amp;submit=Search")</f>
        <v>http://tuberculist.epfl.ch/quicksearch.php?gene+name=Rv0463&amp;submit=Search</v>
      </c>
    </row>
    <row r="478" spans="1:11">
      <c r="A478" t="s">
        <v>2233</v>
      </c>
      <c r="B478" t="s">
        <v>2233</v>
      </c>
      <c r="C478" t="s">
        <v>9567</v>
      </c>
      <c r="D478" t="s">
        <v>9578</v>
      </c>
      <c r="E478" t="s">
        <v>9665</v>
      </c>
      <c r="F478" t="s">
        <v>10639</v>
      </c>
      <c r="G478" t="s">
        <v>19204</v>
      </c>
      <c r="H478" t="s">
        <v>19410</v>
      </c>
      <c r="I478" t="s">
        <v>18786</v>
      </c>
      <c r="J478" t="s">
        <v>18775</v>
      </c>
      <c r="K478" t="str">
        <f>HYPERLINK("http://tuberculist.epfl.ch/quicksearch.php?gene+name=Rv0464c&amp;submit=Search")</f>
        <v>http://tuberculist.epfl.ch/quicksearch.php?gene+name=Rv0464c&amp;submit=Search</v>
      </c>
    </row>
    <row r="479" spans="1:11">
      <c r="A479" t="s">
        <v>890</v>
      </c>
      <c r="B479" t="s">
        <v>890</v>
      </c>
      <c r="C479" t="s">
        <v>9567</v>
      </c>
      <c r="D479" t="s">
        <v>9632</v>
      </c>
      <c r="E479" t="s">
        <v>9763</v>
      </c>
      <c r="F479" t="s">
        <v>10640</v>
      </c>
      <c r="G479" t="s">
        <v>19197</v>
      </c>
      <c r="H479" t="s">
        <v>19207</v>
      </c>
      <c r="I479" t="s">
        <v>18793</v>
      </c>
      <c r="K479" t="str">
        <f>HYPERLINK("http://tuberculist.epfl.ch/quicksearch.php?gene+name=Rv0465c&amp;submit=Search")</f>
        <v>http://tuberculist.epfl.ch/quicksearch.php?gene+name=Rv0465c&amp;submit=Search</v>
      </c>
    </row>
    <row r="480" spans="1:11">
      <c r="A480" t="s">
        <v>1118</v>
      </c>
      <c r="B480" t="s">
        <v>1118</v>
      </c>
      <c r="C480" t="s">
        <v>9567</v>
      </c>
      <c r="D480" t="s">
        <v>9578</v>
      </c>
      <c r="E480" t="s">
        <v>9665</v>
      </c>
      <c r="F480" t="s">
        <v>10641</v>
      </c>
      <c r="G480" t="s">
        <v>19204</v>
      </c>
      <c r="H480" t="s">
        <v>19411</v>
      </c>
      <c r="I480" t="s">
        <v>18780</v>
      </c>
      <c r="K480" t="str">
        <f>HYPERLINK("http://tuberculist.epfl.ch/quicksearch.php?gene+name=Rv0466&amp;submit=Search")</f>
        <v>http://tuberculist.epfl.ch/quicksearch.php?gene+name=Rv0466&amp;submit=Search</v>
      </c>
    </row>
    <row r="481" spans="1:11">
      <c r="A481" t="s">
        <v>10642</v>
      </c>
      <c r="B481" t="s">
        <v>374</v>
      </c>
      <c r="C481" t="s">
        <v>9567</v>
      </c>
      <c r="D481" t="s">
        <v>10643</v>
      </c>
      <c r="E481" t="s">
        <v>10644</v>
      </c>
      <c r="F481" t="s">
        <v>10645</v>
      </c>
      <c r="G481" t="s">
        <v>19195</v>
      </c>
      <c r="H481" t="s">
        <v>19412</v>
      </c>
      <c r="I481" t="s">
        <v>18871</v>
      </c>
      <c r="K481" t="str">
        <f>HYPERLINK("http://tuberculist.epfl.ch/quicksearch.php?gene+name=Rv0467&amp;submit=Search")</f>
        <v>http://tuberculist.epfl.ch/quicksearch.php?gene+name=Rv0467&amp;submit=Search</v>
      </c>
    </row>
    <row r="482" spans="1:11">
      <c r="A482" t="s">
        <v>376</v>
      </c>
      <c r="B482" t="s">
        <v>377</v>
      </c>
      <c r="C482" t="s">
        <v>9567</v>
      </c>
      <c r="D482" t="s">
        <v>10646</v>
      </c>
      <c r="E482" t="s">
        <v>10647</v>
      </c>
      <c r="F482" t="s">
        <v>10648</v>
      </c>
      <c r="G482" t="s">
        <v>19219</v>
      </c>
      <c r="H482" t="s">
        <v>19413</v>
      </c>
      <c r="I482" t="s">
        <v>18780</v>
      </c>
      <c r="K482" t="str">
        <f>HYPERLINK("http://tuberculist.epfl.ch/quicksearch.php?gene+name=Rv0468&amp;submit=Search")</f>
        <v>http://tuberculist.epfl.ch/quicksearch.php?gene+name=Rv0468&amp;submit=Search</v>
      </c>
    </row>
    <row r="483" spans="1:11">
      <c r="A483" t="s">
        <v>105</v>
      </c>
      <c r="B483" t="s">
        <v>104</v>
      </c>
      <c r="C483" t="s">
        <v>9567</v>
      </c>
      <c r="D483" t="s">
        <v>10649</v>
      </c>
      <c r="E483" t="s">
        <v>10650</v>
      </c>
      <c r="F483" t="s">
        <v>10651</v>
      </c>
      <c r="G483" t="s">
        <v>19219</v>
      </c>
      <c r="H483" t="s">
        <v>19196</v>
      </c>
      <c r="I483" t="s">
        <v>18872</v>
      </c>
      <c r="K483" t="str">
        <f>HYPERLINK("http://tuberculist.epfl.ch/quicksearch.php?gene+name=Rv0469&amp;submit=Search")</f>
        <v>http://tuberculist.epfl.ch/quicksearch.php?gene+name=Rv0469&amp;submit=Search</v>
      </c>
    </row>
    <row r="484" spans="1:11">
      <c r="A484" t="s">
        <v>10652</v>
      </c>
      <c r="B484" t="s">
        <v>10652</v>
      </c>
      <c r="C484" t="s">
        <v>9567</v>
      </c>
      <c r="D484" t="s">
        <v>9587</v>
      </c>
      <c r="E484" t="s">
        <v>9713</v>
      </c>
      <c r="F484" t="s">
        <v>10653</v>
      </c>
      <c r="G484" t="s">
        <v>19220</v>
      </c>
      <c r="I484" t="s">
        <v>18793</v>
      </c>
      <c r="K484" t="str">
        <f>HYPERLINK("http://tuberculist.epfl.ch/quicksearch.php?gene+name=Rv0470A&amp;submit=Search")</f>
        <v>http://tuberculist.epfl.ch/quicksearch.php?gene+name=Rv0470A&amp;submit=Search</v>
      </c>
    </row>
    <row r="485" spans="1:11">
      <c r="A485" t="s">
        <v>4514</v>
      </c>
      <c r="B485" t="s">
        <v>1020</v>
      </c>
      <c r="C485" t="s">
        <v>9567</v>
      </c>
      <c r="D485" t="s">
        <v>10654</v>
      </c>
      <c r="E485" t="s">
        <v>10655</v>
      </c>
      <c r="F485" t="s">
        <v>10656</v>
      </c>
      <c r="G485" t="s">
        <v>19219</v>
      </c>
      <c r="H485" t="s">
        <v>19334</v>
      </c>
      <c r="I485" t="s">
        <v>18810</v>
      </c>
      <c r="K485" t="str">
        <f>HYPERLINK("http://tuberculist.epfl.ch/quicksearch.php?gene+name=Rv0470c&amp;submit=Search")</f>
        <v>http://tuberculist.epfl.ch/quicksearch.php?gene+name=Rv0470c&amp;submit=Search</v>
      </c>
    </row>
    <row r="486" spans="1:11">
      <c r="A486" t="s">
        <v>10657</v>
      </c>
      <c r="B486" t="s">
        <v>10657</v>
      </c>
      <c r="C486" t="s">
        <v>9567</v>
      </c>
      <c r="D486" t="s">
        <v>9587</v>
      </c>
      <c r="E486" t="s">
        <v>9713</v>
      </c>
      <c r="F486" t="s">
        <v>10658</v>
      </c>
      <c r="G486" t="s">
        <v>19220</v>
      </c>
      <c r="I486" t="s">
        <v>18789</v>
      </c>
      <c r="K486" t="str">
        <f>HYPERLINK("http://tuberculist.epfl.ch/quicksearch.php?gene+name=Rv0471c&amp;submit=Search")</f>
        <v>http://tuberculist.epfl.ch/quicksearch.php?gene+name=Rv0471c&amp;submit=Search</v>
      </c>
    </row>
    <row r="487" spans="1:11">
      <c r="A487" t="s">
        <v>3167</v>
      </c>
      <c r="B487" t="s">
        <v>3167</v>
      </c>
      <c r="C487" t="s">
        <v>9567</v>
      </c>
      <c r="D487" t="s">
        <v>9632</v>
      </c>
      <c r="E487" t="s">
        <v>9922</v>
      </c>
      <c r="F487" t="s">
        <v>10659</v>
      </c>
      <c r="G487" t="s">
        <v>19197</v>
      </c>
      <c r="H487" t="s">
        <v>19308</v>
      </c>
      <c r="I487" t="s">
        <v>18777</v>
      </c>
      <c r="K487" t="str">
        <f>HYPERLINK("http://tuberculist.epfl.ch/quicksearch.php?gene+name=Rv0472c&amp;submit=Search")</f>
        <v>http://tuberculist.epfl.ch/quicksearch.php?gene+name=Rv0472c&amp;submit=Search</v>
      </c>
    </row>
    <row r="488" spans="1:11">
      <c r="A488" t="s">
        <v>676</v>
      </c>
      <c r="B488" t="s">
        <v>676</v>
      </c>
      <c r="C488" t="s">
        <v>9567</v>
      </c>
      <c r="D488" t="s">
        <v>9587</v>
      </c>
      <c r="E488" t="s">
        <v>9671</v>
      </c>
      <c r="F488" t="s">
        <v>10660</v>
      </c>
      <c r="G488" t="s">
        <v>19188</v>
      </c>
      <c r="H488" t="s">
        <v>19207</v>
      </c>
      <c r="I488" t="s">
        <v>18789</v>
      </c>
      <c r="K488" t="str">
        <f>HYPERLINK("http://tuberculist.epfl.ch/quicksearch.php?gene+name=Rv0473&amp;submit=Search")</f>
        <v>http://tuberculist.epfl.ch/quicksearch.php?gene+name=Rv0473&amp;submit=Search</v>
      </c>
    </row>
    <row r="489" spans="1:11">
      <c r="A489" t="s">
        <v>2762</v>
      </c>
      <c r="B489" t="s">
        <v>2762</v>
      </c>
      <c r="C489" t="s">
        <v>9567</v>
      </c>
      <c r="D489" t="s">
        <v>9632</v>
      </c>
      <c r="E489" t="s">
        <v>9763</v>
      </c>
      <c r="F489" t="s">
        <v>10661</v>
      </c>
      <c r="G489" t="s">
        <v>19197</v>
      </c>
      <c r="H489" t="s">
        <v>19326</v>
      </c>
      <c r="I489" t="s">
        <v>18789</v>
      </c>
      <c r="K489" t="str">
        <f>HYPERLINK("http://tuberculist.epfl.ch/quicksearch.php?gene+name=Rv0474&amp;submit=Search")</f>
        <v>http://tuberculist.epfl.ch/quicksearch.php?gene+name=Rv0474&amp;submit=Search</v>
      </c>
    </row>
    <row r="490" spans="1:11">
      <c r="A490" t="s">
        <v>4532</v>
      </c>
      <c r="B490" t="s">
        <v>1027</v>
      </c>
      <c r="C490" t="s">
        <v>9567</v>
      </c>
      <c r="D490" t="s">
        <v>10662</v>
      </c>
      <c r="E490" t="s">
        <v>10663</v>
      </c>
      <c r="F490" t="s">
        <v>10664</v>
      </c>
      <c r="G490" t="s">
        <v>19188</v>
      </c>
      <c r="H490" t="s">
        <v>19414</v>
      </c>
      <c r="I490" t="s">
        <v>18780</v>
      </c>
      <c r="K490" t="str">
        <f>HYPERLINK("http://tuberculist.epfl.ch/quicksearch.php?gene+name=Rv0475&amp;submit=Search")</f>
        <v>http://tuberculist.epfl.ch/quicksearch.php?gene+name=Rv0475&amp;submit=Search</v>
      </c>
    </row>
    <row r="491" spans="1:11">
      <c r="A491" t="s">
        <v>2026</v>
      </c>
      <c r="B491" t="s">
        <v>2026</v>
      </c>
      <c r="C491" t="s">
        <v>9567</v>
      </c>
      <c r="D491" t="s">
        <v>9587</v>
      </c>
      <c r="E491" t="s">
        <v>9671</v>
      </c>
      <c r="F491" t="s">
        <v>10665</v>
      </c>
      <c r="G491" t="s">
        <v>19188</v>
      </c>
      <c r="H491" t="s">
        <v>19192</v>
      </c>
      <c r="I491" t="s">
        <v>18780</v>
      </c>
      <c r="J491" t="s">
        <v>18839</v>
      </c>
      <c r="K491" t="str">
        <f>HYPERLINK("http://tuberculist.epfl.ch/quicksearch.php?gene+name=Rv0476&amp;submit=Search")</f>
        <v>http://tuberculist.epfl.ch/quicksearch.php?gene+name=Rv0476&amp;submit=Search</v>
      </c>
    </row>
    <row r="492" spans="1:11">
      <c r="A492" t="s">
        <v>2365</v>
      </c>
      <c r="B492" t="s">
        <v>2365</v>
      </c>
      <c r="C492" t="s">
        <v>9567</v>
      </c>
      <c r="D492" t="s">
        <v>9587</v>
      </c>
      <c r="E492" t="s">
        <v>10446</v>
      </c>
      <c r="F492" t="s">
        <v>10666</v>
      </c>
      <c r="G492" t="s">
        <v>19188</v>
      </c>
      <c r="H492" t="s">
        <v>19415</v>
      </c>
      <c r="I492" t="s">
        <v>18780</v>
      </c>
      <c r="K492" t="str">
        <f>HYPERLINK("http://tuberculist.epfl.ch/quicksearch.php?gene+name=Rv0477&amp;submit=Search")</f>
        <v>http://tuberculist.epfl.ch/quicksearch.php?gene+name=Rv0477&amp;submit=Search</v>
      </c>
    </row>
    <row r="493" spans="1:11">
      <c r="A493" t="s">
        <v>3650</v>
      </c>
      <c r="B493" t="s">
        <v>586</v>
      </c>
      <c r="C493" t="s">
        <v>9567</v>
      </c>
      <c r="D493" t="s">
        <v>10667</v>
      </c>
      <c r="E493" t="s">
        <v>10668</v>
      </c>
      <c r="F493" t="s">
        <v>10669</v>
      </c>
      <c r="G493" t="s">
        <v>19195</v>
      </c>
      <c r="H493" t="s">
        <v>19213</v>
      </c>
      <c r="I493" t="s">
        <v>18780</v>
      </c>
      <c r="K493" t="str">
        <f>HYPERLINK("http://tuberculist.epfl.ch/quicksearch.php?gene+name=Rv0478&amp;submit=Search")</f>
        <v>http://tuberculist.epfl.ch/quicksearch.php?gene+name=Rv0478&amp;submit=Search</v>
      </c>
    </row>
    <row r="494" spans="1:11">
      <c r="A494" t="s">
        <v>1563</v>
      </c>
      <c r="B494" t="s">
        <v>1563</v>
      </c>
      <c r="C494" t="s">
        <v>9567</v>
      </c>
      <c r="D494" t="s">
        <v>9587</v>
      </c>
      <c r="E494" t="s">
        <v>9595</v>
      </c>
      <c r="F494" t="s">
        <v>10670</v>
      </c>
      <c r="G494" t="s">
        <v>19188</v>
      </c>
      <c r="H494" t="s">
        <v>19416</v>
      </c>
      <c r="I494" t="s">
        <v>18774</v>
      </c>
      <c r="J494" t="s">
        <v>18873</v>
      </c>
      <c r="K494" t="str">
        <f>HYPERLINK("http://tuberculist.epfl.ch/quicksearch.php?gene+name=Rv0479c&amp;submit=Search")</f>
        <v>http://tuberculist.epfl.ch/quicksearch.php?gene+name=Rv0479c&amp;submit=Search</v>
      </c>
    </row>
    <row r="495" spans="1:11">
      <c r="A495" t="s">
        <v>2383</v>
      </c>
      <c r="B495" t="s">
        <v>2383</v>
      </c>
      <c r="C495" t="s">
        <v>9567</v>
      </c>
      <c r="D495" t="s">
        <v>10671</v>
      </c>
      <c r="E495" t="s">
        <v>10672</v>
      </c>
      <c r="F495" t="s">
        <v>10673</v>
      </c>
      <c r="G495" t="s">
        <v>19195</v>
      </c>
      <c r="H495" t="s">
        <v>19417</v>
      </c>
      <c r="I495" t="s">
        <v>18780</v>
      </c>
      <c r="K495" t="str">
        <f>HYPERLINK("http://tuberculist.epfl.ch/quicksearch.php?gene+name=Rv0480c&amp;submit=Search")</f>
        <v>http://tuberculist.epfl.ch/quicksearch.php?gene+name=Rv0480c&amp;submit=Search</v>
      </c>
    </row>
    <row r="496" spans="1:11">
      <c r="A496" t="s">
        <v>2902</v>
      </c>
      <c r="B496" t="s">
        <v>2902</v>
      </c>
      <c r="C496" t="s">
        <v>9567</v>
      </c>
      <c r="D496" t="s">
        <v>9587</v>
      </c>
      <c r="E496" t="s">
        <v>9713</v>
      </c>
      <c r="F496" t="s">
        <v>10674</v>
      </c>
      <c r="G496" t="s">
        <v>19210</v>
      </c>
      <c r="H496" t="s">
        <v>19316</v>
      </c>
      <c r="I496" t="s">
        <v>18780</v>
      </c>
      <c r="J496" t="s">
        <v>18856</v>
      </c>
      <c r="K496" t="str">
        <f>HYPERLINK("http://tuberculist.epfl.ch/quicksearch.php?gene+name=Rv0481c&amp;submit=Search")</f>
        <v>http://tuberculist.epfl.ch/quicksearch.php?gene+name=Rv0481c&amp;submit=Search</v>
      </c>
    </row>
    <row r="497" spans="1:11">
      <c r="A497" t="s">
        <v>123</v>
      </c>
      <c r="B497" t="s">
        <v>122</v>
      </c>
      <c r="C497" t="s">
        <v>9567</v>
      </c>
      <c r="D497" t="s">
        <v>10675</v>
      </c>
      <c r="E497" t="s">
        <v>10676</v>
      </c>
      <c r="F497" t="s">
        <v>10677</v>
      </c>
      <c r="G497" t="s">
        <v>19188</v>
      </c>
      <c r="I497" t="s">
        <v>18788</v>
      </c>
      <c r="J497" t="s">
        <v>18856</v>
      </c>
      <c r="K497" t="str">
        <f>HYPERLINK("http://tuberculist.epfl.ch/quicksearch.php?gene+name=Rv0482&amp;submit=Search")</f>
        <v>http://tuberculist.epfl.ch/quicksearch.php?gene+name=Rv0482&amp;submit=Search</v>
      </c>
    </row>
    <row r="498" spans="1:11">
      <c r="A498" t="s">
        <v>421</v>
      </c>
      <c r="B498" t="s">
        <v>420</v>
      </c>
      <c r="C498" t="s">
        <v>9567</v>
      </c>
      <c r="D498" t="s">
        <v>9587</v>
      </c>
      <c r="E498" t="s">
        <v>10678</v>
      </c>
      <c r="F498" t="s">
        <v>10679</v>
      </c>
      <c r="G498" t="s">
        <v>19188</v>
      </c>
      <c r="H498" t="s">
        <v>19389</v>
      </c>
      <c r="I498" t="s">
        <v>18789</v>
      </c>
      <c r="K498" t="str">
        <f>HYPERLINK("http://tuberculist.epfl.ch/quicksearch.php?gene+name=Rv0483&amp;submit=Search")</f>
        <v>http://tuberculist.epfl.ch/quicksearch.php?gene+name=Rv0483&amp;submit=Search</v>
      </c>
    </row>
    <row r="499" spans="1:11">
      <c r="A499" t="s">
        <v>1066</v>
      </c>
      <c r="B499" t="s">
        <v>1066</v>
      </c>
      <c r="C499" t="s">
        <v>9567</v>
      </c>
      <c r="D499" t="s">
        <v>9931</v>
      </c>
      <c r="E499" t="s">
        <v>10680</v>
      </c>
      <c r="F499" t="s">
        <v>10681</v>
      </c>
      <c r="G499" t="s">
        <v>19195</v>
      </c>
      <c r="H499" t="s">
        <v>19225</v>
      </c>
      <c r="I499" t="s">
        <v>18780</v>
      </c>
      <c r="K499" t="str">
        <f>HYPERLINK("http://tuberculist.epfl.ch/quicksearch.php?gene+name=Rv0484c&amp;submit=Search")</f>
        <v>http://tuberculist.epfl.ch/quicksearch.php?gene+name=Rv0484c&amp;submit=Search</v>
      </c>
    </row>
    <row r="500" spans="1:11">
      <c r="A500" t="s">
        <v>2080</v>
      </c>
      <c r="B500" t="s">
        <v>2080</v>
      </c>
      <c r="C500" t="s">
        <v>9567</v>
      </c>
      <c r="D500" t="s">
        <v>9632</v>
      </c>
      <c r="E500" t="s">
        <v>9633</v>
      </c>
      <c r="F500" t="s">
        <v>10682</v>
      </c>
      <c r="G500" t="s">
        <v>19197</v>
      </c>
      <c r="I500" t="s">
        <v>18836</v>
      </c>
      <c r="K500" t="str">
        <f>HYPERLINK("http://tuberculist.epfl.ch/quicksearch.php?gene+name=Rv0485&amp;submit=Search")</f>
        <v>http://tuberculist.epfl.ch/quicksearch.php?gene+name=Rv0485&amp;submit=Search</v>
      </c>
    </row>
    <row r="501" spans="1:11">
      <c r="A501" t="s">
        <v>10683</v>
      </c>
      <c r="B501" t="s">
        <v>2637</v>
      </c>
      <c r="C501" t="s">
        <v>9567</v>
      </c>
      <c r="D501" t="s">
        <v>10684</v>
      </c>
      <c r="E501" t="s">
        <v>10685</v>
      </c>
      <c r="F501" t="s">
        <v>10686</v>
      </c>
      <c r="G501" t="s">
        <v>19195</v>
      </c>
      <c r="I501" t="s">
        <v>18776</v>
      </c>
      <c r="K501" t="str">
        <f>HYPERLINK("http://tuberculist.epfl.ch/quicksearch.php?gene+name=Rv0486&amp;submit=Search")</f>
        <v>http://tuberculist.epfl.ch/quicksearch.php?gene+name=Rv0486&amp;submit=Search</v>
      </c>
    </row>
    <row r="502" spans="1:11">
      <c r="A502" t="s">
        <v>1163</v>
      </c>
      <c r="B502" t="s">
        <v>1163</v>
      </c>
      <c r="C502" t="s">
        <v>9567</v>
      </c>
      <c r="D502" t="s">
        <v>9578</v>
      </c>
      <c r="E502" t="s">
        <v>9579</v>
      </c>
      <c r="F502" t="s">
        <v>10687</v>
      </c>
      <c r="G502" t="s">
        <v>19204</v>
      </c>
      <c r="H502" t="s">
        <v>19213</v>
      </c>
      <c r="I502" t="s">
        <v>18780</v>
      </c>
      <c r="K502" t="str">
        <f>HYPERLINK("http://tuberculist.epfl.ch/quicksearch.php?gene+name=Rv0487&amp;submit=Search")</f>
        <v>http://tuberculist.epfl.ch/quicksearch.php?gene+name=Rv0487&amp;submit=Search</v>
      </c>
    </row>
    <row r="503" spans="1:11">
      <c r="A503" t="s">
        <v>945</v>
      </c>
      <c r="B503" t="s">
        <v>945</v>
      </c>
      <c r="C503" t="s">
        <v>9567</v>
      </c>
      <c r="D503" t="s">
        <v>10688</v>
      </c>
      <c r="E503" t="s">
        <v>9668</v>
      </c>
      <c r="F503" t="s">
        <v>10689</v>
      </c>
      <c r="G503" t="s">
        <v>19188</v>
      </c>
      <c r="I503" t="s">
        <v>18793</v>
      </c>
      <c r="K503" t="str">
        <f>HYPERLINK("http://tuberculist.epfl.ch/quicksearch.php?gene+name=Rv0488&amp;submit=Search")</f>
        <v>http://tuberculist.epfl.ch/quicksearch.php?gene+name=Rv0488&amp;submit=Search</v>
      </c>
    </row>
    <row r="504" spans="1:11">
      <c r="A504" t="s">
        <v>10690</v>
      </c>
      <c r="B504" t="s">
        <v>1897</v>
      </c>
      <c r="C504" t="s">
        <v>9567</v>
      </c>
      <c r="D504" t="s">
        <v>10691</v>
      </c>
      <c r="E504" t="s">
        <v>10692</v>
      </c>
      <c r="F504" t="s">
        <v>10693</v>
      </c>
      <c r="G504" t="s">
        <v>19195</v>
      </c>
      <c r="H504" t="s">
        <v>19418</v>
      </c>
      <c r="I504" t="s">
        <v>18776</v>
      </c>
      <c r="K504" t="str">
        <f>HYPERLINK("http://tuberculist.epfl.ch/quicksearch.php?gene+name=Rv0489&amp;submit=Search")</f>
        <v>http://tuberculist.epfl.ch/quicksearch.php?gene+name=Rv0489&amp;submit=Search</v>
      </c>
    </row>
    <row r="505" spans="1:11">
      <c r="A505" t="s">
        <v>9036</v>
      </c>
      <c r="B505" t="s">
        <v>3246</v>
      </c>
      <c r="C505" t="s">
        <v>9567</v>
      </c>
      <c r="D505" t="s">
        <v>10694</v>
      </c>
      <c r="E505" t="s">
        <v>10695</v>
      </c>
      <c r="F505" t="s">
        <v>10696</v>
      </c>
      <c r="G505" t="s">
        <v>19197</v>
      </c>
      <c r="H505" t="s">
        <v>19419</v>
      </c>
      <c r="I505" t="s">
        <v>18874</v>
      </c>
      <c r="K505" t="str">
        <f>HYPERLINK("http://tuberculist.epfl.ch/quicksearch.php?gene+name=Rv0490&amp;submit=Search")</f>
        <v>http://tuberculist.epfl.ch/quicksearch.php?gene+name=Rv0490&amp;submit=Search</v>
      </c>
    </row>
    <row r="506" spans="1:11">
      <c r="A506" t="s">
        <v>9127</v>
      </c>
      <c r="B506" t="s">
        <v>3291</v>
      </c>
      <c r="C506" t="s">
        <v>9567</v>
      </c>
      <c r="D506" t="s">
        <v>10697</v>
      </c>
      <c r="E506" t="s">
        <v>10698</v>
      </c>
      <c r="F506" t="s">
        <v>10699</v>
      </c>
      <c r="G506" t="s">
        <v>19197</v>
      </c>
      <c r="H506" t="s">
        <v>19420</v>
      </c>
      <c r="I506" t="s">
        <v>18875</v>
      </c>
      <c r="J506" t="s">
        <v>18809</v>
      </c>
      <c r="K506" t="str">
        <f>HYPERLINK("http://tuberculist.epfl.ch/quicksearch.php?gene+name=Rv0491&amp;submit=Search")</f>
        <v>http://tuberculist.epfl.ch/quicksearch.php?gene+name=Rv0491&amp;submit=Search</v>
      </c>
    </row>
    <row r="507" spans="1:11">
      <c r="A507" t="s">
        <v>10700</v>
      </c>
      <c r="B507" t="s">
        <v>10700</v>
      </c>
      <c r="C507" t="s">
        <v>9567</v>
      </c>
      <c r="D507" t="s">
        <v>9587</v>
      </c>
      <c r="E507" t="s">
        <v>9713</v>
      </c>
      <c r="F507" t="s">
        <v>10701</v>
      </c>
      <c r="G507" t="s">
        <v>19212</v>
      </c>
      <c r="I507" t="s">
        <v>18793</v>
      </c>
      <c r="K507" t="str">
        <f>HYPERLINK("http://tuberculist.epfl.ch/quicksearch.php?gene+name=Rv0492A&amp;submit=Search")</f>
        <v>http://tuberculist.epfl.ch/quicksearch.php?gene+name=Rv0492A&amp;submit=Search</v>
      </c>
    </row>
    <row r="508" spans="1:11">
      <c r="A508" t="s">
        <v>1087</v>
      </c>
      <c r="B508" t="s">
        <v>1087</v>
      </c>
      <c r="C508" t="s">
        <v>9567</v>
      </c>
      <c r="D508" t="s">
        <v>9682</v>
      </c>
      <c r="E508" t="s">
        <v>10702</v>
      </c>
      <c r="F508" t="s">
        <v>10703</v>
      </c>
      <c r="G508" t="s">
        <v>19195</v>
      </c>
      <c r="H508" t="s">
        <v>19273</v>
      </c>
      <c r="I508" t="s">
        <v>18780</v>
      </c>
      <c r="K508" t="str">
        <f>HYPERLINK("http://tuberculist.epfl.ch/quicksearch.php?gene+name=Rv0492c&amp;submit=Search")</f>
        <v>http://tuberculist.epfl.ch/quicksearch.php?gene+name=Rv0492c&amp;submit=Search</v>
      </c>
    </row>
    <row r="509" spans="1:11">
      <c r="A509" t="s">
        <v>2661</v>
      </c>
      <c r="B509" t="s">
        <v>2661</v>
      </c>
      <c r="C509" t="s">
        <v>9567</v>
      </c>
      <c r="D509" t="s">
        <v>9578</v>
      </c>
      <c r="E509" t="s">
        <v>9665</v>
      </c>
      <c r="F509" t="s">
        <v>10704</v>
      </c>
      <c r="G509" t="s">
        <v>19208</v>
      </c>
      <c r="H509" t="s">
        <v>19233</v>
      </c>
      <c r="I509" t="s">
        <v>18780</v>
      </c>
      <c r="K509" t="str">
        <f>HYPERLINK("http://tuberculist.epfl.ch/quicksearch.php?gene+name=Rv0493c&amp;submit=Search")</f>
        <v>http://tuberculist.epfl.ch/quicksearch.php?gene+name=Rv0493c&amp;submit=Search</v>
      </c>
    </row>
    <row r="510" spans="1:11">
      <c r="A510" t="s">
        <v>10705</v>
      </c>
      <c r="B510" t="s">
        <v>10705</v>
      </c>
      <c r="C510" t="s">
        <v>9567</v>
      </c>
      <c r="D510" t="s">
        <v>9629</v>
      </c>
      <c r="E510" t="s">
        <v>9680</v>
      </c>
      <c r="F510" t="s">
        <v>10706</v>
      </c>
      <c r="G510" t="s">
        <v>19197</v>
      </c>
      <c r="H510" t="s">
        <v>19211</v>
      </c>
      <c r="I510" t="s">
        <v>18780</v>
      </c>
      <c r="K510" t="str">
        <f>HYPERLINK("http://tuberculist.epfl.ch/quicksearch.php?gene+name=Rv0494&amp;submit=Search")</f>
        <v>http://tuberculist.epfl.ch/quicksearch.php?gene+name=Rv0494&amp;submit=Search</v>
      </c>
    </row>
    <row r="511" spans="1:11">
      <c r="A511" t="s">
        <v>1558</v>
      </c>
      <c r="B511" t="s">
        <v>1558</v>
      </c>
      <c r="C511" t="s">
        <v>9567</v>
      </c>
      <c r="D511" t="s">
        <v>9578</v>
      </c>
      <c r="E511" t="s">
        <v>9579</v>
      </c>
      <c r="F511" t="s">
        <v>10707</v>
      </c>
      <c r="G511" t="s">
        <v>19204</v>
      </c>
      <c r="I511" t="s">
        <v>18836</v>
      </c>
      <c r="K511" t="str">
        <f>HYPERLINK("http://tuberculist.epfl.ch/quicksearch.php?gene+name=Rv0495c&amp;submit=Search")</f>
        <v>http://tuberculist.epfl.ch/quicksearch.php?gene+name=Rv0495c&amp;submit=Search</v>
      </c>
    </row>
    <row r="512" spans="1:11">
      <c r="A512" t="s">
        <v>1360</v>
      </c>
      <c r="B512" t="s">
        <v>1360</v>
      </c>
      <c r="C512" t="s">
        <v>9567</v>
      </c>
      <c r="D512" t="s">
        <v>9578</v>
      </c>
      <c r="E512" t="s">
        <v>9579</v>
      </c>
      <c r="F512" t="s">
        <v>10708</v>
      </c>
      <c r="G512" t="s">
        <v>19204</v>
      </c>
      <c r="H512" t="s">
        <v>19309</v>
      </c>
      <c r="I512" t="s">
        <v>18779</v>
      </c>
      <c r="K512" t="str">
        <f>HYPERLINK("http://tuberculist.epfl.ch/quicksearch.php?gene+name=Rv0496&amp;submit=Search")</f>
        <v>http://tuberculist.epfl.ch/quicksearch.php?gene+name=Rv0496&amp;submit=Search</v>
      </c>
    </row>
    <row r="513" spans="1:11">
      <c r="A513" t="s">
        <v>2300</v>
      </c>
      <c r="B513" t="s">
        <v>2300</v>
      </c>
      <c r="C513" t="s">
        <v>9567</v>
      </c>
      <c r="D513" t="s">
        <v>9587</v>
      </c>
      <c r="E513" t="s">
        <v>9597</v>
      </c>
      <c r="F513" t="s">
        <v>10709</v>
      </c>
      <c r="G513" t="s">
        <v>19188</v>
      </c>
      <c r="H513" t="s">
        <v>19287</v>
      </c>
      <c r="I513" t="s">
        <v>18788</v>
      </c>
      <c r="K513" t="str">
        <f>HYPERLINK("http://tuberculist.epfl.ch/quicksearch.php?gene+name=Rv0497&amp;submit=Search")</f>
        <v>http://tuberculist.epfl.ch/quicksearch.php?gene+name=Rv0497&amp;submit=Search</v>
      </c>
    </row>
    <row r="514" spans="1:11">
      <c r="A514" t="s">
        <v>904</v>
      </c>
      <c r="B514" t="s">
        <v>904</v>
      </c>
      <c r="C514" t="s">
        <v>9567</v>
      </c>
      <c r="D514" t="s">
        <v>9578</v>
      </c>
      <c r="E514" t="s">
        <v>9579</v>
      </c>
      <c r="F514" t="s">
        <v>10710</v>
      </c>
      <c r="G514" t="s">
        <v>19204</v>
      </c>
      <c r="H514" t="s">
        <v>19421</v>
      </c>
      <c r="I514" t="s">
        <v>18780</v>
      </c>
      <c r="K514" t="str">
        <f>HYPERLINK("http://tuberculist.epfl.ch/quicksearch.php?gene+name=Rv0498&amp;submit=Search")</f>
        <v>http://tuberculist.epfl.ch/quicksearch.php?gene+name=Rv0498&amp;submit=Search</v>
      </c>
    </row>
    <row r="515" spans="1:11">
      <c r="A515" t="s">
        <v>1082</v>
      </c>
      <c r="B515" t="s">
        <v>1082</v>
      </c>
      <c r="C515" t="s">
        <v>9567</v>
      </c>
      <c r="D515" t="s">
        <v>9578</v>
      </c>
      <c r="E515" t="s">
        <v>9579</v>
      </c>
      <c r="F515" t="s">
        <v>10711</v>
      </c>
      <c r="G515" t="s">
        <v>19204</v>
      </c>
      <c r="I515" t="s">
        <v>18780</v>
      </c>
      <c r="K515" t="str">
        <f>HYPERLINK("http://tuberculist.epfl.ch/quicksearch.php?gene+name=Rv0499&amp;submit=Search")</f>
        <v>http://tuberculist.epfl.ch/quicksearch.php?gene+name=Rv0499&amp;submit=Search</v>
      </c>
    </row>
    <row r="516" spans="1:11">
      <c r="A516" t="s">
        <v>3856</v>
      </c>
      <c r="B516" t="s">
        <v>684</v>
      </c>
      <c r="C516" t="s">
        <v>9567</v>
      </c>
      <c r="D516" t="s">
        <v>10712</v>
      </c>
      <c r="E516" t="s">
        <v>10713</v>
      </c>
      <c r="F516" t="s">
        <v>10714</v>
      </c>
      <c r="G516" t="s">
        <v>19195</v>
      </c>
      <c r="H516" t="s">
        <v>19422</v>
      </c>
      <c r="I516" t="s">
        <v>18876</v>
      </c>
      <c r="K516" t="str">
        <f>HYPERLINK("http://tuberculist.epfl.ch/quicksearch.php?gene+name=Rv0500&amp;submit=Search")</f>
        <v>http://tuberculist.epfl.ch/quicksearch.php?gene+name=Rv0500&amp;submit=Search</v>
      </c>
    </row>
    <row r="517" spans="1:11">
      <c r="A517" t="s">
        <v>736</v>
      </c>
      <c r="B517" t="s">
        <v>736</v>
      </c>
      <c r="C517" t="s">
        <v>9567</v>
      </c>
      <c r="D517" t="s">
        <v>9578</v>
      </c>
      <c r="E517" t="s">
        <v>9665</v>
      </c>
      <c r="F517" t="s">
        <v>10715</v>
      </c>
      <c r="G517" t="s">
        <v>19216</v>
      </c>
      <c r="H517" t="s">
        <v>19233</v>
      </c>
      <c r="I517" t="s">
        <v>18793</v>
      </c>
      <c r="K517" t="str">
        <f>HYPERLINK("http://tuberculist.epfl.ch/quicksearch.php?gene+name=Rv0500A&amp;submit=Search")</f>
        <v>http://tuberculist.epfl.ch/quicksearch.php?gene+name=Rv0500A&amp;submit=Search</v>
      </c>
    </row>
    <row r="518" spans="1:11">
      <c r="A518" t="s">
        <v>10716</v>
      </c>
      <c r="B518" t="s">
        <v>10716</v>
      </c>
      <c r="C518" t="s">
        <v>9567</v>
      </c>
      <c r="D518" t="s">
        <v>9578</v>
      </c>
      <c r="E518" t="s">
        <v>9579</v>
      </c>
      <c r="F518" t="s">
        <v>10717</v>
      </c>
      <c r="G518" t="s">
        <v>19204</v>
      </c>
      <c r="I518" t="s">
        <v>18793</v>
      </c>
      <c r="K518" t="str">
        <f>HYPERLINK("http://tuberculist.epfl.ch/quicksearch.php?gene+name=Rv0500B&amp;submit=Search")</f>
        <v>http://tuberculist.epfl.ch/quicksearch.php?gene+name=Rv0500B&amp;submit=Search</v>
      </c>
    </row>
    <row r="519" spans="1:11">
      <c r="A519" t="s">
        <v>4226</v>
      </c>
      <c r="B519" t="s">
        <v>874</v>
      </c>
      <c r="C519" t="s">
        <v>9567</v>
      </c>
      <c r="D519" t="s">
        <v>10718</v>
      </c>
      <c r="E519" t="s">
        <v>10719</v>
      </c>
      <c r="F519" t="s">
        <v>10720</v>
      </c>
      <c r="G519" t="s">
        <v>19195</v>
      </c>
      <c r="H519" t="s">
        <v>19423</v>
      </c>
      <c r="I519" t="s">
        <v>18780</v>
      </c>
      <c r="K519" t="str">
        <f>HYPERLINK("http://tuberculist.epfl.ch/quicksearch.php?gene+name=Rv0501&amp;submit=Search")</f>
        <v>http://tuberculist.epfl.ch/quicksearch.php?gene+name=Rv0501&amp;submit=Search</v>
      </c>
    </row>
    <row r="520" spans="1:11">
      <c r="A520" t="s">
        <v>886</v>
      </c>
      <c r="B520" t="s">
        <v>886</v>
      </c>
      <c r="C520" t="s">
        <v>9567</v>
      </c>
      <c r="D520" t="s">
        <v>9578</v>
      </c>
      <c r="E520" t="s">
        <v>9665</v>
      </c>
      <c r="F520" t="s">
        <v>10721</v>
      </c>
      <c r="G520" t="s">
        <v>19204</v>
      </c>
      <c r="H520" t="s">
        <v>19196</v>
      </c>
      <c r="I520" t="s">
        <v>18779</v>
      </c>
      <c r="K520" t="str">
        <f>HYPERLINK("http://tuberculist.epfl.ch/quicksearch.php?gene+name=Rv0502&amp;submit=Search")</f>
        <v>http://tuberculist.epfl.ch/quicksearch.php?gene+name=Rv0502&amp;submit=Search</v>
      </c>
    </row>
    <row r="521" spans="1:11">
      <c r="A521" t="s">
        <v>7693</v>
      </c>
      <c r="B521" t="s">
        <v>2600</v>
      </c>
      <c r="C521" t="s">
        <v>9567</v>
      </c>
      <c r="D521" t="s">
        <v>10722</v>
      </c>
      <c r="E521" t="s">
        <v>10723</v>
      </c>
      <c r="F521" t="s">
        <v>10724</v>
      </c>
      <c r="G521" t="s">
        <v>19219</v>
      </c>
      <c r="H521" t="s">
        <v>19424</v>
      </c>
      <c r="I521" t="s">
        <v>18829</v>
      </c>
      <c r="K521" t="str">
        <f>HYPERLINK("http://tuberculist.epfl.ch/quicksearch.php?gene+name=Rv0503c&amp;submit=Search")</f>
        <v>http://tuberculist.epfl.ch/quicksearch.php?gene+name=Rv0503c&amp;submit=Search</v>
      </c>
    </row>
    <row r="522" spans="1:11">
      <c r="A522" t="s">
        <v>2288</v>
      </c>
      <c r="B522" t="s">
        <v>2288</v>
      </c>
      <c r="C522" t="s">
        <v>9567</v>
      </c>
      <c r="D522" t="s">
        <v>9578</v>
      </c>
      <c r="E522" t="s">
        <v>9665</v>
      </c>
      <c r="F522" t="s">
        <v>10725</v>
      </c>
      <c r="G522" t="s">
        <v>19204</v>
      </c>
      <c r="H522" t="s">
        <v>19403</v>
      </c>
      <c r="I522" t="s">
        <v>18788</v>
      </c>
      <c r="K522" t="str">
        <f>HYPERLINK("http://tuberculist.epfl.ch/quicksearch.php?gene+name=Rv0504c&amp;submit=Search")</f>
        <v>http://tuberculist.epfl.ch/quicksearch.php?gene+name=Rv0504c&amp;submit=Search</v>
      </c>
    </row>
    <row r="523" spans="1:11">
      <c r="A523" t="s">
        <v>7518</v>
      </c>
      <c r="B523" t="s">
        <v>2512</v>
      </c>
      <c r="C523" t="s">
        <v>9567</v>
      </c>
      <c r="D523" t="s">
        <v>10726</v>
      </c>
      <c r="E523" t="s">
        <v>10727</v>
      </c>
      <c r="F523" t="s">
        <v>10728</v>
      </c>
      <c r="G523" t="s">
        <v>19195</v>
      </c>
      <c r="H523" t="s">
        <v>19425</v>
      </c>
      <c r="I523" t="s">
        <v>18788</v>
      </c>
      <c r="K523" t="str">
        <f>HYPERLINK("http://tuberculist.epfl.ch/quicksearch.php?gene+name=Rv0505c&amp;submit=Search")</f>
        <v>http://tuberculist.epfl.ch/quicksearch.php?gene+name=Rv0505c&amp;submit=Search</v>
      </c>
    </row>
    <row r="524" spans="1:11">
      <c r="A524" t="s">
        <v>4970</v>
      </c>
      <c r="B524" t="s">
        <v>1241</v>
      </c>
      <c r="C524" t="s">
        <v>9567</v>
      </c>
      <c r="D524" t="s">
        <v>9587</v>
      </c>
      <c r="E524" t="s">
        <v>10729</v>
      </c>
      <c r="F524" t="s">
        <v>10730</v>
      </c>
      <c r="G524" t="s">
        <v>19188</v>
      </c>
      <c r="H524" t="s">
        <v>19426</v>
      </c>
      <c r="I524" t="s">
        <v>18789</v>
      </c>
      <c r="K524" t="str">
        <f>HYPERLINK("http://tuberculist.epfl.ch/quicksearch.php?gene+name=Rv0506&amp;submit=Search")</f>
        <v>http://tuberculist.epfl.ch/quicksearch.php?gene+name=Rv0506&amp;submit=Search</v>
      </c>
    </row>
    <row r="525" spans="1:11">
      <c r="A525" t="s">
        <v>7224</v>
      </c>
      <c r="B525" t="s">
        <v>2372</v>
      </c>
      <c r="C525" t="s">
        <v>9567</v>
      </c>
      <c r="D525" t="s">
        <v>10051</v>
      </c>
      <c r="E525" t="s">
        <v>10731</v>
      </c>
      <c r="F525" t="s">
        <v>10732</v>
      </c>
      <c r="G525" t="s">
        <v>19188</v>
      </c>
      <c r="H525" t="s">
        <v>19427</v>
      </c>
      <c r="I525" t="s">
        <v>18795</v>
      </c>
      <c r="K525" t="str">
        <f>HYPERLINK("http://tuberculist.epfl.ch/quicksearch.php?gene+name=Rv0507&amp;submit=Search")</f>
        <v>http://tuberculist.epfl.ch/quicksearch.php?gene+name=Rv0507&amp;submit=Search</v>
      </c>
    </row>
    <row r="526" spans="1:11">
      <c r="A526" t="s">
        <v>10733</v>
      </c>
      <c r="B526" t="s">
        <v>10733</v>
      </c>
      <c r="C526" t="s">
        <v>9567</v>
      </c>
      <c r="D526" t="s">
        <v>9578</v>
      </c>
      <c r="E526" t="s">
        <v>9579</v>
      </c>
      <c r="F526" t="s">
        <v>10734</v>
      </c>
      <c r="G526" t="s">
        <v>19204</v>
      </c>
      <c r="I526" t="s">
        <v>18789</v>
      </c>
      <c r="K526" t="str">
        <f>HYPERLINK("http://tuberculist.epfl.ch/quicksearch.php?gene+name=Rv0508&amp;submit=Search")</f>
        <v>http://tuberculist.epfl.ch/quicksearch.php?gene+name=Rv0508&amp;submit=Search</v>
      </c>
    </row>
    <row r="527" spans="1:11">
      <c r="A527" t="s">
        <v>3767</v>
      </c>
      <c r="B527" t="s">
        <v>643</v>
      </c>
      <c r="C527" t="s">
        <v>9567</v>
      </c>
      <c r="D527" t="s">
        <v>10735</v>
      </c>
      <c r="E527" t="s">
        <v>10736</v>
      </c>
      <c r="F527" t="s">
        <v>10737</v>
      </c>
      <c r="G527" t="s">
        <v>19195</v>
      </c>
      <c r="H527" t="s">
        <v>19334</v>
      </c>
      <c r="I527" t="s">
        <v>18774</v>
      </c>
      <c r="K527" t="str">
        <f>HYPERLINK("http://tuberculist.epfl.ch/quicksearch.php?gene+name=Rv0509&amp;submit=Search")</f>
        <v>http://tuberculist.epfl.ch/quicksearch.php?gene+name=Rv0509&amp;submit=Search</v>
      </c>
    </row>
    <row r="528" spans="1:11">
      <c r="A528" t="s">
        <v>9224</v>
      </c>
      <c r="B528" t="s">
        <v>3335</v>
      </c>
      <c r="C528" t="s">
        <v>9567</v>
      </c>
      <c r="D528" t="s">
        <v>10738</v>
      </c>
      <c r="E528" t="s">
        <v>10739</v>
      </c>
      <c r="F528" t="s">
        <v>10740</v>
      </c>
      <c r="G528" t="s">
        <v>19195</v>
      </c>
      <c r="H528" t="s">
        <v>19428</v>
      </c>
      <c r="I528" t="s">
        <v>18774</v>
      </c>
      <c r="K528" t="str">
        <f>HYPERLINK("http://tuberculist.epfl.ch/quicksearch.php?gene+name=Rv0510&amp;submit=Search")</f>
        <v>http://tuberculist.epfl.ch/quicksearch.php?gene+name=Rv0510&amp;submit=Search</v>
      </c>
    </row>
    <row r="529" spans="1:11">
      <c r="A529" t="s">
        <v>8583</v>
      </c>
      <c r="B529" t="s">
        <v>3034</v>
      </c>
      <c r="C529" t="s">
        <v>9567</v>
      </c>
      <c r="D529" t="s">
        <v>10741</v>
      </c>
      <c r="E529" t="s">
        <v>10742</v>
      </c>
      <c r="F529" t="s">
        <v>10743</v>
      </c>
      <c r="G529" t="s">
        <v>19195</v>
      </c>
      <c r="H529" t="s">
        <v>19429</v>
      </c>
      <c r="I529" t="s">
        <v>18774</v>
      </c>
      <c r="K529" t="str">
        <f>HYPERLINK("http://tuberculist.epfl.ch/quicksearch.php?gene+name=Rv0511&amp;submit=Search")</f>
        <v>http://tuberculist.epfl.ch/quicksearch.php?gene+name=Rv0511&amp;submit=Search</v>
      </c>
    </row>
    <row r="530" spans="1:11">
      <c r="A530" t="s">
        <v>8225</v>
      </c>
      <c r="B530" t="s">
        <v>2870</v>
      </c>
      <c r="C530" t="s">
        <v>9567</v>
      </c>
      <c r="D530" t="s">
        <v>10744</v>
      </c>
      <c r="E530" t="s">
        <v>10745</v>
      </c>
      <c r="F530" t="s">
        <v>10746</v>
      </c>
      <c r="G530" t="s">
        <v>19195</v>
      </c>
      <c r="H530" t="s">
        <v>19229</v>
      </c>
      <c r="I530" t="s">
        <v>18776</v>
      </c>
      <c r="K530" t="str">
        <f>HYPERLINK("http://tuberculist.epfl.ch/quicksearch.php?gene+name=Rv0512&amp;submit=Search")</f>
        <v>http://tuberculist.epfl.ch/quicksearch.php?gene+name=Rv0512&amp;submit=Search</v>
      </c>
    </row>
    <row r="531" spans="1:11">
      <c r="A531" t="s">
        <v>1051</v>
      </c>
      <c r="B531" t="s">
        <v>1051</v>
      </c>
      <c r="C531" t="s">
        <v>9567</v>
      </c>
      <c r="D531" t="s">
        <v>9587</v>
      </c>
      <c r="E531" t="s">
        <v>9671</v>
      </c>
      <c r="F531" t="s">
        <v>10747</v>
      </c>
      <c r="G531" t="s">
        <v>19188</v>
      </c>
      <c r="H531" t="s">
        <v>19287</v>
      </c>
      <c r="I531" t="s">
        <v>18780</v>
      </c>
      <c r="K531" t="str">
        <f>HYPERLINK("http://tuberculist.epfl.ch/quicksearch.php?gene+name=Rv0513&amp;submit=Search")</f>
        <v>http://tuberculist.epfl.ch/quicksearch.php?gene+name=Rv0513&amp;submit=Search</v>
      </c>
    </row>
    <row r="532" spans="1:11">
      <c r="A532" t="s">
        <v>1715</v>
      </c>
      <c r="B532" t="s">
        <v>1715</v>
      </c>
      <c r="C532" t="s">
        <v>9567</v>
      </c>
      <c r="D532" t="s">
        <v>9587</v>
      </c>
      <c r="E532" t="s">
        <v>10540</v>
      </c>
      <c r="F532" t="s">
        <v>10748</v>
      </c>
      <c r="G532" t="s">
        <v>19188</v>
      </c>
      <c r="H532" t="s">
        <v>19430</v>
      </c>
      <c r="I532" t="s">
        <v>18779</v>
      </c>
      <c r="K532" t="str">
        <f>HYPERLINK("http://tuberculist.epfl.ch/quicksearch.php?gene+name=Rv0514&amp;submit=Search")</f>
        <v>http://tuberculist.epfl.ch/quicksearch.php?gene+name=Rv0514&amp;submit=Search</v>
      </c>
    </row>
    <row r="533" spans="1:11">
      <c r="A533" t="s">
        <v>2277</v>
      </c>
      <c r="B533" t="s">
        <v>2277</v>
      </c>
      <c r="C533" t="s">
        <v>9567</v>
      </c>
      <c r="D533" t="s">
        <v>9578</v>
      </c>
      <c r="E533" t="s">
        <v>10344</v>
      </c>
      <c r="F533" t="s">
        <v>10749</v>
      </c>
      <c r="G533" t="s">
        <v>19217</v>
      </c>
      <c r="I533" t="s">
        <v>18777</v>
      </c>
      <c r="J533" t="s">
        <v>18855</v>
      </c>
      <c r="K533" t="str">
        <f>HYPERLINK("http://tuberculist.epfl.ch/quicksearch.php?gene+name=Rv0515&amp;submit=Search")</f>
        <v>http://tuberculist.epfl.ch/quicksearch.php?gene+name=Rv0515&amp;submit=Search</v>
      </c>
    </row>
    <row r="534" spans="1:11">
      <c r="A534" t="s">
        <v>796</v>
      </c>
      <c r="B534" t="s">
        <v>796</v>
      </c>
      <c r="C534" t="s">
        <v>9567</v>
      </c>
      <c r="D534" t="s">
        <v>10750</v>
      </c>
      <c r="E534" t="s">
        <v>10751</v>
      </c>
      <c r="F534" t="s">
        <v>10752</v>
      </c>
      <c r="G534" t="s">
        <v>19181</v>
      </c>
      <c r="H534" t="s">
        <v>19213</v>
      </c>
      <c r="I534" t="s">
        <v>18780</v>
      </c>
      <c r="K534" t="str">
        <f>HYPERLINK("http://tuberculist.epfl.ch/quicksearch.php?gene+name=Rv0516c&amp;submit=Search")</f>
        <v>http://tuberculist.epfl.ch/quicksearch.php?gene+name=Rv0516c&amp;submit=Search</v>
      </c>
    </row>
    <row r="535" spans="1:11">
      <c r="A535" t="s">
        <v>3420</v>
      </c>
      <c r="B535" t="s">
        <v>3420</v>
      </c>
      <c r="C535" t="s">
        <v>9567</v>
      </c>
      <c r="D535" t="s">
        <v>9682</v>
      </c>
      <c r="E535" t="s">
        <v>10753</v>
      </c>
      <c r="F535" t="s">
        <v>10754</v>
      </c>
      <c r="G535" t="s">
        <v>19195</v>
      </c>
      <c r="I535" t="s">
        <v>18821</v>
      </c>
      <c r="K535" t="str">
        <f>HYPERLINK("http://tuberculist.epfl.ch/quicksearch.php?gene+name=Rv0517&amp;submit=Search")</f>
        <v>http://tuberculist.epfl.ch/quicksearch.php?gene+name=Rv0517&amp;submit=Search</v>
      </c>
    </row>
    <row r="536" spans="1:11">
      <c r="A536" t="s">
        <v>708</v>
      </c>
      <c r="B536" t="s">
        <v>708</v>
      </c>
      <c r="C536" t="s">
        <v>9567</v>
      </c>
      <c r="D536" t="s">
        <v>9587</v>
      </c>
      <c r="E536" t="s">
        <v>10054</v>
      </c>
      <c r="F536" t="s">
        <v>10755</v>
      </c>
      <c r="G536" t="s">
        <v>19188</v>
      </c>
      <c r="H536" t="s">
        <v>19345</v>
      </c>
      <c r="I536" t="s">
        <v>18821</v>
      </c>
      <c r="K536" t="str">
        <f>HYPERLINK("http://tuberculist.epfl.ch/quicksearch.php?gene+name=Rv0518&amp;submit=Search")</f>
        <v>http://tuberculist.epfl.ch/quicksearch.php?gene+name=Rv0518&amp;submit=Search</v>
      </c>
    </row>
    <row r="537" spans="1:11">
      <c r="A537" t="s">
        <v>2868</v>
      </c>
      <c r="B537" t="s">
        <v>2868</v>
      </c>
      <c r="C537" t="s">
        <v>9567</v>
      </c>
      <c r="D537" t="s">
        <v>10756</v>
      </c>
      <c r="E537" t="s">
        <v>9588</v>
      </c>
      <c r="F537" t="s">
        <v>10757</v>
      </c>
      <c r="G537" t="s">
        <v>19188</v>
      </c>
      <c r="H537" t="s">
        <v>19389</v>
      </c>
      <c r="I537" t="s">
        <v>18789</v>
      </c>
      <c r="K537" t="str">
        <f>HYPERLINK("http://tuberculist.epfl.ch/quicksearch.php?gene+name=Rv0519c&amp;submit=Search")</f>
        <v>http://tuberculist.epfl.ch/quicksearch.php?gene+name=Rv0519c&amp;submit=Search</v>
      </c>
    </row>
    <row r="538" spans="1:11">
      <c r="A538" t="s">
        <v>10758</v>
      </c>
      <c r="B538" t="s">
        <v>10758</v>
      </c>
      <c r="C538" t="s">
        <v>9567</v>
      </c>
      <c r="D538" t="s">
        <v>10759</v>
      </c>
      <c r="E538" t="s">
        <v>10760</v>
      </c>
      <c r="F538" t="s">
        <v>10761</v>
      </c>
      <c r="G538" t="s">
        <v>19195</v>
      </c>
      <c r="I538" t="s">
        <v>18780</v>
      </c>
      <c r="K538" t="str">
        <f>HYPERLINK("http://tuberculist.epfl.ch/quicksearch.php?gene+name=Rv0520&amp;submit=Search")</f>
        <v>http://tuberculist.epfl.ch/quicksearch.php?gene+name=Rv0520&amp;submit=Search</v>
      </c>
    </row>
    <row r="539" spans="1:11">
      <c r="A539" t="s">
        <v>10762</v>
      </c>
      <c r="B539" t="s">
        <v>10762</v>
      </c>
      <c r="C539" t="s">
        <v>9567</v>
      </c>
      <c r="D539" t="s">
        <v>10763</v>
      </c>
      <c r="E539" t="s">
        <v>10760</v>
      </c>
      <c r="F539" t="s">
        <v>10764</v>
      </c>
      <c r="G539" t="s">
        <v>19195</v>
      </c>
      <c r="I539" t="s">
        <v>18780</v>
      </c>
      <c r="K539" t="str">
        <f>HYPERLINK("http://tuberculist.epfl.ch/quicksearch.php?gene+name=Rv0521&amp;submit=Search")</f>
        <v>http://tuberculist.epfl.ch/quicksearch.php?gene+name=Rv0521&amp;submit=Search</v>
      </c>
    </row>
    <row r="540" spans="1:11">
      <c r="A540" t="s">
        <v>4335</v>
      </c>
      <c r="B540" t="s">
        <v>926</v>
      </c>
      <c r="C540" t="s">
        <v>9567</v>
      </c>
      <c r="D540" t="s">
        <v>10765</v>
      </c>
      <c r="E540" t="s">
        <v>10766</v>
      </c>
      <c r="F540" t="s">
        <v>10767</v>
      </c>
      <c r="G540" t="s">
        <v>19188</v>
      </c>
      <c r="H540" t="s">
        <v>19254</v>
      </c>
      <c r="I540" t="s">
        <v>18792</v>
      </c>
      <c r="K540" t="str">
        <f>HYPERLINK("http://tuberculist.epfl.ch/quicksearch.php?gene+name=Rv0522&amp;submit=Search")</f>
        <v>http://tuberculist.epfl.ch/quicksearch.php?gene+name=Rv0522&amp;submit=Search</v>
      </c>
    </row>
    <row r="541" spans="1:11">
      <c r="A541" t="s">
        <v>10768</v>
      </c>
      <c r="B541" t="s">
        <v>10768</v>
      </c>
      <c r="C541" t="s">
        <v>9567</v>
      </c>
      <c r="D541" t="s">
        <v>9578</v>
      </c>
      <c r="E541" t="s">
        <v>9665</v>
      </c>
      <c r="F541" t="s">
        <v>10769</v>
      </c>
      <c r="G541" t="s">
        <v>19212</v>
      </c>
      <c r="H541" t="s">
        <v>19431</v>
      </c>
      <c r="I541" t="s">
        <v>18779</v>
      </c>
      <c r="K541" t="str">
        <f>HYPERLINK("http://tuberculist.epfl.ch/quicksearch.php?gene+name=Rv0523c&amp;submit=Search")</f>
        <v>http://tuberculist.epfl.ch/quicksearch.php?gene+name=Rv0523c&amp;submit=Search</v>
      </c>
    </row>
    <row r="542" spans="1:11">
      <c r="A542" t="s">
        <v>4505</v>
      </c>
      <c r="B542" t="s">
        <v>1015</v>
      </c>
      <c r="C542" t="s">
        <v>9567</v>
      </c>
      <c r="D542" t="s">
        <v>10770</v>
      </c>
      <c r="E542" t="s">
        <v>10771</v>
      </c>
      <c r="F542" t="s">
        <v>10772</v>
      </c>
      <c r="G542" t="s">
        <v>19195</v>
      </c>
      <c r="H542" t="s">
        <v>19432</v>
      </c>
      <c r="I542" t="s">
        <v>18774</v>
      </c>
      <c r="J542" t="s">
        <v>18778</v>
      </c>
      <c r="K542" t="str">
        <f>HYPERLINK("http://tuberculist.epfl.ch/quicksearch.php?gene+name=Rv0524&amp;submit=Search")</f>
        <v>http://tuberculist.epfl.ch/quicksearch.php?gene+name=Rv0524&amp;submit=Search</v>
      </c>
    </row>
    <row r="543" spans="1:11">
      <c r="A543" t="s">
        <v>709</v>
      </c>
      <c r="B543" t="s">
        <v>709</v>
      </c>
      <c r="C543" t="s">
        <v>9567</v>
      </c>
      <c r="D543" t="s">
        <v>9578</v>
      </c>
      <c r="E543" t="s">
        <v>9665</v>
      </c>
      <c r="F543" t="s">
        <v>10773</v>
      </c>
      <c r="G543" t="s">
        <v>19212</v>
      </c>
      <c r="H543" t="s">
        <v>19241</v>
      </c>
      <c r="I543" t="s">
        <v>18774</v>
      </c>
      <c r="K543" t="str">
        <f>HYPERLINK("http://tuberculist.epfl.ch/quicksearch.php?gene+name=Rv0525&amp;submit=Search")</f>
        <v>http://tuberculist.epfl.ch/quicksearch.php?gene+name=Rv0525&amp;submit=Search</v>
      </c>
    </row>
    <row r="544" spans="1:11">
      <c r="A544" t="s">
        <v>2789</v>
      </c>
      <c r="B544" t="s">
        <v>2789</v>
      </c>
      <c r="C544" t="s">
        <v>9567</v>
      </c>
      <c r="D544" t="s">
        <v>10774</v>
      </c>
      <c r="E544" t="s">
        <v>10775</v>
      </c>
      <c r="F544" t="s">
        <v>10776</v>
      </c>
      <c r="G544" t="s">
        <v>19195</v>
      </c>
      <c r="H544" t="s">
        <v>19433</v>
      </c>
      <c r="I544" t="s">
        <v>18774</v>
      </c>
      <c r="K544" t="str">
        <f>HYPERLINK("http://tuberculist.epfl.ch/quicksearch.php?gene+name=Rv0526&amp;submit=Search")</f>
        <v>http://tuberculist.epfl.ch/quicksearch.php?gene+name=Rv0526&amp;submit=Search</v>
      </c>
    </row>
    <row r="545" spans="1:11">
      <c r="A545" t="s">
        <v>9130</v>
      </c>
      <c r="B545" t="s">
        <v>3292</v>
      </c>
      <c r="C545" t="s">
        <v>9567</v>
      </c>
      <c r="D545" t="s">
        <v>10777</v>
      </c>
      <c r="E545" t="s">
        <v>10778</v>
      </c>
      <c r="F545" t="s">
        <v>10779</v>
      </c>
      <c r="G545" t="s">
        <v>19195</v>
      </c>
      <c r="I545" t="s">
        <v>18800</v>
      </c>
      <c r="K545" t="str">
        <f>HYPERLINK("http://tuberculist.epfl.ch/quicksearch.php?gene+name=Rv0527&amp;submit=Search")</f>
        <v>http://tuberculist.epfl.ch/quicksearch.php?gene+name=Rv0527&amp;submit=Search</v>
      </c>
    </row>
    <row r="546" spans="1:11">
      <c r="A546" t="s">
        <v>1995</v>
      </c>
      <c r="B546" t="s">
        <v>1995</v>
      </c>
      <c r="C546" t="s">
        <v>9567</v>
      </c>
      <c r="D546" t="s">
        <v>9587</v>
      </c>
      <c r="E546" t="s">
        <v>9597</v>
      </c>
      <c r="F546" t="s">
        <v>10780</v>
      </c>
      <c r="G546" t="s">
        <v>19188</v>
      </c>
      <c r="I546" t="s">
        <v>18774</v>
      </c>
      <c r="K546" t="str">
        <f>HYPERLINK("http://tuberculist.epfl.ch/quicksearch.php?gene+name=Rv0528&amp;submit=Search")</f>
        <v>http://tuberculist.epfl.ch/quicksearch.php?gene+name=Rv0528&amp;submit=Search</v>
      </c>
    </row>
    <row r="547" spans="1:11">
      <c r="A547" t="s">
        <v>4030</v>
      </c>
      <c r="B547" t="s">
        <v>773</v>
      </c>
      <c r="C547" t="s">
        <v>9567</v>
      </c>
      <c r="D547" t="s">
        <v>10781</v>
      </c>
      <c r="E547" t="s">
        <v>10782</v>
      </c>
      <c r="F547" t="s">
        <v>10783</v>
      </c>
      <c r="G547" t="s">
        <v>19195</v>
      </c>
      <c r="I547" t="s">
        <v>18774</v>
      </c>
      <c r="K547" t="str">
        <f>HYPERLINK("http://tuberculist.epfl.ch/quicksearch.php?gene+name=Rv0529&amp;submit=Search")</f>
        <v>http://tuberculist.epfl.ch/quicksearch.php?gene+name=Rv0529&amp;submit=Search</v>
      </c>
    </row>
    <row r="548" spans="1:11">
      <c r="A548" t="s">
        <v>2294</v>
      </c>
      <c r="B548" t="s">
        <v>2294</v>
      </c>
      <c r="C548" t="s">
        <v>9567</v>
      </c>
      <c r="D548" t="s">
        <v>9578</v>
      </c>
      <c r="E548" t="s">
        <v>9665</v>
      </c>
      <c r="F548" t="s">
        <v>10784</v>
      </c>
      <c r="G548" t="s">
        <v>19212</v>
      </c>
      <c r="H548" t="s">
        <v>19233</v>
      </c>
      <c r="I548" t="s">
        <v>18789</v>
      </c>
      <c r="K548" t="str">
        <f>HYPERLINK("http://tuberculist.epfl.ch/quicksearch.php?gene+name=Rv0530&amp;submit=Search")</f>
        <v>http://tuberculist.epfl.ch/quicksearch.php?gene+name=Rv0530&amp;submit=Search</v>
      </c>
    </row>
    <row r="549" spans="1:11">
      <c r="A549" t="s">
        <v>10785</v>
      </c>
      <c r="B549" t="s">
        <v>10785</v>
      </c>
      <c r="C549" t="s">
        <v>9567</v>
      </c>
      <c r="D549" t="s">
        <v>9587</v>
      </c>
      <c r="E549" t="s">
        <v>9665</v>
      </c>
      <c r="F549" t="s">
        <v>10786</v>
      </c>
      <c r="G549" t="s">
        <v>19212</v>
      </c>
      <c r="H549" t="s">
        <v>19434</v>
      </c>
      <c r="I549" t="s">
        <v>18773</v>
      </c>
      <c r="K549" t="str">
        <f>HYPERLINK("http://tuberculist.epfl.ch/quicksearch.php?gene+name=Rv0530A&amp;submit=Search")</f>
        <v>http://tuberculist.epfl.ch/quicksearch.php?gene+name=Rv0530A&amp;submit=Search</v>
      </c>
    </row>
    <row r="550" spans="1:11">
      <c r="A550" t="s">
        <v>2756</v>
      </c>
      <c r="B550" t="s">
        <v>2756</v>
      </c>
      <c r="C550" t="s">
        <v>9567</v>
      </c>
      <c r="D550" t="s">
        <v>9587</v>
      </c>
      <c r="E550" t="s">
        <v>9588</v>
      </c>
      <c r="F550" t="s">
        <v>10787</v>
      </c>
      <c r="G550" t="s">
        <v>19188</v>
      </c>
      <c r="H550" t="s">
        <v>19192</v>
      </c>
      <c r="I550" t="s">
        <v>18779</v>
      </c>
      <c r="K550" t="str">
        <f>HYPERLINK("http://tuberculist.epfl.ch/quicksearch.php?gene+name=Rv0531&amp;submit=Search")</f>
        <v>http://tuberculist.epfl.ch/quicksearch.php?gene+name=Rv0531&amp;submit=Search</v>
      </c>
    </row>
    <row r="551" spans="1:11">
      <c r="A551" t="s">
        <v>10788</v>
      </c>
      <c r="B551" t="s">
        <v>10789</v>
      </c>
      <c r="C551" t="s">
        <v>9567</v>
      </c>
      <c r="D551" t="s">
        <v>9578</v>
      </c>
      <c r="E551" t="s">
        <v>10790</v>
      </c>
      <c r="F551" t="s">
        <v>10791</v>
      </c>
      <c r="G551" t="s">
        <v>19262</v>
      </c>
      <c r="I551" t="s">
        <v>18793</v>
      </c>
      <c r="K551" t="str">
        <f>HYPERLINK("http://tuberculist.epfl.ch/quicksearch.php?gene+name=Rv0532&amp;submit=Search")</f>
        <v>http://tuberculist.epfl.ch/quicksearch.php?gene+name=Rv0532&amp;submit=Search</v>
      </c>
    </row>
    <row r="552" spans="1:11">
      <c r="A552" t="s">
        <v>8466</v>
      </c>
      <c r="B552" t="s">
        <v>2982</v>
      </c>
      <c r="C552" t="s">
        <v>9567</v>
      </c>
      <c r="D552" t="s">
        <v>10792</v>
      </c>
      <c r="E552" t="s">
        <v>10793</v>
      </c>
      <c r="F552" t="s">
        <v>10794</v>
      </c>
      <c r="G552" t="s">
        <v>19219</v>
      </c>
      <c r="H552" t="s">
        <v>19435</v>
      </c>
      <c r="I552" t="s">
        <v>18789</v>
      </c>
      <c r="K552" t="str">
        <f>HYPERLINK("http://tuberculist.epfl.ch/quicksearch.php?gene+name=Rv0533c&amp;submit=Search")</f>
        <v>http://tuberculist.epfl.ch/quicksearch.php?gene+name=Rv0533c&amp;submit=Search</v>
      </c>
    </row>
    <row r="553" spans="1:11">
      <c r="A553" t="s">
        <v>7407</v>
      </c>
      <c r="B553" t="s">
        <v>2464</v>
      </c>
      <c r="C553" t="s">
        <v>9567</v>
      </c>
      <c r="D553" t="s">
        <v>10795</v>
      </c>
      <c r="E553" t="s">
        <v>10796</v>
      </c>
      <c r="F553" t="s">
        <v>10797</v>
      </c>
      <c r="G553" t="s">
        <v>19195</v>
      </c>
      <c r="H553" t="s">
        <v>19436</v>
      </c>
      <c r="I553" t="s">
        <v>18788</v>
      </c>
      <c r="K553" t="str">
        <f>HYPERLINK("http://tuberculist.epfl.ch/quicksearch.php?gene+name=Rv0534c&amp;submit=Search")</f>
        <v>http://tuberculist.epfl.ch/quicksearch.php?gene+name=Rv0534c&amp;submit=Search</v>
      </c>
    </row>
    <row r="554" spans="1:11">
      <c r="A554" t="s">
        <v>10798</v>
      </c>
      <c r="B554" t="s">
        <v>10799</v>
      </c>
      <c r="C554" t="s">
        <v>9567</v>
      </c>
      <c r="D554" t="s">
        <v>10800</v>
      </c>
      <c r="E554" t="s">
        <v>10801</v>
      </c>
      <c r="F554" t="s">
        <v>10802</v>
      </c>
      <c r="G554" t="s">
        <v>19195</v>
      </c>
      <c r="H554" t="s">
        <v>19309</v>
      </c>
      <c r="I554" t="s">
        <v>18773</v>
      </c>
      <c r="K554" t="str">
        <f>HYPERLINK("http://tuberculist.epfl.ch/quicksearch.php?gene+name=Rv0535&amp;submit=Search")</f>
        <v>http://tuberculist.epfl.ch/quicksearch.php?gene+name=Rv0535&amp;submit=Search</v>
      </c>
    </row>
    <row r="555" spans="1:11">
      <c r="A555" t="s">
        <v>5995</v>
      </c>
      <c r="B555" t="s">
        <v>1753</v>
      </c>
      <c r="C555" t="s">
        <v>9567</v>
      </c>
      <c r="D555" t="s">
        <v>10803</v>
      </c>
      <c r="E555" t="s">
        <v>10804</v>
      </c>
      <c r="F555" t="s">
        <v>10805</v>
      </c>
      <c r="G555" t="s">
        <v>19195</v>
      </c>
      <c r="H555" t="s">
        <v>19213</v>
      </c>
      <c r="I555" t="s">
        <v>18780</v>
      </c>
      <c r="K555" t="str">
        <f>HYPERLINK("http://tuberculist.epfl.ch/quicksearch.php?gene+name=Rv0536&amp;submit=Search")</f>
        <v>http://tuberculist.epfl.ch/quicksearch.php?gene+name=Rv0536&amp;submit=Search</v>
      </c>
    </row>
    <row r="556" spans="1:11">
      <c r="A556" t="s">
        <v>1845</v>
      </c>
      <c r="B556" t="s">
        <v>1845</v>
      </c>
      <c r="C556" t="s">
        <v>9567</v>
      </c>
      <c r="D556" t="s">
        <v>9587</v>
      </c>
      <c r="E556" t="s">
        <v>10806</v>
      </c>
      <c r="F556" t="s">
        <v>10807</v>
      </c>
      <c r="G556" t="s">
        <v>19188</v>
      </c>
      <c r="H556" t="s">
        <v>19233</v>
      </c>
      <c r="I556" t="s">
        <v>18780</v>
      </c>
      <c r="K556" t="str">
        <f>HYPERLINK("http://tuberculist.epfl.ch/quicksearch.php?gene+name=Rv0537c&amp;submit=Search")</f>
        <v>http://tuberculist.epfl.ch/quicksearch.php?gene+name=Rv0537c&amp;submit=Search</v>
      </c>
    </row>
    <row r="557" spans="1:11">
      <c r="A557" t="s">
        <v>2680</v>
      </c>
      <c r="B557" t="s">
        <v>2680</v>
      </c>
      <c r="C557" t="s">
        <v>9567</v>
      </c>
      <c r="D557" t="s">
        <v>9587</v>
      </c>
      <c r="E557" t="s">
        <v>9588</v>
      </c>
      <c r="F557" t="s">
        <v>10808</v>
      </c>
      <c r="G557" t="s">
        <v>19188</v>
      </c>
      <c r="H557" t="s">
        <v>19287</v>
      </c>
      <c r="I557" t="s">
        <v>18793</v>
      </c>
      <c r="K557" t="str">
        <f>HYPERLINK("http://tuberculist.epfl.ch/quicksearch.php?gene+name=Rv0538&amp;submit=Search")</f>
        <v>http://tuberculist.epfl.ch/quicksearch.php?gene+name=Rv0538&amp;submit=Search</v>
      </c>
    </row>
    <row r="558" spans="1:11">
      <c r="A558" t="s">
        <v>1693</v>
      </c>
      <c r="B558" t="s">
        <v>1693</v>
      </c>
      <c r="C558" t="s">
        <v>9567</v>
      </c>
      <c r="D558" t="s">
        <v>10809</v>
      </c>
      <c r="E558" t="s">
        <v>10810</v>
      </c>
      <c r="F558" t="s">
        <v>10811</v>
      </c>
      <c r="G558" t="s">
        <v>19195</v>
      </c>
      <c r="H558" t="s">
        <v>19213</v>
      </c>
      <c r="I558" t="s">
        <v>18779</v>
      </c>
      <c r="K558" t="str">
        <f>HYPERLINK("http://tuberculist.epfl.ch/quicksearch.php?gene+name=Rv0539&amp;submit=Search")</f>
        <v>http://tuberculist.epfl.ch/quicksearch.php?gene+name=Rv0539&amp;submit=Search</v>
      </c>
    </row>
    <row r="559" spans="1:11">
      <c r="A559" t="s">
        <v>10812</v>
      </c>
      <c r="B559" t="s">
        <v>10812</v>
      </c>
      <c r="C559" t="s">
        <v>9567</v>
      </c>
      <c r="D559" t="s">
        <v>9578</v>
      </c>
      <c r="E559" t="s">
        <v>9579</v>
      </c>
      <c r="F559" t="s">
        <v>10813</v>
      </c>
      <c r="G559" t="s">
        <v>19212</v>
      </c>
      <c r="H559" t="s">
        <v>19316</v>
      </c>
      <c r="I559" t="s">
        <v>18800</v>
      </c>
      <c r="K559" t="str">
        <f>HYPERLINK("http://tuberculist.epfl.ch/quicksearch.php?gene+name=Rv0540&amp;submit=Search")</f>
        <v>http://tuberculist.epfl.ch/quicksearch.php?gene+name=Rv0540&amp;submit=Search</v>
      </c>
    </row>
    <row r="560" spans="1:11">
      <c r="A560" t="s">
        <v>1128</v>
      </c>
      <c r="B560" t="s">
        <v>1128</v>
      </c>
      <c r="C560" t="s">
        <v>9567</v>
      </c>
      <c r="D560" t="s">
        <v>9587</v>
      </c>
      <c r="E560" t="s">
        <v>9668</v>
      </c>
      <c r="F560" t="s">
        <v>10814</v>
      </c>
      <c r="G560" t="s">
        <v>19188</v>
      </c>
      <c r="I560" t="s">
        <v>18774</v>
      </c>
      <c r="K560" t="str">
        <f>HYPERLINK("http://tuberculist.epfl.ch/quicksearch.php?gene+name=Rv0541c&amp;submit=Search")</f>
        <v>http://tuberculist.epfl.ch/quicksearch.php?gene+name=Rv0541c&amp;submit=Search</v>
      </c>
    </row>
    <row r="561" spans="1:11">
      <c r="A561" t="s">
        <v>5294</v>
      </c>
      <c r="B561" t="s">
        <v>1401</v>
      </c>
      <c r="C561" t="s">
        <v>9567</v>
      </c>
      <c r="D561" t="s">
        <v>10815</v>
      </c>
      <c r="E561" t="s">
        <v>10816</v>
      </c>
      <c r="F561" t="s">
        <v>10817</v>
      </c>
      <c r="G561" t="s">
        <v>19195</v>
      </c>
      <c r="I561" t="s">
        <v>18774</v>
      </c>
      <c r="K561" t="str">
        <f>HYPERLINK("http://tuberculist.epfl.ch/quicksearch.php?gene+name=Rv0542c&amp;submit=Search")</f>
        <v>http://tuberculist.epfl.ch/quicksearch.php?gene+name=Rv0542c&amp;submit=Search</v>
      </c>
    </row>
    <row r="562" spans="1:11">
      <c r="A562" t="s">
        <v>1242</v>
      </c>
      <c r="B562" t="s">
        <v>1242</v>
      </c>
      <c r="C562" t="s">
        <v>9567</v>
      </c>
      <c r="D562" t="s">
        <v>9578</v>
      </c>
      <c r="E562" t="s">
        <v>9665</v>
      </c>
      <c r="F562" t="s">
        <v>10818</v>
      </c>
      <c r="G562" t="s">
        <v>19212</v>
      </c>
      <c r="H562" t="s">
        <v>19233</v>
      </c>
      <c r="I562" t="s">
        <v>18779</v>
      </c>
      <c r="K562" t="str">
        <f>HYPERLINK("http://tuberculist.epfl.ch/quicksearch.php?gene+name=Rv0543c&amp;submit=Search")</f>
        <v>http://tuberculist.epfl.ch/quicksearch.php?gene+name=Rv0543c&amp;submit=Search</v>
      </c>
    </row>
    <row r="563" spans="1:11">
      <c r="A563" t="s">
        <v>10819</v>
      </c>
      <c r="B563" t="s">
        <v>10819</v>
      </c>
      <c r="C563" t="s">
        <v>9567</v>
      </c>
      <c r="D563" t="s">
        <v>9587</v>
      </c>
      <c r="E563" t="s">
        <v>9671</v>
      </c>
      <c r="F563" t="s">
        <v>10820</v>
      </c>
      <c r="G563" t="s">
        <v>19188</v>
      </c>
      <c r="H563" t="s">
        <v>19430</v>
      </c>
      <c r="I563" t="s">
        <v>18793</v>
      </c>
      <c r="K563" t="str">
        <f>HYPERLINK("http://tuberculist.epfl.ch/quicksearch.php?gene+name=Rv0544c&amp;submit=Search")</f>
        <v>http://tuberculist.epfl.ch/quicksearch.php?gene+name=Rv0544c&amp;submit=Search</v>
      </c>
    </row>
    <row r="564" spans="1:11">
      <c r="A564" t="s">
        <v>7771</v>
      </c>
      <c r="B564" t="s">
        <v>2639</v>
      </c>
      <c r="C564" t="s">
        <v>9567</v>
      </c>
      <c r="D564" t="s">
        <v>10821</v>
      </c>
      <c r="E564" t="s">
        <v>10822</v>
      </c>
      <c r="F564" t="s">
        <v>10823</v>
      </c>
      <c r="G564" t="s">
        <v>19188</v>
      </c>
      <c r="H564" t="s">
        <v>19254</v>
      </c>
      <c r="I564" t="s">
        <v>18793</v>
      </c>
      <c r="K564" t="str">
        <f>HYPERLINK("http://tuberculist.epfl.ch/quicksearch.php?gene+name=Rv0545c&amp;submit=Search")</f>
        <v>http://tuberculist.epfl.ch/quicksearch.php?gene+name=Rv0545c&amp;submit=Search</v>
      </c>
    </row>
    <row r="565" spans="1:11">
      <c r="A565" t="s">
        <v>556</v>
      </c>
      <c r="B565" t="s">
        <v>556</v>
      </c>
      <c r="C565" t="s">
        <v>9567</v>
      </c>
      <c r="D565" t="s">
        <v>9578</v>
      </c>
      <c r="E565" t="s">
        <v>9665</v>
      </c>
      <c r="F565" t="s">
        <v>10824</v>
      </c>
      <c r="G565" t="s">
        <v>19208</v>
      </c>
      <c r="H565" t="s">
        <v>19437</v>
      </c>
      <c r="I565" t="s">
        <v>18780</v>
      </c>
      <c r="J565" t="s">
        <v>18839</v>
      </c>
      <c r="K565" t="str">
        <f>HYPERLINK("http://tuberculist.epfl.ch/quicksearch.php?gene+name=Rv0546c&amp;submit=Search")</f>
        <v>http://tuberculist.epfl.ch/quicksearch.php?gene+name=Rv0546c&amp;submit=Search</v>
      </c>
    </row>
    <row r="566" spans="1:11">
      <c r="A566" t="s">
        <v>3154</v>
      </c>
      <c r="B566" t="s">
        <v>3154</v>
      </c>
      <c r="C566" t="s">
        <v>9567</v>
      </c>
      <c r="D566" t="s">
        <v>9682</v>
      </c>
      <c r="E566" t="s">
        <v>9683</v>
      </c>
      <c r="F566" t="s">
        <v>10825</v>
      </c>
      <c r="G566" t="s">
        <v>19195</v>
      </c>
      <c r="H566" t="s">
        <v>19309</v>
      </c>
      <c r="I566" t="s">
        <v>18780</v>
      </c>
      <c r="K566" t="str">
        <f>HYPERLINK("http://tuberculist.epfl.ch/quicksearch.php?gene+name=Rv0547c&amp;submit=Search")</f>
        <v>http://tuberculist.epfl.ch/quicksearch.php?gene+name=Rv0547c&amp;submit=Search</v>
      </c>
    </row>
    <row r="567" spans="1:11">
      <c r="A567" t="s">
        <v>5884</v>
      </c>
      <c r="B567" t="s">
        <v>1695</v>
      </c>
      <c r="C567" t="s">
        <v>9567</v>
      </c>
      <c r="D567" t="s">
        <v>10826</v>
      </c>
      <c r="E567" t="s">
        <v>10827</v>
      </c>
      <c r="F567" t="s">
        <v>10828</v>
      </c>
      <c r="G567" t="s">
        <v>19195</v>
      </c>
      <c r="H567" t="s">
        <v>19378</v>
      </c>
      <c r="I567" t="s">
        <v>18788</v>
      </c>
      <c r="K567" t="str">
        <f>HYPERLINK("http://tuberculist.epfl.ch/quicksearch.php?gene+name=Rv0548c&amp;submit=Search")</f>
        <v>http://tuberculist.epfl.ch/quicksearch.php?gene+name=Rv0548c&amp;submit=Search</v>
      </c>
    </row>
    <row r="568" spans="1:11">
      <c r="A568" t="s">
        <v>10829</v>
      </c>
      <c r="B568" t="s">
        <v>3326</v>
      </c>
      <c r="C568" t="s">
        <v>9567</v>
      </c>
      <c r="D568" t="s">
        <v>9587</v>
      </c>
      <c r="E568" t="s">
        <v>10830</v>
      </c>
      <c r="F568" t="s">
        <v>10831</v>
      </c>
      <c r="G568" t="s">
        <v>19206</v>
      </c>
      <c r="H568" t="s">
        <v>19229</v>
      </c>
      <c r="I568" t="s">
        <v>18780</v>
      </c>
      <c r="K568" t="str">
        <f>HYPERLINK("http://tuberculist.epfl.ch/quicksearch.php?gene+name=Rv0549c&amp;submit=Search")</f>
        <v>http://tuberculist.epfl.ch/quicksearch.php?gene+name=Rv0549c&amp;submit=Search</v>
      </c>
    </row>
    <row r="569" spans="1:11">
      <c r="A569" t="s">
        <v>10832</v>
      </c>
      <c r="B569" t="s">
        <v>577</v>
      </c>
      <c r="C569" t="s">
        <v>9567</v>
      </c>
      <c r="D569" t="s">
        <v>9587</v>
      </c>
      <c r="E569" t="s">
        <v>10833</v>
      </c>
      <c r="F569" t="s">
        <v>10834</v>
      </c>
      <c r="G569" t="s">
        <v>19206</v>
      </c>
      <c r="I569" t="s">
        <v>18779</v>
      </c>
      <c r="K569" t="str">
        <f>HYPERLINK("http://tuberculist.epfl.ch/quicksearch.php?gene+name=Rv0550c&amp;submit=Search")</f>
        <v>http://tuberculist.epfl.ch/quicksearch.php?gene+name=Rv0550c&amp;submit=Search</v>
      </c>
    </row>
    <row r="570" spans="1:11">
      <c r="A570" t="s">
        <v>7924</v>
      </c>
      <c r="B570" t="s">
        <v>2724</v>
      </c>
      <c r="C570" t="s">
        <v>9567</v>
      </c>
      <c r="D570" t="s">
        <v>9662</v>
      </c>
      <c r="E570" t="s">
        <v>10835</v>
      </c>
      <c r="F570" t="s">
        <v>10836</v>
      </c>
      <c r="G570" t="s">
        <v>19219</v>
      </c>
      <c r="H570" t="s">
        <v>19303</v>
      </c>
      <c r="I570" t="s">
        <v>18780</v>
      </c>
      <c r="J570" t="s">
        <v>18820</v>
      </c>
      <c r="K570" t="str">
        <f>HYPERLINK("http://tuberculist.epfl.ch/quicksearch.php?gene+name=Rv0551c&amp;submit=Search")</f>
        <v>http://tuberculist.epfl.ch/quicksearch.php?gene+name=Rv0551c&amp;submit=Search</v>
      </c>
    </row>
    <row r="571" spans="1:11">
      <c r="A571" t="s">
        <v>927</v>
      </c>
      <c r="B571" t="s">
        <v>927</v>
      </c>
      <c r="C571" t="s">
        <v>9567</v>
      </c>
      <c r="D571" t="s">
        <v>9578</v>
      </c>
      <c r="E571" t="s">
        <v>9665</v>
      </c>
      <c r="F571" t="s">
        <v>10837</v>
      </c>
      <c r="G571" t="s">
        <v>19212</v>
      </c>
      <c r="H571" t="s">
        <v>19243</v>
      </c>
      <c r="I571" t="s">
        <v>18859</v>
      </c>
      <c r="K571" t="str">
        <f>HYPERLINK("http://tuberculist.epfl.ch/quicksearch.php?gene+name=Rv0552&amp;submit=Search")</f>
        <v>http://tuberculist.epfl.ch/quicksearch.php?gene+name=Rv0552&amp;submit=Search</v>
      </c>
    </row>
    <row r="572" spans="1:11">
      <c r="A572" t="s">
        <v>167</v>
      </c>
      <c r="B572" t="s">
        <v>166</v>
      </c>
      <c r="C572" t="s">
        <v>9567</v>
      </c>
      <c r="D572" t="s">
        <v>10838</v>
      </c>
      <c r="E572" t="s">
        <v>10839</v>
      </c>
      <c r="F572" t="s">
        <v>10840</v>
      </c>
      <c r="G572" t="s">
        <v>19195</v>
      </c>
      <c r="H572" t="s">
        <v>19233</v>
      </c>
      <c r="I572" t="s">
        <v>18774</v>
      </c>
      <c r="K572" t="str">
        <f>HYPERLINK("http://tuberculist.epfl.ch/quicksearch.php?gene+name=Rv0553&amp;submit=Search")</f>
        <v>http://tuberculist.epfl.ch/quicksearch.php?gene+name=Rv0553&amp;submit=Search</v>
      </c>
    </row>
    <row r="573" spans="1:11">
      <c r="A573" t="s">
        <v>6747</v>
      </c>
      <c r="B573" t="s">
        <v>2135</v>
      </c>
      <c r="C573" t="s">
        <v>9567</v>
      </c>
      <c r="D573" t="s">
        <v>10841</v>
      </c>
      <c r="E573" t="s">
        <v>10842</v>
      </c>
      <c r="F573" t="s">
        <v>10843</v>
      </c>
      <c r="G573" t="s">
        <v>19206</v>
      </c>
      <c r="H573" t="s">
        <v>19272</v>
      </c>
      <c r="I573" t="s">
        <v>18859</v>
      </c>
      <c r="K573" t="str">
        <f>HYPERLINK("http://tuberculist.epfl.ch/quicksearch.php?gene+name=Rv0554&amp;submit=Search")</f>
        <v>http://tuberculist.epfl.ch/quicksearch.php?gene+name=Rv0554&amp;submit=Search</v>
      </c>
    </row>
    <row r="574" spans="1:11">
      <c r="A574" t="s">
        <v>3853</v>
      </c>
      <c r="B574" t="s">
        <v>683</v>
      </c>
      <c r="C574" t="s">
        <v>9567</v>
      </c>
      <c r="D574" t="s">
        <v>10844</v>
      </c>
      <c r="E574" t="s">
        <v>10845</v>
      </c>
      <c r="F574" t="s">
        <v>10846</v>
      </c>
      <c r="G574" t="s">
        <v>19195</v>
      </c>
      <c r="H574" t="s">
        <v>19428</v>
      </c>
      <c r="I574" t="s">
        <v>18774</v>
      </c>
      <c r="K574" t="str">
        <f>HYPERLINK("http://tuberculist.epfl.ch/quicksearch.php?gene+name=Rv0555&amp;submit=Search")</f>
        <v>http://tuberculist.epfl.ch/quicksearch.php?gene+name=Rv0555&amp;submit=Search</v>
      </c>
    </row>
    <row r="575" spans="1:11">
      <c r="A575" t="s">
        <v>3234</v>
      </c>
      <c r="B575" t="s">
        <v>3234</v>
      </c>
      <c r="C575" t="s">
        <v>9567</v>
      </c>
      <c r="D575" t="s">
        <v>9587</v>
      </c>
      <c r="E575" t="s">
        <v>9597</v>
      </c>
      <c r="F575" t="s">
        <v>10847</v>
      </c>
      <c r="G575" t="s">
        <v>19188</v>
      </c>
      <c r="H575" t="s">
        <v>19438</v>
      </c>
      <c r="I575" t="s">
        <v>18774</v>
      </c>
      <c r="K575" t="str">
        <f>HYPERLINK("http://tuberculist.epfl.ch/quicksearch.php?gene+name=Rv0556&amp;submit=Search")</f>
        <v>http://tuberculist.epfl.ch/quicksearch.php?gene+name=Rv0556&amp;submit=Search</v>
      </c>
    </row>
    <row r="576" spans="1:11">
      <c r="A576" t="s">
        <v>10848</v>
      </c>
      <c r="B576" t="s">
        <v>2884</v>
      </c>
      <c r="C576" t="s">
        <v>9567</v>
      </c>
      <c r="D576" t="s">
        <v>10849</v>
      </c>
      <c r="E576" t="s">
        <v>10850</v>
      </c>
      <c r="F576" t="s">
        <v>10851</v>
      </c>
      <c r="G576" t="s">
        <v>19219</v>
      </c>
      <c r="I576" t="s">
        <v>18877</v>
      </c>
      <c r="K576" t="str">
        <f>HYPERLINK("http://tuberculist.epfl.ch/quicksearch.php?gene+name=Rv0557&amp;submit=Search")</f>
        <v>http://tuberculist.epfl.ch/quicksearch.php?gene+name=Rv0557&amp;submit=Search</v>
      </c>
    </row>
    <row r="577" spans="1:11">
      <c r="A577" t="s">
        <v>10852</v>
      </c>
      <c r="B577" t="s">
        <v>2803</v>
      </c>
      <c r="C577" t="s">
        <v>9567</v>
      </c>
      <c r="D577" t="s">
        <v>10853</v>
      </c>
      <c r="E577" t="s">
        <v>10854</v>
      </c>
      <c r="F577" t="s">
        <v>10855</v>
      </c>
      <c r="G577" t="s">
        <v>19195</v>
      </c>
      <c r="H577" t="s">
        <v>19439</v>
      </c>
      <c r="I577" t="s">
        <v>18774</v>
      </c>
      <c r="K577" t="str">
        <f>HYPERLINK("http://tuberculist.epfl.ch/quicksearch.php?gene+name=Rv0558&amp;submit=Search")</f>
        <v>http://tuberculist.epfl.ch/quicksearch.php?gene+name=Rv0558&amp;submit=Search</v>
      </c>
    </row>
    <row r="578" spans="1:11">
      <c r="A578" t="s">
        <v>1008</v>
      </c>
      <c r="B578" t="s">
        <v>1008</v>
      </c>
      <c r="C578" t="s">
        <v>9567</v>
      </c>
      <c r="D578" t="s">
        <v>9587</v>
      </c>
      <c r="E578" t="s">
        <v>10446</v>
      </c>
      <c r="F578" t="s">
        <v>10856</v>
      </c>
      <c r="G578" t="s">
        <v>19188</v>
      </c>
      <c r="H578" t="s">
        <v>19440</v>
      </c>
      <c r="I578" t="s">
        <v>18780</v>
      </c>
      <c r="K578" t="str">
        <f>HYPERLINK("http://tuberculist.epfl.ch/quicksearch.php?gene+name=Rv0559c&amp;submit=Search")</f>
        <v>http://tuberculist.epfl.ch/quicksearch.php?gene+name=Rv0559c&amp;submit=Search</v>
      </c>
    </row>
    <row r="579" spans="1:11">
      <c r="A579" t="s">
        <v>528</v>
      </c>
      <c r="B579" t="s">
        <v>528</v>
      </c>
      <c r="C579" t="s">
        <v>9567</v>
      </c>
      <c r="D579" t="s">
        <v>10857</v>
      </c>
      <c r="E579" t="s">
        <v>10858</v>
      </c>
      <c r="F579" t="s">
        <v>10859</v>
      </c>
      <c r="G579" t="s">
        <v>19195</v>
      </c>
      <c r="H579" t="s">
        <v>19233</v>
      </c>
      <c r="I579" t="s">
        <v>18779</v>
      </c>
      <c r="K579" t="str">
        <f>HYPERLINK("http://tuberculist.epfl.ch/quicksearch.php?gene+name=Rv0560c&amp;submit=Search")</f>
        <v>http://tuberculist.epfl.ch/quicksearch.php?gene+name=Rv0560c&amp;submit=Search</v>
      </c>
    </row>
    <row r="580" spans="1:11">
      <c r="A580" t="s">
        <v>10860</v>
      </c>
      <c r="B580" t="s">
        <v>10860</v>
      </c>
      <c r="C580" t="s">
        <v>9567</v>
      </c>
      <c r="D580" t="s">
        <v>9682</v>
      </c>
      <c r="E580" t="s">
        <v>9683</v>
      </c>
      <c r="F580" t="s">
        <v>10861</v>
      </c>
      <c r="G580" t="s">
        <v>19195</v>
      </c>
      <c r="H580" t="s">
        <v>19205</v>
      </c>
      <c r="I580" t="s">
        <v>18867</v>
      </c>
      <c r="K580" t="str">
        <f>HYPERLINK("http://tuberculist.epfl.ch/quicksearch.php?gene+name=Rv0561c&amp;submit=Search")</f>
        <v>http://tuberculist.epfl.ch/quicksearch.php?gene+name=Rv0561c&amp;submit=Search</v>
      </c>
    </row>
    <row r="581" spans="1:11">
      <c r="A581" t="s">
        <v>8228</v>
      </c>
      <c r="B581" t="s">
        <v>2871</v>
      </c>
      <c r="C581" t="s">
        <v>9567</v>
      </c>
      <c r="D581" t="s">
        <v>10862</v>
      </c>
      <c r="E581" t="s">
        <v>10863</v>
      </c>
      <c r="F581" t="s">
        <v>10864</v>
      </c>
      <c r="G581" t="s">
        <v>19195</v>
      </c>
      <c r="H581" t="s">
        <v>19225</v>
      </c>
      <c r="I581" t="s">
        <v>18774</v>
      </c>
      <c r="K581" t="str">
        <f>HYPERLINK("http://tuberculist.epfl.ch/quicksearch.php?gene+name=Rv0562&amp;submit=Search")</f>
        <v>http://tuberculist.epfl.ch/quicksearch.php?gene+name=Rv0562&amp;submit=Search</v>
      </c>
    </row>
    <row r="582" spans="1:11">
      <c r="A582" t="s">
        <v>7919</v>
      </c>
      <c r="B582" t="s">
        <v>2721</v>
      </c>
      <c r="C582" t="s">
        <v>9567</v>
      </c>
      <c r="D582" t="s">
        <v>10865</v>
      </c>
      <c r="E582" t="s">
        <v>10866</v>
      </c>
      <c r="F582" t="s">
        <v>10867</v>
      </c>
      <c r="G582" t="s">
        <v>19206</v>
      </c>
      <c r="H582" t="s">
        <v>19441</v>
      </c>
      <c r="I582" t="s">
        <v>18788</v>
      </c>
      <c r="J582" t="s">
        <v>18806</v>
      </c>
      <c r="K582" t="str">
        <f>HYPERLINK("http://tuberculist.epfl.ch/quicksearch.php?gene+name=Rv0563&amp;submit=Search")</f>
        <v>http://tuberculist.epfl.ch/quicksearch.php?gene+name=Rv0563&amp;submit=Search</v>
      </c>
    </row>
    <row r="583" spans="1:11">
      <c r="A583" t="s">
        <v>4757</v>
      </c>
      <c r="B583" t="s">
        <v>1138</v>
      </c>
      <c r="C583" t="s">
        <v>9567</v>
      </c>
      <c r="D583" t="s">
        <v>10868</v>
      </c>
      <c r="E583" t="s">
        <v>10869</v>
      </c>
      <c r="F583" t="s">
        <v>10870</v>
      </c>
      <c r="G583" t="s">
        <v>19219</v>
      </c>
      <c r="H583" t="s">
        <v>19233</v>
      </c>
      <c r="I583" t="s">
        <v>18780</v>
      </c>
      <c r="K583" t="str">
        <f>HYPERLINK("http://tuberculist.epfl.ch/quicksearch.php?gene+name=Rv0564c&amp;submit=Search")</f>
        <v>http://tuberculist.epfl.ch/quicksearch.php?gene+name=Rv0564c&amp;submit=Search</v>
      </c>
    </row>
    <row r="584" spans="1:11">
      <c r="A584" t="s">
        <v>1941</v>
      </c>
      <c r="B584" t="s">
        <v>1941</v>
      </c>
      <c r="C584" t="s">
        <v>9567</v>
      </c>
      <c r="D584" t="s">
        <v>9682</v>
      </c>
      <c r="E584" t="s">
        <v>10451</v>
      </c>
      <c r="F584" t="s">
        <v>10871</v>
      </c>
      <c r="G584" t="s">
        <v>19195</v>
      </c>
      <c r="H584" t="s">
        <v>19207</v>
      </c>
      <c r="I584" t="s">
        <v>18780</v>
      </c>
      <c r="K584" t="str">
        <f>HYPERLINK("http://tuberculist.epfl.ch/quicksearch.php?gene+name=Rv0565c&amp;submit=Search")</f>
        <v>http://tuberculist.epfl.ch/quicksearch.php?gene+name=Rv0565c&amp;submit=Search</v>
      </c>
    </row>
    <row r="585" spans="1:11">
      <c r="A585" t="s">
        <v>10872</v>
      </c>
      <c r="B585" t="s">
        <v>10872</v>
      </c>
      <c r="C585" t="s">
        <v>9567</v>
      </c>
      <c r="D585" t="s">
        <v>9578</v>
      </c>
      <c r="E585" t="s">
        <v>9665</v>
      </c>
      <c r="F585" t="s">
        <v>10873</v>
      </c>
      <c r="G585" t="s">
        <v>19204</v>
      </c>
      <c r="H585" t="s">
        <v>19442</v>
      </c>
      <c r="I585" t="s">
        <v>18810</v>
      </c>
      <c r="K585" t="str">
        <f>HYPERLINK("http://tuberculist.epfl.ch/quicksearch.php?gene+name=Rv0566c&amp;submit=Search")</f>
        <v>http://tuberculist.epfl.ch/quicksearch.php?gene+name=Rv0566c&amp;submit=Search</v>
      </c>
    </row>
    <row r="586" spans="1:11">
      <c r="A586" t="s">
        <v>1906</v>
      </c>
      <c r="B586" t="s">
        <v>1906</v>
      </c>
      <c r="C586" t="s">
        <v>9567</v>
      </c>
      <c r="D586" t="s">
        <v>10061</v>
      </c>
      <c r="E586" t="s">
        <v>10874</v>
      </c>
      <c r="F586" t="s">
        <v>10875</v>
      </c>
      <c r="G586" t="s">
        <v>19195</v>
      </c>
      <c r="I586" t="s">
        <v>18780</v>
      </c>
      <c r="K586" t="str">
        <f>HYPERLINK("http://tuberculist.epfl.ch/quicksearch.php?gene+name=Rv0567&amp;submit=Search")</f>
        <v>http://tuberculist.epfl.ch/quicksearch.php?gene+name=Rv0567&amp;submit=Search</v>
      </c>
    </row>
    <row r="587" spans="1:11">
      <c r="A587" t="s">
        <v>174</v>
      </c>
      <c r="B587" t="s">
        <v>173</v>
      </c>
      <c r="C587" t="s">
        <v>9567</v>
      </c>
      <c r="D587" t="s">
        <v>9908</v>
      </c>
      <c r="E587" t="s">
        <v>10876</v>
      </c>
      <c r="F587" t="s">
        <v>10877</v>
      </c>
      <c r="G587" t="s">
        <v>19195</v>
      </c>
      <c r="H587" t="s">
        <v>19443</v>
      </c>
      <c r="I587" t="s">
        <v>18780</v>
      </c>
      <c r="K587" t="str">
        <f>HYPERLINK("http://tuberculist.epfl.ch/quicksearch.php?gene+name=Rv0568&amp;submit=Search")</f>
        <v>http://tuberculist.epfl.ch/quicksearch.php?gene+name=Rv0568&amp;submit=Search</v>
      </c>
    </row>
    <row r="588" spans="1:11">
      <c r="A588" t="s">
        <v>180</v>
      </c>
      <c r="B588" t="s">
        <v>180</v>
      </c>
      <c r="C588" t="s">
        <v>9567</v>
      </c>
      <c r="D588" t="s">
        <v>9578</v>
      </c>
      <c r="E588" t="s">
        <v>9665</v>
      </c>
      <c r="F588" t="s">
        <v>10878</v>
      </c>
      <c r="G588" t="s">
        <v>19212</v>
      </c>
      <c r="H588" t="s">
        <v>19444</v>
      </c>
      <c r="I588" t="s">
        <v>18780</v>
      </c>
      <c r="J588" t="s">
        <v>18799</v>
      </c>
      <c r="K588" t="str">
        <f>HYPERLINK("http://tuberculist.epfl.ch/quicksearch.php?gene+name=Rv0569&amp;submit=Search")</f>
        <v>http://tuberculist.epfl.ch/quicksearch.php?gene+name=Rv0569&amp;submit=Search</v>
      </c>
    </row>
    <row r="589" spans="1:11">
      <c r="A589" t="s">
        <v>186</v>
      </c>
      <c r="B589" t="s">
        <v>185</v>
      </c>
      <c r="C589" t="s">
        <v>9567</v>
      </c>
      <c r="D589" t="s">
        <v>10879</v>
      </c>
      <c r="E589" t="s">
        <v>10880</v>
      </c>
      <c r="F589" t="s">
        <v>10881</v>
      </c>
      <c r="G589" t="s">
        <v>19181</v>
      </c>
      <c r="H589" t="s">
        <v>19445</v>
      </c>
      <c r="I589" t="s">
        <v>18797</v>
      </c>
      <c r="J589" t="s">
        <v>18799</v>
      </c>
      <c r="K589" t="str">
        <f>HYPERLINK("http://tuberculist.epfl.ch/quicksearch.php?gene+name=Rv0570&amp;submit=Search")</f>
        <v>http://tuberculist.epfl.ch/quicksearch.php?gene+name=Rv0570&amp;submit=Search</v>
      </c>
    </row>
    <row r="590" spans="1:11">
      <c r="A590" t="s">
        <v>190</v>
      </c>
      <c r="B590" t="s">
        <v>190</v>
      </c>
      <c r="C590" t="s">
        <v>9567</v>
      </c>
      <c r="D590" t="s">
        <v>9578</v>
      </c>
      <c r="E590" t="s">
        <v>9665</v>
      </c>
      <c r="F590" t="s">
        <v>10882</v>
      </c>
      <c r="G590" t="s">
        <v>19212</v>
      </c>
      <c r="H590" t="s">
        <v>19446</v>
      </c>
      <c r="I590" t="s">
        <v>18804</v>
      </c>
      <c r="J590" t="s">
        <v>18799</v>
      </c>
      <c r="K590" t="str">
        <f>HYPERLINK("http://tuberculist.epfl.ch/quicksearch.php?gene+name=Rv0571c&amp;submit=Search")</f>
        <v>http://tuberculist.epfl.ch/quicksearch.php?gene+name=Rv0571c&amp;submit=Search</v>
      </c>
    </row>
    <row r="591" spans="1:11">
      <c r="A591" t="s">
        <v>195</v>
      </c>
      <c r="B591" t="s">
        <v>195</v>
      </c>
      <c r="C591" t="s">
        <v>9567</v>
      </c>
      <c r="D591" t="s">
        <v>9587</v>
      </c>
      <c r="E591" t="s">
        <v>9713</v>
      </c>
      <c r="F591" t="s">
        <v>10883</v>
      </c>
      <c r="G591" t="s">
        <v>19212</v>
      </c>
      <c r="I591" t="s">
        <v>18821</v>
      </c>
      <c r="J591" t="s">
        <v>18799</v>
      </c>
      <c r="K591" t="str">
        <f>HYPERLINK("http://tuberculist.epfl.ch/quicksearch.php?gene+name=Rv0572c&amp;submit=Search")</f>
        <v>http://tuberculist.epfl.ch/quicksearch.php?gene+name=Rv0572c&amp;submit=Search</v>
      </c>
    </row>
    <row r="592" spans="1:11">
      <c r="A592" t="s">
        <v>10884</v>
      </c>
      <c r="B592" t="s">
        <v>199</v>
      </c>
      <c r="C592" t="s">
        <v>9567</v>
      </c>
      <c r="D592" t="s">
        <v>10885</v>
      </c>
      <c r="E592" t="s">
        <v>10886</v>
      </c>
      <c r="F592" t="s">
        <v>10887</v>
      </c>
      <c r="G592" t="s">
        <v>19195</v>
      </c>
      <c r="H592" t="s">
        <v>19207</v>
      </c>
      <c r="I592" t="s">
        <v>18780</v>
      </c>
      <c r="J592" t="s">
        <v>18799</v>
      </c>
      <c r="K592" t="str">
        <f>HYPERLINK("http://tuberculist.epfl.ch/quicksearch.php?gene+name=Rv0573c&amp;submit=Search")</f>
        <v>http://tuberculist.epfl.ch/quicksearch.php?gene+name=Rv0573c&amp;submit=Search</v>
      </c>
    </row>
    <row r="593" spans="1:11">
      <c r="A593" t="s">
        <v>203</v>
      </c>
      <c r="B593" t="s">
        <v>203</v>
      </c>
      <c r="C593" t="s">
        <v>9567</v>
      </c>
      <c r="D593" t="s">
        <v>9578</v>
      </c>
      <c r="E593" t="s">
        <v>9579</v>
      </c>
      <c r="F593" t="s">
        <v>10888</v>
      </c>
      <c r="G593" t="s">
        <v>19208</v>
      </c>
      <c r="I593" t="s">
        <v>18780</v>
      </c>
      <c r="J593" t="s">
        <v>18878</v>
      </c>
      <c r="K593" t="str">
        <f>HYPERLINK("http://tuberculist.epfl.ch/quicksearch.php?gene+name=Rv0574c&amp;submit=Search")</f>
        <v>http://tuberculist.epfl.ch/quicksearch.php?gene+name=Rv0574c&amp;submit=Search</v>
      </c>
    </row>
    <row r="594" spans="1:11">
      <c r="A594" t="s">
        <v>2465</v>
      </c>
      <c r="B594" t="s">
        <v>2465</v>
      </c>
      <c r="C594" t="s">
        <v>9567</v>
      </c>
      <c r="D594" t="s">
        <v>9682</v>
      </c>
      <c r="E594" t="s">
        <v>9683</v>
      </c>
      <c r="F594" t="s">
        <v>10889</v>
      </c>
      <c r="G594" t="s">
        <v>19195</v>
      </c>
      <c r="H594" t="s">
        <v>19250</v>
      </c>
      <c r="I594" t="s">
        <v>18789</v>
      </c>
      <c r="J594" t="s">
        <v>18832</v>
      </c>
      <c r="K594" t="str">
        <f>HYPERLINK("http://tuberculist.epfl.ch/quicksearch.php?gene+name=Rv0575c&amp;submit=Search")</f>
        <v>http://tuberculist.epfl.ch/quicksearch.php?gene+name=Rv0575c&amp;submit=Search</v>
      </c>
    </row>
    <row r="595" spans="1:11">
      <c r="A595" t="s">
        <v>3011</v>
      </c>
      <c r="B595" t="s">
        <v>3011</v>
      </c>
      <c r="C595" t="s">
        <v>9567</v>
      </c>
      <c r="D595" t="s">
        <v>9629</v>
      </c>
      <c r="E595" t="s">
        <v>10890</v>
      </c>
      <c r="F595" t="s">
        <v>10891</v>
      </c>
      <c r="G595" t="s">
        <v>19197</v>
      </c>
      <c r="H595" t="s">
        <v>19233</v>
      </c>
      <c r="I595" t="s">
        <v>18821</v>
      </c>
      <c r="K595" t="str">
        <f>HYPERLINK("http://tuberculist.epfl.ch/quicksearch.php?gene+name=Rv0576&amp;submit=Search")</f>
        <v>http://tuberculist.epfl.ch/quicksearch.php?gene+name=Rv0576&amp;submit=Search</v>
      </c>
    </row>
    <row r="596" spans="1:11">
      <c r="A596" t="s">
        <v>8319</v>
      </c>
      <c r="B596" t="s">
        <v>2913</v>
      </c>
      <c r="C596" t="s">
        <v>9567</v>
      </c>
      <c r="D596" t="s">
        <v>10892</v>
      </c>
      <c r="E596" t="s">
        <v>10893</v>
      </c>
      <c r="F596" t="s">
        <v>10894</v>
      </c>
      <c r="G596" t="s">
        <v>19210</v>
      </c>
      <c r="H596" t="s">
        <v>19447</v>
      </c>
      <c r="I596" t="s">
        <v>18789</v>
      </c>
      <c r="K596" t="str">
        <f>HYPERLINK("http://tuberculist.epfl.ch/quicksearch.php?gene+name=Rv0577&amp;submit=Search")</f>
        <v>http://tuberculist.epfl.ch/quicksearch.php?gene+name=Rv0577&amp;submit=Search</v>
      </c>
    </row>
    <row r="597" spans="1:11">
      <c r="A597" t="s">
        <v>4159</v>
      </c>
      <c r="B597" t="s">
        <v>840</v>
      </c>
      <c r="C597" t="s">
        <v>9567</v>
      </c>
      <c r="D597" t="s">
        <v>9578</v>
      </c>
      <c r="E597" t="s">
        <v>10895</v>
      </c>
      <c r="F597" t="s">
        <v>10896</v>
      </c>
      <c r="G597" t="s">
        <v>19262</v>
      </c>
      <c r="H597" t="s">
        <v>19192</v>
      </c>
      <c r="I597" t="s">
        <v>18779</v>
      </c>
      <c r="K597" t="str">
        <f>HYPERLINK("http://tuberculist.epfl.ch/quicksearch.php?gene+name=Rv0578c&amp;submit=Search")</f>
        <v>http://tuberculist.epfl.ch/quicksearch.php?gene+name=Rv0578c&amp;submit=Search</v>
      </c>
    </row>
    <row r="598" spans="1:11">
      <c r="A598" t="s">
        <v>2017</v>
      </c>
      <c r="B598" t="s">
        <v>2017</v>
      </c>
      <c r="C598" t="s">
        <v>9567</v>
      </c>
      <c r="D598" t="s">
        <v>9578</v>
      </c>
      <c r="E598" t="s">
        <v>9579</v>
      </c>
      <c r="F598" t="s">
        <v>10897</v>
      </c>
      <c r="G598" t="s">
        <v>19212</v>
      </c>
      <c r="H598" t="s">
        <v>19211</v>
      </c>
      <c r="I598" t="s">
        <v>18780</v>
      </c>
      <c r="K598" t="str">
        <f>HYPERLINK("http://tuberculist.epfl.ch/quicksearch.php?gene+name=Rv0579&amp;submit=Search")</f>
        <v>http://tuberculist.epfl.ch/quicksearch.php?gene+name=Rv0579&amp;submit=Search</v>
      </c>
    </row>
    <row r="599" spans="1:11">
      <c r="A599" t="s">
        <v>1446</v>
      </c>
      <c r="B599" t="s">
        <v>1446</v>
      </c>
      <c r="C599" t="s">
        <v>9567</v>
      </c>
      <c r="D599" t="s">
        <v>9578</v>
      </c>
      <c r="E599" t="s">
        <v>9665</v>
      </c>
      <c r="F599" t="s">
        <v>10898</v>
      </c>
      <c r="G599" t="s">
        <v>19212</v>
      </c>
      <c r="H599" t="s">
        <v>19448</v>
      </c>
      <c r="I599" t="s">
        <v>18780</v>
      </c>
      <c r="K599" t="str">
        <f>HYPERLINK("http://tuberculist.epfl.ch/quicksearch.php?gene+name=Rv0580c&amp;submit=Search")</f>
        <v>http://tuberculist.epfl.ch/quicksearch.php?gene+name=Rv0580c&amp;submit=Search</v>
      </c>
    </row>
    <row r="600" spans="1:11">
      <c r="A600" t="s">
        <v>10899</v>
      </c>
      <c r="B600" t="s">
        <v>841</v>
      </c>
      <c r="C600" t="s">
        <v>9567</v>
      </c>
      <c r="D600" t="s">
        <v>9587</v>
      </c>
      <c r="E600" t="s">
        <v>10900</v>
      </c>
      <c r="F600" t="s">
        <v>10901</v>
      </c>
      <c r="G600" t="s">
        <v>19206</v>
      </c>
      <c r="H600" t="s">
        <v>19213</v>
      </c>
      <c r="I600" t="s">
        <v>18780</v>
      </c>
      <c r="K600" t="str">
        <f>HYPERLINK("http://tuberculist.epfl.ch/quicksearch.php?gene+name=Rv0581&amp;submit=Search")</f>
        <v>http://tuberculist.epfl.ch/quicksearch.php?gene+name=Rv0581&amp;submit=Search</v>
      </c>
    </row>
    <row r="601" spans="1:11">
      <c r="A601" t="s">
        <v>10902</v>
      </c>
      <c r="B601" t="s">
        <v>864</v>
      </c>
      <c r="C601" t="s">
        <v>9567</v>
      </c>
      <c r="D601" t="s">
        <v>9587</v>
      </c>
      <c r="E601" t="s">
        <v>10903</v>
      </c>
      <c r="F601" t="s">
        <v>10904</v>
      </c>
      <c r="G601" t="s">
        <v>19206</v>
      </c>
      <c r="H601" t="s">
        <v>19265</v>
      </c>
      <c r="I601" t="s">
        <v>18779</v>
      </c>
      <c r="K601" t="str">
        <f>HYPERLINK("http://tuberculist.epfl.ch/quicksearch.php?gene+name=Rv0582&amp;submit=Search")</f>
        <v>http://tuberculist.epfl.ch/quicksearch.php?gene+name=Rv0582&amp;submit=Search</v>
      </c>
    </row>
    <row r="602" spans="1:11">
      <c r="A602" t="s">
        <v>4812</v>
      </c>
      <c r="B602" t="s">
        <v>1164</v>
      </c>
      <c r="C602" t="s">
        <v>9567</v>
      </c>
      <c r="D602" t="s">
        <v>9587</v>
      </c>
      <c r="E602" t="s">
        <v>10905</v>
      </c>
      <c r="F602" t="s">
        <v>10906</v>
      </c>
      <c r="G602" t="s">
        <v>19188</v>
      </c>
      <c r="H602" t="s">
        <v>19449</v>
      </c>
      <c r="I602" t="s">
        <v>18780</v>
      </c>
      <c r="K602" t="str">
        <f>HYPERLINK("http://tuberculist.epfl.ch/quicksearch.php?gene+name=Rv0583c&amp;submit=Search")</f>
        <v>http://tuberculist.epfl.ch/quicksearch.php?gene+name=Rv0583c&amp;submit=Search</v>
      </c>
    </row>
    <row r="603" spans="1:11">
      <c r="A603" t="s">
        <v>3189</v>
      </c>
      <c r="B603" t="s">
        <v>3189</v>
      </c>
      <c r="C603" t="s">
        <v>9567</v>
      </c>
      <c r="D603" t="s">
        <v>9587</v>
      </c>
      <c r="E603" t="s">
        <v>10288</v>
      </c>
      <c r="F603" t="s">
        <v>10907</v>
      </c>
      <c r="G603" t="s">
        <v>19188</v>
      </c>
      <c r="I603" t="s">
        <v>18777</v>
      </c>
      <c r="K603" t="str">
        <f>HYPERLINK("http://tuberculist.epfl.ch/quicksearch.php?gene+name=Rv0584&amp;submit=Search")</f>
        <v>http://tuberculist.epfl.ch/quicksearch.php?gene+name=Rv0584&amp;submit=Search</v>
      </c>
    </row>
    <row r="604" spans="1:11">
      <c r="A604" t="s">
        <v>1975</v>
      </c>
      <c r="B604" t="s">
        <v>1975</v>
      </c>
      <c r="C604" t="s">
        <v>9567</v>
      </c>
      <c r="D604" t="s">
        <v>9587</v>
      </c>
      <c r="E604" t="s">
        <v>9668</v>
      </c>
      <c r="F604" t="s">
        <v>10908</v>
      </c>
      <c r="G604" t="s">
        <v>19188</v>
      </c>
      <c r="H604" t="s">
        <v>19450</v>
      </c>
      <c r="I604" t="s">
        <v>18779</v>
      </c>
      <c r="K604" t="str">
        <f>HYPERLINK("http://tuberculist.epfl.ch/quicksearch.php?gene+name=Rv0585c&amp;submit=Search")</f>
        <v>http://tuberculist.epfl.ch/quicksearch.php?gene+name=Rv0585c&amp;submit=Search</v>
      </c>
    </row>
    <row r="605" spans="1:11">
      <c r="A605" t="s">
        <v>10909</v>
      </c>
      <c r="B605" t="s">
        <v>2442</v>
      </c>
      <c r="C605" t="s">
        <v>9567</v>
      </c>
      <c r="D605" t="s">
        <v>9629</v>
      </c>
      <c r="E605" t="s">
        <v>10910</v>
      </c>
      <c r="F605" t="s">
        <v>10911</v>
      </c>
      <c r="G605" t="s">
        <v>19197</v>
      </c>
      <c r="H605" t="s">
        <v>19233</v>
      </c>
      <c r="I605" t="s">
        <v>18780</v>
      </c>
      <c r="K605" t="str">
        <f>HYPERLINK("http://tuberculist.epfl.ch/quicksearch.php?gene+name=Rv0586&amp;submit=Search")</f>
        <v>http://tuberculist.epfl.ch/quicksearch.php?gene+name=Rv0586&amp;submit=Search</v>
      </c>
    </row>
    <row r="606" spans="1:11">
      <c r="A606" t="s">
        <v>132</v>
      </c>
      <c r="B606" t="s">
        <v>131</v>
      </c>
      <c r="C606" t="s">
        <v>9567</v>
      </c>
      <c r="D606" t="s">
        <v>9587</v>
      </c>
      <c r="E606" t="s">
        <v>10912</v>
      </c>
      <c r="F606" t="s">
        <v>10913</v>
      </c>
      <c r="G606" t="s">
        <v>19206</v>
      </c>
      <c r="H606" t="s">
        <v>19214</v>
      </c>
      <c r="I606" t="s">
        <v>18879</v>
      </c>
      <c r="K606" t="str">
        <f>HYPERLINK("http://tuberculist.epfl.ch/quicksearch.php?gene+name=Rv0587&amp;submit=Search")</f>
        <v>http://tuberculist.epfl.ch/quicksearch.php?gene+name=Rv0587&amp;submit=Search</v>
      </c>
    </row>
    <row r="607" spans="1:11">
      <c r="A607" t="s">
        <v>8378</v>
      </c>
      <c r="B607" t="s">
        <v>2939</v>
      </c>
      <c r="C607" t="s">
        <v>9567</v>
      </c>
      <c r="D607" t="s">
        <v>9587</v>
      </c>
      <c r="E607" t="s">
        <v>10914</v>
      </c>
      <c r="F607" t="s">
        <v>10915</v>
      </c>
      <c r="G607" t="s">
        <v>19206</v>
      </c>
      <c r="H607" t="s">
        <v>19254</v>
      </c>
      <c r="I607" t="s">
        <v>18880</v>
      </c>
      <c r="K607" t="str">
        <f>HYPERLINK("http://tuberculist.epfl.ch/quicksearch.php?gene+name=Rv0588&amp;submit=Search")</f>
        <v>http://tuberculist.epfl.ch/quicksearch.php?gene+name=Rv0588&amp;submit=Search</v>
      </c>
    </row>
    <row r="608" spans="1:11">
      <c r="A608" t="s">
        <v>4724</v>
      </c>
      <c r="B608" t="s">
        <v>1121</v>
      </c>
      <c r="C608" t="s">
        <v>9567</v>
      </c>
      <c r="D608" t="s">
        <v>9981</v>
      </c>
      <c r="E608" t="s">
        <v>10916</v>
      </c>
      <c r="F608" t="s">
        <v>10917</v>
      </c>
      <c r="G608" t="s">
        <v>19206</v>
      </c>
      <c r="I608" t="s">
        <v>18881</v>
      </c>
      <c r="K608" t="str">
        <f>HYPERLINK("http://tuberculist.epfl.ch/quicksearch.php?gene+name=Rv0589&amp;submit=Search")</f>
        <v>http://tuberculist.epfl.ch/quicksearch.php?gene+name=Rv0589&amp;submit=Search</v>
      </c>
    </row>
    <row r="609" spans="1:11">
      <c r="A609" t="s">
        <v>6815</v>
      </c>
      <c r="B609" t="s">
        <v>2168</v>
      </c>
      <c r="C609" t="s">
        <v>9567</v>
      </c>
      <c r="D609" t="s">
        <v>9981</v>
      </c>
      <c r="E609" t="s">
        <v>10918</v>
      </c>
      <c r="F609" t="s">
        <v>10919</v>
      </c>
      <c r="G609" t="s">
        <v>19206</v>
      </c>
      <c r="H609" t="s">
        <v>19207</v>
      </c>
      <c r="I609" t="s">
        <v>18882</v>
      </c>
      <c r="K609" t="str">
        <f>HYPERLINK("http://tuberculist.epfl.ch/quicksearch.php?gene+name=Rv0590&amp;submit=Search")</f>
        <v>http://tuberculist.epfl.ch/quicksearch.php?gene+name=Rv0590&amp;submit=Search</v>
      </c>
    </row>
    <row r="610" spans="1:11">
      <c r="A610" t="s">
        <v>10920</v>
      </c>
      <c r="B610" t="s">
        <v>10920</v>
      </c>
      <c r="C610" t="s">
        <v>9567</v>
      </c>
      <c r="D610" t="s">
        <v>10921</v>
      </c>
      <c r="E610" t="s">
        <v>10922</v>
      </c>
      <c r="F610" t="s">
        <v>10923</v>
      </c>
      <c r="G610" t="s">
        <v>19206</v>
      </c>
      <c r="I610" t="s">
        <v>18883</v>
      </c>
      <c r="K610" t="str">
        <f>HYPERLINK("http://tuberculist.epfl.ch/quicksearch.php?gene+name=Rv0590A&amp;submit=Search")</f>
        <v>http://tuberculist.epfl.ch/quicksearch.php?gene+name=Rv0590A&amp;submit=Search</v>
      </c>
    </row>
    <row r="611" spans="1:11">
      <c r="A611" t="s">
        <v>6327</v>
      </c>
      <c r="B611" t="s">
        <v>1910</v>
      </c>
      <c r="C611" t="s">
        <v>9567</v>
      </c>
      <c r="D611" t="s">
        <v>9981</v>
      </c>
      <c r="E611" t="s">
        <v>10924</v>
      </c>
      <c r="F611" t="s">
        <v>10925</v>
      </c>
      <c r="G611" t="s">
        <v>19206</v>
      </c>
      <c r="H611" t="s">
        <v>19254</v>
      </c>
      <c r="I611" t="s">
        <v>18879</v>
      </c>
      <c r="K611" t="str">
        <f>HYPERLINK("http://tuberculist.epfl.ch/quicksearch.php?gene+name=Rv0591&amp;submit=Search")</f>
        <v>http://tuberculist.epfl.ch/quicksearch.php?gene+name=Rv0591&amp;submit=Search</v>
      </c>
    </row>
    <row r="612" spans="1:11">
      <c r="A612" t="s">
        <v>10926</v>
      </c>
      <c r="B612" t="s">
        <v>2359</v>
      </c>
      <c r="C612" t="s">
        <v>9567</v>
      </c>
      <c r="D612" t="s">
        <v>9981</v>
      </c>
      <c r="E612" t="s">
        <v>10927</v>
      </c>
      <c r="F612" t="s">
        <v>10928</v>
      </c>
      <c r="G612" t="s">
        <v>19206</v>
      </c>
      <c r="H612" t="s">
        <v>19451</v>
      </c>
      <c r="I612" t="s">
        <v>18879</v>
      </c>
      <c r="K612" t="str">
        <f>HYPERLINK("http://tuberculist.epfl.ch/quicksearch.php?gene+name=Rv0592&amp;submit=Search")</f>
        <v>http://tuberculist.epfl.ch/quicksearch.php?gene+name=Rv0592&amp;submit=Search</v>
      </c>
    </row>
    <row r="613" spans="1:11">
      <c r="A613" t="s">
        <v>7703</v>
      </c>
      <c r="B613" t="s">
        <v>2604</v>
      </c>
      <c r="C613" t="s">
        <v>9567</v>
      </c>
      <c r="D613" t="s">
        <v>9981</v>
      </c>
      <c r="E613" t="s">
        <v>10929</v>
      </c>
      <c r="F613" t="s">
        <v>10930</v>
      </c>
      <c r="G613" t="s">
        <v>19188</v>
      </c>
      <c r="I613" t="s">
        <v>18879</v>
      </c>
      <c r="K613" t="str">
        <f>HYPERLINK("http://tuberculist.epfl.ch/quicksearch.php?gene+name=Rv0593&amp;submit=Search")</f>
        <v>http://tuberculist.epfl.ch/quicksearch.php?gene+name=Rv0593&amp;submit=Search</v>
      </c>
    </row>
    <row r="614" spans="1:11">
      <c r="A614" t="s">
        <v>5141</v>
      </c>
      <c r="B614" t="s">
        <v>1322</v>
      </c>
      <c r="C614" t="s">
        <v>9567</v>
      </c>
      <c r="D614" t="s">
        <v>9990</v>
      </c>
      <c r="E614" t="s">
        <v>10931</v>
      </c>
      <c r="F614" t="s">
        <v>10932</v>
      </c>
      <c r="G614" t="s">
        <v>19206</v>
      </c>
      <c r="I614" t="s">
        <v>18884</v>
      </c>
      <c r="K614" t="str">
        <f>HYPERLINK("http://tuberculist.epfl.ch/quicksearch.php?gene+name=Rv0594&amp;submit=Search")</f>
        <v>http://tuberculist.epfl.ch/quicksearch.php?gene+name=Rv0594&amp;submit=Search</v>
      </c>
    </row>
    <row r="615" spans="1:11">
      <c r="A615" t="s">
        <v>10933</v>
      </c>
      <c r="B615" t="s">
        <v>1430</v>
      </c>
      <c r="C615" t="s">
        <v>9567</v>
      </c>
      <c r="D615" t="s">
        <v>9587</v>
      </c>
      <c r="E615" t="s">
        <v>10934</v>
      </c>
      <c r="F615" t="s">
        <v>10935</v>
      </c>
      <c r="G615" t="s">
        <v>19206</v>
      </c>
      <c r="H615" t="s">
        <v>19213</v>
      </c>
      <c r="I615" t="s">
        <v>18780</v>
      </c>
      <c r="K615" t="str">
        <f>HYPERLINK("http://tuberculist.epfl.ch/quicksearch.php?gene+name=Rv0595c&amp;submit=Search")</f>
        <v>http://tuberculist.epfl.ch/quicksearch.php?gene+name=Rv0595c&amp;submit=Search</v>
      </c>
    </row>
    <row r="616" spans="1:11">
      <c r="A616" t="s">
        <v>10936</v>
      </c>
      <c r="B616" t="s">
        <v>10937</v>
      </c>
      <c r="C616" t="s">
        <v>9567</v>
      </c>
      <c r="D616" t="s">
        <v>9587</v>
      </c>
      <c r="E616" t="s">
        <v>10938</v>
      </c>
      <c r="F616" t="s">
        <v>10939</v>
      </c>
      <c r="G616" t="s">
        <v>19206</v>
      </c>
      <c r="I616" t="s">
        <v>18773</v>
      </c>
      <c r="K616" t="str">
        <f>HYPERLINK("http://tuberculist.epfl.ch/quicksearch.php?gene+name=Rv0596c&amp;submit=Search")</f>
        <v>http://tuberculist.epfl.ch/quicksearch.php?gene+name=Rv0596c&amp;submit=Search</v>
      </c>
    </row>
    <row r="617" spans="1:11">
      <c r="A617" t="s">
        <v>2610</v>
      </c>
      <c r="B617" t="s">
        <v>2610</v>
      </c>
      <c r="C617" t="s">
        <v>9567</v>
      </c>
      <c r="D617" t="s">
        <v>9578</v>
      </c>
      <c r="E617" t="s">
        <v>9579</v>
      </c>
      <c r="F617" t="s">
        <v>10940</v>
      </c>
      <c r="G617" t="s">
        <v>19298</v>
      </c>
      <c r="H617" t="s">
        <v>19213</v>
      </c>
      <c r="I617" t="s">
        <v>18780</v>
      </c>
      <c r="K617" t="str">
        <f>HYPERLINK("http://tuberculist.epfl.ch/quicksearch.php?gene+name=Rv0597c&amp;submit=Search")</f>
        <v>http://tuberculist.epfl.ch/quicksearch.php?gene+name=Rv0597c&amp;submit=Search</v>
      </c>
    </row>
    <row r="618" spans="1:11">
      <c r="A618" t="s">
        <v>10941</v>
      </c>
      <c r="B618" t="s">
        <v>10942</v>
      </c>
      <c r="C618" t="s">
        <v>9567</v>
      </c>
      <c r="D618" t="s">
        <v>9587</v>
      </c>
      <c r="E618" t="s">
        <v>10943</v>
      </c>
      <c r="F618" t="s">
        <v>10944</v>
      </c>
      <c r="G618" t="s">
        <v>19206</v>
      </c>
      <c r="H618" t="s">
        <v>19233</v>
      </c>
      <c r="I618" t="s">
        <v>18780</v>
      </c>
      <c r="J618" t="s">
        <v>18775</v>
      </c>
      <c r="K618" t="str">
        <f>HYPERLINK("http://tuberculist.epfl.ch/quicksearch.php?gene+name=Rv0598c&amp;submit=Search")</f>
        <v>http://tuberculist.epfl.ch/quicksearch.php?gene+name=Rv0598c&amp;submit=Search</v>
      </c>
    </row>
    <row r="619" spans="1:11">
      <c r="A619" t="s">
        <v>10945</v>
      </c>
      <c r="B619" t="s">
        <v>1376</v>
      </c>
      <c r="C619" t="s">
        <v>9567</v>
      </c>
      <c r="D619" t="s">
        <v>9587</v>
      </c>
      <c r="E619" t="s">
        <v>10946</v>
      </c>
      <c r="F619" t="s">
        <v>10947</v>
      </c>
      <c r="G619" t="s">
        <v>19206</v>
      </c>
      <c r="H619" t="s">
        <v>19213</v>
      </c>
      <c r="I619" t="s">
        <v>18780</v>
      </c>
      <c r="J619" t="s">
        <v>18775</v>
      </c>
      <c r="K619" t="str">
        <f>HYPERLINK("http://tuberculist.epfl.ch/quicksearch.php?gene+name=Rv0599c&amp;submit=Search")</f>
        <v>http://tuberculist.epfl.ch/quicksearch.php?gene+name=Rv0599c&amp;submit=Search</v>
      </c>
    </row>
    <row r="620" spans="1:11">
      <c r="A620" t="s">
        <v>10948</v>
      </c>
      <c r="B620" t="s">
        <v>10948</v>
      </c>
      <c r="C620" t="s">
        <v>9567</v>
      </c>
      <c r="D620" t="s">
        <v>10949</v>
      </c>
      <c r="E620" t="s">
        <v>10950</v>
      </c>
      <c r="F620" t="s">
        <v>10951</v>
      </c>
      <c r="G620" t="s">
        <v>19197</v>
      </c>
      <c r="I620" t="s">
        <v>18780</v>
      </c>
      <c r="K620" t="str">
        <f>HYPERLINK("http://tuberculist.epfl.ch/quicksearch.php?gene+name=Rv0600c&amp;submit=Search")</f>
        <v>http://tuberculist.epfl.ch/quicksearch.php?gene+name=Rv0600c&amp;submit=Search</v>
      </c>
    </row>
    <row r="621" spans="1:11">
      <c r="A621" t="s">
        <v>10952</v>
      </c>
      <c r="B621" t="s">
        <v>10952</v>
      </c>
      <c r="C621" t="s">
        <v>9567</v>
      </c>
      <c r="D621" t="s">
        <v>10949</v>
      </c>
      <c r="E621" t="s">
        <v>10953</v>
      </c>
      <c r="F621" t="s">
        <v>10954</v>
      </c>
      <c r="G621" t="s">
        <v>19197</v>
      </c>
      <c r="I621" t="s">
        <v>18773</v>
      </c>
      <c r="K621" t="str">
        <f>HYPERLINK("http://tuberculist.epfl.ch/quicksearch.php?gene+name=Rv0601c&amp;submit=Search")</f>
        <v>http://tuberculist.epfl.ch/quicksearch.php?gene+name=Rv0601c&amp;submit=Search</v>
      </c>
    </row>
    <row r="622" spans="1:11">
      <c r="A622" t="s">
        <v>10955</v>
      </c>
      <c r="B622" t="s">
        <v>10956</v>
      </c>
      <c r="C622" t="s">
        <v>9567</v>
      </c>
      <c r="D622" t="s">
        <v>10949</v>
      </c>
      <c r="E622" t="s">
        <v>10957</v>
      </c>
      <c r="F622" t="s">
        <v>10958</v>
      </c>
      <c r="G622" t="s">
        <v>19197</v>
      </c>
      <c r="H622" t="s">
        <v>19207</v>
      </c>
      <c r="I622" t="s">
        <v>18780</v>
      </c>
      <c r="K622" t="str">
        <f>HYPERLINK("http://tuberculist.epfl.ch/quicksearch.php?gene+name=Rv0602c&amp;submit=Search")</f>
        <v>http://tuberculist.epfl.ch/quicksearch.php?gene+name=Rv0602c&amp;submit=Search</v>
      </c>
    </row>
    <row r="623" spans="1:11">
      <c r="A623" t="s">
        <v>10959</v>
      </c>
      <c r="B623" t="s">
        <v>10959</v>
      </c>
      <c r="C623" t="s">
        <v>9567</v>
      </c>
      <c r="D623" t="s">
        <v>9587</v>
      </c>
      <c r="E623" t="s">
        <v>10054</v>
      </c>
      <c r="F623" t="s">
        <v>10960</v>
      </c>
      <c r="G623" t="s">
        <v>19188</v>
      </c>
      <c r="I623" t="s">
        <v>18780</v>
      </c>
      <c r="K623" t="str">
        <f>HYPERLINK("http://tuberculist.epfl.ch/quicksearch.php?gene+name=Rv0603&amp;submit=Search")</f>
        <v>http://tuberculist.epfl.ch/quicksearch.php?gene+name=Rv0603&amp;submit=Search</v>
      </c>
    </row>
    <row r="624" spans="1:11">
      <c r="A624" t="s">
        <v>8623</v>
      </c>
      <c r="B624" t="s">
        <v>3052</v>
      </c>
      <c r="C624" t="s">
        <v>9567</v>
      </c>
      <c r="D624" t="s">
        <v>9587</v>
      </c>
      <c r="E624" t="s">
        <v>10961</v>
      </c>
      <c r="F624" t="s">
        <v>10962</v>
      </c>
      <c r="G624" t="s">
        <v>19188</v>
      </c>
      <c r="H624" t="s">
        <v>19246</v>
      </c>
      <c r="I624" t="s">
        <v>18780</v>
      </c>
      <c r="K624" t="str">
        <f>HYPERLINK("http://tuberculist.epfl.ch/quicksearch.php?gene+name=Rv0604&amp;submit=Search")</f>
        <v>http://tuberculist.epfl.ch/quicksearch.php?gene+name=Rv0604&amp;submit=Search</v>
      </c>
    </row>
    <row r="625" spans="1:11">
      <c r="A625" t="s">
        <v>969</v>
      </c>
      <c r="B625" t="s">
        <v>969</v>
      </c>
      <c r="C625" t="s">
        <v>9567</v>
      </c>
      <c r="D625" t="s">
        <v>10963</v>
      </c>
      <c r="E625" t="s">
        <v>10964</v>
      </c>
      <c r="F625" t="s">
        <v>10965</v>
      </c>
      <c r="G625" t="s">
        <v>19217</v>
      </c>
      <c r="H625" t="s">
        <v>19452</v>
      </c>
      <c r="I625" t="s">
        <v>18789</v>
      </c>
      <c r="K625" t="str">
        <f>HYPERLINK("http://tuberculist.epfl.ch/quicksearch.php?gene+name=Rv0605&amp;submit=Search")</f>
        <v>http://tuberculist.epfl.ch/quicksearch.php?gene+name=Rv0605&amp;submit=Search</v>
      </c>
    </row>
    <row r="626" spans="1:11">
      <c r="A626" t="s">
        <v>1615</v>
      </c>
      <c r="B626" t="s">
        <v>1615</v>
      </c>
      <c r="C626" t="s">
        <v>9567</v>
      </c>
      <c r="D626" t="s">
        <v>10966</v>
      </c>
      <c r="E626" t="s">
        <v>10967</v>
      </c>
      <c r="F626" t="s">
        <v>10968</v>
      </c>
      <c r="G626" t="s">
        <v>19217</v>
      </c>
      <c r="I626" t="s">
        <v>18780</v>
      </c>
      <c r="K626" t="str">
        <f>HYPERLINK("http://tuberculist.epfl.ch/quicksearch.php?gene+name=Rv0606&amp;submit=Search")</f>
        <v>http://tuberculist.epfl.ch/quicksearch.php?gene+name=Rv0606&amp;submit=Search</v>
      </c>
    </row>
    <row r="627" spans="1:11">
      <c r="A627" t="s">
        <v>10969</v>
      </c>
      <c r="B627" t="s">
        <v>10969</v>
      </c>
      <c r="C627" t="s">
        <v>9567</v>
      </c>
      <c r="D627" t="s">
        <v>9587</v>
      </c>
      <c r="E627" t="s">
        <v>9713</v>
      </c>
      <c r="F627" t="s">
        <v>10970</v>
      </c>
      <c r="G627" t="s">
        <v>19212</v>
      </c>
      <c r="I627" t="s">
        <v>18800</v>
      </c>
      <c r="K627" t="str">
        <f>HYPERLINK("http://tuberculist.epfl.ch/quicksearch.php?gene+name=Rv0607&amp;submit=Search")</f>
        <v>http://tuberculist.epfl.ch/quicksearch.php?gene+name=Rv0607&amp;submit=Search</v>
      </c>
    </row>
    <row r="628" spans="1:11">
      <c r="A628" t="s">
        <v>10971</v>
      </c>
      <c r="B628" t="s">
        <v>1129</v>
      </c>
      <c r="C628" t="s">
        <v>9567</v>
      </c>
      <c r="D628" t="s">
        <v>9587</v>
      </c>
      <c r="E628" t="s">
        <v>10972</v>
      </c>
      <c r="F628" t="s">
        <v>10973</v>
      </c>
      <c r="G628" t="s">
        <v>19206</v>
      </c>
      <c r="H628" t="s">
        <v>19214</v>
      </c>
      <c r="I628" t="s">
        <v>18773</v>
      </c>
      <c r="K628" t="str">
        <f>HYPERLINK("http://tuberculist.epfl.ch/quicksearch.php?gene+name=Rv0608&amp;submit=Search")</f>
        <v>http://tuberculist.epfl.ch/quicksearch.php?gene+name=Rv0608&amp;submit=Search</v>
      </c>
    </row>
    <row r="629" spans="1:11">
      <c r="A629" t="s">
        <v>10974</v>
      </c>
      <c r="B629" t="s">
        <v>482</v>
      </c>
      <c r="C629" t="s">
        <v>9567</v>
      </c>
      <c r="D629" t="s">
        <v>9587</v>
      </c>
      <c r="E629" t="s">
        <v>10975</v>
      </c>
      <c r="F629" t="s">
        <v>10976</v>
      </c>
      <c r="G629" t="s">
        <v>19206</v>
      </c>
      <c r="H629" t="s">
        <v>19213</v>
      </c>
      <c r="I629" t="s">
        <v>18779</v>
      </c>
      <c r="K629" t="str">
        <f>HYPERLINK("http://tuberculist.epfl.ch/quicksearch.php?gene+name=Rv0609&amp;submit=Search")</f>
        <v>http://tuberculist.epfl.ch/quicksearch.php?gene+name=Rv0609&amp;submit=Search</v>
      </c>
    </row>
    <row r="630" spans="1:11">
      <c r="A630" t="s">
        <v>10977</v>
      </c>
      <c r="B630" t="s">
        <v>10977</v>
      </c>
      <c r="C630" t="s">
        <v>9567</v>
      </c>
      <c r="D630" t="s">
        <v>9578</v>
      </c>
      <c r="E630" t="s">
        <v>9579</v>
      </c>
      <c r="F630" t="s">
        <v>10978</v>
      </c>
      <c r="G630" t="s">
        <v>19212</v>
      </c>
      <c r="I630" t="s">
        <v>18773</v>
      </c>
      <c r="K630" t="str">
        <f>HYPERLINK("http://tuberculist.epfl.ch/quicksearch.php?gene+name=Rv0609A&amp;submit=Search")</f>
        <v>http://tuberculist.epfl.ch/quicksearch.php?gene+name=Rv0609A&amp;submit=Search</v>
      </c>
    </row>
    <row r="631" spans="1:11">
      <c r="A631" t="s">
        <v>865</v>
      </c>
      <c r="B631" t="s">
        <v>865</v>
      </c>
      <c r="C631" t="s">
        <v>9567</v>
      </c>
      <c r="D631" t="s">
        <v>9587</v>
      </c>
      <c r="E631" t="s">
        <v>9713</v>
      </c>
      <c r="F631" t="s">
        <v>10979</v>
      </c>
      <c r="G631" t="s">
        <v>19212</v>
      </c>
      <c r="I631" t="s">
        <v>18780</v>
      </c>
      <c r="K631" t="str">
        <f>HYPERLINK("http://tuberculist.epfl.ch/quicksearch.php?gene+name=Rv0610c&amp;submit=Search")</f>
        <v>http://tuberculist.epfl.ch/quicksearch.php?gene+name=Rv0610c&amp;submit=Search</v>
      </c>
    </row>
    <row r="632" spans="1:11">
      <c r="A632" t="s">
        <v>894</v>
      </c>
      <c r="B632" t="s">
        <v>894</v>
      </c>
      <c r="C632" t="s">
        <v>9567</v>
      </c>
      <c r="D632" t="s">
        <v>9587</v>
      </c>
      <c r="E632" t="s">
        <v>9713</v>
      </c>
      <c r="F632" t="s">
        <v>10980</v>
      </c>
      <c r="G632" t="s">
        <v>19185</v>
      </c>
      <c r="I632" t="s">
        <v>18789</v>
      </c>
      <c r="K632" t="str">
        <f>HYPERLINK("http://tuberculist.epfl.ch/quicksearch.php?gene+name=Rv0611c&amp;submit=Search")</f>
        <v>http://tuberculist.epfl.ch/quicksearch.php?gene+name=Rv0611c&amp;submit=Search</v>
      </c>
    </row>
    <row r="633" spans="1:11">
      <c r="A633" t="s">
        <v>2053</v>
      </c>
      <c r="B633" t="s">
        <v>2053</v>
      </c>
      <c r="C633" t="s">
        <v>9567</v>
      </c>
      <c r="D633" t="s">
        <v>9578</v>
      </c>
      <c r="E633" t="s">
        <v>9579</v>
      </c>
      <c r="F633" t="s">
        <v>10981</v>
      </c>
      <c r="G633" t="s">
        <v>19212</v>
      </c>
      <c r="I633" t="s">
        <v>18780</v>
      </c>
      <c r="K633" t="str">
        <f>HYPERLINK("http://tuberculist.epfl.ch/quicksearch.php?gene+name=Rv0612&amp;submit=Search")</f>
        <v>http://tuberculist.epfl.ch/quicksearch.php?gene+name=Rv0612&amp;submit=Search</v>
      </c>
    </row>
    <row r="634" spans="1:11">
      <c r="A634" t="s">
        <v>2256</v>
      </c>
      <c r="B634" t="s">
        <v>2256</v>
      </c>
      <c r="C634" t="s">
        <v>9567</v>
      </c>
      <c r="D634" t="s">
        <v>9587</v>
      </c>
      <c r="E634" t="s">
        <v>9768</v>
      </c>
      <c r="F634" t="s">
        <v>10982</v>
      </c>
      <c r="G634" t="s">
        <v>19210</v>
      </c>
      <c r="H634" t="s">
        <v>19453</v>
      </c>
      <c r="I634" t="s">
        <v>18789</v>
      </c>
      <c r="J634" t="s">
        <v>18775</v>
      </c>
      <c r="K634" t="str">
        <f>HYPERLINK("http://tuberculist.epfl.ch/quicksearch.php?gene+name=Rv0613c&amp;submit=Search")</f>
        <v>http://tuberculist.epfl.ch/quicksearch.php?gene+name=Rv0613c&amp;submit=Search</v>
      </c>
    </row>
    <row r="635" spans="1:11">
      <c r="A635" t="s">
        <v>1271</v>
      </c>
      <c r="B635" t="s">
        <v>1271</v>
      </c>
      <c r="C635" t="s">
        <v>9567</v>
      </c>
      <c r="D635" t="s">
        <v>9578</v>
      </c>
      <c r="E635" t="s">
        <v>9579</v>
      </c>
      <c r="F635" t="s">
        <v>10983</v>
      </c>
      <c r="G635" t="s">
        <v>19212</v>
      </c>
      <c r="I635" t="s">
        <v>18780</v>
      </c>
      <c r="K635" t="str">
        <f>HYPERLINK("http://tuberculist.epfl.ch/quicksearch.php?gene+name=Rv0614&amp;submit=Search")</f>
        <v>http://tuberculist.epfl.ch/quicksearch.php?gene+name=Rv0614&amp;submit=Search</v>
      </c>
    </row>
    <row r="636" spans="1:11">
      <c r="A636" t="s">
        <v>10984</v>
      </c>
      <c r="B636" t="s">
        <v>10984</v>
      </c>
      <c r="C636" t="s">
        <v>9567</v>
      </c>
      <c r="D636" t="s">
        <v>9587</v>
      </c>
      <c r="E636" t="s">
        <v>10806</v>
      </c>
      <c r="F636" t="s">
        <v>10985</v>
      </c>
      <c r="G636" t="s">
        <v>19188</v>
      </c>
      <c r="I636" t="s">
        <v>18780</v>
      </c>
      <c r="K636" t="str">
        <f>HYPERLINK("http://tuberculist.epfl.ch/quicksearch.php?gene+name=Rv0615&amp;submit=Search")</f>
        <v>http://tuberculist.epfl.ch/quicksearch.php?gene+name=Rv0615&amp;submit=Search</v>
      </c>
    </row>
    <row r="637" spans="1:11">
      <c r="A637" t="s">
        <v>10986</v>
      </c>
      <c r="B637" t="s">
        <v>3122</v>
      </c>
      <c r="C637" t="s">
        <v>9567</v>
      </c>
      <c r="D637" t="s">
        <v>9587</v>
      </c>
      <c r="E637" t="s">
        <v>10987</v>
      </c>
      <c r="F637" t="s">
        <v>10988</v>
      </c>
      <c r="G637" t="s">
        <v>19206</v>
      </c>
      <c r="H637" t="s">
        <v>19233</v>
      </c>
      <c r="I637" t="s">
        <v>18773</v>
      </c>
      <c r="K637" t="str">
        <f>HYPERLINK("http://tuberculist.epfl.ch/quicksearch.php?gene+name=Rv0616A&amp;submit=Search")</f>
        <v>http://tuberculist.epfl.ch/quicksearch.php?gene+name=Rv0616A&amp;submit=Search</v>
      </c>
    </row>
    <row r="638" spans="1:11">
      <c r="A638" t="s">
        <v>10989</v>
      </c>
      <c r="B638" t="s">
        <v>10989</v>
      </c>
      <c r="C638" t="s">
        <v>9567</v>
      </c>
      <c r="D638" t="s">
        <v>9587</v>
      </c>
      <c r="E638" t="s">
        <v>9713</v>
      </c>
      <c r="F638" t="s">
        <v>10990</v>
      </c>
      <c r="G638" t="s">
        <v>19212</v>
      </c>
      <c r="I638" t="s">
        <v>18793</v>
      </c>
      <c r="J638" t="s">
        <v>18809</v>
      </c>
      <c r="K638" t="str">
        <f>HYPERLINK("http://tuberculist.epfl.ch/quicksearch.php?gene+name=Rv0616c&amp;submit=Search")</f>
        <v>http://tuberculist.epfl.ch/quicksearch.php?gene+name=Rv0616c&amp;submit=Search</v>
      </c>
    </row>
    <row r="639" spans="1:11">
      <c r="A639" t="s">
        <v>10991</v>
      </c>
      <c r="B639" t="s">
        <v>3116</v>
      </c>
      <c r="C639" t="s">
        <v>9567</v>
      </c>
      <c r="D639" t="s">
        <v>9587</v>
      </c>
      <c r="E639" t="s">
        <v>10992</v>
      </c>
      <c r="F639" t="s">
        <v>10993</v>
      </c>
      <c r="G639" t="s">
        <v>19206</v>
      </c>
      <c r="H639" t="s">
        <v>19233</v>
      </c>
      <c r="I639" t="s">
        <v>18780</v>
      </c>
      <c r="K639" t="str">
        <f>HYPERLINK("http://tuberculist.epfl.ch/quicksearch.php?gene+name=Rv0617&amp;submit=Search")</f>
        <v>http://tuberculist.epfl.ch/quicksearch.php?gene+name=Rv0617&amp;submit=Search</v>
      </c>
    </row>
    <row r="640" spans="1:11">
      <c r="A640" t="s">
        <v>10994</v>
      </c>
      <c r="B640" t="s">
        <v>1295</v>
      </c>
      <c r="C640" t="s">
        <v>9567</v>
      </c>
      <c r="D640" t="s">
        <v>10995</v>
      </c>
      <c r="E640" t="s">
        <v>10996</v>
      </c>
      <c r="F640" t="s">
        <v>10997</v>
      </c>
      <c r="G640" t="s">
        <v>19195</v>
      </c>
      <c r="I640" t="s">
        <v>18793</v>
      </c>
      <c r="K640" t="str">
        <f>HYPERLINK("http://tuberculist.epfl.ch/quicksearch.php?gene+name=Rv0618&amp;submit=Search")</f>
        <v>http://tuberculist.epfl.ch/quicksearch.php?gene+name=Rv0618&amp;submit=Search</v>
      </c>
    </row>
    <row r="641" spans="1:11">
      <c r="A641" t="s">
        <v>10998</v>
      </c>
      <c r="B641" t="s">
        <v>10999</v>
      </c>
      <c r="C641" t="s">
        <v>9567</v>
      </c>
      <c r="D641" t="s">
        <v>10995</v>
      </c>
      <c r="E641" t="s">
        <v>11000</v>
      </c>
      <c r="F641" t="s">
        <v>11001</v>
      </c>
      <c r="G641" t="s">
        <v>19195</v>
      </c>
      <c r="I641" t="s">
        <v>18777</v>
      </c>
      <c r="K641" t="str">
        <f>HYPERLINK("http://tuberculist.epfl.ch/quicksearch.php?gene+name=Rv0619&amp;submit=Search")</f>
        <v>http://tuberculist.epfl.ch/quicksearch.php?gene+name=Rv0619&amp;submit=Search</v>
      </c>
    </row>
    <row r="642" spans="1:11">
      <c r="A642" t="s">
        <v>6568</v>
      </c>
      <c r="B642" t="s">
        <v>2037</v>
      </c>
      <c r="C642" t="s">
        <v>9567</v>
      </c>
      <c r="D642" t="s">
        <v>11002</v>
      </c>
      <c r="E642" t="s">
        <v>11003</v>
      </c>
      <c r="F642" t="s">
        <v>11004</v>
      </c>
      <c r="G642" t="s">
        <v>19195</v>
      </c>
      <c r="I642" t="s">
        <v>18779</v>
      </c>
      <c r="K642" t="str">
        <f>HYPERLINK("http://tuberculist.epfl.ch/quicksearch.php?gene+name=Rv0620&amp;submit=Search")</f>
        <v>http://tuberculist.epfl.ch/quicksearch.php?gene+name=Rv0620&amp;submit=Search</v>
      </c>
    </row>
    <row r="643" spans="1:11">
      <c r="A643" t="s">
        <v>1209</v>
      </c>
      <c r="B643" t="s">
        <v>1209</v>
      </c>
      <c r="C643" t="s">
        <v>9567</v>
      </c>
      <c r="D643" t="s">
        <v>9587</v>
      </c>
      <c r="E643" t="s">
        <v>9590</v>
      </c>
      <c r="F643" t="s">
        <v>11005</v>
      </c>
      <c r="G643" t="s">
        <v>19188</v>
      </c>
      <c r="I643" t="s">
        <v>18779</v>
      </c>
      <c r="K643" t="str">
        <f>HYPERLINK("http://tuberculist.epfl.ch/quicksearch.php?gene+name=Rv0621&amp;submit=Search")</f>
        <v>http://tuberculist.epfl.ch/quicksearch.php?gene+name=Rv0621&amp;submit=Search</v>
      </c>
    </row>
    <row r="644" spans="1:11">
      <c r="A644" t="s">
        <v>1199</v>
      </c>
      <c r="B644" t="s">
        <v>1199</v>
      </c>
      <c r="C644" t="s">
        <v>9567</v>
      </c>
      <c r="D644" t="s">
        <v>9587</v>
      </c>
      <c r="E644" t="s">
        <v>9590</v>
      </c>
      <c r="F644" t="s">
        <v>11006</v>
      </c>
      <c r="G644" t="s">
        <v>19188</v>
      </c>
      <c r="I644" t="s">
        <v>18818</v>
      </c>
      <c r="K644" t="str">
        <f>HYPERLINK("http://tuberculist.epfl.ch/quicksearch.php?gene+name=Rv0622&amp;submit=Search")</f>
        <v>http://tuberculist.epfl.ch/quicksearch.php?gene+name=Rv0622&amp;submit=Search</v>
      </c>
    </row>
    <row r="645" spans="1:11">
      <c r="A645" t="s">
        <v>11007</v>
      </c>
      <c r="B645" t="s">
        <v>851</v>
      </c>
      <c r="C645" t="s">
        <v>9567</v>
      </c>
      <c r="D645" t="s">
        <v>9587</v>
      </c>
      <c r="E645" t="s">
        <v>11008</v>
      </c>
      <c r="F645" t="s">
        <v>11009</v>
      </c>
      <c r="G645" t="s">
        <v>19206</v>
      </c>
      <c r="H645" t="s">
        <v>19213</v>
      </c>
      <c r="I645" t="s">
        <v>18779</v>
      </c>
      <c r="K645" t="str">
        <f>HYPERLINK("http://tuberculist.epfl.ch/quicksearch.php?gene+name=Rv0623&amp;submit=Search")</f>
        <v>http://tuberculist.epfl.ch/quicksearch.php?gene+name=Rv0623&amp;submit=Search</v>
      </c>
    </row>
    <row r="646" spans="1:11">
      <c r="A646" t="s">
        <v>11010</v>
      </c>
      <c r="B646" t="s">
        <v>11011</v>
      </c>
      <c r="C646" t="s">
        <v>9567</v>
      </c>
      <c r="D646" t="s">
        <v>9587</v>
      </c>
      <c r="E646" t="s">
        <v>11012</v>
      </c>
      <c r="F646" t="s">
        <v>11013</v>
      </c>
      <c r="G646" t="s">
        <v>19206</v>
      </c>
      <c r="H646" t="s">
        <v>19287</v>
      </c>
      <c r="I646" t="s">
        <v>18789</v>
      </c>
      <c r="K646" t="str">
        <f>HYPERLINK("http://tuberculist.epfl.ch/quicksearch.php?gene+name=Rv0624&amp;submit=Search")</f>
        <v>http://tuberculist.epfl.ch/quicksearch.php?gene+name=Rv0624&amp;submit=Search</v>
      </c>
    </row>
    <row r="647" spans="1:11">
      <c r="A647" t="s">
        <v>11014</v>
      </c>
      <c r="B647" t="s">
        <v>11014</v>
      </c>
      <c r="C647" t="s">
        <v>9567</v>
      </c>
      <c r="D647" t="s">
        <v>9587</v>
      </c>
      <c r="E647" t="s">
        <v>9597</v>
      </c>
      <c r="F647" t="s">
        <v>11015</v>
      </c>
      <c r="G647" t="s">
        <v>19188</v>
      </c>
      <c r="H647" t="s">
        <v>19454</v>
      </c>
      <c r="I647" t="s">
        <v>18780</v>
      </c>
      <c r="K647" t="str">
        <f>HYPERLINK("http://tuberculist.epfl.ch/quicksearch.php?gene+name=Rv0625c&amp;submit=Search")</f>
        <v>http://tuberculist.epfl.ch/quicksearch.php?gene+name=Rv0625c&amp;submit=Search</v>
      </c>
    </row>
    <row r="648" spans="1:11">
      <c r="A648" t="s">
        <v>11016</v>
      </c>
      <c r="B648" t="s">
        <v>1730</v>
      </c>
      <c r="C648" t="s">
        <v>9567</v>
      </c>
      <c r="D648" t="s">
        <v>11017</v>
      </c>
      <c r="E648" t="s">
        <v>11018</v>
      </c>
      <c r="F648" t="s">
        <v>11019</v>
      </c>
      <c r="G648" t="s">
        <v>19206</v>
      </c>
      <c r="I648" t="s">
        <v>18793</v>
      </c>
      <c r="K648" t="str">
        <f>HYPERLINK("http://tuberculist.epfl.ch/quicksearch.php?gene+name=Rv0626&amp;submit=Search")</f>
        <v>http://tuberculist.epfl.ch/quicksearch.php?gene+name=Rv0626&amp;submit=Search</v>
      </c>
    </row>
    <row r="649" spans="1:11">
      <c r="A649" t="s">
        <v>11020</v>
      </c>
      <c r="B649" t="s">
        <v>1625</v>
      </c>
      <c r="C649" t="s">
        <v>9567</v>
      </c>
      <c r="D649" t="s">
        <v>9587</v>
      </c>
      <c r="E649" t="s">
        <v>11021</v>
      </c>
      <c r="F649" t="s">
        <v>11022</v>
      </c>
      <c r="G649" t="s">
        <v>19206</v>
      </c>
      <c r="H649" t="s">
        <v>19233</v>
      </c>
      <c r="I649" t="s">
        <v>18800</v>
      </c>
      <c r="K649" t="str">
        <f>HYPERLINK("http://tuberculist.epfl.ch/quicksearch.php?gene+name=Rv0627&amp;submit=Search")</f>
        <v>http://tuberculist.epfl.ch/quicksearch.php?gene+name=Rv0627&amp;submit=Search</v>
      </c>
    </row>
    <row r="650" spans="1:11">
      <c r="A650" t="s">
        <v>1130</v>
      </c>
      <c r="B650" t="s">
        <v>1130</v>
      </c>
      <c r="C650" t="s">
        <v>9567</v>
      </c>
      <c r="D650" t="s">
        <v>9578</v>
      </c>
      <c r="E650" t="s">
        <v>9579</v>
      </c>
      <c r="F650" t="s">
        <v>11023</v>
      </c>
      <c r="G650" t="s">
        <v>19185</v>
      </c>
      <c r="I650" t="s">
        <v>18801</v>
      </c>
      <c r="K650" t="str">
        <f>HYPERLINK("http://tuberculist.epfl.ch/quicksearch.php?gene+name=Rv0628c&amp;submit=Search")</f>
        <v>http://tuberculist.epfl.ch/quicksearch.php?gene+name=Rv0628c&amp;submit=Search</v>
      </c>
    </row>
    <row r="651" spans="1:11">
      <c r="A651" t="s">
        <v>11024</v>
      </c>
      <c r="B651" t="s">
        <v>11025</v>
      </c>
      <c r="C651" t="s">
        <v>9567</v>
      </c>
      <c r="D651" t="s">
        <v>11026</v>
      </c>
      <c r="E651" t="s">
        <v>11027</v>
      </c>
      <c r="F651" t="s">
        <v>11028</v>
      </c>
      <c r="G651" t="s">
        <v>19181</v>
      </c>
      <c r="H651" t="s">
        <v>19358</v>
      </c>
      <c r="I651" t="s">
        <v>18780</v>
      </c>
      <c r="K651" t="str">
        <f>HYPERLINK("http://tuberculist.epfl.ch/quicksearch.php?gene+name=Rv0629c&amp;submit=Search")</f>
        <v>http://tuberculist.epfl.ch/quicksearch.php?gene+name=Rv0629c&amp;submit=Search</v>
      </c>
    </row>
    <row r="652" spans="1:11">
      <c r="A652" t="s">
        <v>11029</v>
      </c>
      <c r="B652" t="s">
        <v>1801</v>
      </c>
      <c r="C652" t="s">
        <v>9567</v>
      </c>
      <c r="D652" t="s">
        <v>11026</v>
      </c>
      <c r="E652" t="s">
        <v>11030</v>
      </c>
      <c r="F652" t="s">
        <v>11031</v>
      </c>
      <c r="G652" t="s">
        <v>19181</v>
      </c>
      <c r="H652" t="s">
        <v>19455</v>
      </c>
      <c r="I652" t="s">
        <v>18773</v>
      </c>
      <c r="K652" t="str">
        <f>HYPERLINK("http://tuberculist.epfl.ch/quicksearch.php?gene+name=Rv0630c&amp;submit=Search")</f>
        <v>http://tuberculist.epfl.ch/quicksearch.php?gene+name=Rv0630c&amp;submit=Search</v>
      </c>
    </row>
    <row r="653" spans="1:11">
      <c r="A653" t="s">
        <v>7613</v>
      </c>
      <c r="B653" t="s">
        <v>2559</v>
      </c>
      <c r="C653" t="s">
        <v>9567</v>
      </c>
      <c r="D653" t="s">
        <v>11026</v>
      </c>
      <c r="E653" t="s">
        <v>11032</v>
      </c>
      <c r="F653" t="s">
        <v>11033</v>
      </c>
      <c r="G653" t="s">
        <v>19181</v>
      </c>
      <c r="H653" t="s">
        <v>19456</v>
      </c>
      <c r="I653" t="s">
        <v>18793</v>
      </c>
      <c r="K653" t="str">
        <f>HYPERLINK("http://tuberculist.epfl.ch/quicksearch.php?gene+name=Rv0631c&amp;submit=Search")</f>
        <v>http://tuberculist.epfl.ch/quicksearch.php?gene+name=Rv0631c&amp;submit=Search</v>
      </c>
    </row>
    <row r="654" spans="1:11">
      <c r="A654" t="s">
        <v>6937</v>
      </c>
      <c r="B654" t="s">
        <v>2232</v>
      </c>
      <c r="C654" t="s">
        <v>9567</v>
      </c>
      <c r="D654" t="s">
        <v>10092</v>
      </c>
      <c r="E654" t="s">
        <v>11034</v>
      </c>
      <c r="F654" t="s">
        <v>11035</v>
      </c>
      <c r="G654" t="s">
        <v>19219</v>
      </c>
      <c r="H654" t="s">
        <v>19457</v>
      </c>
      <c r="I654" t="s">
        <v>18777</v>
      </c>
      <c r="K654" t="str">
        <f>HYPERLINK("http://tuberculist.epfl.ch/quicksearch.php?gene+name=Rv0632c&amp;submit=Search")</f>
        <v>http://tuberculist.epfl.ch/quicksearch.php?gene+name=Rv0632c&amp;submit=Search</v>
      </c>
    </row>
    <row r="655" spans="1:11">
      <c r="A655" t="s">
        <v>1040</v>
      </c>
      <c r="B655" t="s">
        <v>1040</v>
      </c>
      <c r="C655" t="s">
        <v>9567</v>
      </c>
      <c r="D655" t="s">
        <v>9587</v>
      </c>
      <c r="E655" t="s">
        <v>10054</v>
      </c>
      <c r="F655" t="s">
        <v>11036</v>
      </c>
      <c r="G655" t="s">
        <v>19188</v>
      </c>
      <c r="H655" t="s">
        <v>19192</v>
      </c>
      <c r="I655" t="s">
        <v>18793</v>
      </c>
      <c r="K655" t="str">
        <f>HYPERLINK("http://tuberculist.epfl.ch/quicksearch.php?gene+name=Rv0633c&amp;submit=Search")</f>
        <v>http://tuberculist.epfl.ch/quicksearch.php?gene+name=Rv0633c&amp;submit=Search</v>
      </c>
    </row>
    <row r="656" spans="1:11">
      <c r="A656" t="s">
        <v>2620</v>
      </c>
      <c r="B656" t="s">
        <v>2620</v>
      </c>
      <c r="C656" t="s">
        <v>9567</v>
      </c>
      <c r="D656" t="s">
        <v>9587</v>
      </c>
      <c r="E656" t="s">
        <v>9768</v>
      </c>
      <c r="F656" t="s">
        <v>11037</v>
      </c>
      <c r="G656" t="s">
        <v>19185</v>
      </c>
      <c r="H656" t="s">
        <v>19458</v>
      </c>
      <c r="I656" t="s">
        <v>18773</v>
      </c>
      <c r="K656" t="str">
        <f>HYPERLINK("http://tuberculist.epfl.ch/quicksearch.php?gene+name=Rv0634A&amp;submit=Search")</f>
        <v>http://tuberculist.epfl.ch/quicksearch.php?gene+name=Rv0634A&amp;submit=Search</v>
      </c>
    </row>
    <row r="657" spans="1:11">
      <c r="A657" t="s">
        <v>11038</v>
      </c>
      <c r="B657" t="s">
        <v>2054</v>
      </c>
      <c r="C657" t="s">
        <v>9567</v>
      </c>
      <c r="D657" t="s">
        <v>11039</v>
      </c>
      <c r="E657" t="s">
        <v>11040</v>
      </c>
      <c r="F657" t="s">
        <v>11041</v>
      </c>
      <c r="G657" t="s">
        <v>19181</v>
      </c>
      <c r="H657" t="s">
        <v>19214</v>
      </c>
      <c r="I657" t="s">
        <v>18773</v>
      </c>
      <c r="K657" t="str">
        <f>HYPERLINK("http://tuberculist.epfl.ch/quicksearch.php?gene+name=Rv0634B&amp;submit=Search")</f>
        <v>http://tuberculist.epfl.ch/quicksearch.php?gene+name=Rv0634B&amp;submit=Search</v>
      </c>
    </row>
    <row r="658" spans="1:11">
      <c r="A658" t="s">
        <v>207</v>
      </c>
      <c r="B658" t="s">
        <v>207</v>
      </c>
      <c r="C658" t="s">
        <v>9567</v>
      </c>
      <c r="D658" t="s">
        <v>11042</v>
      </c>
      <c r="E658" t="s">
        <v>11043</v>
      </c>
      <c r="F658" t="s">
        <v>11044</v>
      </c>
      <c r="G658" t="s">
        <v>19206</v>
      </c>
      <c r="H658" t="s">
        <v>19233</v>
      </c>
      <c r="I658" t="s">
        <v>18780</v>
      </c>
      <c r="K658" t="str">
        <f>HYPERLINK("http://tuberculist.epfl.ch/quicksearch.php?gene+name=Rv0634c&amp;submit=Search")</f>
        <v>http://tuberculist.epfl.ch/quicksearch.php?gene+name=Rv0634c&amp;submit=Search</v>
      </c>
    </row>
    <row r="659" spans="1:11">
      <c r="A659" t="s">
        <v>11045</v>
      </c>
      <c r="B659" t="s">
        <v>2437</v>
      </c>
      <c r="C659" t="s">
        <v>9567</v>
      </c>
      <c r="D659" t="s">
        <v>10139</v>
      </c>
      <c r="E659" t="s">
        <v>7350</v>
      </c>
      <c r="F659" t="s">
        <v>11046</v>
      </c>
      <c r="G659" t="s">
        <v>19195</v>
      </c>
      <c r="H659" t="s">
        <v>19459</v>
      </c>
      <c r="I659" t="s">
        <v>18774</v>
      </c>
      <c r="K659" t="str">
        <f>HYPERLINK("http://tuberculist.epfl.ch/quicksearch.php?gene+name=Rv0635&amp;submit=Search")</f>
        <v>http://tuberculist.epfl.ch/quicksearch.php?gene+name=Rv0635&amp;submit=Search</v>
      </c>
    </row>
    <row r="660" spans="1:11">
      <c r="A660" t="s">
        <v>11047</v>
      </c>
      <c r="B660" t="s">
        <v>2342</v>
      </c>
      <c r="C660" t="s">
        <v>9567</v>
      </c>
      <c r="D660" t="s">
        <v>10139</v>
      </c>
      <c r="E660" t="s">
        <v>7160</v>
      </c>
      <c r="F660" t="s">
        <v>11048</v>
      </c>
      <c r="G660" t="s">
        <v>19195</v>
      </c>
      <c r="H660" t="s">
        <v>19460</v>
      </c>
      <c r="I660" t="s">
        <v>18885</v>
      </c>
      <c r="J660" t="s">
        <v>18775</v>
      </c>
      <c r="K660" t="str">
        <f>HYPERLINK("http://tuberculist.epfl.ch/quicksearch.php?gene+name=Rv0636&amp;submit=Search")</f>
        <v>http://tuberculist.epfl.ch/quicksearch.php?gene+name=Rv0636&amp;submit=Search</v>
      </c>
    </row>
    <row r="661" spans="1:11">
      <c r="A661" t="s">
        <v>11049</v>
      </c>
      <c r="B661" t="s">
        <v>2246</v>
      </c>
      <c r="C661" t="s">
        <v>9567</v>
      </c>
      <c r="D661" t="s">
        <v>10139</v>
      </c>
      <c r="E661" t="s">
        <v>6970</v>
      </c>
      <c r="F661" t="s">
        <v>11050</v>
      </c>
      <c r="G661" t="s">
        <v>19195</v>
      </c>
      <c r="H661" t="s">
        <v>19196</v>
      </c>
      <c r="I661" t="s">
        <v>18788</v>
      </c>
      <c r="J661" t="s">
        <v>18775</v>
      </c>
      <c r="K661" t="str">
        <f>HYPERLINK("http://tuberculist.epfl.ch/quicksearch.php?gene+name=Rv0637&amp;submit=Search")</f>
        <v>http://tuberculist.epfl.ch/quicksearch.php?gene+name=Rv0637&amp;submit=Search</v>
      </c>
    </row>
    <row r="662" spans="1:11">
      <c r="A662" t="s">
        <v>11051</v>
      </c>
      <c r="B662" t="s">
        <v>654</v>
      </c>
      <c r="C662" t="s">
        <v>9567</v>
      </c>
      <c r="D662" t="s">
        <v>11052</v>
      </c>
      <c r="E662" t="s">
        <v>11053</v>
      </c>
      <c r="F662" t="s">
        <v>11054</v>
      </c>
      <c r="G662" t="s">
        <v>19188</v>
      </c>
      <c r="H662" t="s">
        <v>19461</v>
      </c>
      <c r="I662" t="s">
        <v>18774</v>
      </c>
      <c r="K662" t="str">
        <f>HYPERLINK("http://tuberculist.epfl.ch/quicksearch.php?gene+name=Rv0638&amp;submit=Search")</f>
        <v>http://tuberculist.epfl.ch/quicksearch.php?gene+name=Rv0638&amp;submit=Search</v>
      </c>
    </row>
    <row r="663" spans="1:11">
      <c r="A663" t="s">
        <v>4898</v>
      </c>
      <c r="B663" t="s">
        <v>1205</v>
      </c>
      <c r="C663" t="s">
        <v>9567</v>
      </c>
      <c r="D663" t="s">
        <v>11055</v>
      </c>
      <c r="E663" t="s">
        <v>11056</v>
      </c>
      <c r="F663" t="s">
        <v>11057</v>
      </c>
      <c r="G663" t="s">
        <v>19181</v>
      </c>
      <c r="H663" t="s">
        <v>19462</v>
      </c>
      <c r="I663" t="s">
        <v>18776</v>
      </c>
      <c r="J663" t="s">
        <v>18806</v>
      </c>
      <c r="K663" t="str">
        <f>HYPERLINK("http://tuberculist.epfl.ch/quicksearch.php?gene+name=Rv0639&amp;submit=Search")</f>
        <v>http://tuberculist.epfl.ch/quicksearch.php?gene+name=Rv0639&amp;submit=Search</v>
      </c>
    </row>
    <row r="664" spans="1:11">
      <c r="A664" t="s">
        <v>8741</v>
      </c>
      <c r="B664" t="s">
        <v>3111</v>
      </c>
      <c r="C664" t="s">
        <v>9567</v>
      </c>
      <c r="D664" t="s">
        <v>11058</v>
      </c>
      <c r="E664" t="s">
        <v>11059</v>
      </c>
      <c r="F664" t="s">
        <v>11060</v>
      </c>
      <c r="G664" t="s">
        <v>19181</v>
      </c>
      <c r="H664" t="s">
        <v>19463</v>
      </c>
      <c r="I664" t="s">
        <v>18774</v>
      </c>
      <c r="K664" t="str">
        <f>HYPERLINK("http://tuberculist.epfl.ch/quicksearch.php?gene+name=Rv0640&amp;submit=Search")</f>
        <v>http://tuberculist.epfl.ch/quicksearch.php?gene+name=Rv0640&amp;submit=Search</v>
      </c>
    </row>
    <row r="665" spans="1:11">
      <c r="A665" t="s">
        <v>4656</v>
      </c>
      <c r="B665" t="s">
        <v>1086</v>
      </c>
      <c r="C665" t="s">
        <v>9567</v>
      </c>
      <c r="D665" t="s">
        <v>11061</v>
      </c>
      <c r="E665" t="s">
        <v>11062</v>
      </c>
      <c r="F665" t="s">
        <v>11063</v>
      </c>
      <c r="G665" t="s">
        <v>19181</v>
      </c>
      <c r="H665" t="s">
        <v>19464</v>
      </c>
      <c r="I665" t="s">
        <v>18788</v>
      </c>
      <c r="J665" t="s">
        <v>18775</v>
      </c>
      <c r="K665" t="str">
        <f>HYPERLINK("http://tuberculist.epfl.ch/quicksearch.php?gene+name=Rv0641&amp;submit=Search")</f>
        <v>http://tuberculist.epfl.ch/quicksearch.php?gene+name=Rv0641&amp;submit=Search</v>
      </c>
    </row>
    <row r="666" spans="1:11">
      <c r="A666" t="s">
        <v>7229</v>
      </c>
      <c r="B666" t="s">
        <v>2374</v>
      </c>
      <c r="C666" t="s">
        <v>9567</v>
      </c>
      <c r="D666" t="s">
        <v>11064</v>
      </c>
      <c r="E666" t="s">
        <v>11065</v>
      </c>
      <c r="F666" t="s">
        <v>11066</v>
      </c>
      <c r="G666" t="s">
        <v>19219</v>
      </c>
      <c r="H666" t="s">
        <v>19465</v>
      </c>
      <c r="I666" t="s">
        <v>18795</v>
      </c>
      <c r="K666" t="str">
        <f>HYPERLINK("http://tuberculist.epfl.ch/quicksearch.php?gene+name=Rv0642c&amp;submit=Search")</f>
        <v>http://tuberculist.epfl.ch/quicksearch.php?gene+name=Rv0642c&amp;submit=Search</v>
      </c>
    </row>
    <row r="667" spans="1:11">
      <c r="A667" t="s">
        <v>3733</v>
      </c>
      <c r="B667" t="s">
        <v>627</v>
      </c>
      <c r="C667" t="s">
        <v>9567</v>
      </c>
      <c r="D667" t="s">
        <v>11064</v>
      </c>
      <c r="E667" t="s">
        <v>11067</v>
      </c>
      <c r="F667" t="s">
        <v>11068</v>
      </c>
      <c r="G667" t="s">
        <v>19219</v>
      </c>
      <c r="H667" t="s">
        <v>19196</v>
      </c>
      <c r="I667" t="s">
        <v>18810</v>
      </c>
      <c r="K667" t="str">
        <f>HYPERLINK("http://tuberculist.epfl.ch/quicksearch.php?gene+name=Rv0643c&amp;submit=Search")</f>
        <v>http://tuberculist.epfl.ch/quicksearch.php?gene+name=Rv0643c&amp;submit=Search</v>
      </c>
    </row>
    <row r="668" spans="1:11">
      <c r="A668" t="s">
        <v>8566</v>
      </c>
      <c r="B668" t="s">
        <v>3025</v>
      </c>
      <c r="C668" t="s">
        <v>9567</v>
      </c>
      <c r="D668" t="s">
        <v>11069</v>
      </c>
      <c r="E668" t="s">
        <v>11070</v>
      </c>
      <c r="F668" t="s">
        <v>11071</v>
      </c>
      <c r="G668" t="s">
        <v>19219</v>
      </c>
      <c r="H668" t="s">
        <v>19459</v>
      </c>
      <c r="I668" t="s">
        <v>18789</v>
      </c>
      <c r="K668" t="str">
        <f>HYPERLINK("http://tuberculist.epfl.ch/quicksearch.php?gene+name=Rv0644c&amp;submit=Search")</f>
        <v>http://tuberculist.epfl.ch/quicksearch.php?gene+name=Rv0644c&amp;submit=Search</v>
      </c>
    </row>
    <row r="669" spans="1:11">
      <c r="A669" t="s">
        <v>6720</v>
      </c>
      <c r="B669" t="s">
        <v>2120</v>
      </c>
      <c r="C669" t="s">
        <v>9567</v>
      </c>
      <c r="D669" t="s">
        <v>11064</v>
      </c>
      <c r="E669" t="s">
        <v>11072</v>
      </c>
      <c r="F669" t="s">
        <v>11073</v>
      </c>
      <c r="G669" t="s">
        <v>19219</v>
      </c>
      <c r="H669" t="s">
        <v>19229</v>
      </c>
      <c r="I669" t="s">
        <v>18789</v>
      </c>
      <c r="K669" t="str">
        <f>HYPERLINK("http://tuberculist.epfl.ch/quicksearch.php?gene+name=Rv0645c&amp;submit=Search")</f>
        <v>http://tuberculist.epfl.ch/quicksearch.php?gene+name=Rv0645c&amp;submit=Search</v>
      </c>
    </row>
    <row r="670" spans="1:11">
      <c r="A670" t="s">
        <v>6774</v>
      </c>
      <c r="B670" t="s">
        <v>2149</v>
      </c>
      <c r="C670" t="s">
        <v>9567</v>
      </c>
      <c r="D670" t="s">
        <v>11074</v>
      </c>
      <c r="E670" t="s">
        <v>11075</v>
      </c>
      <c r="F670" t="s">
        <v>11076</v>
      </c>
      <c r="G670" t="s">
        <v>19195</v>
      </c>
      <c r="H670" t="s">
        <v>19316</v>
      </c>
      <c r="I670" t="s">
        <v>18829</v>
      </c>
      <c r="K670" t="str">
        <f>HYPERLINK("http://tuberculist.epfl.ch/quicksearch.php?gene+name=Rv0646c&amp;submit=Search")</f>
        <v>http://tuberculist.epfl.ch/quicksearch.php?gene+name=Rv0646c&amp;submit=Search</v>
      </c>
    </row>
    <row r="671" spans="1:11">
      <c r="A671" t="s">
        <v>3006</v>
      </c>
      <c r="B671" t="s">
        <v>3006</v>
      </c>
      <c r="C671" t="s">
        <v>9567</v>
      </c>
      <c r="D671" t="s">
        <v>9578</v>
      </c>
      <c r="E671" t="s">
        <v>9665</v>
      </c>
      <c r="F671" t="s">
        <v>11077</v>
      </c>
      <c r="G671" t="s">
        <v>19208</v>
      </c>
      <c r="H671" t="s">
        <v>19466</v>
      </c>
      <c r="I671" t="s">
        <v>18788</v>
      </c>
      <c r="J671" t="s">
        <v>18809</v>
      </c>
      <c r="K671" t="str">
        <f>HYPERLINK("http://tuberculist.epfl.ch/quicksearch.php?gene+name=Rv0647c&amp;submit=Search")</f>
        <v>http://tuberculist.epfl.ch/quicksearch.php?gene+name=Rv0647c&amp;submit=Search</v>
      </c>
    </row>
    <row r="672" spans="1:11">
      <c r="A672" t="s">
        <v>2229</v>
      </c>
      <c r="B672" t="s">
        <v>2229</v>
      </c>
      <c r="C672" t="s">
        <v>9567</v>
      </c>
      <c r="D672" t="s">
        <v>11078</v>
      </c>
      <c r="E672" t="s">
        <v>11079</v>
      </c>
      <c r="F672" t="s">
        <v>11080</v>
      </c>
      <c r="G672" t="s">
        <v>19195</v>
      </c>
      <c r="H672" t="s">
        <v>19207</v>
      </c>
      <c r="I672" t="s">
        <v>18789</v>
      </c>
      <c r="K672" t="str">
        <f>HYPERLINK("http://tuberculist.epfl.ch/quicksearch.php?gene+name=Rv0648&amp;submit=Search")</f>
        <v>http://tuberculist.epfl.ch/quicksearch.php?gene+name=Rv0648&amp;submit=Search</v>
      </c>
    </row>
    <row r="673" spans="1:11">
      <c r="A673" t="s">
        <v>11081</v>
      </c>
      <c r="B673" t="s">
        <v>11082</v>
      </c>
      <c r="C673" t="s">
        <v>9567</v>
      </c>
      <c r="D673" t="s">
        <v>11083</v>
      </c>
      <c r="E673" t="s">
        <v>11084</v>
      </c>
      <c r="F673" t="s">
        <v>11085</v>
      </c>
      <c r="G673" t="s">
        <v>19219</v>
      </c>
      <c r="I673" t="s">
        <v>18860</v>
      </c>
      <c r="K673" t="str">
        <f>HYPERLINK("http://tuberculist.epfl.ch/quicksearch.php?gene+name=Rv0649&amp;submit=Search")</f>
        <v>http://tuberculist.epfl.ch/quicksearch.php?gene+name=Rv0649&amp;submit=Search</v>
      </c>
    </row>
    <row r="674" spans="1:11">
      <c r="A674" t="s">
        <v>11086</v>
      </c>
      <c r="B674" t="s">
        <v>11086</v>
      </c>
      <c r="C674" t="s">
        <v>9567</v>
      </c>
      <c r="D674" t="s">
        <v>11087</v>
      </c>
      <c r="E674" t="s">
        <v>11088</v>
      </c>
      <c r="F674" t="s">
        <v>11089</v>
      </c>
      <c r="G674" t="s">
        <v>19195</v>
      </c>
      <c r="H674" t="s">
        <v>19254</v>
      </c>
      <c r="I674" t="s">
        <v>18821</v>
      </c>
      <c r="K674" t="str">
        <f>HYPERLINK("http://tuberculist.epfl.ch/quicksearch.php?gene+name=Rv0650&amp;submit=Search")</f>
        <v>http://tuberculist.epfl.ch/quicksearch.php?gene+name=Rv0650&amp;submit=Search</v>
      </c>
    </row>
    <row r="675" spans="1:11">
      <c r="A675" t="s">
        <v>4598</v>
      </c>
      <c r="B675" t="s">
        <v>1055</v>
      </c>
      <c r="C675" t="s">
        <v>9567</v>
      </c>
      <c r="D675" t="s">
        <v>11090</v>
      </c>
      <c r="E675" t="s">
        <v>11091</v>
      </c>
      <c r="F675" t="s">
        <v>11092</v>
      </c>
      <c r="G675" t="s">
        <v>19181</v>
      </c>
      <c r="H675" t="s">
        <v>19467</v>
      </c>
      <c r="I675" t="s">
        <v>18774</v>
      </c>
      <c r="J675" t="s">
        <v>18775</v>
      </c>
      <c r="K675" t="str">
        <f>HYPERLINK("http://tuberculist.epfl.ch/quicksearch.php?gene+name=Rv0651&amp;submit=Search")</f>
        <v>http://tuberculist.epfl.ch/quicksearch.php?gene+name=Rv0651&amp;submit=Search</v>
      </c>
    </row>
    <row r="676" spans="1:11">
      <c r="A676" t="s">
        <v>8979</v>
      </c>
      <c r="B676" t="s">
        <v>3220</v>
      </c>
      <c r="C676" t="s">
        <v>9567</v>
      </c>
      <c r="D676" t="s">
        <v>11093</v>
      </c>
      <c r="E676" t="s">
        <v>11094</v>
      </c>
      <c r="F676" t="s">
        <v>11095</v>
      </c>
      <c r="G676" t="s">
        <v>19181</v>
      </c>
      <c r="H676" t="s">
        <v>19468</v>
      </c>
      <c r="I676" t="s">
        <v>18800</v>
      </c>
      <c r="J676" t="s">
        <v>18806</v>
      </c>
      <c r="K676" t="str">
        <f>HYPERLINK("http://tuberculist.epfl.ch/quicksearch.php?gene+name=Rv0652&amp;submit=Search")</f>
        <v>http://tuberculist.epfl.ch/quicksearch.php?gene+name=Rv0652&amp;submit=Search</v>
      </c>
    </row>
    <row r="677" spans="1:11">
      <c r="A677" t="s">
        <v>3162</v>
      </c>
      <c r="B677" t="s">
        <v>3162</v>
      </c>
      <c r="C677" t="s">
        <v>9567</v>
      </c>
      <c r="D677" t="s">
        <v>9629</v>
      </c>
      <c r="E677" t="s">
        <v>10130</v>
      </c>
      <c r="F677" t="s">
        <v>11096</v>
      </c>
      <c r="G677" t="s">
        <v>19197</v>
      </c>
      <c r="H677" t="s">
        <v>19214</v>
      </c>
      <c r="I677" t="s">
        <v>18780</v>
      </c>
      <c r="J677" t="s">
        <v>18847</v>
      </c>
      <c r="K677" t="str">
        <f>HYPERLINK("http://tuberculist.epfl.ch/quicksearch.php?gene+name=Rv0653c&amp;submit=Search")</f>
        <v>http://tuberculist.epfl.ch/quicksearch.php?gene+name=Rv0653c&amp;submit=Search</v>
      </c>
    </row>
    <row r="678" spans="1:11">
      <c r="A678" t="s">
        <v>2411</v>
      </c>
      <c r="B678" t="s">
        <v>2411</v>
      </c>
      <c r="C678" t="s">
        <v>9567</v>
      </c>
      <c r="D678" t="s">
        <v>9682</v>
      </c>
      <c r="E678" t="s">
        <v>11097</v>
      </c>
      <c r="F678" t="s">
        <v>11098</v>
      </c>
      <c r="G678" t="s">
        <v>19195</v>
      </c>
      <c r="H678" t="s">
        <v>19233</v>
      </c>
      <c r="I678" t="s">
        <v>18780</v>
      </c>
      <c r="J678" t="s">
        <v>18847</v>
      </c>
      <c r="K678" t="str">
        <f>HYPERLINK("http://tuberculist.epfl.ch/quicksearch.php?gene+name=Rv0654&amp;submit=Search")</f>
        <v>http://tuberculist.epfl.ch/quicksearch.php?gene+name=Rv0654&amp;submit=Search</v>
      </c>
    </row>
    <row r="679" spans="1:11">
      <c r="A679" t="s">
        <v>5528</v>
      </c>
      <c r="B679" t="s">
        <v>1527</v>
      </c>
      <c r="C679" t="s">
        <v>9567</v>
      </c>
      <c r="D679" t="s">
        <v>11099</v>
      </c>
      <c r="E679" t="s">
        <v>11100</v>
      </c>
      <c r="F679" t="s">
        <v>11101</v>
      </c>
      <c r="G679" t="s">
        <v>19188</v>
      </c>
      <c r="H679" t="s">
        <v>19469</v>
      </c>
      <c r="I679" t="s">
        <v>18886</v>
      </c>
      <c r="K679" t="str">
        <f>HYPERLINK("http://tuberculist.epfl.ch/quicksearch.php?gene+name=Rv0655&amp;submit=Search")</f>
        <v>http://tuberculist.epfl.ch/quicksearch.php?gene+name=Rv0655&amp;submit=Search</v>
      </c>
    </row>
    <row r="680" spans="1:11">
      <c r="A680" t="s">
        <v>11102</v>
      </c>
      <c r="B680" t="s">
        <v>1447</v>
      </c>
      <c r="C680" t="s">
        <v>9567</v>
      </c>
      <c r="D680" t="s">
        <v>9587</v>
      </c>
      <c r="E680" t="s">
        <v>11103</v>
      </c>
      <c r="F680" t="s">
        <v>11104</v>
      </c>
      <c r="G680" t="s">
        <v>19206</v>
      </c>
      <c r="I680" t="s">
        <v>18780</v>
      </c>
      <c r="K680" t="str">
        <f>HYPERLINK("http://tuberculist.epfl.ch/quicksearch.php?gene+name=Rv0656c&amp;submit=Search")</f>
        <v>http://tuberculist.epfl.ch/quicksearch.php?gene+name=Rv0656c&amp;submit=Search</v>
      </c>
    </row>
    <row r="681" spans="1:11">
      <c r="A681" t="s">
        <v>11105</v>
      </c>
      <c r="B681" t="s">
        <v>11106</v>
      </c>
      <c r="C681" t="s">
        <v>9567</v>
      </c>
      <c r="D681" t="s">
        <v>9587</v>
      </c>
      <c r="E681" t="s">
        <v>11107</v>
      </c>
      <c r="F681" t="s">
        <v>11108</v>
      </c>
      <c r="G681" t="s">
        <v>19206</v>
      </c>
      <c r="I681" t="s">
        <v>18779</v>
      </c>
      <c r="K681" t="str">
        <f>HYPERLINK("http://tuberculist.epfl.ch/quicksearch.php?gene+name=Rv0657c&amp;submit=Search")</f>
        <v>http://tuberculist.epfl.ch/quicksearch.php?gene+name=Rv0657c&amp;submit=Search</v>
      </c>
    </row>
    <row r="682" spans="1:11">
      <c r="A682" t="s">
        <v>2282</v>
      </c>
      <c r="B682" t="s">
        <v>2282</v>
      </c>
      <c r="C682" t="s">
        <v>9567</v>
      </c>
      <c r="D682" t="s">
        <v>11109</v>
      </c>
      <c r="E682" t="s">
        <v>9668</v>
      </c>
      <c r="F682" t="s">
        <v>11110</v>
      </c>
      <c r="G682" t="s">
        <v>19188</v>
      </c>
      <c r="I682" t="s">
        <v>18780</v>
      </c>
      <c r="K682" t="str">
        <f>HYPERLINK("http://tuberculist.epfl.ch/quicksearch.php?gene+name=Rv0658c&amp;submit=Search")</f>
        <v>http://tuberculist.epfl.ch/quicksearch.php?gene+name=Rv0658c&amp;submit=Search</v>
      </c>
    </row>
    <row r="683" spans="1:11">
      <c r="A683" t="s">
        <v>11111</v>
      </c>
      <c r="B683" t="s">
        <v>1781</v>
      </c>
      <c r="C683" t="s">
        <v>9567</v>
      </c>
      <c r="D683" t="s">
        <v>9578</v>
      </c>
      <c r="E683" t="s">
        <v>11112</v>
      </c>
      <c r="F683" t="s">
        <v>11113</v>
      </c>
      <c r="G683" t="s">
        <v>19206</v>
      </c>
      <c r="I683" t="s">
        <v>18780</v>
      </c>
      <c r="K683" t="str">
        <f>HYPERLINK("http://tuberculist.epfl.ch/quicksearch.php?gene+name=Rv0659c&amp;submit=Search")</f>
        <v>http://tuberculist.epfl.ch/quicksearch.php?gene+name=Rv0659c&amp;submit=Search</v>
      </c>
    </row>
    <row r="684" spans="1:11">
      <c r="A684" t="s">
        <v>11114</v>
      </c>
      <c r="B684" t="s">
        <v>2780</v>
      </c>
      <c r="C684" t="s">
        <v>9567</v>
      </c>
      <c r="D684" t="s">
        <v>9578</v>
      </c>
      <c r="E684" t="s">
        <v>11115</v>
      </c>
      <c r="F684" t="s">
        <v>11116</v>
      </c>
      <c r="G684" t="s">
        <v>19206</v>
      </c>
      <c r="I684" t="s">
        <v>18779</v>
      </c>
      <c r="K684" t="str">
        <f>HYPERLINK("http://tuberculist.epfl.ch/quicksearch.php?gene+name=Rv0660c&amp;submit=Search")</f>
        <v>http://tuberculist.epfl.ch/quicksearch.php?gene+name=Rv0660c&amp;submit=Search</v>
      </c>
    </row>
    <row r="685" spans="1:11">
      <c r="A685" t="s">
        <v>11117</v>
      </c>
      <c r="B685" t="s">
        <v>11118</v>
      </c>
      <c r="C685" t="s">
        <v>9567</v>
      </c>
      <c r="D685" t="s">
        <v>9587</v>
      </c>
      <c r="E685" t="s">
        <v>11119</v>
      </c>
      <c r="F685" t="s">
        <v>11120</v>
      </c>
      <c r="G685" t="s">
        <v>19206</v>
      </c>
      <c r="I685" t="s">
        <v>18780</v>
      </c>
      <c r="K685" t="str">
        <f>HYPERLINK("http://tuberculist.epfl.ch/quicksearch.php?gene+name=Rv0661c&amp;submit=Search")</f>
        <v>http://tuberculist.epfl.ch/quicksearch.php?gene+name=Rv0661c&amp;submit=Search</v>
      </c>
    </row>
    <row r="686" spans="1:11">
      <c r="A686" t="s">
        <v>11121</v>
      </c>
      <c r="B686" t="s">
        <v>11122</v>
      </c>
      <c r="C686" t="s">
        <v>9567</v>
      </c>
      <c r="D686" t="s">
        <v>9587</v>
      </c>
      <c r="E686" t="s">
        <v>11123</v>
      </c>
      <c r="F686" t="s">
        <v>11124</v>
      </c>
      <c r="G686" t="s">
        <v>19206</v>
      </c>
      <c r="H686" t="s">
        <v>19207</v>
      </c>
      <c r="I686" t="s">
        <v>18780</v>
      </c>
      <c r="K686" t="str">
        <f>HYPERLINK("http://tuberculist.epfl.ch/quicksearch.php?gene+name=Rv0662c&amp;submit=Search")</f>
        <v>http://tuberculist.epfl.ch/quicksearch.php?gene+name=Rv0662c&amp;submit=Search</v>
      </c>
    </row>
    <row r="687" spans="1:11">
      <c r="A687" t="s">
        <v>3791</v>
      </c>
      <c r="B687" t="s">
        <v>653</v>
      </c>
      <c r="C687" t="s">
        <v>9567</v>
      </c>
      <c r="D687" t="s">
        <v>11125</v>
      </c>
      <c r="E687" t="s">
        <v>11126</v>
      </c>
      <c r="F687" t="s">
        <v>11127</v>
      </c>
      <c r="G687" t="s">
        <v>19195</v>
      </c>
      <c r="H687" t="s">
        <v>19254</v>
      </c>
      <c r="I687" t="s">
        <v>18795</v>
      </c>
      <c r="K687" t="str">
        <f>HYPERLINK("http://tuberculist.epfl.ch/quicksearch.php?gene+name=Rv0663&amp;submit=Search")</f>
        <v>http://tuberculist.epfl.ch/quicksearch.php?gene+name=Rv0663&amp;submit=Search</v>
      </c>
    </row>
    <row r="688" spans="1:11">
      <c r="A688" t="s">
        <v>11128</v>
      </c>
      <c r="B688" t="s">
        <v>11129</v>
      </c>
      <c r="C688" t="s">
        <v>9567</v>
      </c>
      <c r="D688" t="s">
        <v>9587</v>
      </c>
      <c r="E688" t="s">
        <v>11130</v>
      </c>
      <c r="F688" t="s">
        <v>11131</v>
      </c>
      <c r="G688" t="s">
        <v>19206</v>
      </c>
      <c r="I688" t="s">
        <v>18780</v>
      </c>
      <c r="K688" t="str">
        <f>HYPERLINK("http://tuberculist.epfl.ch/quicksearch.php?gene+name=Rv0664&amp;submit=Search")</f>
        <v>http://tuberculist.epfl.ch/quicksearch.php?gene+name=Rv0664&amp;submit=Search</v>
      </c>
    </row>
    <row r="689" spans="1:11">
      <c r="A689" t="s">
        <v>11132</v>
      </c>
      <c r="B689" t="s">
        <v>11133</v>
      </c>
      <c r="C689" t="s">
        <v>9567</v>
      </c>
      <c r="D689" t="s">
        <v>9587</v>
      </c>
      <c r="E689" t="s">
        <v>11134</v>
      </c>
      <c r="F689" t="s">
        <v>11135</v>
      </c>
      <c r="G689" t="s">
        <v>19206</v>
      </c>
      <c r="I689" t="s">
        <v>18779</v>
      </c>
      <c r="K689" t="str">
        <f>HYPERLINK("http://tuberculist.epfl.ch/quicksearch.php?gene+name=Rv0665&amp;submit=Search")</f>
        <v>http://tuberculist.epfl.ch/quicksearch.php?gene+name=Rv0665&amp;submit=Search</v>
      </c>
    </row>
    <row r="690" spans="1:11">
      <c r="A690" t="s">
        <v>11136</v>
      </c>
      <c r="B690" t="s">
        <v>11136</v>
      </c>
      <c r="C690" t="s">
        <v>9567</v>
      </c>
      <c r="D690" t="s">
        <v>9587</v>
      </c>
      <c r="E690" t="s">
        <v>9590</v>
      </c>
      <c r="F690" t="s">
        <v>11137</v>
      </c>
      <c r="G690" t="s">
        <v>19188</v>
      </c>
      <c r="I690" t="s">
        <v>18887</v>
      </c>
      <c r="K690" t="str">
        <f>HYPERLINK("http://tuberculist.epfl.ch/quicksearch.php?gene+name=Rv0666&amp;submit=Search")</f>
        <v>http://tuberculist.epfl.ch/quicksearch.php?gene+name=Rv0666&amp;submit=Search</v>
      </c>
    </row>
    <row r="691" spans="1:11">
      <c r="A691" t="s">
        <v>7146</v>
      </c>
      <c r="B691" t="s">
        <v>2336</v>
      </c>
      <c r="C691" t="s">
        <v>9567</v>
      </c>
      <c r="D691" t="s">
        <v>11138</v>
      </c>
      <c r="E691" t="s">
        <v>11139</v>
      </c>
      <c r="F691" t="s">
        <v>11140</v>
      </c>
      <c r="G691" t="s">
        <v>19181</v>
      </c>
      <c r="H691" t="s">
        <v>19470</v>
      </c>
      <c r="I691" t="s">
        <v>18774</v>
      </c>
      <c r="K691" t="str">
        <f>HYPERLINK("http://tuberculist.epfl.ch/quicksearch.php?gene+name=Rv0667&amp;submit=Search")</f>
        <v>http://tuberculist.epfl.ch/quicksearch.php?gene+name=Rv0667&amp;submit=Search</v>
      </c>
    </row>
    <row r="692" spans="1:11">
      <c r="A692" t="s">
        <v>9200</v>
      </c>
      <c r="B692" t="s">
        <v>3325</v>
      </c>
      <c r="C692" t="s">
        <v>9567</v>
      </c>
      <c r="D692" t="s">
        <v>11138</v>
      </c>
      <c r="E692" t="s">
        <v>11141</v>
      </c>
      <c r="F692" t="s">
        <v>11142</v>
      </c>
      <c r="G692" t="s">
        <v>19181</v>
      </c>
      <c r="H692" t="s">
        <v>19471</v>
      </c>
      <c r="I692" t="s">
        <v>18774</v>
      </c>
      <c r="K692" t="str">
        <f>HYPERLINK("http://tuberculist.epfl.ch/quicksearch.php?gene+name=Rv0668&amp;submit=Search")</f>
        <v>http://tuberculist.epfl.ch/quicksearch.php?gene+name=Rv0668&amp;submit=Search</v>
      </c>
    </row>
    <row r="693" spans="1:11">
      <c r="A693" t="s">
        <v>1290</v>
      </c>
      <c r="B693" t="s">
        <v>1290</v>
      </c>
      <c r="C693" t="s">
        <v>9567</v>
      </c>
      <c r="D693" t="s">
        <v>10671</v>
      </c>
      <c r="E693" t="s">
        <v>9686</v>
      </c>
      <c r="F693" t="s">
        <v>11143</v>
      </c>
      <c r="G693" t="s">
        <v>19195</v>
      </c>
      <c r="H693" t="s">
        <v>19472</v>
      </c>
      <c r="I693" t="s">
        <v>18797</v>
      </c>
      <c r="J693" t="s">
        <v>18778</v>
      </c>
      <c r="K693" t="str">
        <f>HYPERLINK("http://tuberculist.epfl.ch/quicksearch.php?gene+name=Rv0669c&amp;submit=Search")</f>
        <v>http://tuberculist.epfl.ch/quicksearch.php?gene+name=Rv0669c&amp;submit=Search</v>
      </c>
    </row>
    <row r="694" spans="1:11">
      <c r="A694" t="s">
        <v>4741</v>
      </c>
      <c r="B694" t="s">
        <v>1131</v>
      </c>
      <c r="C694" t="s">
        <v>9567</v>
      </c>
      <c r="D694" t="s">
        <v>11144</v>
      </c>
      <c r="E694" t="s">
        <v>11145</v>
      </c>
      <c r="F694" t="s">
        <v>11146</v>
      </c>
      <c r="G694" t="s">
        <v>19181</v>
      </c>
      <c r="H694" t="s">
        <v>19287</v>
      </c>
      <c r="I694" t="s">
        <v>18888</v>
      </c>
      <c r="J694" t="s">
        <v>18778</v>
      </c>
      <c r="K694" t="str">
        <f>HYPERLINK("http://tuberculist.epfl.ch/quicksearch.php?gene+name=Rv0670&amp;submit=Search")</f>
        <v>http://tuberculist.epfl.ch/quicksearch.php?gene+name=Rv0670&amp;submit=Search</v>
      </c>
    </row>
    <row r="695" spans="1:11">
      <c r="A695" t="s">
        <v>4691</v>
      </c>
      <c r="B695" t="s">
        <v>1102</v>
      </c>
      <c r="C695" t="s">
        <v>9567</v>
      </c>
      <c r="D695" t="s">
        <v>9587</v>
      </c>
      <c r="E695" t="s">
        <v>11147</v>
      </c>
      <c r="F695" t="s">
        <v>11148</v>
      </c>
      <c r="G695" t="s">
        <v>19188</v>
      </c>
      <c r="I695" t="s">
        <v>18789</v>
      </c>
      <c r="K695" t="str">
        <f>HYPERLINK("http://tuberculist.epfl.ch/quicksearch.php?gene+name=Rv0671&amp;submit=Search")</f>
        <v>http://tuberculist.epfl.ch/quicksearch.php?gene+name=Rv0671&amp;submit=Search</v>
      </c>
    </row>
    <row r="696" spans="1:11">
      <c r="A696" t="s">
        <v>4339</v>
      </c>
      <c r="B696" t="s">
        <v>928</v>
      </c>
      <c r="C696" t="s">
        <v>9567</v>
      </c>
      <c r="D696" t="s">
        <v>9662</v>
      </c>
      <c r="E696" t="s">
        <v>11149</v>
      </c>
      <c r="F696" t="s">
        <v>11150</v>
      </c>
      <c r="G696" t="s">
        <v>19219</v>
      </c>
      <c r="H696" t="s">
        <v>19473</v>
      </c>
      <c r="I696" t="s">
        <v>18779</v>
      </c>
      <c r="K696" t="str">
        <f>HYPERLINK("http://tuberculist.epfl.ch/quicksearch.php?gene+name=Rv0672&amp;submit=Search")</f>
        <v>http://tuberculist.epfl.ch/quicksearch.php?gene+name=Rv0672&amp;submit=Search</v>
      </c>
    </row>
    <row r="697" spans="1:11">
      <c r="A697" t="s">
        <v>5373</v>
      </c>
      <c r="B697" t="s">
        <v>1448</v>
      </c>
      <c r="C697" t="s">
        <v>9567</v>
      </c>
      <c r="D697" t="s">
        <v>10092</v>
      </c>
      <c r="E697" t="s">
        <v>11151</v>
      </c>
      <c r="F697" t="s">
        <v>11152</v>
      </c>
      <c r="G697" t="s">
        <v>19219</v>
      </c>
      <c r="H697" t="s">
        <v>19474</v>
      </c>
      <c r="I697" t="s">
        <v>18779</v>
      </c>
      <c r="K697" t="str">
        <f>HYPERLINK("http://tuberculist.epfl.ch/quicksearch.php?gene+name=Rv0673&amp;submit=Search")</f>
        <v>http://tuberculist.epfl.ch/quicksearch.php?gene+name=Rv0673&amp;submit=Search</v>
      </c>
    </row>
    <row r="698" spans="1:11">
      <c r="A698" t="s">
        <v>1232</v>
      </c>
      <c r="B698" t="s">
        <v>1232</v>
      </c>
      <c r="C698" t="s">
        <v>9567</v>
      </c>
      <c r="D698" t="s">
        <v>9578</v>
      </c>
      <c r="E698" t="s">
        <v>9579</v>
      </c>
      <c r="F698" t="s">
        <v>11153</v>
      </c>
      <c r="G698" t="s">
        <v>19220</v>
      </c>
      <c r="H698" t="s">
        <v>19475</v>
      </c>
      <c r="I698" t="s">
        <v>18800</v>
      </c>
      <c r="K698" t="str">
        <f>HYPERLINK("http://tuberculist.epfl.ch/quicksearch.php?gene+name=Rv0674&amp;submit=Search")</f>
        <v>http://tuberculist.epfl.ch/quicksearch.php?gene+name=Rv0674&amp;submit=Search</v>
      </c>
    </row>
    <row r="699" spans="1:11">
      <c r="A699" t="s">
        <v>11154</v>
      </c>
      <c r="B699" t="s">
        <v>11155</v>
      </c>
      <c r="C699" t="s">
        <v>9567</v>
      </c>
      <c r="D699" t="s">
        <v>10092</v>
      </c>
      <c r="E699" t="s">
        <v>11156</v>
      </c>
      <c r="F699" t="s">
        <v>11157</v>
      </c>
      <c r="G699" t="s">
        <v>19219</v>
      </c>
      <c r="H699" t="s">
        <v>19233</v>
      </c>
      <c r="I699" t="s">
        <v>18800</v>
      </c>
      <c r="K699" t="str">
        <f>HYPERLINK("http://tuberculist.epfl.ch/quicksearch.php?gene+name=Rv0675&amp;submit=Search")</f>
        <v>http://tuberculist.epfl.ch/quicksearch.php?gene+name=Rv0675&amp;submit=Search</v>
      </c>
    </row>
    <row r="700" spans="1:11">
      <c r="A700" t="s">
        <v>117</v>
      </c>
      <c r="B700" t="s">
        <v>1866</v>
      </c>
      <c r="C700" t="s">
        <v>9567</v>
      </c>
      <c r="D700" t="s">
        <v>10051</v>
      </c>
      <c r="E700" t="s">
        <v>11158</v>
      </c>
      <c r="F700" t="s">
        <v>11159</v>
      </c>
      <c r="G700" t="s">
        <v>19188</v>
      </c>
      <c r="H700" t="s">
        <v>19476</v>
      </c>
      <c r="I700" t="s">
        <v>18789</v>
      </c>
      <c r="K700" t="str">
        <f>HYPERLINK("http://tuberculist.epfl.ch/quicksearch.php?gene+name=Rv0676c&amp;submit=Search")</f>
        <v>http://tuberculist.epfl.ch/quicksearch.php?gene+name=Rv0676c&amp;submit=Search</v>
      </c>
    </row>
    <row r="701" spans="1:11">
      <c r="A701" t="s">
        <v>57</v>
      </c>
      <c r="B701" t="s">
        <v>58</v>
      </c>
      <c r="C701" t="s">
        <v>9567</v>
      </c>
      <c r="D701" t="s">
        <v>9587</v>
      </c>
      <c r="E701" t="s">
        <v>11160</v>
      </c>
      <c r="F701" t="s">
        <v>11161</v>
      </c>
      <c r="G701" t="s">
        <v>19188</v>
      </c>
      <c r="H701" t="s">
        <v>19477</v>
      </c>
      <c r="I701" t="s">
        <v>18786</v>
      </c>
      <c r="K701" t="str">
        <f>HYPERLINK("http://tuberculist.epfl.ch/quicksearch.php?gene+name=Rv0677c&amp;submit=Search")</f>
        <v>http://tuberculist.epfl.ch/quicksearch.php?gene+name=Rv0677c&amp;submit=Search</v>
      </c>
    </row>
    <row r="702" spans="1:11">
      <c r="A702" t="s">
        <v>483</v>
      </c>
      <c r="B702" t="s">
        <v>483</v>
      </c>
      <c r="C702" t="s">
        <v>9567</v>
      </c>
      <c r="D702" t="s">
        <v>9578</v>
      </c>
      <c r="E702" t="s">
        <v>9665</v>
      </c>
      <c r="F702" t="s">
        <v>11162</v>
      </c>
      <c r="G702" t="s">
        <v>19208</v>
      </c>
      <c r="H702" t="s">
        <v>19233</v>
      </c>
      <c r="I702" t="s">
        <v>18889</v>
      </c>
      <c r="K702" t="str">
        <f>HYPERLINK("http://tuberculist.epfl.ch/quicksearch.php?gene+name=Rv0678&amp;submit=Search")</f>
        <v>http://tuberculist.epfl.ch/quicksearch.php?gene+name=Rv0678&amp;submit=Search</v>
      </c>
    </row>
    <row r="703" spans="1:11">
      <c r="A703" t="s">
        <v>1296</v>
      </c>
      <c r="B703" t="s">
        <v>1296</v>
      </c>
      <c r="C703" t="s">
        <v>9567</v>
      </c>
      <c r="D703" t="s">
        <v>9578</v>
      </c>
      <c r="E703" t="s">
        <v>11163</v>
      </c>
      <c r="F703" t="s">
        <v>11164</v>
      </c>
      <c r="G703" t="s">
        <v>19210</v>
      </c>
      <c r="H703" t="s">
        <v>19278</v>
      </c>
      <c r="I703" t="s">
        <v>18780</v>
      </c>
      <c r="K703" t="str">
        <f>HYPERLINK("http://tuberculist.epfl.ch/quicksearch.php?gene+name=Rv0679c&amp;submit=Search")</f>
        <v>http://tuberculist.epfl.ch/quicksearch.php?gene+name=Rv0679c&amp;submit=Search</v>
      </c>
    </row>
    <row r="704" spans="1:11">
      <c r="A704" t="s">
        <v>2644</v>
      </c>
      <c r="B704" t="s">
        <v>2644</v>
      </c>
      <c r="C704" t="s">
        <v>9567</v>
      </c>
      <c r="D704" t="s">
        <v>9587</v>
      </c>
      <c r="E704" t="s">
        <v>9597</v>
      </c>
      <c r="F704" t="s">
        <v>11165</v>
      </c>
      <c r="G704" t="s">
        <v>19188</v>
      </c>
      <c r="H704" t="s">
        <v>19478</v>
      </c>
      <c r="I704" t="s">
        <v>18780</v>
      </c>
      <c r="J704" t="s">
        <v>18806</v>
      </c>
      <c r="K704" t="str">
        <f>HYPERLINK("http://tuberculist.epfl.ch/quicksearch.php?gene+name=Rv0680c&amp;submit=Search")</f>
        <v>http://tuberculist.epfl.ch/quicksearch.php?gene+name=Rv0680c&amp;submit=Search</v>
      </c>
    </row>
    <row r="705" spans="1:11">
      <c r="A705" t="s">
        <v>905</v>
      </c>
      <c r="B705" t="s">
        <v>905</v>
      </c>
      <c r="C705" t="s">
        <v>9567</v>
      </c>
      <c r="D705" t="s">
        <v>9629</v>
      </c>
      <c r="E705" t="s">
        <v>9922</v>
      </c>
      <c r="F705" t="s">
        <v>11166</v>
      </c>
      <c r="G705" t="s">
        <v>19197</v>
      </c>
      <c r="H705" t="s">
        <v>19196</v>
      </c>
      <c r="I705" t="s">
        <v>18789</v>
      </c>
      <c r="J705" t="s">
        <v>18806</v>
      </c>
      <c r="K705" t="str">
        <f>HYPERLINK("http://tuberculist.epfl.ch/quicksearch.php?gene+name=Rv0681&amp;submit=Search")</f>
        <v>http://tuberculist.epfl.ch/quicksearch.php?gene+name=Rv0681&amp;submit=Search</v>
      </c>
    </row>
    <row r="706" spans="1:11">
      <c r="A706" t="s">
        <v>6286</v>
      </c>
      <c r="B706" t="s">
        <v>1893</v>
      </c>
      <c r="C706" t="s">
        <v>9567</v>
      </c>
      <c r="D706" t="s">
        <v>11167</v>
      </c>
      <c r="E706" t="s">
        <v>11168</v>
      </c>
      <c r="F706" t="s">
        <v>11169</v>
      </c>
      <c r="G706" t="s">
        <v>19181</v>
      </c>
      <c r="H706" t="s">
        <v>19272</v>
      </c>
      <c r="I706" t="s">
        <v>18774</v>
      </c>
      <c r="K706" t="str">
        <f>HYPERLINK("http://tuberculist.epfl.ch/quicksearch.php?gene+name=Rv0682&amp;submit=Search")</f>
        <v>http://tuberculist.epfl.ch/quicksearch.php?gene+name=Rv0682&amp;submit=Search</v>
      </c>
    </row>
    <row r="707" spans="1:11">
      <c r="A707" t="s">
        <v>4522</v>
      </c>
      <c r="B707" t="s">
        <v>1023</v>
      </c>
      <c r="C707" t="s">
        <v>9567</v>
      </c>
      <c r="D707" t="s">
        <v>11170</v>
      </c>
      <c r="E707" t="s">
        <v>11171</v>
      </c>
      <c r="F707" t="s">
        <v>11172</v>
      </c>
      <c r="G707" t="s">
        <v>19181</v>
      </c>
      <c r="H707" t="s">
        <v>19479</v>
      </c>
      <c r="I707" t="s">
        <v>18800</v>
      </c>
      <c r="K707" t="str">
        <f>HYPERLINK("http://tuberculist.epfl.ch/quicksearch.php?gene+name=Rv0683&amp;submit=Search")</f>
        <v>http://tuberculist.epfl.ch/quicksearch.php?gene+name=Rv0683&amp;submit=Search</v>
      </c>
    </row>
    <row r="708" spans="1:11">
      <c r="A708" t="s">
        <v>7490</v>
      </c>
      <c r="B708" t="s">
        <v>2501</v>
      </c>
      <c r="C708" t="s">
        <v>9567</v>
      </c>
      <c r="D708" t="s">
        <v>11173</v>
      </c>
      <c r="E708" t="s">
        <v>11174</v>
      </c>
      <c r="F708" t="s">
        <v>11175</v>
      </c>
      <c r="G708" t="s">
        <v>19181</v>
      </c>
      <c r="H708" t="s">
        <v>19480</v>
      </c>
      <c r="I708" t="s">
        <v>18774</v>
      </c>
      <c r="K708" t="str">
        <f>HYPERLINK("http://tuberculist.epfl.ch/quicksearch.php?gene+name=Rv0684&amp;submit=Search")</f>
        <v>http://tuberculist.epfl.ch/quicksearch.php?gene+name=Rv0684&amp;submit=Search</v>
      </c>
    </row>
    <row r="709" spans="1:11">
      <c r="A709" t="s">
        <v>6308</v>
      </c>
      <c r="B709" t="s">
        <v>1902</v>
      </c>
      <c r="C709" t="s">
        <v>9567</v>
      </c>
      <c r="D709" t="s">
        <v>11176</v>
      </c>
      <c r="E709" t="s">
        <v>11177</v>
      </c>
      <c r="F709" t="s">
        <v>11178</v>
      </c>
      <c r="G709" t="s">
        <v>19181</v>
      </c>
      <c r="H709" t="s">
        <v>19481</v>
      </c>
      <c r="I709" t="s">
        <v>18774</v>
      </c>
      <c r="J709" t="s">
        <v>18775</v>
      </c>
      <c r="K709" t="str">
        <f>HYPERLINK("http://tuberculist.epfl.ch/quicksearch.php?gene+name=Rv0685&amp;submit=Search")</f>
        <v>http://tuberculist.epfl.ch/quicksearch.php?gene+name=Rv0685&amp;submit=Search</v>
      </c>
    </row>
    <row r="710" spans="1:11">
      <c r="A710" t="s">
        <v>1165</v>
      </c>
      <c r="B710" t="s">
        <v>1165</v>
      </c>
      <c r="C710" t="s">
        <v>9567</v>
      </c>
      <c r="D710" t="s">
        <v>9587</v>
      </c>
      <c r="E710" t="s">
        <v>9758</v>
      </c>
      <c r="F710" t="s">
        <v>11179</v>
      </c>
      <c r="G710" t="s">
        <v>19188</v>
      </c>
      <c r="H710" t="s">
        <v>19244</v>
      </c>
      <c r="I710" t="s">
        <v>18780</v>
      </c>
      <c r="K710" t="str">
        <f>HYPERLINK("http://tuberculist.epfl.ch/quicksearch.php?gene+name=Rv0686&amp;submit=Search")</f>
        <v>http://tuberculist.epfl.ch/quicksearch.php?gene+name=Rv0686&amp;submit=Search</v>
      </c>
    </row>
    <row r="711" spans="1:11">
      <c r="A711" t="s">
        <v>1216</v>
      </c>
      <c r="B711" t="s">
        <v>1216</v>
      </c>
      <c r="C711" t="s">
        <v>9567</v>
      </c>
      <c r="D711" t="s">
        <v>9931</v>
      </c>
      <c r="E711" t="s">
        <v>9932</v>
      </c>
      <c r="F711" t="s">
        <v>11180</v>
      </c>
      <c r="G711" t="s">
        <v>19195</v>
      </c>
      <c r="H711" t="s">
        <v>19213</v>
      </c>
      <c r="I711" t="s">
        <v>18890</v>
      </c>
      <c r="J711" t="s">
        <v>18820</v>
      </c>
      <c r="K711" t="str">
        <f>HYPERLINK("http://tuberculist.epfl.ch/quicksearch.php?gene+name=Rv0687&amp;submit=Search")</f>
        <v>http://tuberculist.epfl.ch/quicksearch.php?gene+name=Rv0687&amp;submit=Search</v>
      </c>
    </row>
    <row r="712" spans="1:11">
      <c r="A712" t="s">
        <v>3359</v>
      </c>
      <c r="B712" t="s">
        <v>3359</v>
      </c>
      <c r="C712" t="s">
        <v>9567</v>
      </c>
      <c r="D712" t="s">
        <v>11181</v>
      </c>
      <c r="E712" t="s">
        <v>11182</v>
      </c>
      <c r="F712" t="s">
        <v>11183</v>
      </c>
      <c r="G712" t="s">
        <v>19195</v>
      </c>
      <c r="H712" t="s">
        <v>19287</v>
      </c>
      <c r="I712" t="s">
        <v>18780</v>
      </c>
      <c r="K712" t="str">
        <f>HYPERLINK("http://tuberculist.epfl.ch/quicksearch.php?gene+name=Rv0688&amp;submit=Search")</f>
        <v>http://tuberculist.epfl.ch/quicksearch.php?gene+name=Rv0688&amp;submit=Search</v>
      </c>
    </row>
    <row r="713" spans="1:11">
      <c r="A713" t="s">
        <v>11184</v>
      </c>
      <c r="B713" t="s">
        <v>11184</v>
      </c>
      <c r="C713" t="s">
        <v>9567</v>
      </c>
      <c r="D713" t="s">
        <v>9587</v>
      </c>
      <c r="E713" t="s">
        <v>9713</v>
      </c>
      <c r="F713" t="s">
        <v>11185</v>
      </c>
      <c r="G713" t="s">
        <v>19212</v>
      </c>
      <c r="H713" t="s">
        <v>19482</v>
      </c>
      <c r="I713" t="s">
        <v>18780</v>
      </c>
      <c r="K713" t="str">
        <f>HYPERLINK("http://tuberculist.epfl.ch/quicksearch.php?gene+name=Rv0689c&amp;submit=Search")</f>
        <v>http://tuberculist.epfl.ch/quicksearch.php?gene+name=Rv0689c&amp;submit=Search</v>
      </c>
    </row>
    <row r="714" spans="1:11">
      <c r="A714" t="s">
        <v>1565</v>
      </c>
      <c r="B714" t="s">
        <v>1565</v>
      </c>
      <c r="C714" t="s">
        <v>9567</v>
      </c>
      <c r="D714" t="s">
        <v>9578</v>
      </c>
      <c r="E714" t="s">
        <v>9579</v>
      </c>
      <c r="F714" t="s">
        <v>11186</v>
      </c>
      <c r="G714" t="s">
        <v>19204</v>
      </c>
      <c r="H714" t="s">
        <v>19214</v>
      </c>
      <c r="I714" t="s">
        <v>18793</v>
      </c>
      <c r="K714" t="str">
        <f>HYPERLINK("http://tuberculist.epfl.ch/quicksearch.php?gene+name=Rv0690c&amp;submit=Search")</f>
        <v>http://tuberculist.epfl.ch/quicksearch.php?gene+name=Rv0690c&amp;submit=Search</v>
      </c>
    </row>
    <row r="715" spans="1:11">
      <c r="A715" t="s">
        <v>11187</v>
      </c>
      <c r="B715" t="s">
        <v>11187</v>
      </c>
      <c r="C715" t="s">
        <v>9567</v>
      </c>
      <c r="D715" t="s">
        <v>11188</v>
      </c>
      <c r="E715" t="s">
        <v>11189</v>
      </c>
      <c r="F715" t="s">
        <v>11190</v>
      </c>
      <c r="G715" t="s">
        <v>19195</v>
      </c>
      <c r="I715" t="s">
        <v>18773</v>
      </c>
      <c r="K715" t="str">
        <f>HYPERLINK("http://tuberculist.epfl.ch/quicksearch.php?gene+name=Rv0691A&amp;submit=Search")</f>
        <v>http://tuberculist.epfl.ch/quicksearch.php?gene+name=Rv0691A&amp;submit=Search</v>
      </c>
    </row>
    <row r="716" spans="1:11">
      <c r="A716" t="s">
        <v>1056</v>
      </c>
      <c r="B716" t="s">
        <v>1056</v>
      </c>
      <c r="C716" t="s">
        <v>9567</v>
      </c>
      <c r="D716" t="s">
        <v>9969</v>
      </c>
      <c r="E716" t="s">
        <v>9763</v>
      </c>
      <c r="F716" t="s">
        <v>11191</v>
      </c>
      <c r="G716" t="s">
        <v>19197</v>
      </c>
      <c r="H716" t="s">
        <v>19213</v>
      </c>
      <c r="I716" t="s">
        <v>18780</v>
      </c>
      <c r="K716" t="str">
        <f>HYPERLINK("http://tuberculist.epfl.ch/quicksearch.php?gene+name=Rv0691c&amp;submit=Search")</f>
        <v>http://tuberculist.epfl.ch/quicksearch.php?gene+name=Rv0691c&amp;submit=Search</v>
      </c>
    </row>
    <row r="717" spans="1:11">
      <c r="A717" t="s">
        <v>1675</v>
      </c>
      <c r="B717" t="s">
        <v>1675</v>
      </c>
      <c r="C717" t="s">
        <v>9567</v>
      </c>
      <c r="D717" t="s">
        <v>9578</v>
      </c>
      <c r="E717" t="s">
        <v>9579</v>
      </c>
      <c r="F717" t="s">
        <v>11192</v>
      </c>
      <c r="G717" t="s">
        <v>19212</v>
      </c>
      <c r="I717" t="s">
        <v>18789</v>
      </c>
      <c r="K717" t="str">
        <f>HYPERLINK("http://tuberculist.epfl.ch/quicksearch.php?gene+name=Rv0692&amp;submit=Search")</f>
        <v>http://tuberculist.epfl.ch/quicksearch.php?gene+name=Rv0692&amp;submit=Search</v>
      </c>
    </row>
    <row r="718" spans="1:11">
      <c r="A718" t="s">
        <v>8265</v>
      </c>
      <c r="B718" t="s">
        <v>2886</v>
      </c>
      <c r="C718" t="s">
        <v>9567</v>
      </c>
      <c r="D718" t="s">
        <v>11193</v>
      </c>
      <c r="E718" t="s">
        <v>11194</v>
      </c>
      <c r="F718" t="s">
        <v>11195</v>
      </c>
      <c r="G718" t="s">
        <v>19195</v>
      </c>
      <c r="H718" t="s">
        <v>19207</v>
      </c>
      <c r="I718" t="s">
        <v>18781</v>
      </c>
      <c r="K718" t="str">
        <f>HYPERLINK("http://tuberculist.epfl.ch/quicksearch.php?gene+name=Rv0693&amp;submit=Search")</f>
        <v>http://tuberculist.epfl.ch/quicksearch.php?gene+name=Rv0693&amp;submit=Search</v>
      </c>
    </row>
    <row r="719" spans="1:11">
      <c r="A719" t="s">
        <v>7740</v>
      </c>
      <c r="B719" t="s">
        <v>2623</v>
      </c>
      <c r="C719" t="s">
        <v>9567</v>
      </c>
      <c r="D719" t="s">
        <v>11196</v>
      </c>
      <c r="E719" t="s">
        <v>11197</v>
      </c>
      <c r="F719" t="s">
        <v>11198</v>
      </c>
      <c r="G719" t="s">
        <v>19195</v>
      </c>
      <c r="H719" t="s">
        <v>19483</v>
      </c>
      <c r="I719" t="s">
        <v>18891</v>
      </c>
      <c r="K719" t="str">
        <f>HYPERLINK("http://tuberculist.epfl.ch/quicksearch.php?gene+name=Rv0694&amp;submit=Search")</f>
        <v>http://tuberculist.epfl.ch/quicksearch.php?gene+name=Rv0694&amp;submit=Search</v>
      </c>
    </row>
    <row r="720" spans="1:11">
      <c r="A720" t="s">
        <v>1272</v>
      </c>
      <c r="B720" t="s">
        <v>1272</v>
      </c>
      <c r="C720" t="s">
        <v>9567</v>
      </c>
      <c r="D720" t="s">
        <v>9578</v>
      </c>
      <c r="E720" t="s">
        <v>9579</v>
      </c>
      <c r="F720" t="s">
        <v>11199</v>
      </c>
      <c r="G720" t="s">
        <v>19185</v>
      </c>
      <c r="I720" t="s">
        <v>18891</v>
      </c>
      <c r="K720" t="str">
        <f>HYPERLINK("http://tuberculist.epfl.ch/quicksearch.php?gene+name=Rv0695&amp;submit=Search")</f>
        <v>http://tuberculist.epfl.ch/quicksearch.php?gene+name=Rv0695&amp;submit=Search</v>
      </c>
    </row>
    <row r="721" spans="1:11">
      <c r="A721" t="s">
        <v>842</v>
      </c>
      <c r="B721" t="s">
        <v>842</v>
      </c>
      <c r="C721" t="s">
        <v>9567</v>
      </c>
      <c r="D721" t="s">
        <v>9682</v>
      </c>
      <c r="E721" t="s">
        <v>11200</v>
      </c>
      <c r="F721" t="s">
        <v>11201</v>
      </c>
      <c r="G721" t="s">
        <v>19195</v>
      </c>
      <c r="H721" t="s">
        <v>19215</v>
      </c>
      <c r="I721" t="s">
        <v>18892</v>
      </c>
      <c r="K721" t="str">
        <f>HYPERLINK("http://tuberculist.epfl.ch/quicksearch.php?gene+name=Rv0696&amp;submit=Search")</f>
        <v>http://tuberculist.epfl.ch/quicksearch.php?gene+name=Rv0696&amp;submit=Search</v>
      </c>
    </row>
    <row r="722" spans="1:11">
      <c r="A722" t="s">
        <v>503</v>
      </c>
      <c r="B722" t="s">
        <v>503</v>
      </c>
      <c r="C722" t="s">
        <v>9567</v>
      </c>
      <c r="D722" t="s">
        <v>9682</v>
      </c>
      <c r="E722" t="s">
        <v>11202</v>
      </c>
      <c r="F722" t="s">
        <v>11203</v>
      </c>
      <c r="G722" t="s">
        <v>19195</v>
      </c>
      <c r="H722" t="s">
        <v>19211</v>
      </c>
      <c r="I722" t="s">
        <v>18774</v>
      </c>
      <c r="K722" t="str">
        <f>HYPERLINK("http://tuberculist.epfl.ch/quicksearch.php?gene+name=Rv0697&amp;submit=Search")</f>
        <v>http://tuberculist.epfl.ch/quicksearch.php?gene+name=Rv0697&amp;submit=Search</v>
      </c>
    </row>
    <row r="723" spans="1:11">
      <c r="A723" t="s">
        <v>1187</v>
      </c>
      <c r="B723" t="s">
        <v>1187</v>
      </c>
      <c r="C723" t="s">
        <v>9567</v>
      </c>
      <c r="D723" t="s">
        <v>9578</v>
      </c>
      <c r="E723" t="s">
        <v>9579</v>
      </c>
      <c r="F723" t="s">
        <v>11204</v>
      </c>
      <c r="G723" t="s">
        <v>19212</v>
      </c>
      <c r="H723" t="s">
        <v>19211</v>
      </c>
      <c r="I723" t="s">
        <v>18779</v>
      </c>
      <c r="J723" t="s">
        <v>18852</v>
      </c>
      <c r="K723" t="str">
        <f>HYPERLINK("http://tuberculist.epfl.ch/quicksearch.php?gene+name=Rv0698&amp;submit=Search")</f>
        <v>http://tuberculist.epfl.ch/quicksearch.php?gene+name=Rv0698&amp;submit=Search</v>
      </c>
    </row>
    <row r="724" spans="1:11">
      <c r="A724" t="s">
        <v>11205</v>
      </c>
      <c r="B724" t="s">
        <v>11205</v>
      </c>
      <c r="C724" t="s">
        <v>9567</v>
      </c>
      <c r="D724" t="s">
        <v>9587</v>
      </c>
      <c r="E724" t="s">
        <v>9713</v>
      </c>
      <c r="F724" t="s">
        <v>11206</v>
      </c>
      <c r="G724" t="s">
        <v>19212</v>
      </c>
      <c r="I724" t="s">
        <v>18793</v>
      </c>
      <c r="K724" t="str">
        <f>HYPERLINK("http://tuberculist.epfl.ch/quicksearch.php?gene+name=Rv0699&amp;submit=Search")</f>
        <v>http://tuberculist.epfl.ch/quicksearch.php?gene+name=Rv0699&amp;submit=Search</v>
      </c>
    </row>
    <row r="725" spans="1:11">
      <c r="A725" t="s">
        <v>9394</v>
      </c>
      <c r="B725" t="s">
        <v>3414</v>
      </c>
      <c r="C725" t="s">
        <v>9567</v>
      </c>
      <c r="D725" t="s">
        <v>11207</v>
      </c>
      <c r="E725" t="s">
        <v>11208</v>
      </c>
      <c r="F725" t="s">
        <v>11209</v>
      </c>
      <c r="G725" t="s">
        <v>19181</v>
      </c>
      <c r="H725" t="s">
        <v>19484</v>
      </c>
      <c r="I725" t="s">
        <v>18800</v>
      </c>
      <c r="J725" t="s">
        <v>18844</v>
      </c>
      <c r="K725" t="str">
        <f>HYPERLINK("http://tuberculist.epfl.ch/quicksearch.php?gene+name=Rv0700&amp;submit=Search")</f>
        <v>http://tuberculist.epfl.ch/quicksearch.php?gene+name=Rv0700&amp;submit=Search</v>
      </c>
    </row>
    <row r="726" spans="1:11">
      <c r="A726" t="s">
        <v>4804</v>
      </c>
      <c r="B726" t="s">
        <v>1160</v>
      </c>
      <c r="C726" t="s">
        <v>9567</v>
      </c>
      <c r="D726" t="s">
        <v>11210</v>
      </c>
      <c r="E726" t="s">
        <v>11211</v>
      </c>
      <c r="F726" t="s">
        <v>11212</v>
      </c>
      <c r="G726" t="s">
        <v>19181</v>
      </c>
      <c r="H726" t="s">
        <v>19485</v>
      </c>
      <c r="I726" t="s">
        <v>18774</v>
      </c>
      <c r="J726" t="s">
        <v>18775</v>
      </c>
      <c r="K726" t="str">
        <f>HYPERLINK("http://tuberculist.epfl.ch/quicksearch.php?gene+name=Rv0701&amp;submit=Search")</f>
        <v>http://tuberculist.epfl.ch/quicksearch.php?gene+name=Rv0701&amp;submit=Search</v>
      </c>
    </row>
    <row r="727" spans="1:11">
      <c r="A727" t="s">
        <v>5759</v>
      </c>
      <c r="B727" t="s">
        <v>1638</v>
      </c>
      <c r="C727" t="s">
        <v>9567</v>
      </c>
      <c r="D727" t="s">
        <v>11213</v>
      </c>
      <c r="E727" t="s">
        <v>11214</v>
      </c>
      <c r="F727" t="s">
        <v>11215</v>
      </c>
      <c r="G727" t="s">
        <v>19181</v>
      </c>
      <c r="H727" t="s">
        <v>19486</v>
      </c>
      <c r="I727" t="s">
        <v>18774</v>
      </c>
      <c r="K727" t="str">
        <f>HYPERLINK("http://tuberculist.epfl.ch/quicksearch.php?gene+name=Rv0702&amp;submit=Search")</f>
        <v>http://tuberculist.epfl.ch/quicksearch.php?gene+name=Rv0702&amp;submit=Search</v>
      </c>
    </row>
    <row r="728" spans="1:11">
      <c r="A728" t="s">
        <v>4844</v>
      </c>
      <c r="B728" t="s">
        <v>1181</v>
      </c>
      <c r="C728" t="s">
        <v>9567</v>
      </c>
      <c r="D728" t="s">
        <v>11216</v>
      </c>
      <c r="E728" t="s">
        <v>11217</v>
      </c>
      <c r="F728" t="s">
        <v>11218</v>
      </c>
      <c r="G728" t="s">
        <v>19181</v>
      </c>
      <c r="H728" t="s">
        <v>19487</v>
      </c>
      <c r="I728" t="s">
        <v>18800</v>
      </c>
      <c r="J728" t="s">
        <v>18775</v>
      </c>
      <c r="K728" t="str">
        <f>HYPERLINK("http://tuberculist.epfl.ch/quicksearch.php?gene+name=Rv0703&amp;submit=Search")</f>
        <v>http://tuberculist.epfl.ch/quicksearch.php?gene+name=Rv0703&amp;submit=Search</v>
      </c>
    </row>
    <row r="729" spans="1:11">
      <c r="A729" t="s">
        <v>7966</v>
      </c>
      <c r="B729" t="s">
        <v>2743</v>
      </c>
      <c r="C729" t="s">
        <v>9567</v>
      </c>
      <c r="D729" t="s">
        <v>11219</v>
      </c>
      <c r="E729" t="s">
        <v>11220</v>
      </c>
      <c r="F729" t="s">
        <v>11221</v>
      </c>
      <c r="G729" t="s">
        <v>19181</v>
      </c>
      <c r="H729" t="s">
        <v>19488</v>
      </c>
      <c r="I729" t="s">
        <v>18774</v>
      </c>
      <c r="J729" t="s">
        <v>18893</v>
      </c>
      <c r="K729" t="str">
        <f>HYPERLINK("http://tuberculist.epfl.ch/quicksearch.php?gene+name=Rv0704&amp;submit=Search")</f>
        <v>http://tuberculist.epfl.ch/quicksearch.php?gene+name=Rv0704&amp;submit=Search</v>
      </c>
    </row>
    <row r="730" spans="1:11">
      <c r="A730" t="s">
        <v>8537</v>
      </c>
      <c r="B730" t="s">
        <v>3014</v>
      </c>
      <c r="C730" t="s">
        <v>9567</v>
      </c>
      <c r="D730" t="s">
        <v>11222</v>
      </c>
      <c r="E730" t="s">
        <v>11223</v>
      </c>
      <c r="F730" t="s">
        <v>11224</v>
      </c>
      <c r="G730" t="s">
        <v>19181</v>
      </c>
      <c r="H730" t="s">
        <v>19225</v>
      </c>
      <c r="I730" t="s">
        <v>18800</v>
      </c>
      <c r="K730" t="str">
        <f>HYPERLINK("http://tuberculist.epfl.ch/quicksearch.php?gene+name=Rv0705&amp;submit=Search")</f>
        <v>http://tuberculist.epfl.ch/quicksearch.php?gene+name=Rv0705&amp;submit=Search</v>
      </c>
    </row>
    <row r="731" spans="1:11">
      <c r="A731" t="s">
        <v>5871</v>
      </c>
      <c r="B731" t="s">
        <v>1689</v>
      </c>
      <c r="C731" t="s">
        <v>9567</v>
      </c>
      <c r="D731" t="s">
        <v>11225</v>
      </c>
      <c r="E731" t="s">
        <v>11226</v>
      </c>
      <c r="F731" t="s">
        <v>11227</v>
      </c>
      <c r="G731" t="s">
        <v>19181</v>
      </c>
      <c r="H731" t="s">
        <v>19489</v>
      </c>
      <c r="I731" t="s">
        <v>18774</v>
      </c>
      <c r="K731" t="str">
        <f>HYPERLINK("http://tuberculist.epfl.ch/quicksearch.php?gene+name=Rv0706&amp;submit=Search")</f>
        <v>http://tuberculist.epfl.ch/quicksearch.php?gene+name=Rv0706&amp;submit=Search</v>
      </c>
    </row>
    <row r="732" spans="1:11">
      <c r="A732" t="s">
        <v>9325</v>
      </c>
      <c r="B732" t="s">
        <v>3386</v>
      </c>
      <c r="C732" t="s">
        <v>9567</v>
      </c>
      <c r="D732" t="s">
        <v>11228</v>
      </c>
      <c r="E732" t="s">
        <v>11229</v>
      </c>
      <c r="F732" t="s">
        <v>11230</v>
      </c>
      <c r="G732" t="s">
        <v>19181</v>
      </c>
      <c r="H732" t="s">
        <v>19490</v>
      </c>
      <c r="I732" t="s">
        <v>18774</v>
      </c>
      <c r="K732" t="str">
        <f>HYPERLINK("http://tuberculist.epfl.ch/quicksearch.php?gene+name=Rv0707&amp;submit=Search")</f>
        <v>http://tuberculist.epfl.ch/quicksearch.php?gene+name=Rv0707&amp;submit=Search</v>
      </c>
    </row>
    <row r="733" spans="1:11">
      <c r="A733" t="s">
        <v>8104</v>
      </c>
      <c r="B733" t="s">
        <v>2806</v>
      </c>
      <c r="C733" t="s">
        <v>9567</v>
      </c>
      <c r="D733" t="s">
        <v>11231</v>
      </c>
      <c r="E733" t="s">
        <v>11232</v>
      </c>
      <c r="F733" t="s">
        <v>11233</v>
      </c>
      <c r="G733" t="s">
        <v>19181</v>
      </c>
      <c r="H733" t="s">
        <v>19491</v>
      </c>
      <c r="I733" t="s">
        <v>18774</v>
      </c>
      <c r="K733" t="str">
        <f>HYPERLINK("http://tuberculist.epfl.ch/quicksearch.php?gene+name=Rv0708&amp;submit=Search")</f>
        <v>http://tuberculist.epfl.ch/quicksearch.php?gene+name=Rv0708&amp;submit=Search</v>
      </c>
    </row>
    <row r="734" spans="1:11">
      <c r="A734" t="s">
        <v>4276</v>
      </c>
      <c r="B734" t="s">
        <v>900</v>
      </c>
      <c r="C734" t="s">
        <v>9567</v>
      </c>
      <c r="D734" t="s">
        <v>11090</v>
      </c>
      <c r="E734" t="s">
        <v>11234</v>
      </c>
      <c r="F734" t="s">
        <v>11235</v>
      </c>
      <c r="G734" t="s">
        <v>19181</v>
      </c>
      <c r="H734" t="s">
        <v>19492</v>
      </c>
      <c r="I734" t="s">
        <v>18800</v>
      </c>
      <c r="K734" t="str">
        <f>HYPERLINK("http://tuberculist.epfl.ch/quicksearch.php?gene+name=Rv0709&amp;submit=Search")</f>
        <v>http://tuberculist.epfl.ch/quicksearch.php?gene+name=Rv0709&amp;submit=Search</v>
      </c>
    </row>
    <row r="735" spans="1:11">
      <c r="A735" t="s">
        <v>6640</v>
      </c>
      <c r="B735" t="s">
        <v>2083</v>
      </c>
      <c r="C735" t="s">
        <v>9567</v>
      </c>
      <c r="D735" t="s">
        <v>11236</v>
      </c>
      <c r="E735" t="s">
        <v>11237</v>
      </c>
      <c r="F735" t="s">
        <v>11238</v>
      </c>
      <c r="G735" t="s">
        <v>19181</v>
      </c>
      <c r="H735" t="s">
        <v>19401</v>
      </c>
      <c r="I735" t="s">
        <v>18774</v>
      </c>
      <c r="K735" t="str">
        <f>HYPERLINK("http://tuberculist.epfl.ch/quicksearch.php?gene+name=Rv0710&amp;submit=Search")</f>
        <v>http://tuberculist.epfl.ch/quicksearch.php?gene+name=Rv0710&amp;submit=Search</v>
      </c>
    </row>
    <row r="736" spans="1:11">
      <c r="A736" t="s">
        <v>7634</v>
      </c>
      <c r="B736" t="s">
        <v>2570</v>
      </c>
      <c r="C736" t="s">
        <v>9567</v>
      </c>
      <c r="D736" t="s">
        <v>11125</v>
      </c>
      <c r="E736" t="s">
        <v>11239</v>
      </c>
      <c r="F736" t="s">
        <v>11240</v>
      </c>
      <c r="G736" t="s">
        <v>19195</v>
      </c>
      <c r="H736" t="s">
        <v>19493</v>
      </c>
      <c r="I736" t="s">
        <v>18789</v>
      </c>
      <c r="J736" t="s">
        <v>18806</v>
      </c>
      <c r="K736" t="str">
        <f>HYPERLINK("http://tuberculist.epfl.ch/quicksearch.php?gene+name=Rv0711&amp;submit=Search")</f>
        <v>http://tuberculist.epfl.ch/quicksearch.php?gene+name=Rv0711&amp;submit=Search</v>
      </c>
    </row>
    <row r="737" spans="1:11">
      <c r="A737" t="s">
        <v>3409</v>
      </c>
      <c r="B737" t="s">
        <v>3409</v>
      </c>
      <c r="C737" t="s">
        <v>9567</v>
      </c>
      <c r="D737" t="s">
        <v>9578</v>
      </c>
      <c r="E737" t="s">
        <v>9665</v>
      </c>
      <c r="F737" t="s">
        <v>11241</v>
      </c>
      <c r="G737" t="s">
        <v>19204</v>
      </c>
      <c r="H737" t="s">
        <v>19494</v>
      </c>
      <c r="I737" t="s">
        <v>18779</v>
      </c>
      <c r="K737" t="str">
        <f>HYPERLINK("http://tuberculist.epfl.ch/quicksearch.php?gene+name=Rv0712&amp;submit=Search")</f>
        <v>http://tuberculist.epfl.ch/quicksearch.php?gene+name=Rv0712&amp;submit=Search</v>
      </c>
    </row>
    <row r="738" spans="1:11">
      <c r="A738" t="s">
        <v>1344</v>
      </c>
      <c r="B738" t="s">
        <v>1344</v>
      </c>
      <c r="C738" t="s">
        <v>9567</v>
      </c>
      <c r="D738" t="s">
        <v>9587</v>
      </c>
      <c r="E738" t="s">
        <v>9597</v>
      </c>
      <c r="F738" t="s">
        <v>11242</v>
      </c>
      <c r="G738" t="s">
        <v>19188</v>
      </c>
      <c r="H738" t="s">
        <v>19334</v>
      </c>
      <c r="I738" t="s">
        <v>18789</v>
      </c>
      <c r="K738" t="str">
        <f>HYPERLINK("http://tuberculist.epfl.ch/quicksearch.php?gene+name=Rv0713&amp;submit=Search")</f>
        <v>http://tuberculist.epfl.ch/quicksearch.php?gene+name=Rv0713&amp;submit=Search</v>
      </c>
    </row>
    <row r="739" spans="1:11">
      <c r="A739" t="s">
        <v>7839</v>
      </c>
      <c r="B739" t="s">
        <v>2678</v>
      </c>
      <c r="C739" t="s">
        <v>9567</v>
      </c>
      <c r="D739" t="s">
        <v>11058</v>
      </c>
      <c r="E739" t="s">
        <v>11243</v>
      </c>
      <c r="F739" t="s">
        <v>11244</v>
      </c>
      <c r="G739" t="s">
        <v>19181</v>
      </c>
      <c r="H739" t="s">
        <v>19495</v>
      </c>
      <c r="I739" t="s">
        <v>18800</v>
      </c>
      <c r="K739" t="str">
        <f>HYPERLINK("http://tuberculist.epfl.ch/quicksearch.php?gene+name=Rv0714&amp;submit=Search")</f>
        <v>http://tuberculist.epfl.ch/quicksearch.php?gene+name=Rv0714&amp;submit=Search</v>
      </c>
    </row>
    <row r="740" spans="1:11">
      <c r="A740" t="s">
        <v>6045</v>
      </c>
      <c r="B740" t="s">
        <v>1777</v>
      </c>
      <c r="C740" t="s">
        <v>9567</v>
      </c>
      <c r="D740" t="s">
        <v>11245</v>
      </c>
      <c r="E740" t="s">
        <v>11246</v>
      </c>
      <c r="F740" t="s">
        <v>11247</v>
      </c>
      <c r="G740" t="s">
        <v>19181</v>
      </c>
      <c r="H740" t="s">
        <v>19371</v>
      </c>
      <c r="I740" t="s">
        <v>18800</v>
      </c>
      <c r="J740" t="s">
        <v>18775</v>
      </c>
      <c r="K740" t="str">
        <f>HYPERLINK("http://tuberculist.epfl.ch/quicksearch.php?gene+name=Rv0715&amp;submit=Search")</f>
        <v>http://tuberculist.epfl.ch/quicksearch.php?gene+name=Rv0715&amp;submit=Search</v>
      </c>
    </row>
    <row r="741" spans="1:11">
      <c r="A741" t="s">
        <v>4467</v>
      </c>
      <c r="B741" t="s">
        <v>999</v>
      </c>
      <c r="C741" t="s">
        <v>9567</v>
      </c>
      <c r="D741" t="s">
        <v>11248</v>
      </c>
      <c r="E741" t="s">
        <v>11249</v>
      </c>
      <c r="F741" t="s">
        <v>11250</v>
      </c>
      <c r="G741" t="s">
        <v>19181</v>
      </c>
      <c r="H741" t="s">
        <v>19496</v>
      </c>
      <c r="I741" t="s">
        <v>18800</v>
      </c>
      <c r="K741" t="str">
        <f>HYPERLINK("http://tuberculist.epfl.ch/quicksearch.php?gene+name=Rv0716&amp;submit=Search")</f>
        <v>http://tuberculist.epfl.ch/quicksearch.php?gene+name=Rv0716&amp;submit=Search</v>
      </c>
    </row>
    <row r="742" spans="1:11">
      <c r="A742" t="s">
        <v>11251</v>
      </c>
      <c r="B742" t="s">
        <v>11252</v>
      </c>
      <c r="C742" t="s">
        <v>9567</v>
      </c>
      <c r="D742" t="s">
        <v>11253</v>
      </c>
      <c r="E742" t="s">
        <v>11254</v>
      </c>
      <c r="F742" t="s">
        <v>11255</v>
      </c>
      <c r="G742" t="s">
        <v>19181</v>
      </c>
      <c r="H742" t="s">
        <v>19497</v>
      </c>
      <c r="I742" t="s">
        <v>18773</v>
      </c>
      <c r="J742" t="s">
        <v>18775</v>
      </c>
      <c r="K742" t="str">
        <f>HYPERLINK("http://tuberculist.epfl.ch/quicksearch.php?gene+name=Rv0717&amp;submit=Search")</f>
        <v>http://tuberculist.epfl.ch/quicksearch.php?gene+name=Rv0717&amp;submit=Search</v>
      </c>
    </row>
    <row r="743" spans="1:11">
      <c r="A743" t="s">
        <v>5765</v>
      </c>
      <c r="B743" t="s">
        <v>1641</v>
      </c>
      <c r="C743" t="s">
        <v>9567</v>
      </c>
      <c r="D743" t="s">
        <v>11256</v>
      </c>
      <c r="E743" t="s">
        <v>11257</v>
      </c>
      <c r="F743" t="s">
        <v>11258</v>
      </c>
      <c r="G743" t="s">
        <v>19181</v>
      </c>
      <c r="H743" t="s">
        <v>19498</v>
      </c>
      <c r="I743" t="s">
        <v>18774</v>
      </c>
      <c r="J743" t="s">
        <v>18775</v>
      </c>
      <c r="K743" t="str">
        <f>HYPERLINK("http://tuberculist.epfl.ch/quicksearch.php?gene+name=Rv0718&amp;submit=Search")</f>
        <v>http://tuberculist.epfl.ch/quicksearch.php?gene+name=Rv0718&amp;submit=Search</v>
      </c>
    </row>
    <row r="744" spans="1:11">
      <c r="A744" t="s">
        <v>6863</v>
      </c>
      <c r="B744" t="s">
        <v>2194</v>
      </c>
      <c r="C744" t="s">
        <v>9567</v>
      </c>
      <c r="D744" t="s">
        <v>11259</v>
      </c>
      <c r="E744" t="s">
        <v>11260</v>
      </c>
      <c r="F744" t="s">
        <v>11261</v>
      </c>
      <c r="G744" t="s">
        <v>19181</v>
      </c>
      <c r="H744" t="s">
        <v>19499</v>
      </c>
      <c r="I744" t="s">
        <v>18774</v>
      </c>
      <c r="J744" t="s">
        <v>18775</v>
      </c>
      <c r="K744" t="str">
        <f>HYPERLINK("http://tuberculist.epfl.ch/quicksearch.php?gene+name=Rv0719&amp;submit=Search")</f>
        <v>http://tuberculist.epfl.ch/quicksearch.php?gene+name=Rv0719&amp;submit=Search</v>
      </c>
    </row>
    <row r="745" spans="1:11">
      <c r="A745" t="s">
        <v>4678</v>
      </c>
      <c r="B745" t="s">
        <v>1097</v>
      </c>
      <c r="C745" t="s">
        <v>9567</v>
      </c>
      <c r="D745" t="s">
        <v>11248</v>
      </c>
      <c r="E745" t="s">
        <v>11262</v>
      </c>
      <c r="F745" t="s">
        <v>11263</v>
      </c>
      <c r="G745" t="s">
        <v>19181</v>
      </c>
      <c r="H745" t="s">
        <v>19500</v>
      </c>
      <c r="I745" t="s">
        <v>18800</v>
      </c>
      <c r="J745" t="s">
        <v>18775</v>
      </c>
      <c r="K745" t="str">
        <f>HYPERLINK("http://tuberculist.epfl.ch/quicksearch.php?gene+name=Rv0720&amp;submit=Search")</f>
        <v>http://tuberculist.epfl.ch/quicksearch.php?gene+name=Rv0720&amp;submit=Search</v>
      </c>
    </row>
    <row r="746" spans="1:11">
      <c r="A746" t="s">
        <v>8773</v>
      </c>
      <c r="B746" t="s">
        <v>3126</v>
      </c>
      <c r="C746" t="s">
        <v>9567</v>
      </c>
      <c r="D746" t="s">
        <v>11264</v>
      </c>
      <c r="E746" t="s">
        <v>11265</v>
      </c>
      <c r="F746" t="s">
        <v>11266</v>
      </c>
      <c r="G746" t="s">
        <v>19181</v>
      </c>
      <c r="H746" t="s">
        <v>19501</v>
      </c>
      <c r="I746" t="s">
        <v>18774</v>
      </c>
      <c r="K746" t="str">
        <f>HYPERLINK("http://tuberculist.epfl.ch/quicksearch.php?gene+name=Rv0721&amp;submit=Search")</f>
        <v>http://tuberculist.epfl.ch/quicksearch.php?gene+name=Rv0721&amp;submit=Search</v>
      </c>
    </row>
    <row r="747" spans="1:11">
      <c r="A747" t="s">
        <v>11267</v>
      </c>
      <c r="B747" t="s">
        <v>11268</v>
      </c>
      <c r="C747" t="s">
        <v>9567</v>
      </c>
      <c r="D747" t="s">
        <v>11269</v>
      </c>
      <c r="E747" t="s">
        <v>11270</v>
      </c>
      <c r="F747" t="s">
        <v>11271</v>
      </c>
      <c r="G747" t="s">
        <v>19181</v>
      </c>
      <c r="H747" t="s">
        <v>19502</v>
      </c>
      <c r="I747" t="s">
        <v>18800</v>
      </c>
      <c r="J747" t="s">
        <v>18775</v>
      </c>
      <c r="K747" t="str">
        <f>HYPERLINK("http://tuberculist.epfl.ch/quicksearch.php?gene+name=Rv0722&amp;submit=Search")</f>
        <v>http://tuberculist.epfl.ch/quicksearch.php?gene+name=Rv0722&amp;submit=Search</v>
      </c>
    </row>
    <row r="748" spans="1:11">
      <c r="A748" t="s">
        <v>8197</v>
      </c>
      <c r="B748" t="s">
        <v>2854</v>
      </c>
      <c r="C748" t="s">
        <v>9567</v>
      </c>
      <c r="D748" t="s">
        <v>11058</v>
      </c>
      <c r="E748" t="s">
        <v>11272</v>
      </c>
      <c r="F748" t="s">
        <v>11273</v>
      </c>
      <c r="G748" t="s">
        <v>19181</v>
      </c>
      <c r="H748" t="s">
        <v>19401</v>
      </c>
      <c r="I748" t="s">
        <v>18779</v>
      </c>
      <c r="K748" t="str">
        <f>HYPERLINK("http://tuberculist.epfl.ch/quicksearch.php?gene+name=Rv0723&amp;submit=Search")</f>
        <v>http://tuberculist.epfl.ch/quicksearch.php?gene+name=Rv0723&amp;submit=Search</v>
      </c>
    </row>
    <row r="749" spans="1:11">
      <c r="A749" t="s">
        <v>8477</v>
      </c>
      <c r="B749" t="s">
        <v>2985</v>
      </c>
      <c r="C749" t="s">
        <v>9567</v>
      </c>
      <c r="D749" t="s">
        <v>11274</v>
      </c>
      <c r="E749" t="s">
        <v>11275</v>
      </c>
      <c r="F749" t="s">
        <v>11276</v>
      </c>
      <c r="G749" t="s">
        <v>19188</v>
      </c>
      <c r="H749" t="s">
        <v>19503</v>
      </c>
      <c r="I749" t="s">
        <v>18786</v>
      </c>
      <c r="J749" t="s">
        <v>18806</v>
      </c>
      <c r="K749" t="str">
        <f>HYPERLINK("http://tuberculist.epfl.ch/quicksearch.php?gene+name=Rv0724&amp;submit=Search")</f>
        <v>http://tuberculist.epfl.ch/quicksearch.php?gene+name=Rv0724&amp;submit=Search</v>
      </c>
    </row>
    <row r="750" spans="1:11">
      <c r="A750" t="s">
        <v>11277</v>
      </c>
      <c r="B750" t="s">
        <v>11277</v>
      </c>
      <c r="C750" t="s">
        <v>9567</v>
      </c>
      <c r="D750" t="s">
        <v>9578</v>
      </c>
      <c r="E750" t="s">
        <v>9579</v>
      </c>
      <c r="F750" t="s">
        <v>11278</v>
      </c>
      <c r="G750" t="s">
        <v>19212</v>
      </c>
      <c r="I750" t="s">
        <v>18793</v>
      </c>
      <c r="K750" t="str">
        <f>HYPERLINK("http://tuberculist.epfl.ch/quicksearch.php?gene+name=Rv0724A&amp;submit=Search")</f>
        <v>http://tuberculist.epfl.ch/quicksearch.php?gene+name=Rv0724A&amp;submit=Search</v>
      </c>
    </row>
    <row r="751" spans="1:11">
      <c r="A751" t="s">
        <v>1479</v>
      </c>
      <c r="B751" t="s">
        <v>1479</v>
      </c>
      <c r="C751" t="s">
        <v>9567</v>
      </c>
      <c r="D751" t="s">
        <v>9578</v>
      </c>
      <c r="E751" t="s">
        <v>9579</v>
      </c>
      <c r="F751" t="s">
        <v>11279</v>
      </c>
      <c r="G751" t="s">
        <v>19212</v>
      </c>
      <c r="H751" t="s">
        <v>19218</v>
      </c>
      <c r="I751" t="s">
        <v>18779</v>
      </c>
      <c r="K751" t="str">
        <f>HYPERLINK("http://tuberculist.epfl.ch/quicksearch.php?gene+name=Rv0725c&amp;submit=Search")</f>
        <v>http://tuberculist.epfl.ch/quicksearch.php?gene+name=Rv0725c&amp;submit=Search</v>
      </c>
    </row>
    <row r="752" spans="1:11">
      <c r="A752" t="s">
        <v>444</v>
      </c>
      <c r="B752" t="s">
        <v>444</v>
      </c>
      <c r="C752" t="s">
        <v>9567</v>
      </c>
      <c r="D752" t="s">
        <v>9924</v>
      </c>
      <c r="E752" t="s">
        <v>9925</v>
      </c>
      <c r="F752" t="s">
        <v>11280</v>
      </c>
      <c r="G752" t="s">
        <v>19219</v>
      </c>
      <c r="I752" t="s">
        <v>18780</v>
      </c>
      <c r="K752" t="str">
        <f>HYPERLINK("http://tuberculist.epfl.ch/quicksearch.php?gene+name=Rv0726c&amp;submit=Search")</f>
        <v>http://tuberculist.epfl.ch/quicksearch.php?gene+name=Rv0726c&amp;submit=Search</v>
      </c>
    </row>
    <row r="753" spans="1:11">
      <c r="A753" t="s">
        <v>5707</v>
      </c>
      <c r="B753" t="s">
        <v>1616</v>
      </c>
      <c r="C753" t="s">
        <v>9567</v>
      </c>
      <c r="D753" t="s">
        <v>11281</v>
      </c>
      <c r="E753" t="s">
        <v>11282</v>
      </c>
      <c r="F753" t="s">
        <v>11283</v>
      </c>
      <c r="G753" t="s">
        <v>19195</v>
      </c>
      <c r="H753" t="s">
        <v>19504</v>
      </c>
      <c r="I753" t="s">
        <v>18780</v>
      </c>
      <c r="K753" t="str">
        <f>HYPERLINK("http://tuberculist.epfl.ch/quicksearch.php?gene+name=Rv0727c&amp;submit=Search")</f>
        <v>http://tuberculist.epfl.ch/quicksearch.php?gene+name=Rv0727c&amp;submit=Search</v>
      </c>
    </row>
    <row r="754" spans="1:11">
      <c r="A754" t="s">
        <v>7101</v>
      </c>
      <c r="B754" t="s">
        <v>2310</v>
      </c>
      <c r="C754" t="s">
        <v>9567</v>
      </c>
      <c r="D754" t="s">
        <v>11284</v>
      </c>
      <c r="E754" t="s">
        <v>11285</v>
      </c>
      <c r="F754" t="s">
        <v>11286</v>
      </c>
      <c r="G754" t="s">
        <v>19195</v>
      </c>
      <c r="I754" t="s">
        <v>18789</v>
      </c>
      <c r="K754" t="str">
        <f>HYPERLINK("http://tuberculist.epfl.ch/quicksearch.php?gene+name=Rv0728c&amp;submit=Search")</f>
        <v>http://tuberculist.epfl.ch/quicksearch.php?gene+name=Rv0728c&amp;submit=Search</v>
      </c>
    </row>
    <row r="755" spans="1:11">
      <c r="A755" t="s">
        <v>7664</v>
      </c>
      <c r="B755" t="s">
        <v>2587</v>
      </c>
      <c r="C755" t="s">
        <v>9567</v>
      </c>
      <c r="D755" t="s">
        <v>11287</v>
      </c>
      <c r="E755" t="s">
        <v>11288</v>
      </c>
      <c r="F755" t="s">
        <v>11289</v>
      </c>
      <c r="G755" t="s">
        <v>19195</v>
      </c>
      <c r="H755" t="s">
        <v>19207</v>
      </c>
      <c r="I755" t="s">
        <v>18780</v>
      </c>
      <c r="K755" t="str">
        <f>HYPERLINK("http://tuberculist.epfl.ch/quicksearch.php?gene+name=Rv0729&amp;submit=Search")</f>
        <v>http://tuberculist.epfl.ch/quicksearch.php?gene+name=Rv0729&amp;submit=Search</v>
      </c>
    </row>
    <row r="756" spans="1:11">
      <c r="A756" t="s">
        <v>605</v>
      </c>
      <c r="B756" t="s">
        <v>605</v>
      </c>
      <c r="C756" t="s">
        <v>9567</v>
      </c>
      <c r="D756" t="s">
        <v>9898</v>
      </c>
      <c r="E756" t="s">
        <v>9899</v>
      </c>
      <c r="F756" t="s">
        <v>11290</v>
      </c>
      <c r="G756" t="s">
        <v>19195</v>
      </c>
      <c r="H756" t="s">
        <v>19378</v>
      </c>
      <c r="I756" t="s">
        <v>18818</v>
      </c>
      <c r="K756" t="str">
        <f>HYPERLINK("http://tuberculist.epfl.ch/quicksearch.php?gene+name=Rv0730&amp;submit=Search")</f>
        <v>http://tuberculist.epfl.ch/quicksearch.php?gene+name=Rv0730&amp;submit=Search</v>
      </c>
    </row>
    <row r="757" spans="1:11">
      <c r="A757" t="s">
        <v>2567</v>
      </c>
      <c r="B757" t="s">
        <v>2567</v>
      </c>
      <c r="C757" t="s">
        <v>9567</v>
      </c>
      <c r="D757" t="s">
        <v>9924</v>
      </c>
      <c r="E757" t="s">
        <v>9925</v>
      </c>
      <c r="F757" t="s">
        <v>11291</v>
      </c>
      <c r="G757" t="s">
        <v>19219</v>
      </c>
      <c r="H757" t="s">
        <v>19505</v>
      </c>
      <c r="I757" t="s">
        <v>18780</v>
      </c>
      <c r="K757" t="str">
        <f>HYPERLINK("http://tuberculist.epfl.ch/quicksearch.php?gene+name=Rv0731c&amp;submit=Search")</f>
        <v>http://tuberculist.epfl.ch/quicksearch.php?gene+name=Rv0731c&amp;submit=Search</v>
      </c>
    </row>
    <row r="758" spans="1:11">
      <c r="A758" t="s">
        <v>3866</v>
      </c>
      <c r="B758" t="s">
        <v>689</v>
      </c>
      <c r="C758" t="s">
        <v>9567</v>
      </c>
      <c r="D758" t="s">
        <v>11292</v>
      </c>
      <c r="E758" t="s">
        <v>11293</v>
      </c>
      <c r="F758" t="s">
        <v>11294</v>
      </c>
      <c r="G758" t="s">
        <v>19188</v>
      </c>
      <c r="H758" t="s">
        <v>19506</v>
      </c>
      <c r="I758" t="s">
        <v>18774</v>
      </c>
      <c r="K758" t="str">
        <f>HYPERLINK("http://tuberculist.epfl.ch/quicksearch.php?gene+name=Rv0732&amp;submit=Search")</f>
        <v>http://tuberculist.epfl.ch/quicksearch.php?gene+name=Rv0732&amp;submit=Search</v>
      </c>
    </row>
    <row r="759" spans="1:11">
      <c r="A759" t="s">
        <v>4996</v>
      </c>
      <c r="B759" t="s">
        <v>1253</v>
      </c>
      <c r="C759" t="s">
        <v>9567</v>
      </c>
      <c r="D759" t="s">
        <v>11295</v>
      </c>
      <c r="E759" t="s">
        <v>11296</v>
      </c>
      <c r="F759" t="s">
        <v>11297</v>
      </c>
      <c r="G759" t="s">
        <v>19195</v>
      </c>
      <c r="H759" t="s">
        <v>19507</v>
      </c>
      <c r="I759" t="s">
        <v>18773</v>
      </c>
      <c r="K759" t="str">
        <f>HYPERLINK("http://tuberculist.epfl.ch/quicksearch.php?gene+name=Rv0733&amp;submit=Search")</f>
        <v>http://tuberculist.epfl.ch/quicksearch.php?gene+name=Rv0733&amp;submit=Search</v>
      </c>
    </row>
    <row r="760" spans="1:11">
      <c r="A760" t="s">
        <v>8932</v>
      </c>
      <c r="B760" t="s">
        <v>3194</v>
      </c>
      <c r="C760" t="s">
        <v>9567</v>
      </c>
      <c r="D760" t="s">
        <v>11298</v>
      </c>
      <c r="E760" t="s">
        <v>11299</v>
      </c>
      <c r="F760" t="s">
        <v>11300</v>
      </c>
      <c r="G760" t="s">
        <v>19195</v>
      </c>
      <c r="H760" t="s">
        <v>19508</v>
      </c>
      <c r="I760" t="s">
        <v>18793</v>
      </c>
      <c r="K760" t="str">
        <f>HYPERLINK("http://tuberculist.epfl.ch/quicksearch.php?gene+name=Rv0734&amp;submit=Search")</f>
        <v>http://tuberculist.epfl.ch/quicksearch.php?gene+name=Rv0734&amp;submit=Search</v>
      </c>
    </row>
    <row r="761" spans="1:11">
      <c r="A761" t="s">
        <v>11301</v>
      </c>
      <c r="B761" t="s">
        <v>11302</v>
      </c>
      <c r="C761" t="s">
        <v>9567</v>
      </c>
      <c r="D761" t="s">
        <v>10004</v>
      </c>
      <c r="E761" t="s">
        <v>11303</v>
      </c>
      <c r="F761" t="s">
        <v>11304</v>
      </c>
      <c r="G761" t="s">
        <v>19181</v>
      </c>
      <c r="I761" t="s">
        <v>18894</v>
      </c>
      <c r="K761" t="str">
        <f>HYPERLINK("http://tuberculist.epfl.ch/quicksearch.php?gene+name=Rv0735&amp;submit=Search")</f>
        <v>http://tuberculist.epfl.ch/quicksearch.php?gene+name=Rv0735&amp;submit=Search</v>
      </c>
    </row>
    <row r="762" spans="1:11">
      <c r="A762" t="s">
        <v>11305</v>
      </c>
      <c r="B762" t="s">
        <v>11306</v>
      </c>
      <c r="C762" t="s">
        <v>9567</v>
      </c>
      <c r="D762" t="s">
        <v>11307</v>
      </c>
      <c r="E762" t="s">
        <v>11308</v>
      </c>
      <c r="F762" t="s">
        <v>11309</v>
      </c>
      <c r="G762" t="s">
        <v>19181</v>
      </c>
      <c r="I762" t="s">
        <v>18895</v>
      </c>
      <c r="K762" t="str">
        <f>HYPERLINK("http://tuberculist.epfl.ch/quicksearch.php?gene+name=Rv0736&amp;submit=Search")</f>
        <v>http://tuberculist.epfl.ch/quicksearch.php?gene+name=Rv0736&amp;submit=Search</v>
      </c>
    </row>
    <row r="763" spans="1:11">
      <c r="A763" t="s">
        <v>11310</v>
      </c>
      <c r="B763" t="s">
        <v>11310</v>
      </c>
      <c r="C763" t="s">
        <v>9567</v>
      </c>
      <c r="D763" t="s">
        <v>9629</v>
      </c>
      <c r="E763" t="s">
        <v>9633</v>
      </c>
      <c r="F763" t="s">
        <v>11311</v>
      </c>
      <c r="G763" t="s">
        <v>19197</v>
      </c>
      <c r="H763" t="s">
        <v>19213</v>
      </c>
      <c r="I763" t="s">
        <v>18773</v>
      </c>
      <c r="K763" t="str">
        <f>HYPERLINK("http://tuberculist.epfl.ch/quicksearch.php?gene+name=Rv0737&amp;submit=Search")</f>
        <v>http://tuberculist.epfl.ch/quicksearch.php?gene+name=Rv0737&amp;submit=Search</v>
      </c>
    </row>
    <row r="764" spans="1:11">
      <c r="A764" t="s">
        <v>11312</v>
      </c>
      <c r="B764" t="s">
        <v>11312</v>
      </c>
      <c r="C764" t="s">
        <v>9567</v>
      </c>
      <c r="D764" t="s">
        <v>9578</v>
      </c>
      <c r="E764" t="s">
        <v>9665</v>
      </c>
      <c r="F764" t="s">
        <v>11313</v>
      </c>
      <c r="G764" t="s">
        <v>19208</v>
      </c>
      <c r="H764" t="s">
        <v>19233</v>
      </c>
      <c r="I764" t="s">
        <v>18773</v>
      </c>
      <c r="K764" t="str">
        <f>HYPERLINK("http://tuberculist.epfl.ch/quicksearch.php?gene+name=Rv0738&amp;submit=Search")</f>
        <v>http://tuberculist.epfl.ch/quicksearch.php?gene+name=Rv0738&amp;submit=Search</v>
      </c>
    </row>
    <row r="765" spans="1:11">
      <c r="A765" t="s">
        <v>1765</v>
      </c>
      <c r="B765" t="s">
        <v>1765</v>
      </c>
      <c r="C765" t="s">
        <v>9567</v>
      </c>
      <c r="D765" t="s">
        <v>9578</v>
      </c>
      <c r="E765" t="s">
        <v>9579</v>
      </c>
      <c r="F765" t="s">
        <v>11314</v>
      </c>
      <c r="G765" t="s">
        <v>19212</v>
      </c>
      <c r="H765" t="s">
        <v>19207</v>
      </c>
      <c r="I765" t="s">
        <v>18780</v>
      </c>
      <c r="K765" t="str">
        <f>HYPERLINK("http://tuberculist.epfl.ch/quicksearch.php?gene+name=Rv0739&amp;submit=Search")</f>
        <v>http://tuberculist.epfl.ch/quicksearch.php?gene+name=Rv0739&amp;submit=Search</v>
      </c>
    </row>
    <row r="766" spans="1:11">
      <c r="A766" t="s">
        <v>970</v>
      </c>
      <c r="B766" t="s">
        <v>970</v>
      </c>
      <c r="C766" t="s">
        <v>9567</v>
      </c>
      <c r="D766" t="s">
        <v>9578</v>
      </c>
      <c r="E766" t="s">
        <v>9579</v>
      </c>
      <c r="F766" t="s">
        <v>11315</v>
      </c>
      <c r="G766" t="s">
        <v>19212</v>
      </c>
      <c r="H766" t="s">
        <v>19213</v>
      </c>
      <c r="I766" t="s">
        <v>18789</v>
      </c>
      <c r="K766" t="str">
        <f>HYPERLINK("http://tuberculist.epfl.ch/quicksearch.php?gene+name=Rv0740&amp;submit=Search")</f>
        <v>http://tuberculist.epfl.ch/quicksearch.php?gene+name=Rv0740&amp;submit=Search</v>
      </c>
    </row>
    <row r="767" spans="1:11">
      <c r="A767" t="s">
        <v>11316</v>
      </c>
      <c r="B767" t="s">
        <v>11316</v>
      </c>
      <c r="C767" t="s">
        <v>9567</v>
      </c>
      <c r="D767" t="s">
        <v>11317</v>
      </c>
      <c r="E767" t="s">
        <v>11318</v>
      </c>
      <c r="F767" t="s">
        <v>11319</v>
      </c>
      <c r="G767" t="s">
        <v>19217</v>
      </c>
      <c r="I767" t="s">
        <v>18780</v>
      </c>
      <c r="J767" t="s">
        <v>18775</v>
      </c>
      <c r="K767" t="str">
        <f>HYPERLINK("http://tuberculist.epfl.ch/quicksearch.php?gene+name=Rv0741&amp;submit=Search")</f>
        <v>http://tuberculist.epfl.ch/quicksearch.php?gene+name=Rv0741&amp;submit=Search</v>
      </c>
    </row>
    <row r="768" spans="1:11">
      <c r="A768" t="s">
        <v>11320</v>
      </c>
      <c r="B768" t="s">
        <v>11321</v>
      </c>
      <c r="C768" t="s">
        <v>9567</v>
      </c>
      <c r="D768" t="s">
        <v>9578</v>
      </c>
      <c r="E768" t="s">
        <v>11322</v>
      </c>
      <c r="F768" t="s">
        <v>11323</v>
      </c>
      <c r="G768" t="s">
        <v>19262</v>
      </c>
      <c r="I768" t="s">
        <v>18780</v>
      </c>
      <c r="K768" t="str">
        <f>HYPERLINK("http://tuberculist.epfl.ch/quicksearch.php?gene+name=Rv0742&amp;submit=Search")</f>
        <v>http://tuberculist.epfl.ch/quicksearch.php?gene+name=Rv0742&amp;submit=Search</v>
      </c>
    </row>
    <row r="769" spans="1:11">
      <c r="A769" t="s">
        <v>11324</v>
      </c>
      <c r="B769" t="s">
        <v>11324</v>
      </c>
      <c r="C769" t="s">
        <v>9567</v>
      </c>
      <c r="D769" t="s">
        <v>9587</v>
      </c>
      <c r="E769" t="s">
        <v>9713</v>
      </c>
      <c r="F769" t="s">
        <v>11325</v>
      </c>
      <c r="G769" t="s">
        <v>19212</v>
      </c>
      <c r="H769" t="s">
        <v>19213</v>
      </c>
      <c r="I769" t="s">
        <v>18789</v>
      </c>
      <c r="K769" t="str">
        <f>HYPERLINK("http://tuberculist.epfl.ch/quicksearch.php?gene+name=Rv0743c&amp;submit=Search")</f>
        <v>http://tuberculist.epfl.ch/quicksearch.php?gene+name=Rv0743c&amp;submit=Search</v>
      </c>
    </row>
    <row r="770" spans="1:11">
      <c r="A770" t="s">
        <v>1431</v>
      </c>
      <c r="B770" t="s">
        <v>1431</v>
      </c>
      <c r="C770" t="s">
        <v>9567</v>
      </c>
      <c r="D770" t="s">
        <v>11326</v>
      </c>
      <c r="E770" t="s">
        <v>9633</v>
      </c>
      <c r="F770" t="s">
        <v>11327</v>
      </c>
      <c r="G770" t="s">
        <v>19197</v>
      </c>
      <c r="H770" t="s">
        <v>19233</v>
      </c>
      <c r="I770" t="s">
        <v>18800</v>
      </c>
      <c r="K770" t="str">
        <f>HYPERLINK("http://tuberculist.epfl.ch/quicksearch.php?gene+name=Rv0744c&amp;submit=Search")</f>
        <v>http://tuberculist.epfl.ch/quicksearch.php?gene+name=Rv0744c&amp;submit=Search</v>
      </c>
    </row>
    <row r="771" spans="1:11">
      <c r="A771" t="s">
        <v>11328</v>
      </c>
      <c r="B771" t="s">
        <v>11328</v>
      </c>
      <c r="C771" t="s">
        <v>9567</v>
      </c>
      <c r="D771" t="s">
        <v>9578</v>
      </c>
      <c r="E771" t="s">
        <v>9579</v>
      </c>
      <c r="F771" t="s">
        <v>11329</v>
      </c>
      <c r="G771" t="s">
        <v>19212</v>
      </c>
      <c r="I771" t="s">
        <v>18780</v>
      </c>
      <c r="K771" t="str">
        <f>HYPERLINK("http://tuberculist.epfl.ch/quicksearch.php?gene+name=Rv0745&amp;submit=Search")</f>
        <v>http://tuberculist.epfl.ch/quicksearch.php?gene+name=Rv0745&amp;submit=Search</v>
      </c>
    </row>
    <row r="772" spans="1:11">
      <c r="A772" t="s">
        <v>5090</v>
      </c>
      <c r="B772" t="s">
        <v>1297</v>
      </c>
      <c r="C772" t="s">
        <v>9567</v>
      </c>
      <c r="D772" t="s">
        <v>9578</v>
      </c>
      <c r="E772" t="s">
        <v>11330</v>
      </c>
      <c r="F772" t="s">
        <v>11331</v>
      </c>
      <c r="G772" t="s">
        <v>19262</v>
      </c>
      <c r="H772" t="s">
        <v>19267</v>
      </c>
      <c r="I772" t="s">
        <v>18793</v>
      </c>
      <c r="K772" t="str">
        <f>HYPERLINK("http://tuberculist.epfl.ch/quicksearch.php?gene+name=Rv0746&amp;submit=Search")</f>
        <v>http://tuberculist.epfl.ch/quicksearch.php?gene+name=Rv0746&amp;submit=Search</v>
      </c>
    </row>
    <row r="773" spans="1:11">
      <c r="A773" t="s">
        <v>7113</v>
      </c>
      <c r="B773" t="s">
        <v>2318</v>
      </c>
      <c r="C773" t="s">
        <v>9567</v>
      </c>
      <c r="D773" t="s">
        <v>9578</v>
      </c>
      <c r="E773" t="s">
        <v>11332</v>
      </c>
      <c r="F773" t="s">
        <v>11333</v>
      </c>
      <c r="G773" t="s">
        <v>19509</v>
      </c>
      <c r="H773" t="s">
        <v>19267</v>
      </c>
      <c r="I773" t="s">
        <v>18780</v>
      </c>
      <c r="K773" t="str">
        <f>HYPERLINK("http://tuberculist.epfl.ch/quicksearch.php?gene+name=Rv0747&amp;submit=Search")</f>
        <v>http://tuberculist.epfl.ch/quicksearch.php?gene+name=Rv0747&amp;submit=Search</v>
      </c>
    </row>
    <row r="774" spans="1:11">
      <c r="A774" t="s">
        <v>11334</v>
      </c>
      <c r="B774" t="s">
        <v>707</v>
      </c>
      <c r="C774" t="s">
        <v>9567</v>
      </c>
      <c r="D774" t="s">
        <v>9587</v>
      </c>
      <c r="E774" t="s">
        <v>11335</v>
      </c>
      <c r="F774" t="s">
        <v>11336</v>
      </c>
      <c r="G774" t="s">
        <v>19206</v>
      </c>
      <c r="I774" t="s">
        <v>18821</v>
      </c>
      <c r="K774" t="str">
        <f>HYPERLINK("http://tuberculist.epfl.ch/quicksearch.php?gene+name=Rv0748&amp;submit=Search")</f>
        <v>http://tuberculist.epfl.ch/quicksearch.php?gene+name=Rv0748&amp;submit=Search</v>
      </c>
    </row>
    <row r="775" spans="1:11">
      <c r="A775" t="s">
        <v>11337</v>
      </c>
      <c r="B775" t="s">
        <v>11338</v>
      </c>
      <c r="C775" t="s">
        <v>9567</v>
      </c>
      <c r="D775" t="s">
        <v>9587</v>
      </c>
      <c r="E775" t="s">
        <v>11339</v>
      </c>
      <c r="F775" t="s">
        <v>11340</v>
      </c>
      <c r="G775" t="s">
        <v>19206</v>
      </c>
      <c r="I775" t="s">
        <v>18821</v>
      </c>
      <c r="K775" t="str">
        <f>HYPERLINK("http://tuberculist.epfl.ch/quicksearch.php?gene+name=Rv0749&amp;submit=Search")</f>
        <v>http://tuberculist.epfl.ch/quicksearch.php?gene+name=Rv0749&amp;submit=Search</v>
      </c>
    </row>
    <row r="776" spans="1:11">
      <c r="A776" t="s">
        <v>11341</v>
      </c>
      <c r="B776" t="s">
        <v>11341</v>
      </c>
      <c r="C776" t="s">
        <v>9567</v>
      </c>
      <c r="D776" t="s">
        <v>9587</v>
      </c>
      <c r="E776" t="s">
        <v>11342</v>
      </c>
      <c r="F776" t="s">
        <v>11343</v>
      </c>
      <c r="G776" t="s">
        <v>19212</v>
      </c>
      <c r="I776" t="s">
        <v>18804</v>
      </c>
      <c r="K776" t="str">
        <f>HYPERLINK("http://tuberculist.epfl.ch/quicksearch.php?gene+name=Rv0749A&amp;submit=Search")</f>
        <v>http://tuberculist.epfl.ch/quicksearch.php?gene+name=Rv0749A&amp;submit=Search</v>
      </c>
    </row>
    <row r="777" spans="1:11">
      <c r="A777" t="s">
        <v>1243</v>
      </c>
      <c r="B777" t="s">
        <v>1243</v>
      </c>
      <c r="C777" t="s">
        <v>9567</v>
      </c>
      <c r="D777" t="s">
        <v>9578</v>
      </c>
      <c r="E777" t="s">
        <v>9579</v>
      </c>
      <c r="F777" t="s">
        <v>11344</v>
      </c>
      <c r="G777" t="s">
        <v>19212</v>
      </c>
      <c r="I777" t="s">
        <v>18779</v>
      </c>
      <c r="K777" t="str">
        <f>HYPERLINK("http://tuberculist.epfl.ch/quicksearch.php?gene+name=Rv0750&amp;submit=Search")</f>
        <v>http://tuberculist.epfl.ch/quicksearch.php?gene+name=Rv0750&amp;submit=Search</v>
      </c>
    </row>
    <row r="778" spans="1:11">
      <c r="A778" t="s">
        <v>7511</v>
      </c>
      <c r="B778" t="s">
        <v>2509</v>
      </c>
      <c r="C778" t="s">
        <v>9567</v>
      </c>
      <c r="D778" t="s">
        <v>11345</v>
      </c>
      <c r="E778" t="s">
        <v>11346</v>
      </c>
      <c r="F778" t="s">
        <v>11347</v>
      </c>
      <c r="G778" t="s">
        <v>19195</v>
      </c>
      <c r="H778" t="s">
        <v>19209</v>
      </c>
      <c r="I778" t="s">
        <v>18780</v>
      </c>
      <c r="K778" t="str">
        <f>HYPERLINK("http://tuberculist.epfl.ch/quicksearch.php?gene+name=Rv0751c&amp;submit=Search")</f>
        <v>http://tuberculist.epfl.ch/quicksearch.php?gene+name=Rv0751c&amp;submit=Search</v>
      </c>
    </row>
    <row r="779" spans="1:11">
      <c r="A779" t="s">
        <v>6094</v>
      </c>
      <c r="B779" t="s">
        <v>1802</v>
      </c>
      <c r="C779" t="s">
        <v>9567</v>
      </c>
      <c r="D779" t="s">
        <v>9662</v>
      </c>
      <c r="E779" t="s">
        <v>11348</v>
      </c>
      <c r="F779" t="s">
        <v>11349</v>
      </c>
      <c r="G779" t="s">
        <v>19219</v>
      </c>
      <c r="H779" t="s">
        <v>19334</v>
      </c>
      <c r="I779" t="s">
        <v>18789</v>
      </c>
      <c r="K779" t="str">
        <f>HYPERLINK("http://tuberculist.epfl.ch/quicksearch.php?gene+name=Rv0752c&amp;submit=Search")</f>
        <v>http://tuberculist.epfl.ch/quicksearch.php?gene+name=Rv0752c&amp;submit=Search</v>
      </c>
    </row>
    <row r="780" spans="1:11">
      <c r="A780" t="s">
        <v>7494</v>
      </c>
      <c r="B780" t="s">
        <v>2504</v>
      </c>
      <c r="C780" t="s">
        <v>9567</v>
      </c>
      <c r="D780" t="s">
        <v>11350</v>
      </c>
      <c r="E780" t="s">
        <v>11351</v>
      </c>
      <c r="F780" t="s">
        <v>11352</v>
      </c>
      <c r="G780" t="s">
        <v>19195</v>
      </c>
      <c r="H780" t="s">
        <v>19510</v>
      </c>
      <c r="I780" t="s">
        <v>18780</v>
      </c>
      <c r="J780" t="s">
        <v>18847</v>
      </c>
      <c r="K780" t="str">
        <f>HYPERLINK("http://tuberculist.epfl.ch/quicksearch.php?gene+name=Rv0753c&amp;submit=Search")</f>
        <v>http://tuberculist.epfl.ch/quicksearch.php?gene+name=Rv0753c&amp;submit=Search</v>
      </c>
    </row>
    <row r="781" spans="1:11">
      <c r="A781" t="s">
        <v>4886</v>
      </c>
      <c r="B781" t="s">
        <v>1200</v>
      </c>
      <c r="C781" t="s">
        <v>9567</v>
      </c>
      <c r="D781" t="s">
        <v>9578</v>
      </c>
      <c r="E781" t="s">
        <v>11353</v>
      </c>
      <c r="F781" t="s">
        <v>11354</v>
      </c>
      <c r="G781" t="s">
        <v>19262</v>
      </c>
      <c r="H781" t="s">
        <v>19267</v>
      </c>
      <c r="I781" t="s">
        <v>18779</v>
      </c>
      <c r="J781" t="s">
        <v>18847</v>
      </c>
      <c r="K781" t="str">
        <f>HYPERLINK("http://tuberculist.epfl.ch/quicksearch.php?gene+name=Rv0754&amp;submit=Search")</f>
        <v>http://tuberculist.epfl.ch/quicksearch.php?gene+name=Rv0754&amp;submit=Search</v>
      </c>
    </row>
    <row r="782" spans="1:11">
      <c r="A782" t="s">
        <v>11355</v>
      </c>
      <c r="B782" t="s">
        <v>11355</v>
      </c>
      <c r="C782" t="s">
        <v>9567</v>
      </c>
      <c r="D782" t="s">
        <v>11356</v>
      </c>
      <c r="E782" t="s">
        <v>11357</v>
      </c>
      <c r="F782" t="s">
        <v>11358</v>
      </c>
      <c r="G782" t="s">
        <v>19217</v>
      </c>
      <c r="I782" t="s">
        <v>18793</v>
      </c>
      <c r="K782" t="str">
        <f>HYPERLINK("http://tuberculist.epfl.ch/quicksearch.php?gene+name=Rv0755A&amp;submit=Search")</f>
        <v>http://tuberculist.epfl.ch/quicksearch.php?gene+name=Rv0755A&amp;submit=Search</v>
      </c>
    </row>
    <row r="783" spans="1:11">
      <c r="A783" t="s">
        <v>8738</v>
      </c>
      <c r="B783" t="s">
        <v>3109</v>
      </c>
      <c r="C783" t="s">
        <v>9567</v>
      </c>
      <c r="D783" t="s">
        <v>9578</v>
      </c>
      <c r="E783" t="s">
        <v>11359</v>
      </c>
      <c r="F783" t="s">
        <v>11360</v>
      </c>
      <c r="G783" t="s">
        <v>19262</v>
      </c>
      <c r="H783" t="s">
        <v>19254</v>
      </c>
      <c r="I783" t="s">
        <v>18842</v>
      </c>
      <c r="K783" t="str">
        <f>HYPERLINK("http://tuberculist.epfl.ch/quicksearch.php?gene+name=Rv0755c&amp;submit=Search")</f>
        <v>http://tuberculist.epfl.ch/quicksearch.php?gene+name=Rv0755c&amp;submit=Search</v>
      </c>
    </row>
    <row r="784" spans="1:11">
      <c r="A784" t="s">
        <v>2560</v>
      </c>
      <c r="B784" t="s">
        <v>2560</v>
      </c>
      <c r="C784" t="s">
        <v>9567</v>
      </c>
      <c r="D784" t="s">
        <v>9587</v>
      </c>
      <c r="E784" t="s">
        <v>9768</v>
      </c>
      <c r="F784" t="s">
        <v>11361</v>
      </c>
      <c r="G784" t="s">
        <v>19212</v>
      </c>
      <c r="H784" t="s">
        <v>19504</v>
      </c>
      <c r="I784" t="s">
        <v>18780</v>
      </c>
      <c r="K784" t="str">
        <f>HYPERLINK("http://tuberculist.epfl.ch/quicksearch.php?gene+name=Rv0756c&amp;submit=Search")</f>
        <v>http://tuberculist.epfl.ch/quicksearch.php?gene+name=Rv0756c&amp;submit=Search</v>
      </c>
    </row>
    <row r="785" spans="1:11">
      <c r="A785" t="s">
        <v>68</v>
      </c>
      <c r="B785" t="s">
        <v>69</v>
      </c>
      <c r="C785" t="s">
        <v>9567</v>
      </c>
      <c r="D785" t="s">
        <v>11362</v>
      </c>
      <c r="E785" t="s">
        <v>11363</v>
      </c>
      <c r="F785" t="s">
        <v>11364</v>
      </c>
      <c r="G785" t="s">
        <v>19197</v>
      </c>
      <c r="H785" t="s">
        <v>19511</v>
      </c>
      <c r="I785" t="s">
        <v>18896</v>
      </c>
      <c r="K785" t="str">
        <f>HYPERLINK("http://tuberculist.epfl.ch/quicksearch.php?gene+name=Rv0757&amp;submit=Search")</f>
        <v>http://tuberculist.epfl.ch/quicksearch.php?gene+name=Rv0757&amp;submit=Search</v>
      </c>
    </row>
    <row r="786" spans="1:11">
      <c r="A786" t="s">
        <v>79</v>
      </c>
      <c r="B786" t="s">
        <v>80</v>
      </c>
      <c r="C786" t="s">
        <v>9567</v>
      </c>
      <c r="D786" t="s">
        <v>11365</v>
      </c>
      <c r="E786" t="s">
        <v>11366</v>
      </c>
      <c r="F786" t="s">
        <v>11367</v>
      </c>
      <c r="G786" t="s">
        <v>19197</v>
      </c>
      <c r="H786" t="s">
        <v>19213</v>
      </c>
      <c r="I786" t="s">
        <v>18897</v>
      </c>
      <c r="K786" t="str">
        <f>HYPERLINK("http://tuberculist.epfl.ch/quicksearch.php?gene+name=Rv0758&amp;submit=Search")</f>
        <v>http://tuberculist.epfl.ch/quicksearch.php?gene+name=Rv0758&amp;submit=Search</v>
      </c>
    </row>
    <row r="787" spans="1:11">
      <c r="A787" t="s">
        <v>11368</v>
      </c>
      <c r="B787" t="s">
        <v>11368</v>
      </c>
      <c r="C787" t="s">
        <v>9567</v>
      </c>
      <c r="D787" t="s">
        <v>9578</v>
      </c>
      <c r="E787" t="s">
        <v>9579</v>
      </c>
      <c r="F787" t="s">
        <v>11369</v>
      </c>
      <c r="G787" t="s">
        <v>19204</v>
      </c>
      <c r="H787" t="s">
        <v>19213</v>
      </c>
      <c r="I787" t="s">
        <v>18779</v>
      </c>
      <c r="J787" t="s">
        <v>18839</v>
      </c>
      <c r="K787" t="str">
        <f>HYPERLINK("http://tuberculist.epfl.ch/quicksearch.php?gene+name=Rv0759c&amp;submit=Search")</f>
        <v>http://tuberculist.epfl.ch/quicksearch.php?gene+name=Rv0759c&amp;submit=Search</v>
      </c>
    </row>
    <row r="788" spans="1:11">
      <c r="A788" t="s">
        <v>504</v>
      </c>
      <c r="B788" t="s">
        <v>504</v>
      </c>
      <c r="C788" t="s">
        <v>9567</v>
      </c>
      <c r="D788" t="s">
        <v>9578</v>
      </c>
      <c r="E788" t="s">
        <v>9665</v>
      </c>
      <c r="F788" t="s">
        <v>11370</v>
      </c>
      <c r="G788" t="s">
        <v>19204</v>
      </c>
      <c r="H788" t="s">
        <v>19272</v>
      </c>
      <c r="I788" t="s">
        <v>18780</v>
      </c>
      <c r="K788" t="str">
        <f>HYPERLINK("http://tuberculist.epfl.ch/quicksearch.php?gene+name=Rv0760c&amp;submit=Search")</f>
        <v>http://tuberculist.epfl.ch/quicksearch.php?gene+name=Rv0760c&amp;submit=Search</v>
      </c>
    </row>
    <row r="789" spans="1:11">
      <c r="A789" t="s">
        <v>8113</v>
      </c>
      <c r="B789" t="s">
        <v>2810</v>
      </c>
      <c r="C789" t="s">
        <v>9567</v>
      </c>
      <c r="D789" t="s">
        <v>11371</v>
      </c>
      <c r="E789" t="s">
        <v>11372</v>
      </c>
      <c r="F789" t="s">
        <v>11373</v>
      </c>
      <c r="G789" t="s">
        <v>19195</v>
      </c>
      <c r="H789" t="s">
        <v>19512</v>
      </c>
      <c r="I789" t="s">
        <v>18781</v>
      </c>
      <c r="K789" t="str">
        <f>HYPERLINK("http://tuberculist.epfl.ch/quicksearch.php?gene+name=Rv0761c&amp;submit=Search")</f>
        <v>http://tuberculist.epfl.ch/quicksearch.php?gene+name=Rv0761c&amp;submit=Search</v>
      </c>
    </row>
    <row r="790" spans="1:11">
      <c r="A790" t="s">
        <v>2210</v>
      </c>
      <c r="B790" t="s">
        <v>2210</v>
      </c>
      <c r="C790" t="s">
        <v>9567</v>
      </c>
      <c r="D790" t="s">
        <v>9578</v>
      </c>
      <c r="E790" t="s">
        <v>9579</v>
      </c>
      <c r="F790" t="s">
        <v>11374</v>
      </c>
      <c r="G790" t="s">
        <v>19204</v>
      </c>
      <c r="H790" t="s">
        <v>19513</v>
      </c>
      <c r="I790" t="s">
        <v>18789</v>
      </c>
      <c r="K790" t="str">
        <f>HYPERLINK("http://tuberculist.epfl.ch/quicksearch.php?gene+name=Rv0762c&amp;submit=Search")</f>
        <v>http://tuberculist.epfl.ch/quicksearch.php?gene+name=Rv0762c&amp;submit=Search</v>
      </c>
    </row>
    <row r="791" spans="1:11">
      <c r="A791" t="s">
        <v>11375</v>
      </c>
      <c r="B791" t="s">
        <v>11375</v>
      </c>
      <c r="C791" t="s">
        <v>9567</v>
      </c>
      <c r="D791" t="s">
        <v>11376</v>
      </c>
      <c r="E791" t="s">
        <v>11377</v>
      </c>
      <c r="F791" t="s">
        <v>11378</v>
      </c>
      <c r="G791" t="s">
        <v>19195</v>
      </c>
      <c r="I791" t="s">
        <v>18773</v>
      </c>
      <c r="K791" t="str">
        <f>HYPERLINK("http://tuberculist.epfl.ch/quicksearch.php?gene+name=Rv0763c&amp;submit=Search")</f>
        <v>http://tuberculist.epfl.ch/quicksearch.php?gene+name=Rv0763c&amp;submit=Search</v>
      </c>
    </row>
    <row r="792" spans="1:11">
      <c r="A792" t="s">
        <v>7593</v>
      </c>
      <c r="B792" t="s">
        <v>2548</v>
      </c>
      <c r="C792" t="s">
        <v>9567</v>
      </c>
      <c r="D792" t="s">
        <v>11379</v>
      </c>
      <c r="E792" t="s">
        <v>11380</v>
      </c>
      <c r="F792" t="s">
        <v>11381</v>
      </c>
      <c r="G792" t="s">
        <v>19195</v>
      </c>
      <c r="H792" t="s">
        <v>19213</v>
      </c>
      <c r="I792" t="s">
        <v>18777</v>
      </c>
      <c r="K792" t="str">
        <f>HYPERLINK("http://tuberculist.epfl.ch/quicksearch.php?gene+name=Rv0764c&amp;submit=Search")</f>
        <v>http://tuberculist.epfl.ch/quicksearch.php?gene+name=Rv0764c&amp;submit=Search</v>
      </c>
    </row>
    <row r="793" spans="1:11">
      <c r="A793" t="s">
        <v>815</v>
      </c>
      <c r="B793" t="s">
        <v>815</v>
      </c>
      <c r="C793" t="s">
        <v>9567</v>
      </c>
      <c r="D793" t="s">
        <v>11382</v>
      </c>
      <c r="E793" t="s">
        <v>9739</v>
      </c>
      <c r="F793" t="s">
        <v>11383</v>
      </c>
      <c r="G793" t="s">
        <v>19195</v>
      </c>
      <c r="I793" t="s">
        <v>18793</v>
      </c>
      <c r="K793" t="str">
        <f>HYPERLINK("http://tuberculist.epfl.ch/quicksearch.php?gene+name=Rv0765c&amp;submit=Search")</f>
        <v>http://tuberculist.epfl.ch/quicksearch.php?gene+name=Rv0765c&amp;submit=Search</v>
      </c>
    </row>
    <row r="794" spans="1:11">
      <c r="A794" t="s">
        <v>254</v>
      </c>
      <c r="B794" t="s">
        <v>253</v>
      </c>
      <c r="C794" t="s">
        <v>9567</v>
      </c>
      <c r="D794" t="s">
        <v>9908</v>
      </c>
      <c r="E794" t="s">
        <v>11384</v>
      </c>
      <c r="F794" t="s">
        <v>11385</v>
      </c>
      <c r="G794" t="s">
        <v>19195</v>
      </c>
      <c r="H794" t="s">
        <v>19207</v>
      </c>
      <c r="I794" t="s">
        <v>18818</v>
      </c>
      <c r="K794" t="str">
        <f>HYPERLINK("http://tuberculist.epfl.ch/quicksearch.php?gene+name=Rv0766c&amp;submit=Search")</f>
        <v>http://tuberculist.epfl.ch/quicksearch.php?gene+name=Rv0766c&amp;submit=Search</v>
      </c>
    </row>
    <row r="795" spans="1:11">
      <c r="A795" t="s">
        <v>11386</v>
      </c>
      <c r="B795" t="s">
        <v>11386</v>
      </c>
      <c r="C795" t="s">
        <v>9567</v>
      </c>
      <c r="D795" t="s">
        <v>9578</v>
      </c>
      <c r="E795" t="s">
        <v>9579</v>
      </c>
      <c r="F795" t="s">
        <v>11387</v>
      </c>
      <c r="G795" t="s">
        <v>19208</v>
      </c>
      <c r="I795" t="s">
        <v>18780</v>
      </c>
      <c r="K795" t="str">
        <f>HYPERLINK("http://tuberculist.epfl.ch/quicksearch.php?gene+name=Rv0767c&amp;submit=Search")</f>
        <v>http://tuberculist.epfl.ch/quicksearch.php?gene+name=Rv0767c&amp;submit=Search</v>
      </c>
    </row>
    <row r="796" spans="1:11">
      <c r="A796" t="s">
        <v>7667</v>
      </c>
      <c r="B796" t="s">
        <v>2588</v>
      </c>
      <c r="C796" t="s">
        <v>9567</v>
      </c>
      <c r="D796" t="s">
        <v>11388</v>
      </c>
      <c r="E796" t="s">
        <v>11389</v>
      </c>
      <c r="F796" t="s">
        <v>11390</v>
      </c>
      <c r="G796" t="s">
        <v>19195</v>
      </c>
      <c r="H796" t="s">
        <v>19213</v>
      </c>
      <c r="I796" t="s">
        <v>18789</v>
      </c>
      <c r="K796" t="str">
        <f>HYPERLINK("http://tuberculist.epfl.ch/quicksearch.php?gene+name=Rv0768&amp;submit=Search")</f>
        <v>http://tuberculist.epfl.ch/quicksearch.php?gene+name=Rv0768&amp;submit=Search</v>
      </c>
    </row>
    <row r="797" spans="1:11">
      <c r="A797" t="s">
        <v>2303</v>
      </c>
      <c r="B797" t="s">
        <v>2303</v>
      </c>
      <c r="C797" t="s">
        <v>9567</v>
      </c>
      <c r="D797" t="s">
        <v>9682</v>
      </c>
      <c r="E797" t="s">
        <v>10276</v>
      </c>
      <c r="F797" t="s">
        <v>11391</v>
      </c>
      <c r="G797" t="s">
        <v>19195</v>
      </c>
      <c r="H797" t="s">
        <v>19225</v>
      </c>
      <c r="I797" t="s">
        <v>18780</v>
      </c>
      <c r="K797" t="str">
        <f>HYPERLINK("http://tuberculist.epfl.ch/quicksearch.php?gene+name=Rv0769&amp;submit=Search")</f>
        <v>http://tuberculist.epfl.ch/quicksearch.php?gene+name=Rv0769&amp;submit=Search</v>
      </c>
    </row>
    <row r="798" spans="1:11">
      <c r="A798" t="s">
        <v>3380</v>
      </c>
      <c r="B798" t="s">
        <v>3380</v>
      </c>
      <c r="C798" t="s">
        <v>9567</v>
      </c>
      <c r="D798" t="s">
        <v>11392</v>
      </c>
      <c r="E798" t="s">
        <v>10276</v>
      </c>
      <c r="F798" t="s">
        <v>11393</v>
      </c>
      <c r="G798" t="s">
        <v>19195</v>
      </c>
      <c r="H798" t="s">
        <v>19254</v>
      </c>
      <c r="I798" t="s">
        <v>18780</v>
      </c>
      <c r="K798" t="str">
        <f>HYPERLINK("http://tuberculist.epfl.ch/quicksearch.php?gene+name=Rv0770&amp;submit=Search")</f>
        <v>http://tuberculist.epfl.ch/quicksearch.php?gene+name=Rv0770&amp;submit=Search</v>
      </c>
    </row>
    <row r="799" spans="1:11">
      <c r="A799" t="s">
        <v>2674</v>
      </c>
      <c r="B799" t="s">
        <v>2674</v>
      </c>
      <c r="C799" t="s">
        <v>9567</v>
      </c>
      <c r="D799" t="s">
        <v>11394</v>
      </c>
      <c r="E799" t="s">
        <v>11395</v>
      </c>
      <c r="F799" t="s">
        <v>11396</v>
      </c>
      <c r="G799" t="s">
        <v>19195</v>
      </c>
      <c r="I799" t="s">
        <v>18780</v>
      </c>
      <c r="K799" t="str">
        <f>HYPERLINK("http://tuberculist.epfl.ch/quicksearch.php?gene+name=Rv0771&amp;submit=Search")</f>
        <v>http://tuberculist.epfl.ch/quicksearch.php?gene+name=Rv0771&amp;submit=Search</v>
      </c>
    </row>
    <row r="800" spans="1:11">
      <c r="A800" t="s">
        <v>7255</v>
      </c>
      <c r="B800" t="s">
        <v>2386</v>
      </c>
      <c r="C800" t="s">
        <v>9567</v>
      </c>
      <c r="D800" t="s">
        <v>11397</v>
      </c>
      <c r="E800" t="s">
        <v>11398</v>
      </c>
      <c r="F800" t="s">
        <v>11399</v>
      </c>
      <c r="G800" t="s">
        <v>19195</v>
      </c>
      <c r="H800" t="s">
        <v>19229</v>
      </c>
      <c r="I800" t="s">
        <v>18774</v>
      </c>
      <c r="K800" t="str">
        <f>HYPERLINK("http://tuberculist.epfl.ch/quicksearch.php?gene+name=Rv0772&amp;submit=Search")</f>
        <v>http://tuberculist.epfl.ch/quicksearch.php?gene+name=Rv0772&amp;submit=Search</v>
      </c>
    </row>
    <row r="801" spans="1:11">
      <c r="A801" t="s">
        <v>6236</v>
      </c>
      <c r="B801" t="s">
        <v>1872</v>
      </c>
      <c r="C801" t="s">
        <v>9567</v>
      </c>
      <c r="D801" t="s">
        <v>11400</v>
      </c>
      <c r="E801" t="s">
        <v>11401</v>
      </c>
      <c r="F801" t="s">
        <v>11402</v>
      </c>
      <c r="G801" t="s">
        <v>19195</v>
      </c>
      <c r="H801" t="s">
        <v>19435</v>
      </c>
      <c r="I801" t="s">
        <v>18779</v>
      </c>
      <c r="K801" t="str">
        <f>HYPERLINK("http://tuberculist.epfl.ch/quicksearch.php?gene+name=Rv0773c&amp;submit=Search")</f>
        <v>http://tuberculist.epfl.ch/quicksearch.php?gene+name=Rv0773c&amp;submit=Search</v>
      </c>
    </row>
    <row r="802" spans="1:11">
      <c r="A802" t="s">
        <v>1077</v>
      </c>
      <c r="B802" t="s">
        <v>1077</v>
      </c>
      <c r="C802" t="s">
        <v>9567</v>
      </c>
      <c r="D802" t="s">
        <v>10756</v>
      </c>
      <c r="E802" t="s">
        <v>11403</v>
      </c>
      <c r="F802" t="s">
        <v>11404</v>
      </c>
      <c r="G802" t="s">
        <v>19188</v>
      </c>
      <c r="H802" t="s">
        <v>19264</v>
      </c>
      <c r="I802" t="s">
        <v>18780</v>
      </c>
      <c r="K802" t="str">
        <f>HYPERLINK("http://tuberculist.epfl.ch/quicksearch.php?gene+name=Rv0774c&amp;submit=Search")</f>
        <v>http://tuberculist.epfl.ch/quicksearch.php?gene+name=Rv0774c&amp;submit=Search</v>
      </c>
    </row>
    <row r="803" spans="1:11">
      <c r="A803" t="s">
        <v>1309</v>
      </c>
      <c r="B803" t="s">
        <v>1309</v>
      </c>
      <c r="C803" t="s">
        <v>9567</v>
      </c>
      <c r="D803" t="s">
        <v>9578</v>
      </c>
      <c r="E803" t="s">
        <v>9579</v>
      </c>
      <c r="F803" t="s">
        <v>11405</v>
      </c>
      <c r="G803" t="s">
        <v>19212</v>
      </c>
      <c r="H803" t="s">
        <v>19263</v>
      </c>
      <c r="I803" t="s">
        <v>18789</v>
      </c>
      <c r="K803" t="str">
        <f>HYPERLINK("http://tuberculist.epfl.ch/quicksearch.php?gene+name=Rv0775&amp;submit=Search")</f>
        <v>http://tuberculist.epfl.ch/quicksearch.php?gene+name=Rv0775&amp;submit=Search</v>
      </c>
    </row>
    <row r="804" spans="1:11">
      <c r="A804" t="s">
        <v>2311</v>
      </c>
      <c r="B804" t="s">
        <v>2311</v>
      </c>
      <c r="C804" t="s">
        <v>9567</v>
      </c>
      <c r="D804" t="s">
        <v>9578</v>
      </c>
      <c r="E804" t="s">
        <v>9579</v>
      </c>
      <c r="F804" t="s">
        <v>11406</v>
      </c>
      <c r="G804" t="s">
        <v>19212</v>
      </c>
      <c r="I804" t="s">
        <v>18789</v>
      </c>
      <c r="K804" t="str">
        <f>HYPERLINK("http://tuberculist.epfl.ch/quicksearch.php?gene+name=Rv0776c&amp;submit=Search")</f>
        <v>http://tuberculist.epfl.ch/quicksearch.php?gene+name=Rv0776c&amp;submit=Search</v>
      </c>
    </row>
    <row r="805" spans="1:11">
      <c r="A805" t="s">
        <v>6228</v>
      </c>
      <c r="B805" t="s">
        <v>1869</v>
      </c>
      <c r="C805" t="s">
        <v>9567</v>
      </c>
      <c r="D805" t="s">
        <v>11407</v>
      </c>
      <c r="E805" t="s">
        <v>11408</v>
      </c>
      <c r="F805" t="s">
        <v>11409</v>
      </c>
      <c r="G805" t="s">
        <v>19195</v>
      </c>
      <c r="H805" t="s">
        <v>19514</v>
      </c>
      <c r="I805" t="s">
        <v>18776</v>
      </c>
      <c r="K805" t="str">
        <f>HYPERLINK("http://tuberculist.epfl.ch/quicksearch.php?gene+name=Rv0777&amp;submit=Search")</f>
        <v>http://tuberculist.epfl.ch/quicksearch.php?gene+name=Rv0777&amp;submit=Search</v>
      </c>
    </row>
    <row r="806" spans="1:11">
      <c r="A806" t="s">
        <v>8595</v>
      </c>
      <c r="B806" t="s">
        <v>3038</v>
      </c>
      <c r="C806" t="s">
        <v>9567</v>
      </c>
      <c r="D806" t="s">
        <v>9908</v>
      </c>
      <c r="E806" t="s">
        <v>11410</v>
      </c>
      <c r="F806" t="s">
        <v>11411</v>
      </c>
      <c r="G806" t="s">
        <v>19195</v>
      </c>
      <c r="H806" t="s">
        <v>19213</v>
      </c>
      <c r="I806" t="s">
        <v>18793</v>
      </c>
      <c r="K806" t="str">
        <f>HYPERLINK("http://tuberculist.epfl.ch/quicksearch.php?gene+name=Rv0778&amp;submit=Search")</f>
        <v>http://tuberculist.epfl.ch/quicksearch.php?gene+name=Rv0778&amp;submit=Search</v>
      </c>
    </row>
    <row r="807" spans="1:11">
      <c r="A807" t="s">
        <v>2694</v>
      </c>
      <c r="B807" t="s">
        <v>2694</v>
      </c>
      <c r="C807" t="s">
        <v>9567</v>
      </c>
      <c r="D807" t="s">
        <v>9587</v>
      </c>
      <c r="E807" t="s">
        <v>9671</v>
      </c>
      <c r="F807" t="s">
        <v>11412</v>
      </c>
      <c r="G807" t="s">
        <v>19188</v>
      </c>
      <c r="I807" t="s">
        <v>18779</v>
      </c>
      <c r="K807" t="str">
        <f>HYPERLINK("http://tuberculist.epfl.ch/quicksearch.php?gene+name=Rv0779c&amp;submit=Search")</f>
        <v>http://tuberculist.epfl.ch/quicksearch.php?gene+name=Rv0779c&amp;submit=Search</v>
      </c>
    </row>
    <row r="808" spans="1:11">
      <c r="A808" t="s">
        <v>8641</v>
      </c>
      <c r="B808" t="s">
        <v>3060</v>
      </c>
      <c r="C808" t="s">
        <v>9567</v>
      </c>
      <c r="D808" t="s">
        <v>11413</v>
      </c>
      <c r="E808" t="s">
        <v>11414</v>
      </c>
      <c r="F808" t="s">
        <v>11415</v>
      </c>
      <c r="G808" t="s">
        <v>19195</v>
      </c>
      <c r="H808" t="s">
        <v>19209</v>
      </c>
      <c r="I808" t="s">
        <v>18774</v>
      </c>
      <c r="K808" t="str">
        <f>HYPERLINK("http://tuberculist.epfl.ch/quicksearch.php?gene+name=Rv0780&amp;submit=Search")</f>
        <v>http://tuberculist.epfl.ch/quicksearch.php?gene+name=Rv0780&amp;submit=Search</v>
      </c>
    </row>
    <row r="809" spans="1:11">
      <c r="A809" t="s">
        <v>11416</v>
      </c>
      <c r="B809" t="s">
        <v>11417</v>
      </c>
      <c r="C809" t="s">
        <v>9567</v>
      </c>
      <c r="D809" t="s">
        <v>11418</v>
      </c>
      <c r="E809" t="s">
        <v>11419</v>
      </c>
      <c r="F809" t="s">
        <v>11420</v>
      </c>
      <c r="G809" t="s">
        <v>19195</v>
      </c>
      <c r="I809" t="s">
        <v>18898</v>
      </c>
      <c r="K809" t="str">
        <f>HYPERLINK("http://tuberculist.epfl.ch/quicksearch.php?gene+name=Rv0781&amp;submit=Search")</f>
        <v>http://tuberculist.epfl.ch/quicksearch.php?gene+name=Rv0781&amp;submit=Search</v>
      </c>
    </row>
    <row r="810" spans="1:11">
      <c r="A810" t="s">
        <v>11421</v>
      </c>
      <c r="B810" t="s">
        <v>642</v>
      </c>
      <c r="C810" t="s">
        <v>9567</v>
      </c>
      <c r="D810" t="s">
        <v>11418</v>
      </c>
      <c r="E810" t="s">
        <v>11422</v>
      </c>
      <c r="F810" t="s">
        <v>11423</v>
      </c>
      <c r="G810" t="s">
        <v>19195</v>
      </c>
      <c r="I810" t="s">
        <v>18779</v>
      </c>
      <c r="K810" t="str">
        <f>HYPERLINK("http://tuberculist.epfl.ch/quicksearch.php?gene+name=Rv0782&amp;submit=Search")</f>
        <v>http://tuberculist.epfl.ch/quicksearch.php?gene+name=Rv0782&amp;submit=Search</v>
      </c>
    </row>
    <row r="811" spans="1:11">
      <c r="A811" t="s">
        <v>5017</v>
      </c>
      <c r="B811" t="s">
        <v>1260</v>
      </c>
      <c r="C811" t="s">
        <v>9567</v>
      </c>
      <c r="D811" t="s">
        <v>11424</v>
      </c>
      <c r="E811" t="s">
        <v>11425</v>
      </c>
      <c r="F811" t="s">
        <v>11426</v>
      </c>
      <c r="G811" t="s">
        <v>19188</v>
      </c>
      <c r="H811" t="s">
        <v>19254</v>
      </c>
      <c r="I811" t="s">
        <v>18779</v>
      </c>
      <c r="K811" t="str">
        <f>HYPERLINK("http://tuberculist.epfl.ch/quicksearch.php?gene+name=Rv0783c&amp;submit=Search")</f>
        <v>http://tuberculist.epfl.ch/quicksearch.php?gene+name=Rv0783c&amp;submit=Search</v>
      </c>
    </row>
    <row r="812" spans="1:11">
      <c r="A812" t="s">
        <v>3423</v>
      </c>
      <c r="B812" t="s">
        <v>3423</v>
      </c>
      <c r="C812" t="s">
        <v>9567</v>
      </c>
      <c r="D812" t="s">
        <v>9578</v>
      </c>
      <c r="E812" t="s">
        <v>9579</v>
      </c>
      <c r="F812" t="s">
        <v>11427</v>
      </c>
      <c r="G812" t="s">
        <v>19212</v>
      </c>
      <c r="H812" t="s">
        <v>19482</v>
      </c>
      <c r="I812" t="s">
        <v>18780</v>
      </c>
      <c r="K812" t="str">
        <f>HYPERLINK("http://tuberculist.epfl.ch/quicksearch.php?gene+name=Rv0784&amp;submit=Search")</f>
        <v>http://tuberculist.epfl.ch/quicksearch.php?gene+name=Rv0784&amp;submit=Search</v>
      </c>
    </row>
    <row r="813" spans="1:11">
      <c r="A813" t="s">
        <v>2182</v>
      </c>
      <c r="B813" t="s">
        <v>2182</v>
      </c>
      <c r="C813" t="s">
        <v>9567</v>
      </c>
      <c r="D813" t="s">
        <v>9578</v>
      </c>
      <c r="E813" t="s">
        <v>9665</v>
      </c>
      <c r="F813" t="s">
        <v>11428</v>
      </c>
      <c r="G813" t="s">
        <v>19212</v>
      </c>
      <c r="H813" t="s">
        <v>19252</v>
      </c>
      <c r="I813" t="s">
        <v>18780</v>
      </c>
      <c r="K813" t="str">
        <f>HYPERLINK("http://tuberculist.epfl.ch/quicksearch.php?gene+name=Rv0785&amp;submit=Search")</f>
        <v>http://tuberculist.epfl.ch/quicksearch.php?gene+name=Rv0785&amp;submit=Search</v>
      </c>
    </row>
    <row r="814" spans="1:11">
      <c r="A814" t="s">
        <v>11429</v>
      </c>
      <c r="B814" t="s">
        <v>11429</v>
      </c>
      <c r="C814" t="s">
        <v>9567</v>
      </c>
      <c r="D814" t="s">
        <v>9578</v>
      </c>
      <c r="E814" t="s">
        <v>9665</v>
      </c>
      <c r="F814" t="s">
        <v>11430</v>
      </c>
      <c r="G814" t="s">
        <v>19212</v>
      </c>
      <c r="H814" t="s">
        <v>19233</v>
      </c>
      <c r="I814" t="s">
        <v>18789</v>
      </c>
      <c r="K814" t="str">
        <f>HYPERLINK("http://tuberculist.epfl.ch/quicksearch.php?gene+name=Rv0786c&amp;submit=Search")</f>
        <v>http://tuberculist.epfl.ch/quicksearch.php?gene+name=Rv0786c&amp;submit=Search</v>
      </c>
    </row>
    <row r="815" spans="1:11">
      <c r="A815" t="s">
        <v>3277</v>
      </c>
      <c r="B815" t="s">
        <v>3277</v>
      </c>
      <c r="C815" t="s">
        <v>9567</v>
      </c>
      <c r="D815" t="s">
        <v>9587</v>
      </c>
      <c r="E815" t="s">
        <v>9768</v>
      </c>
      <c r="F815" t="s">
        <v>11431</v>
      </c>
      <c r="G815" t="s">
        <v>19212</v>
      </c>
      <c r="H815" t="s">
        <v>19264</v>
      </c>
      <c r="I815" t="s">
        <v>18780</v>
      </c>
      <c r="K815" t="str">
        <f>HYPERLINK("http://tuberculist.epfl.ch/quicksearch.php?gene+name=Rv0787&amp;submit=Search")</f>
        <v>http://tuberculist.epfl.ch/quicksearch.php?gene+name=Rv0787&amp;submit=Search</v>
      </c>
    </row>
    <row r="816" spans="1:11">
      <c r="A816" t="s">
        <v>11432</v>
      </c>
      <c r="B816" t="s">
        <v>11432</v>
      </c>
      <c r="C816" t="s">
        <v>9567</v>
      </c>
      <c r="D816" t="s">
        <v>9578</v>
      </c>
      <c r="E816" t="s">
        <v>9665</v>
      </c>
      <c r="F816" t="s">
        <v>11433</v>
      </c>
      <c r="G816" t="s">
        <v>19204</v>
      </c>
      <c r="H816" t="s">
        <v>19515</v>
      </c>
      <c r="I816" t="s">
        <v>18773</v>
      </c>
      <c r="K816" t="str">
        <f>HYPERLINK("http://tuberculist.epfl.ch/quicksearch.php?gene+name=Rv0787A&amp;submit=Search")</f>
        <v>http://tuberculist.epfl.ch/quicksearch.php?gene+name=Rv0787A&amp;submit=Search</v>
      </c>
    </row>
    <row r="817" spans="1:11">
      <c r="A817" t="s">
        <v>4649</v>
      </c>
      <c r="B817" t="s">
        <v>1083</v>
      </c>
      <c r="C817" t="s">
        <v>9567</v>
      </c>
      <c r="D817" t="s">
        <v>11434</v>
      </c>
      <c r="E817" t="s">
        <v>11435</v>
      </c>
      <c r="F817" t="s">
        <v>11436</v>
      </c>
      <c r="G817" t="s">
        <v>19195</v>
      </c>
      <c r="H817" t="s">
        <v>19225</v>
      </c>
      <c r="I817" t="s">
        <v>18774</v>
      </c>
      <c r="K817" t="str">
        <f>HYPERLINK("http://tuberculist.epfl.ch/quicksearch.php?gene+name=Rv0788&amp;submit=Search")</f>
        <v>http://tuberculist.epfl.ch/quicksearch.php?gene+name=Rv0788&amp;submit=Search</v>
      </c>
    </row>
    <row r="818" spans="1:11">
      <c r="A818" t="s">
        <v>2683</v>
      </c>
      <c r="B818" t="s">
        <v>2683</v>
      </c>
      <c r="C818" t="s">
        <v>9567</v>
      </c>
      <c r="D818" t="s">
        <v>9587</v>
      </c>
      <c r="E818" t="s">
        <v>9713</v>
      </c>
      <c r="F818" t="s">
        <v>11437</v>
      </c>
      <c r="G818" t="s">
        <v>19208</v>
      </c>
      <c r="H818" t="s">
        <v>19215</v>
      </c>
      <c r="I818" t="s">
        <v>18780</v>
      </c>
      <c r="K818" t="str">
        <f>HYPERLINK("http://tuberculist.epfl.ch/quicksearch.php?gene+name=Rv0789c&amp;submit=Search")</f>
        <v>http://tuberculist.epfl.ch/quicksearch.php?gene+name=Rv0789c&amp;submit=Search</v>
      </c>
    </row>
    <row r="819" spans="1:11">
      <c r="A819" t="s">
        <v>946</v>
      </c>
      <c r="B819" t="s">
        <v>946</v>
      </c>
      <c r="C819" t="s">
        <v>9567</v>
      </c>
      <c r="D819" t="s">
        <v>9587</v>
      </c>
      <c r="E819" t="s">
        <v>9713</v>
      </c>
      <c r="F819" t="s">
        <v>11438</v>
      </c>
      <c r="G819" t="s">
        <v>19208</v>
      </c>
      <c r="I819" t="s">
        <v>18783</v>
      </c>
      <c r="K819" t="str">
        <f>HYPERLINK("http://tuberculist.epfl.ch/quicksearch.php?gene+name=Rv0790c&amp;submit=Search")</f>
        <v>http://tuberculist.epfl.ch/quicksearch.php?gene+name=Rv0790c&amp;submit=Search</v>
      </c>
    </row>
    <row r="820" spans="1:11">
      <c r="A820" t="s">
        <v>1754</v>
      </c>
      <c r="B820" t="s">
        <v>1754</v>
      </c>
      <c r="C820" t="s">
        <v>9567</v>
      </c>
      <c r="D820" t="s">
        <v>9578</v>
      </c>
      <c r="E820" t="s">
        <v>9665</v>
      </c>
      <c r="F820" t="s">
        <v>11439</v>
      </c>
      <c r="G820" t="s">
        <v>19204</v>
      </c>
      <c r="H820" t="s">
        <v>19233</v>
      </c>
      <c r="I820" t="s">
        <v>18789</v>
      </c>
      <c r="K820" t="str">
        <f>HYPERLINK("http://tuberculist.epfl.ch/quicksearch.php?gene+name=Rv0791c&amp;submit=Search")</f>
        <v>http://tuberculist.epfl.ch/quicksearch.php?gene+name=Rv0791c&amp;submit=Search</v>
      </c>
    </row>
    <row r="821" spans="1:11">
      <c r="A821" t="s">
        <v>2971</v>
      </c>
      <c r="B821" t="s">
        <v>2971</v>
      </c>
      <c r="C821" t="s">
        <v>9567</v>
      </c>
      <c r="D821" t="s">
        <v>9629</v>
      </c>
      <c r="E821" t="s">
        <v>9680</v>
      </c>
      <c r="F821" t="s">
        <v>11440</v>
      </c>
      <c r="G821" t="s">
        <v>19197</v>
      </c>
      <c r="I821" t="s">
        <v>18780</v>
      </c>
      <c r="K821" t="str">
        <f>HYPERLINK("http://tuberculist.epfl.ch/quicksearch.php?gene+name=Rv0792c&amp;submit=Search")</f>
        <v>http://tuberculist.epfl.ch/quicksearch.php?gene+name=Rv0792c&amp;submit=Search</v>
      </c>
    </row>
    <row r="822" spans="1:11">
      <c r="A822" t="s">
        <v>11441</v>
      </c>
      <c r="B822" t="s">
        <v>11441</v>
      </c>
      <c r="C822" t="s">
        <v>9567</v>
      </c>
      <c r="D822" t="s">
        <v>9578</v>
      </c>
      <c r="E822" t="s">
        <v>11442</v>
      </c>
      <c r="F822" t="s">
        <v>11443</v>
      </c>
      <c r="G822" t="s">
        <v>19195</v>
      </c>
      <c r="I822" t="s">
        <v>18780</v>
      </c>
      <c r="K822" t="str">
        <f>HYPERLINK("http://tuberculist.epfl.ch/quicksearch.php?gene+name=Rv0793&amp;submit=Search")</f>
        <v>http://tuberculist.epfl.ch/quicksearch.php?gene+name=Rv0793&amp;submit=Search</v>
      </c>
    </row>
    <row r="823" spans="1:11">
      <c r="A823" t="s">
        <v>2728</v>
      </c>
      <c r="B823" t="s">
        <v>2728</v>
      </c>
      <c r="C823" t="s">
        <v>9567</v>
      </c>
      <c r="D823" t="s">
        <v>9682</v>
      </c>
      <c r="E823" t="s">
        <v>9739</v>
      </c>
      <c r="F823" t="s">
        <v>11444</v>
      </c>
      <c r="G823" t="s">
        <v>19195</v>
      </c>
      <c r="H823" t="s">
        <v>19516</v>
      </c>
      <c r="I823" t="s">
        <v>18860</v>
      </c>
      <c r="K823" t="str">
        <f>HYPERLINK("http://tuberculist.epfl.ch/quicksearch.php?gene+name=Rv0794c&amp;submit=Search")</f>
        <v>http://tuberculist.epfl.ch/quicksearch.php?gene+name=Rv0794c&amp;submit=Search</v>
      </c>
    </row>
    <row r="824" spans="1:11">
      <c r="A824" t="s">
        <v>11445</v>
      </c>
      <c r="B824" t="s">
        <v>11445</v>
      </c>
      <c r="C824" t="s">
        <v>9567</v>
      </c>
      <c r="D824" t="s">
        <v>11446</v>
      </c>
      <c r="E824" t="s">
        <v>11447</v>
      </c>
      <c r="F824" t="s">
        <v>11448</v>
      </c>
      <c r="G824" t="s">
        <v>19217</v>
      </c>
      <c r="H824" t="s">
        <v>19196</v>
      </c>
      <c r="I824" t="s">
        <v>18802</v>
      </c>
      <c r="K824" t="str">
        <f>HYPERLINK("http://tuberculist.epfl.ch/quicksearch.php?gene+name=Rv0795&amp;submit=Search")</f>
        <v>http://tuberculist.epfl.ch/quicksearch.php?gene+name=Rv0795&amp;submit=Search</v>
      </c>
    </row>
    <row r="825" spans="1:11">
      <c r="A825" t="s">
        <v>11449</v>
      </c>
      <c r="B825" t="s">
        <v>11449</v>
      </c>
      <c r="C825" t="s">
        <v>9567</v>
      </c>
      <c r="D825" t="s">
        <v>11446</v>
      </c>
      <c r="E825" t="s">
        <v>11450</v>
      </c>
      <c r="F825" t="s">
        <v>11451</v>
      </c>
      <c r="G825" t="s">
        <v>19217</v>
      </c>
      <c r="H825" t="s">
        <v>19207</v>
      </c>
      <c r="I825" t="s">
        <v>18802</v>
      </c>
      <c r="K825" t="str">
        <f>HYPERLINK("http://tuberculist.epfl.ch/quicksearch.php?gene+name=Rv0796&amp;submit=Search")</f>
        <v>http://tuberculist.epfl.ch/quicksearch.php?gene+name=Rv0796&amp;submit=Search</v>
      </c>
    </row>
    <row r="826" spans="1:11">
      <c r="A826" t="s">
        <v>866</v>
      </c>
      <c r="B826" t="s">
        <v>866</v>
      </c>
      <c r="C826" t="s">
        <v>9567</v>
      </c>
      <c r="D826" t="s">
        <v>11452</v>
      </c>
      <c r="E826" t="s">
        <v>11453</v>
      </c>
      <c r="F826" t="s">
        <v>11454</v>
      </c>
      <c r="G826" t="s">
        <v>19217</v>
      </c>
      <c r="I826" t="s">
        <v>18780</v>
      </c>
      <c r="K826" t="str">
        <f>HYPERLINK("http://tuberculist.epfl.ch/quicksearch.php?gene+name=Rv0797&amp;submit=Search")</f>
        <v>http://tuberculist.epfl.ch/quicksearch.php?gene+name=Rv0797&amp;submit=Search</v>
      </c>
    </row>
    <row r="827" spans="1:11">
      <c r="A827" t="s">
        <v>8670</v>
      </c>
      <c r="B827" t="s">
        <v>3072</v>
      </c>
      <c r="C827" t="s">
        <v>9567</v>
      </c>
      <c r="D827" t="s">
        <v>11455</v>
      </c>
      <c r="E827" t="s">
        <v>11456</v>
      </c>
      <c r="F827" t="s">
        <v>11457</v>
      </c>
      <c r="G827" t="s">
        <v>19206</v>
      </c>
      <c r="H827" t="s">
        <v>19517</v>
      </c>
      <c r="I827" t="s">
        <v>18899</v>
      </c>
      <c r="K827" t="str">
        <f>HYPERLINK("http://tuberculist.epfl.ch/quicksearch.php?gene+name=Rv0798c&amp;submit=Search")</f>
        <v>http://tuberculist.epfl.ch/quicksearch.php?gene+name=Rv0798c&amp;submit=Search</v>
      </c>
    </row>
    <row r="828" spans="1:11">
      <c r="A828" t="s">
        <v>498</v>
      </c>
      <c r="B828" t="s">
        <v>498</v>
      </c>
      <c r="C828" t="s">
        <v>9567</v>
      </c>
      <c r="D828" t="s">
        <v>9578</v>
      </c>
      <c r="E828" t="s">
        <v>9665</v>
      </c>
      <c r="F828" t="s">
        <v>11458</v>
      </c>
      <c r="G828" t="s">
        <v>19204</v>
      </c>
      <c r="H828" t="s">
        <v>19518</v>
      </c>
      <c r="I828" t="s">
        <v>18779</v>
      </c>
      <c r="K828" t="str">
        <f>HYPERLINK("http://tuberculist.epfl.ch/quicksearch.php?gene+name=Rv0799c&amp;submit=Search")</f>
        <v>http://tuberculist.epfl.ch/quicksearch.php?gene+name=Rv0799c&amp;submit=Search</v>
      </c>
    </row>
    <row r="829" spans="1:11">
      <c r="A829" t="s">
        <v>5641</v>
      </c>
      <c r="B829" t="s">
        <v>1584</v>
      </c>
      <c r="C829" t="s">
        <v>9567</v>
      </c>
      <c r="D829" t="s">
        <v>10537</v>
      </c>
      <c r="E829" t="s">
        <v>11459</v>
      </c>
      <c r="F829" t="s">
        <v>11460</v>
      </c>
      <c r="G829" t="s">
        <v>19195</v>
      </c>
      <c r="H829" t="s">
        <v>19519</v>
      </c>
      <c r="I829" t="s">
        <v>18789</v>
      </c>
      <c r="K829" t="str">
        <f>HYPERLINK("http://tuberculist.epfl.ch/quicksearch.php?gene+name=Rv0800&amp;submit=Search")</f>
        <v>http://tuberculist.epfl.ch/quicksearch.php?gene+name=Rv0800&amp;submit=Search</v>
      </c>
    </row>
    <row r="830" spans="1:11">
      <c r="A830" t="s">
        <v>947</v>
      </c>
      <c r="B830" t="s">
        <v>947</v>
      </c>
      <c r="C830" t="s">
        <v>9567</v>
      </c>
      <c r="D830" t="s">
        <v>9578</v>
      </c>
      <c r="E830" t="s">
        <v>9665</v>
      </c>
      <c r="F830" t="s">
        <v>11461</v>
      </c>
      <c r="G830" t="s">
        <v>19212</v>
      </c>
      <c r="H830" t="s">
        <v>19287</v>
      </c>
      <c r="I830" t="s">
        <v>18779</v>
      </c>
      <c r="K830" t="str">
        <f>HYPERLINK("http://tuberculist.epfl.ch/quicksearch.php?gene+name=Rv0801&amp;submit=Search")</f>
        <v>http://tuberculist.epfl.ch/quicksearch.php?gene+name=Rv0801&amp;submit=Search</v>
      </c>
    </row>
    <row r="831" spans="1:11">
      <c r="A831" t="s">
        <v>2028</v>
      </c>
      <c r="B831" t="s">
        <v>2028</v>
      </c>
      <c r="C831" t="s">
        <v>9567</v>
      </c>
      <c r="D831" t="s">
        <v>11462</v>
      </c>
      <c r="E831" t="s">
        <v>11463</v>
      </c>
      <c r="F831" t="s">
        <v>11464</v>
      </c>
      <c r="G831" t="s">
        <v>19195</v>
      </c>
      <c r="H831" t="s">
        <v>19520</v>
      </c>
      <c r="I831" t="s">
        <v>18779</v>
      </c>
      <c r="K831" t="str">
        <f>HYPERLINK("http://tuberculist.epfl.ch/quicksearch.php?gene+name=Rv0802c&amp;submit=Search")</f>
        <v>http://tuberculist.epfl.ch/quicksearch.php?gene+name=Rv0802c&amp;submit=Search</v>
      </c>
    </row>
    <row r="832" spans="1:11">
      <c r="A832" t="s">
        <v>6086</v>
      </c>
      <c r="B832" t="s">
        <v>1799</v>
      </c>
      <c r="C832" t="s">
        <v>9567</v>
      </c>
      <c r="D832" t="s">
        <v>11465</v>
      </c>
      <c r="E832" t="s">
        <v>11466</v>
      </c>
      <c r="F832" t="s">
        <v>11467</v>
      </c>
      <c r="G832" t="s">
        <v>19195</v>
      </c>
      <c r="H832" t="s">
        <v>19233</v>
      </c>
      <c r="I832" t="s">
        <v>18774</v>
      </c>
      <c r="J832" t="s">
        <v>18900</v>
      </c>
      <c r="K832" t="str">
        <f>HYPERLINK("http://tuberculist.epfl.ch/quicksearch.php?gene+name=Rv0803&amp;submit=Search")</f>
        <v>http://tuberculist.epfl.ch/quicksearch.php?gene+name=Rv0803&amp;submit=Search</v>
      </c>
    </row>
    <row r="833" spans="1:11">
      <c r="A833" t="s">
        <v>11468</v>
      </c>
      <c r="B833" t="s">
        <v>11468</v>
      </c>
      <c r="C833" t="s">
        <v>9567</v>
      </c>
      <c r="D833" t="s">
        <v>9578</v>
      </c>
      <c r="E833" t="s">
        <v>9579</v>
      </c>
      <c r="F833" t="s">
        <v>11469</v>
      </c>
      <c r="G833" t="s">
        <v>19210</v>
      </c>
      <c r="I833" t="s">
        <v>18780</v>
      </c>
      <c r="K833" t="str">
        <f>HYPERLINK("http://tuberculist.epfl.ch/quicksearch.php?gene+name=Rv0804&amp;submit=Search")</f>
        <v>http://tuberculist.epfl.ch/quicksearch.php?gene+name=Rv0804&amp;submit=Search</v>
      </c>
    </row>
    <row r="834" spans="1:11">
      <c r="A834" t="s">
        <v>2800</v>
      </c>
      <c r="B834" t="s">
        <v>2800</v>
      </c>
      <c r="C834" t="s">
        <v>9567</v>
      </c>
      <c r="D834" t="s">
        <v>11470</v>
      </c>
      <c r="E834" t="s">
        <v>11471</v>
      </c>
      <c r="F834" t="s">
        <v>11472</v>
      </c>
      <c r="G834" t="s">
        <v>19195</v>
      </c>
      <c r="I834" t="s">
        <v>18901</v>
      </c>
      <c r="K834" t="str">
        <f>HYPERLINK("http://tuberculist.epfl.ch/quicksearch.php?gene+name=Rv0805&amp;submit=Search")</f>
        <v>http://tuberculist.epfl.ch/quicksearch.php?gene+name=Rv0805&amp;submit=Search</v>
      </c>
    </row>
    <row r="835" spans="1:11">
      <c r="A835" t="s">
        <v>7690</v>
      </c>
      <c r="B835" t="s">
        <v>2599</v>
      </c>
      <c r="C835" t="s">
        <v>9567</v>
      </c>
      <c r="D835" t="s">
        <v>11473</v>
      </c>
      <c r="E835" t="s">
        <v>11474</v>
      </c>
      <c r="F835" t="s">
        <v>11475</v>
      </c>
      <c r="G835" t="s">
        <v>19188</v>
      </c>
      <c r="H835" t="s">
        <v>19205</v>
      </c>
      <c r="I835" t="s">
        <v>18789</v>
      </c>
      <c r="K835" t="str">
        <f>HYPERLINK("http://tuberculist.epfl.ch/quicksearch.php?gene+name=Rv0806c&amp;submit=Search")</f>
        <v>http://tuberculist.epfl.ch/quicksearch.php?gene+name=Rv0806c&amp;submit=Search</v>
      </c>
    </row>
    <row r="836" spans="1:11">
      <c r="A836" t="s">
        <v>11476</v>
      </c>
      <c r="B836" t="s">
        <v>11476</v>
      </c>
      <c r="C836" t="s">
        <v>9567</v>
      </c>
      <c r="D836" t="s">
        <v>9578</v>
      </c>
      <c r="E836" t="s">
        <v>9579</v>
      </c>
      <c r="F836" t="s">
        <v>11477</v>
      </c>
      <c r="G836" t="s">
        <v>19204</v>
      </c>
      <c r="H836" t="s">
        <v>19213</v>
      </c>
      <c r="I836" t="s">
        <v>18779</v>
      </c>
      <c r="J836" t="s">
        <v>18809</v>
      </c>
      <c r="K836" t="str">
        <f>HYPERLINK("http://tuberculist.epfl.ch/quicksearch.php?gene+name=Rv0807&amp;submit=Search")</f>
        <v>http://tuberculist.epfl.ch/quicksearch.php?gene+name=Rv0807&amp;submit=Search</v>
      </c>
    </row>
    <row r="837" spans="1:11">
      <c r="A837" t="s">
        <v>8770</v>
      </c>
      <c r="B837" t="s">
        <v>3125</v>
      </c>
      <c r="C837" t="s">
        <v>9567</v>
      </c>
      <c r="D837" t="s">
        <v>11478</v>
      </c>
      <c r="E837" t="s">
        <v>11479</v>
      </c>
      <c r="F837" t="s">
        <v>11480</v>
      </c>
      <c r="G837" t="s">
        <v>19195</v>
      </c>
      <c r="H837" t="s">
        <v>19213</v>
      </c>
      <c r="I837" t="s">
        <v>18774</v>
      </c>
      <c r="K837" t="str">
        <f>HYPERLINK("http://tuberculist.epfl.ch/quicksearch.php?gene+name=Rv0808&amp;submit=Search")</f>
        <v>http://tuberculist.epfl.ch/quicksearch.php?gene+name=Rv0808&amp;submit=Search</v>
      </c>
    </row>
    <row r="838" spans="1:11">
      <c r="A838" t="s">
        <v>4472</v>
      </c>
      <c r="B838" t="s">
        <v>1000</v>
      </c>
      <c r="C838" t="s">
        <v>9567</v>
      </c>
      <c r="D838" t="s">
        <v>11481</v>
      </c>
      <c r="E838" t="s">
        <v>11482</v>
      </c>
      <c r="F838" t="s">
        <v>11483</v>
      </c>
      <c r="G838" t="s">
        <v>19195</v>
      </c>
      <c r="H838" t="s">
        <v>19521</v>
      </c>
      <c r="I838" t="s">
        <v>18788</v>
      </c>
      <c r="K838" t="str">
        <f>HYPERLINK("http://tuberculist.epfl.ch/quicksearch.php?gene+name=Rv0809&amp;submit=Search")</f>
        <v>http://tuberculist.epfl.ch/quicksearch.php?gene+name=Rv0809&amp;submit=Search</v>
      </c>
    </row>
    <row r="839" spans="1:11">
      <c r="A839" t="s">
        <v>948</v>
      </c>
      <c r="B839" t="s">
        <v>948</v>
      </c>
      <c r="C839" t="s">
        <v>9567</v>
      </c>
      <c r="D839" t="s">
        <v>9578</v>
      </c>
      <c r="E839" t="s">
        <v>9579</v>
      </c>
      <c r="F839" t="s">
        <v>11484</v>
      </c>
      <c r="G839" t="s">
        <v>19210</v>
      </c>
      <c r="I839" t="s">
        <v>18779</v>
      </c>
      <c r="K839" t="str">
        <f>HYPERLINK("http://tuberculist.epfl.ch/quicksearch.php?gene+name=Rv0810c&amp;submit=Search")</f>
        <v>http://tuberculist.epfl.ch/quicksearch.php?gene+name=Rv0810c&amp;submit=Search</v>
      </c>
    </row>
    <row r="840" spans="1:11">
      <c r="A840" t="s">
        <v>2145</v>
      </c>
      <c r="B840" t="s">
        <v>2145</v>
      </c>
      <c r="C840" t="s">
        <v>9567</v>
      </c>
      <c r="D840" t="s">
        <v>9578</v>
      </c>
      <c r="E840" t="s">
        <v>9665</v>
      </c>
      <c r="F840" t="s">
        <v>11485</v>
      </c>
      <c r="G840" t="s">
        <v>19204</v>
      </c>
      <c r="H840" t="s">
        <v>19522</v>
      </c>
      <c r="I840" t="s">
        <v>18774</v>
      </c>
      <c r="K840" t="str">
        <f>HYPERLINK("http://tuberculist.epfl.ch/quicksearch.php?gene+name=Rv0811c&amp;submit=Search")</f>
        <v>http://tuberculist.epfl.ch/quicksearch.php?gene+name=Rv0811c&amp;submit=Search</v>
      </c>
    </row>
    <row r="841" spans="1:11">
      <c r="A841" t="s">
        <v>2729</v>
      </c>
      <c r="B841" t="s">
        <v>2729</v>
      </c>
      <c r="C841" t="s">
        <v>9567</v>
      </c>
      <c r="D841" t="s">
        <v>11486</v>
      </c>
      <c r="E841" t="s">
        <v>11487</v>
      </c>
      <c r="F841" t="s">
        <v>11488</v>
      </c>
      <c r="G841" t="s">
        <v>19195</v>
      </c>
      <c r="H841" t="s">
        <v>19252</v>
      </c>
      <c r="I841" t="s">
        <v>18776</v>
      </c>
      <c r="K841" t="str">
        <f>HYPERLINK("http://tuberculist.epfl.ch/quicksearch.php?gene+name=Rv0812&amp;submit=Search")</f>
        <v>http://tuberculist.epfl.ch/quicksearch.php?gene+name=Rv0812&amp;submit=Search</v>
      </c>
    </row>
    <row r="842" spans="1:11">
      <c r="A842" t="s">
        <v>1052</v>
      </c>
      <c r="B842" t="s">
        <v>1052</v>
      </c>
      <c r="C842" t="s">
        <v>9567</v>
      </c>
      <c r="D842" t="s">
        <v>9578</v>
      </c>
      <c r="E842" t="s">
        <v>9665</v>
      </c>
      <c r="F842" t="s">
        <v>11489</v>
      </c>
      <c r="G842" t="s">
        <v>19210</v>
      </c>
      <c r="H842" t="s">
        <v>19403</v>
      </c>
      <c r="I842" t="s">
        <v>18780</v>
      </c>
      <c r="K842" t="str">
        <f>HYPERLINK("http://tuberculist.epfl.ch/quicksearch.php?gene+name=Rv0813c&amp;submit=Search")</f>
        <v>http://tuberculist.epfl.ch/quicksearch.php?gene+name=Rv0813c&amp;submit=Search</v>
      </c>
    </row>
    <row r="843" spans="1:11">
      <c r="A843" t="s">
        <v>6370</v>
      </c>
      <c r="B843" t="s">
        <v>11490</v>
      </c>
      <c r="C843" t="s">
        <v>9567</v>
      </c>
      <c r="D843" t="s">
        <v>11491</v>
      </c>
      <c r="E843" t="s">
        <v>11492</v>
      </c>
      <c r="F843" t="s">
        <v>11493</v>
      </c>
      <c r="G843" t="s">
        <v>19195</v>
      </c>
      <c r="H843" t="s">
        <v>19225</v>
      </c>
      <c r="I843" t="s">
        <v>18805</v>
      </c>
      <c r="K843" t="str">
        <f>HYPERLINK("http://tuberculist.epfl.ch/quicksearch.php?gene+name=Rv0814c&amp;submit=Search")</f>
        <v>http://tuberculist.epfl.ch/quicksearch.php?gene+name=Rv0814c&amp;submit=Search</v>
      </c>
    </row>
    <row r="844" spans="1:11">
      <c r="A844" t="s">
        <v>5345</v>
      </c>
      <c r="B844" t="s">
        <v>11494</v>
      </c>
      <c r="C844" t="s">
        <v>9567</v>
      </c>
      <c r="D844" t="s">
        <v>11495</v>
      </c>
      <c r="E844" t="s">
        <v>11496</v>
      </c>
      <c r="F844" t="s">
        <v>11497</v>
      </c>
      <c r="G844" t="s">
        <v>19195</v>
      </c>
      <c r="H844" t="s">
        <v>19523</v>
      </c>
      <c r="I844" t="s">
        <v>18792</v>
      </c>
      <c r="J844" t="s">
        <v>18775</v>
      </c>
      <c r="K844" t="str">
        <f>HYPERLINK("http://tuberculist.epfl.ch/quicksearch.php?gene+name=Rv0815c&amp;submit=Search")</f>
        <v>http://tuberculist.epfl.ch/quicksearch.php?gene+name=Rv0815c&amp;submit=Search</v>
      </c>
    </row>
    <row r="845" spans="1:11">
      <c r="A845" t="s">
        <v>11498</v>
      </c>
      <c r="B845" t="s">
        <v>11499</v>
      </c>
      <c r="C845" t="s">
        <v>9567</v>
      </c>
      <c r="D845" t="s">
        <v>11500</v>
      </c>
      <c r="E845" t="s">
        <v>11501</v>
      </c>
      <c r="F845" t="s">
        <v>11502</v>
      </c>
      <c r="G845" t="s">
        <v>19195</v>
      </c>
      <c r="H845" t="s">
        <v>19214</v>
      </c>
      <c r="I845" t="s">
        <v>18780</v>
      </c>
      <c r="K845" t="str">
        <f>HYPERLINK("http://tuberculist.epfl.ch/quicksearch.php?gene+name=Rv0816c&amp;submit=Search")</f>
        <v>http://tuberculist.epfl.ch/quicksearch.php?gene+name=Rv0816c&amp;submit=Search</v>
      </c>
    </row>
    <row r="846" spans="1:11">
      <c r="A846" t="s">
        <v>699</v>
      </c>
      <c r="B846" t="s">
        <v>699</v>
      </c>
      <c r="C846" t="s">
        <v>9567</v>
      </c>
      <c r="D846" t="s">
        <v>9587</v>
      </c>
      <c r="E846" t="s">
        <v>11403</v>
      </c>
      <c r="F846" t="s">
        <v>11503</v>
      </c>
      <c r="G846" t="s">
        <v>19188</v>
      </c>
      <c r="H846" t="s">
        <v>19233</v>
      </c>
      <c r="I846" t="s">
        <v>18774</v>
      </c>
      <c r="K846" t="str">
        <f>HYPERLINK("http://tuberculist.epfl.ch/quicksearch.php?gene+name=Rv0817c&amp;submit=Search")</f>
        <v>http://tuberculist.epfl.ch/quicksearch.php?gene+name=Rv0817c&amp;submit=Search</v>
      </c>
    </row>
    <row r="847" spans="1:11">
      <c r="A847" t="s">
        <v>1644</v>
      </c>
      <c r="B847" t="s">
        <v>1644</v>
      </c>
      <c r="C847" t="s">
        <v>9567</v>
      </c>
      <c r="D847" t="s">
        <v>9629</v>
      </c>
      <c r="E847" t="s">
        <v>11504</v>
      </c>
      <c r="F847" t="s">
        <v>11505</v>
      </c>
      <c r="G847" t="s">
        <v>19197</v>
      </c>
      <c r="H847" t="s">
        <v>19316</v>
      </c>
      <c r="I847" t="s">
        <v>18780</v>
      </c>
      <c r="K847" t="str">
        <f>HYPERLINK("http://tuberculist.epfl.ch/quicksearch.php?gene+name=Rv0818&amp;submit=Search")</f>
        <v>http://tuberculist.epfl.ch/quicksearch.php?gene+name=Rv0818&amp;submit=Search</v>
      </c>
    </row>
    <row r="848" spans="1:11">
      <c r="A848" t="s">
        <v>11506</v>
      </c>
      <c r="B848" t="s">
        <v>1411</v>
      </c>
      <c r="C848" t="s">
        <v>9567</v>
      </c>
      <c r="D848" t="s">
        <v>11507</v>
      </c>
      <c r="E848" t="s">
        <v>11508</v>
      </c>
      <c r="F848" t="s">
        <v>11509</v>
      </c>
      <c r="G848" t="s">
        <v>19195</v>
      </c>
      <c r="H848" t="s">
        <v>19213</v>
      </c>
      <c r="I848" t="s">
        <v>18785</v>
      </c>
      <c r="K848" t="str">
        <f>HYPERLINK("http://tuberculist.epfl.ch/quicksearch.php?gene+name=Rv0819&amp;submit=Search")</f>
        <v>http://tuberculist.epfl.ch/quicksearch.php?gene+name=Rv0819&amp;submit=Search</v>
      </c>
    </row>
    <row r="849" spans="1:11">
      <c r="A849" t="s">
        <v>11510</v>
      </c>
      <c r="B849" t="s">
        <v>1244</v>
      </c>
      <c r="C849" t="s">
        <v>9567</v>
      </c>
      <c r="D849" t="s">
        <v>11511</v>
      </c>
      <c r="E849" t="s">
        <v>11512</v>
      </c>
      <c r="F849" t="s">
        <v>11513</v>
      </c>
      <c r="G849" t="s">
        <v>19188</v>
      </c>
      <c r="I849" t="s">
        <v>18829</v>
      </c>
      <c r="K849" t="str">
        <f>HYPERLINK("http://tuberculist.epfl.ch/quicksearch.php?gene+name=Rv0820&amp;submit=Search")</f>
        <v>http://tuberculist.epfl.ch/quicksearch.php?gene+name=Rv0820&amp;submit=Search</v>
      </c>
    </row>
    <row r="850" spans="1:11">
      <c r="A850" t="s">
        <v>87</v>
      </c>
      <c r="B850" t="s">
        <v>88</v>
      </c>
      <c r="C850" t="s">
        <v>9567</v>
      </c>
      <c r="D850" t="s">
        <v>11514</v>
      </c>
      <c r="E850" t="s">
        <v>11515</v>
      </c>
      <c r="F850" t="s">
        <v>11516</v>
      </c>
      <c r="G850" t="s">
        <v>19188</v>
      </c>
      <c r="H850" t="s">
        <v>19229</v>
      </c>
      <c r="I850" t="s">
        <v>18779</v>
      </c>
      <c r="K850" t="str">
        <f>HYPERLINK("http://tuberculist.epfl.ch/quicksearch.php?gene+name=Rv0821c&amp;submit=Search")</f>
        <v>http://tuberculist.epfl.ch/quicksearch.php?gene+name=Rv0821c&amp;submit=Search</v>
      </c>
    </row>
    <row r="851" spans="1:11">
      <c r="A851" t="s">
        <v>1032</v>
      </c>
      <c r="B851" t="s">
        <v>1032</v>
      </c>
      <c r="C851" t="s">
        <v>9567</v>
      </c>
      <c r="D851" t="s">
        <v>9578</v>
      </c>
      <c r="E851" t="s">
        <v>9665</v>
      </c>
      <c r="F851" t="s">
        <v>11517</v>
      </c>
      <c r="G851" t="s">
        <v>19210</v>
      </c>
      <c r="H851" t="s">
        <v>19524</v>
      </c>
      <c r="I851" t="s">
        <v>18789</v>
      </c>
      <c r="K851" t="str">
        <f>HYPERLINK("http://tuberculist.epfl.ch/quicksearch.php?gene+name=Rv0822c&amp;submit=Search")</f>
        <v>http://tuberculist.epfl.ch/quicksearch.php?gene+name=Rv0822c&amp;submit=Search</v>
      </c>
    </row>
    <row r="852" spans="1:11">
      <c r="A852" t="s">
        <v>3133</v>
      </c>
      <c r="B852" t="s">
        <v>3133</v>
      </c>
      <c r="C852" t="s">
        <v>9567</v>
      </c>
      <c r="D852" t="s">
        <v>11326</v>
      </c>
      <c r="E852" t="s">
        <v>9633</v>
      </c>
      <c r="F852" t="s">
        <v>11518</v>
      </c>
      <c r="G852" t="s">
        <v>19197</v>
      </c>
      <c r="H852" t="s">
        <v>19211</v>
      </c>
      <c r="I852" t="s">
        <v>18789</v>
      </c>
      <c r="K852" t="str">
        <f>HYPERLINK("http://tuberculist.epfl.ch/quicksearch.php?gene+name=Rv0823c&amp;submit=Search")</f>
        <v>http://tuberculist.epfl.ch/quicksearch.php?gene+name=Rv0823c&amp;submit=Search</v>
      </c>
    </row>
    <row r="853" spans="1:11">
      <c r="A853" t="s">
        <v>9100</v>
      </c>
      <c r="B853" t="s">
        <v>3278</v>
      </c>
      <c r="C853" t="s">
        <v>9567</v>
      </c>
      <c r="D853" t="s">
        <v>11519</v>
      </c>
      <c r="E853" t="s">
        <v>11520</v>
      </c>
      <c r="F853" t="s">
        <v>11521</v>
      </c>
      <c r="G853" t="s">
        <v>19219</v>
      </c>
      <c r="H853" t="s">
        <v>19525</v>
      </c>
      <c r="I853" t="s">
        <v>18774</v>
      </c>
      <c r="K853" t="str">
        <f>HYPERLINK("http://tuberculist.epfl.ch/quicksearch.php?gene+name=Rv0824c&amp;submit=Search")</f>
        <v>http://tuberculist.epfl.ch/quicksearch.php?gene+name=Rv0824c&amp;submit=Search</v>
      </c>
    </row>
    <row r="854" spans="1:11">
      <c r="A854" t="s">
        <v>11522</v>
      </c>
      <c r="B854" t="s">
        <v>11522</v>
      </c>
      <c r="C854" t="s">
        <v>9567</v>
      </c>
      <c r="D854" t="s">
        <v>9578</v>
      </c>
      <c r="E854" t="s">
        <v>9665</v>
      </c>
      <c r="F854" t="s">
        <v>11523</v>
      </c>
      <c r="G854" t="s">
        <v>19212</v>
      </c>
      <c r="H854" t="s">
        <v>19196</v>
      </c>
      <c r="I854" t="s">
        <v>18789</v>
      </c>
      <c r="K854" t="str">
        <f>HYPERLINK("http://tuberculist.epfl.ch/quicksearch.php?gene+name=Rv0825c&amp;submit=Search")</f>
        <v>http://tuberculist.epfl.ch/quicksearch.php?gene+name=Rv0825c&amp;submit=Search</v>
      </c>
    </row>
    <row r="855" spans="1:11">
      <c r="A855" t="s">
        <v>1273</v>
      </c>
      <c r="B855" t="s">
        <v>1273</v>
      </c>
      <c r="C855" t="s">
        <v>9567</v>
      </c>
      <c r="D855" t="s">
        <v>9578</v>
      </c>
      <c r="E855" t="s">
        <v>9579</v>
      </c>
      <c r="F855" t="s">
        <v>11524</v>
      </c>
      <c r="G855" t="s">
        <v>19212</v>
      </c>
      <c r="H855" t="s">
        <v>19207</v>
      </c>
      <c r="I855" t="s">
        <v>18789</v>
      </c>
      <c r="K855" t="str">
        <f>HYPERLINK("http://tuberculist.epfl.ch/quicksearch.php?gene+name=Rv0826&amp;submit=Search")</f>
        <v>http://tuberculist.epfl.ch/quicksearch.php?gene+name=Rv0826&amp;submit=Search</v>
      </c>
    </row>
    <row r="856" spans="1:11">
      <c r="A856" t="s">
        <v>11525</v>
      </c>
      <c r="B856" t="s">
        <v>11526</v>
      </c>
      <c r="C856" t="s">
        <v>9567</v>
      </c>
      <c r="D856" t="s">
        <v>11527</v>
      </c>
      <c r="E856" t="s">
        <v>11528</v>
      </c>
      <c r="F856" t="s">
        <v>11529</v>
      </c>
      <c r="G856" t="s">
        <v>19197</v>
      </c>
      <c r="H856" t="s">
        <v>19192</v>
      </c>
      <c r="I856" t="s">
        <v>18902</v>
      </c>
      <c r="K856" t="str">
        <f>HYPERLINK("http://tuberculist.epfl.ch/quicksearch.php?gene+name=Rv0827c&amp;submit=Search")</f>
        <v>http://tuberculist.epfl.ch/quicksearch.php?gene+name=Rv0827c&amp;submit=Search</v>
      </c>
    </row>
    <row r="857" spans="1:11">
      <c r="A857" t="s">
        <v>11530</v>
      </c>
      <c r="B857" t="s">
        <v>11530</v>
      </c>
      <c r="C857" t="s">
        <v>9567</v>
      </c>
      <c r="D857" t="s">
        <v>11531</v>
      </c>
      <c r="E857" t="s">
        <v>11532</v>
      </c>
      <c r="F857" t="s">
        <v>11533</v>
      </c>
      <c r="G857" t="s">
        <v>19195</v>
      </c>
      <c r="I857" t="s">
        <v>18780</v>
      </c>
      <c r="K857" t="str">
        <f>HYPERLINK("http://tuberculist.epfl.ch/quicksearch.php?gene+name=Rv0828c&amp;submit=Search")</f>
        <v>http://tuberculist.epfl.ch/quicksearch.php?gene+name=Rv0828c&amp;submit=Search</v>
      </c>
    </row>
    <row r="858" spans="1:11">
      <c r="A858" t="s">
        <v>11534</v>
      </c>
      <c r="B858" t="s">
        <v>11534</v>
      </c>
      <c r="C858" t="s">
        <v>9567</v>
      </c>
      <c r="D858" t="s">
        <v>11535</v>
      </c>
      <c r="E858" t="s">
        <v>10967</v>
      </c>
      <c r="F858" t="s">
        <v>11536</v>
      </c>
      <c r="G858" t="s">
        <v>19217</v>
      </c>
      <c r="I858" t="s">
        <v>18789</v>
      </c>
      <c r="K858" t="str">
        <f>HYPERLINK("http://tuberculist.epfl.ch/quicksearch.php?gene+name=Rv0829&amp;submit=Search")</f>
        <v>http://tuberculist.epfl.ch/quicksearch.php?gene+name=Rv0829&amp;submit=Search</v>
      </c>
    </row>
    <row r="859" spans="1:11">
      <c r="A859" t="s">
        <v>1006</v>
      </c>
      <c r="B859" t="s">
        <v>1006</v>
      </c>
      <c r="C859" t="s">
        <v>9567</v>
      </c>
      <c r="D859" t="s">
        <v>9924</v>
      </c>
      <c r="E859" t="s">
        <v>9925</v>
      </c>
      <c r="F859" t="s">
        <v>11537</v>
      </c>
      <c r="G859" t="s">
        <v>19219</v>
      </c>
      <c r="H859" t="s">
        <v>19225</v>
      </c>
      <c r="I859" t="s">
        <v>18780</v>
      </c>
      <c r="K859" t="str">
        <f>HYPERLINK("http://tuberculist.epfl.ch/quicksearch.php?gene+name=Rv0830&amp;submit=Search")</f>
        <v>http://tuberculist.epfl.ch/quicksearch.php?gene+name=Rv0830&amp;submit=Search</v>
      </c>
    </row>
    <row r="860" spans="1:11">
      <c r="A860" t="s">
        <v>2949</v>
      </c>
      <c r="B860" t="s">
        <v>2949</v>
      </c>
      <c r="C860" t="s">
        <v>9567</v>
      </c>
      <c r="D860" t="s">
        <v>9578</v>
      </c>
      <c r="E860" t="s">
        <v>9665</v>
      </c>
      <c r="F860" t="s">
        <v>11538</v>
      </c>
      <c r="G860" t="s">
        <v>19212</v>
      </c>
      <c r="H860" t="s">
        <v>19526</v>
      </c>
      <c r="I860" t="s">
        <v>18789</v>
      </c>
      <c r="K860" t="str">
        <f>HYPERLINK("http://tuberculist.epfl.ch/quicksearch.php?gene+name=Rv0831c&amp;submit=Search")</f>
        <v>http://tuberculist.epfl.ch/quicksearch.php?gene+name=Rv0831c&amp;submit=Search</v>
      </c>
    </row>
    <row r="861" spans="1:11">
      <c r="A861" t="s">
        <v>11539</v>
      </c>
      <c r="B861" t="s">
        <v>1986</v>
      </c>
      <c r="C861" t="s">
        <v>9567</v>
      </c>
      <c r="D861" t="s">
        <v>9578</v>
      </c>
      <c r="E861" t="s">
        <v>11540</v>
      </c>
      <c r="F861" t="s">
        <v>11541</v>
      </c>
      <c r="G861" t="s">
        <v>19262</v>
      </c>
      <c r="H861" t="s">
        <v>19527</v>
      </c>
      <c r="I861" t="s">
        <v>18779</v>
      </c>
      <c r="K861" t="str">
        <f>HYPERLINK("http://tuberculist.epfl.ch/quicksearch.php?gene+name=Rv0832&amp;submit=Search")</f>
        <v>http://tuberculist.epfl.ch/quicksearch.php?gene+name=Rv0832&amp;submit=Search</v>
      </c>
    </row>
    <row r="862" spans="1:11">
      <c r="A862" t="s">
        <v>6476</v>
      </c>
      <c r="B862" t="s">
        <v>11542</v>
      </c>
      <c r="C862" t="s">
        <v>9567</v>
      </c>
      <c r="D862" t="s">
        <v>9578</v>
      </c>
      <c r="E862" t="s">
        <v>11543</v>
      </c>
      <c r="F862" t="s">
        <v>11544</v>
      </c>
      <c r="G862" t="s">
        <v>19262</v>
      </c>
      <c r="I862" t="s">
        <v>18773</v>
      </c>
      <c r="K862" t="str">
        <f>HYPERLINK("http://tuberculist.epfl.ch/quicksearch.php?gene+name=Rv0833&amp;submit=Search")</f>
        <v>http://tuberculist.epfl.ch/quicksearch.php?gene+name=Rv0833&amp;submit=Search</v>
      </c>
    </row>
    <row r="863" spans="1:11">
      <c r="A863" t="s">
        <v>6910</v>
      </c>
      <c r="B863" t="s">
        <v>2221</v>
      </c>
      <c r="C863" t="s">
        <v>9567</v>
      </c>
      <c r="D863" t="s">
        <v>9578</v>
      </c>
      <c r="E863" t="s">
        <v>11545</v>
      </c>
      <c r="F863" t="s">
        <v>11546</v>
      </c>
      <c r="G863" t="s">
        <v>19262</v>
      </c>
      <c r="H863" t="s">
        <v>19267</v>
      </c>
      <c r="I863" t="s">
        <v>18792</v>
      </c>
      <c r="K863" t="str">
        <f>HYPERLINK("http://tuberculist.epfl.ch/quicksearch.php?gene+name=Rv0834c&amp;submit=Search")</f>
        <v>http://tuberculist.epfl.ch/quicksearch.php?gene+name=Rv0834c&amp;submit=Search</v>
      </c>
    </row>
    <row r="864" spans="1:11">
      <c r="A864" t="s">
        <v>6017</v>
      </c>
      <c r="B864" t="s">
        <v>1766</v>
      </c>
      <c r="C864" t="s">
        <v>9567</v>
      </c>
      <c r="D864" t="s">
        <v>9587</v>
      </c>
      <c r="E864" t="s">
        <v>11547</v>
      </c>
      <c r="F864" t="s">
        <v>11548</v>
      </c>
      <c r="G864" t="s">
        <v>19188</v>
      </c>
      <c r="H864" t="s">
        <v>19528</v>
      </c>
      <c r="I864" t="s">
        <v>18780</v>
      </c>
      <c r="K864" t="str">
        <f>HYPERLINK("http://tuberculist.epfl.ch/quicksearch.php?gene+name=Rv0835&amp;submit=Search")</f>
        <v>http://tuberculist.epfl.ch/quicksearch.php?gene+name=Rv0835&amp;submit=Search</v>
      </c>
    </row>
    <row r="865" spans="1:11">
      <c r="A865" t="s">
        <v>11549</v>
      </c>
      <c r="B865" t="s">
        <v>11549</v>
      </c>
      <c r="C865" t="s">
        <v>9567</v>
      </c>
      <c r="D865" t="s">
        <v>9587</v>
      </c>
      <c r="E865" t="s">
        <v>9713</v>
      </c>
      <c r="F865" t="s">
        <v>11550</v>
      </c>
      <c r="G865" t="s">
        <v>19212</v>
      </c>
      <c r="I865" t="s">
        <v>18780</v>
      </c>
      <c r="K865" t="str">
        <f>HYPERLINK("http://tuberculist.epfl.ch/quicksearch.php?gene+name=Rv0836c&amp;submit=Search")</f>
        <v>http://tuberculist.epfl.ch/quicksearch.php?gene+name=Rv0836c&amp;submit=Search</v>
      </c>
    </row>
    <row r="866" spans="1:11">
      <c r="A866" t="s">
        <v>11551</v>
      </c>
      <c r="B866" t="s">
        <v>11551</v>
      </c>
      <c r="C866" t="s">
        <v>9567</v>
      </c>
      <c r="D866" t="s">
        <v>9587</v>
      </c>
      <c r="E866" t="s">
        <v>9713</v>
      </c>
      <c r="F866" t="s">
        <v>11552</v>
      </c>
      <c r="G866" t="s">
        <v>19212</v>
      </c>
      <c r="H866" t="s">
        <v>19214</v>
      </c>
      <c r="I866" t="s">
        <v>18780</v>
      </c>
      <c r="K866" t="str">
        <f>HYPERLINK("http://tuberculist.epfl.ch/quicksearch.php?gene+name=Rv0837c&amp;submit=Search")</f>
        <v>http://tuberculist.epfl.ch/quicksearch.php?gene+name=Rv0837c&amp;submit=Search</v>
      </c>
    </row>
    <row r="867" spans="1:11">
      <c r="A867" t="s">
        <v>5092</v>
      </c>
      <c r="B867" t="s">
        <v>1298</v>
      </c>
      <c r="C867" t="s">
        <v>9567</v>
      </c>
      <c r="D867" t="s">
        <v>9587</v>
      </c>
      <c r="E867" t="s">
        <v>11553</v>
      </c>
      <c r="F867" t="s">
        <v>11554</v>
      </c>
      <c r="G867" t="s">
        <v>19188</v>
      </c>
      <c r="H867" t="s">
        <v>19340</v>
      </c>
      <c r="I867" t="s">
        <v>18780</v>
      </c>
      <c r="K867" t="str">
        <f>HYPERLINK("http://tuberculist.epfl.ch/quicksearch.php?gene+name=Rv0838&amp;submit=Search")</f>
        <v>http://tuberculist.epfl.ch/quicksearch.php?gene+name=Rv0838&amp;submit=Search</v>
      </c>
    </row>
    <row r="868" spans="1:11">
      <c r="A868" t="s">
        <v>2709</v>
      </c>
      <c r="B868" t="s">
        <v>2709</v>
      </c>
      <c r="C868" t="s">
        <v>9567</v>
      </c>
      <c r="D868" t="s">
        <v>9578</v>
      </c>
      <c r="E868" t="s">
        <v>9579</v>
      </c>
      <c r="F868" t="s">
        <v>11555</v>
      </c>
      <c r="G868" t="s">
        <v>19204</v>
      </c>
      <c r="I868" t="s">
        <v>18780</v>
      </c>
      <c r="K868" t="str">
        <f>HYPERLINK("http://tuberculist.epfl.ch/quicksearch.php?gene+name=Rv0839&amp;submit=Search")</f>
        <v>http://tuberculist.epfl.ch/quicksearch.php?gene+name=Rv0839&amp;submit=Search</v>
      </c>
    </row>
    <row r="869" spans="1:11">
      <c r="A869" t="s">
        <v>7757</v>
      </c>
      <c r="B869" t="s">
        <v>2632</v>
      </c>
      <c r="C869" t="s">
        <v>9567</v>
      </c>
      <c r="D869" t="s">
        <v>11556</v>
      </c>
      <c r="E869" t="s">
        <v>11557</v>
      </c>
      <c r="F869" t="s">
        <v>11558</v>
      </c>
      <c r="G869" t="s">
        <v>19195</v>
      </c>
      <c r="H869" t="s">
        <v>19213</v>
      </c>
      <c r="I869" t="s">
        <v>18780</v>
      </c>
      <c r="K869" t="str">
        <f>HYPERLINK("http://tuberculist.epfl.ch/quicksearch.php?gene+name=Rv0840c&amp;submit=Search")</f>
        <v>http://tuberculist.epfl.ch/quicksearch.php?gene+name=Rv0840c&amp;submit=Search</v>
      </c>
    </row>
    <row r="870" spans="1:11">
      <c r="A870" t="s">
        <v>11559</v>
      </c>
      <c r="B870" t="s">
        <v>11559</v>
      </c>
      <c r="C870" t="s">
        <v>9567</v>
      </c>
      <c r="D870" t="s">
        <v>9587</v>
      </c>
      <c r="E870" t="s">
        <v>9597</v>
      </c>
      <c r="F870" t="s">
        <v>11560</v>
      </c>
      <c r="G870" t="s">
        <v>19188</v>
      </c>
      <c r="I870" t="s">
        <v>18780</v>
      </c>
      <c r="K870" t="str">
        <f>HYPERLINK("http://tuberculist.epfl.ch/quicksearch.php?gene+name=Rv0841&amp;submit=Search")</f>
        <v>http://tuberculist.epfl.ch/quicksearch.php?gene+name=Rv0841&amp;submit=Search</v>
      </c>
    </row>
    <row r="871" spans="1:11">
      <c r="A871" t="s">
        <v>1366</v>
      </c>
      <c r="B871" t="s">
        <v>1366</v>
      </c>
      <c r="C871" t="s">
        <v>9567</v>
      </c>
      <c r="D871" t="s">
        <v>9587</v>
      </c>
      <c r="E871" t="s">
        <v>9668</v>
      </c>
      <c r="F871" t="s">
        <v>11561</v>
      </c>
      <c r="G871" t="s">
        <v>19188</v>
      </c>
      <c r="I871" t="s">
        <v>18779</v>
      </c>
      <c r="K871" t="str">
        <f>HYPERLINK("http://tuberculist.epfl.ch/quicksearch.php?gene+name=Rv0842&amp;submit=Search")</f>
        <v>http://tuberculist.epfl.ch/quicksearch.php?gene+name=Rv0842&amp;submit=Search</v>
      </c>
    </row>
    <row r="872" spans="1:11">
      <c r="A872" t="s">
        <v>11562</v>
      </c>
      <c r="B872" t="s">
        <v>11562</v>
      </c>
      <c r="C872" t="s">
        <v>9567</v>
      </c>
      <c r="D872" t="s">
        <v>9682</v>
      </c>
      <c r="E872" t="s">
        <v>11202</v>
      </c>
      <c r="F872" t="s">
        <v>11563</v>
      </c>
      <c r="G872" t="s">
        <v>19195</v>
      </c>
      <c r="H872" t="s">
        <v>19308</v>
      </c>
      <c r="I872" t="s">
        <v>18789</v>
      </c>
      <c r="K872" t="str">
        <f>HYPERLINK("http://tuberculist.epfl.ch/quicksearch.php?gene+name=Rv0843&amp;submit=Search")</f>
        <v>http://tuberculist.epfl.ch/quicksearch.php?gene+name=Rv0843&amp;submit=Search</v>
      </c>
    </row>
    <row r="873" spans="1:11">
      <c r="A873" t="s">
        <v>8387</v>
      </c>
      <c r="B873" t="s">
        <v>2943</v>
      </c>
      <c r="C873" t="s">
        <v>9567</v>
      </c>
      <c r="D873" t="s">
        <v>11564</v>
      </c>
      <c r="E873" t="s">
        <v>11565</v>
      </c>
      <c r="F873" t="s">
        <v>11566</v>
      </c>
      <c r="G873" t="s">
        <v>19197</v>
      </c>
      <c r="H873" t="s">
        <v>19233</v>
      </c>
      <c r="I873" t="s">
        <v>18903</v>
      </c>
      <c r="K873" t="str">
        <f>HYPERLINK("http://tuberculist.epfl.ch/quicksearch.php?gene+name=Rv0844c&amp;submit=Search")</f>
        <v>http://tuberculist.epfl.ch/quicksearch.php?gene+name=Rv0844c&amp;submit=Search</v>
      </c>
    </row>
    <row r="874" spans="1:11">
      <c r="A874" t="s">
        <v>1410</v>
      </c>
      <c r="B874" t="s">
        <v>1410</v>
      </c>
      <c r="C874" t="s">
        <v>9567</v>
      </c>
      <c r="D874" t="s">
        <v>11567</v>
      </c>
      <c r="E874" t="s">
        <v>11568</v>
      </c>
      <c r="F874" t="s">
        <v>11569</v>
      </c>
      <c r="G874" t="s">
        <v>19197</v>
      </c>
      <c r="I874" t="s">
        <v>18773</v>
      </c>
      <c r="K874" t="str">
        <f>HYPERLINK("http://tuberculist.epfl.ch/quicksearch.php?gene+name=Rv0845&amp;submit=Search")</f>
        <v>http://tuberculist.epfl.ch/quicksearch.php?gene+name=Rv0845&amp;submit=Search</v>
      </c>
    </row>
    <row r="875" spans="1:11">
      <c r="A875" t="s">
        <v>3362</v>
      </c>
      <c r="B875" t="s">
        <v>3362</v>
      </c>
      <c r="C875" t="s">
        <v>9567</v>
      </c>
      <c r="D875" t="s">
        <v>11570</v>
      </c>
      <c r="E875" t="s">
        <v>11571</v>
      </c>
      <c r="F875" t="s">
        <v>11572</v>
      </c>
      <c r="G875" t="s">
        <v>19195</v>
      </c>
      <c r="H875" t="s">
        <v>19529</v>
      </c>
      <c r="I875" t="s">
        <v>18804</v>
      </c>
      <c r="K875" t="str">
        <f>HYPERLINK("http://tuberculist.epfl.ch/quicksearch.php?gene+name=Rv0846c&amp;submit=Search")</f>
        <v>http://tuberculist.epfl.ch/quicksearch.php?gene+name=Rv0846c&amp;submit=Search</v>
      </c>
    </row>
    <row r="876" spans="1:11">
      <c r="A876" t="s">
        <v>97</v>
      </c>
      <c r="B876" t="s">
        <v>98</v>
      </c>
      <c r="C876" t="s">
        <v>9567</v>
      </c>
      <c r="D876" t="s">
        <v>9587</v>
      </c>
      <c r="E876" t="s">
        <v>11573</v>
      </c>
      <c r="F876" t="s">
        <v>11574</v>
      </c>
      <c r="G876" t="s">
        <v>19188</v>
      </c>
      <c r="I876" t="s">
        <v>18821</v>
      </c>
      <c r="K876" t="str">
        <f>HYPERLINK("http://tuberculist.epfl.ch/quicksearch.php?gene+name=Rv0847&amp;submit=Search")</f>
        <v>http://tuberculist.epfl.ch/quicksearch.php?gene+name=Rv0847&amp;submit=Search</v>
      </c>
    </row>
    <row r="877" spans="1:11">
      <c r="A877" t="s">
        <v>4783</v>
      </c>
      <c r="B877" t="s">
        <v>1149</v>
      </c>
      <c r="C877" t="s">
        <v>9567</v>
      </c>
      <c r="D877" t="s">
        <v>11575</v>
      </c>
      <c r="E877" t="s">
        <v>11576</v>
      </c>
      <c r="F877" t="s">
        <v>11577</v>
      </c>
      <c r="G877" t="s">
        <v>19195</v>
      </c>
      <c r="H877" t="s">
        <v>19205</v>
      </c>
      <c r="I877" t="s">
        <v>18798</v>
      </c>
      <c r="K877" t="str">
        <f>HYPERLINK("http://tuberculist.epfl.ch/quicksearch.php?gene+name=Rv0848&amp;submit=Search")</f>
        <v>http://tuberculist.epfl.ch/quicksearch.php?gene+name=Rv0848&amp;submit=Search</v>
      </c>
    </row>
    <row r="878" spans="1:11">
      <c r="A878" t="s">
        <v>557</v>
      </c>
      <c r="B878" t="s">
        <v>557</v>
      </c>
      <c r="C878" t="s">
        <v>9567</v>
      </c>
      <c r="D878" t="s">
        <v>11578</v>
      </c>
      <c r="E878" t="s">
        <v>11579</v>
      </c>
      <c r="F878" t="s">
        <v>11580</v>
      </c>
      <c r="G878" t="s">
        <v>19188</v>
      </c>
      <c r="I878" t="s">
        <v>18821</v>
      </c>
      <c r="K878" t="str">
        <f>HYPERLINK("http://tuberculist.epfl.ch/quicksearch.php?gene+name=Rv0849&amp;submit=Search")</f>
        <v>http://tuberculist.epfl.ch/quicksearch.php?gene+name=Rv0849&amp;submit=Search</v>
      </c>
    </row>
    <row r="879" spans="1:11">
      <c r="A879" t="s">
        <v>11581</v>
      </c>
      <c r="B879" t="s">
        <v>11581</v>
      </c>
      <c r="C879" t="s">
        <v>9567</v>
      </c>
      <c r="D879" t="s">
        <v>11582</v>
      </c>
      <c r="E879" t="s">
        <v>11357</v>
      </c>
      <c r="F879" t="s">
        <v>11583</v>
      </c>
      <c r="G879" t="s">
        <v>19217</v>
      </c>
      <c r="I879" t="s">
        <v>18821</v>
      </c>
      <c r="K879" t="str">
        <f>HYPERLINK("http://tuberculist.epfl.ch/quicksearch.php?gene+name=Rv0850&amp;submit=Search")</f>
        <v>http://tuberculist.epfl.ch/quicksearch.php?gene+name=Rv0850&amp;submit=Search</v>
      </c>
    </row>
    <row r="880" spans="1:11">
      <c r="A880" t="s">
        <v>1705</v>
      </c>
      <c r="B880" t="s">
        <v>1705</v>
      </c>
      <c r="C880" t="s">
        <v>9567</v>
      </c>
      <c r="D880" t="s">
        <v>9931</v>
      </c>
      <c r="E880" t="s">
        <v>9932</v>
      </c>
      <c r="F880" t="s">
        <v>11584</v>
      </c>
      <c r="G880" t="s">
        <v>19195</v>
      </c>
      <c r="H880" t="s">
        <v>19475</v>
      </c>
      <c r="I880" t="s">
        <v>18804</v>
      </c>
      <c r="K880" t="str">
        <f>HYPERLINK("http://tuberculist.epfl.ch/quicksearch.php?gene+name=Rv0851c&amp;submit=Search")</f>
        <v>http://tuberculist.epfl.ch/quicksearch.php?gene+name=Rv0851c&amp;submit=Search</v>
      </c>
    </row>
    <row r="881" spans="1:11">
      <c r="A881" t="s">
        <v>8626</v>
      </c>
      <c r="B881" t="s">
        <v>3053</v>
      </c>
      <c r="C881" t="s">
        <v>9567</v>
      </c>
      <c r="D881" t="s">
        <v>9662</v>
      </c>
      <c r="E881" t="s">
        <v>11585</v>
      </c>
      <c r="F881" t="s">
        <v>11586</v>
      </c>
      <c r="G881" t="s">
        <v>19219</v>
      </c>
      <c r="H881" t="s">
        <v>19530</v>
      </c>
      <c r="I881" t="s">
        <v>18804</v>
      </c>
      <c r="K881" t="str">
        <f>HYPERLINK("http://tuberculist.epfl.ch/quicksearch.php?gene+name=Rv0852&amp;submit=Search")</f>
        <v>http://tuberculist.epfl.ch/quicksearch.php?gene+name=Rv0852&amp;submit=Search</v>
      </c>
    </row>
    <row r="882" spans="1:11">
      <c r="A882" t="s">
        <v>4290</v>
      </c>
      <c r="B882" t="s">
        <v>906</v>
      </c>
      <c r="C882" t="s">
        <v>9567</v>
      </c>
      <c r="D882" t="s">
        <v>11587</v>
      </c>
      <c r="E882" t="s">
        <v>11588</v>
      </c>
      <c r="F882" t="s">
        <v>11589</v>
      </c>
      <c r="G882" t="s">
        <v>19195</v>
      </c>
      <c r="H882" t="s">
        <v>19531</v>
      </c>
      <c r="I882" t="s">
        <v>18797</v>
      </c>
      <c r="K882" t="str">
        <f>HYPERLINK("http://tuberculist.epfl.ch/quicksearch.php?gene+name=Rv0853c&amp;submit=Search")</f>
        <v>http://tuberculist.epfl.ch/quicksearch.php?gene+name=Rv0853c&amp;submit=Search</v>
      </c>
    </row>
    <row r="883" spans="1:11">
      <c r="A883" t="s">
        <v>3000</v>
      </c>
      <c r="B883" t="s">
        <v>3000</v>
      </c>
      <c r="C883" t="s">
        <v>9567</v>
      </c>
      <c r="D883" t="s">
        <v>9578</v>
      </c>
      <c r="E883" t="s">
        <v>9665</v>
      </c>
      <c r="F883" t="s">
        <v>11590</v>
      </c>
      <c r="G883" t="s">
        <v>19204</v>
      </c>
      <c r="H883" t="s">
        <v>19532</v>
      </c>
      <c r="I883" t="s">
        <v>18789</v>
      </c>
      <c r="K883" t="str">
        <f>HYPERLINK("http://tuberculist.epfl.ch/quicksearch.php?gene+name=Rv0854&amp;submit=Search")</f>
        <v>http://tuberculist.epfl.ch/quicksearch.php?gene+name=Rv0854&amp;submit=Search</v>
      </c>
    </row>
    <row r="884" spans="1:11">
      <c r="A884" t="s">
        <v>5999</v>
      </c>
      <c r="B884" t="s">
        <v>1755</v>
      </c>
      <c r="C884" t="s">
        <v>9567</v>
      </c>
      <c r="D884" t="s">
        <v>11591</v>
      </c>
      <c r="E884" t="s">
        <v>11592</v>
      </c>
      <c r="F884" t="s">
        <v>11593</v>
      </c>
      <c r="G884" t="s">
        <v>19219</v>
      </c>
      <c r="H884" t="s">
        <v>19250</v>
      </c>
      <c r="I884" t="s">
        <v>18780</v>
      </c>
      <c r="K884" t="str">
        <f>HYPERLINK("http://tuberculist.epfl.ch/quicksearch.php?gene+name=Rv0855&amp;submit=Search")</f>
        <v>http://tuberculist.epfl.ch/quicksearch.php?gene+name=Rv0855&amp;submit=Search</v>
      </c>
    </row>
    <row r="885" spans="1:11">
      <c r="A885" t="s">
        <v>2645</v>
      </c>
      <c r="B885" t="s">
        <v>2645</v>
      </c>
      <c r="C885" t="s">
        <v>9567</v>
      </c>
      <c r="D885" t="s">
        <v>9578</v>
      </c>
      <c r="E885" t="s">
        <v>9579</v>
      </c>
      <c r="F885" t="s">
        <v>11594</v>
      </c>
      <c r="G885" t="s">
        <v>19212</v>
      </c>
      <c r="I885" t="s">
        <v>18780</v>
      </c>
      <c r="K885" t="str">
        <f>HYPERLINK("http://tuberculist.epfl.ch/quicksearch.php?gene+name=Rv0856&amp;submit=Search")</f>
        <v>http://tuberculist.epfl.ch/quicksearch.php?gene+name=Rv0856&amp;submit=Search</v>
      </c>
    </row>
    <row r="886" spans="1:11">
      <c r="A886" t="s">
        <v>1942</v>
      </c>
      <c r="B886" t="s">
        <v>1942</v>
      </c>
      <c r="C886" t="s">
        <v>9567</v>
      </c>
      <c r="D886" t="s">
        <v>9578</v>
      </c>
      <c r="E886" t="s">
        <v>9579</v>
      </c>
      <c r="F886" t="s">
        <v>11595</v>
      </c>
      <c r="G886" t="s">
        <v>19185</v>
      </c>
      <c r="H886" t="s">
        <v>19213</v>
      </c>
      <c r="I886" t="s">
        <v>18780</v>
      </c>
      <c r="K886" t="str">
        <f>HYPERLINK("http://tuberculist.epfl.ch/quicksearch.php?gene+name=Rv0857&amp;submit=Search")</f>
        <v>http://tuberculist.epfl.ch/quicksearch.php?gene+name=Rv0857&amp;submit=Search</v>
      </c>
    </row>
    <row r="887" spans="1:11">
      <c r="A887" t="s">
        <v>11596</v>
      </c>
      <c r="B887" t="s">
        <v>1954</v>
      </c>
      <c r="C887" t="s">
        <v>9567</v>
      </c>
      <c r="D887" t="s">
        <v>11597</v>
      </c>
      <c r="E887" t="s">
        <v>11598</v>
      </c>
      <c r="F887" t="s">
        <v>11599</v>
      </c>
      <c r="G887" t="s">
        <v>19195</v>
      </c>
      <c r="H887" t="s">
        <v>19229</v>
      </c>
      <c r="I887" t="s">
        <v>18780</v>
      </c>
      <c r="K887" t="str">
        <f>HYPERLINK("http://tuberculist.epfl.ch/quicksearch.php?gene+name=Rv0858c&amp;submit=Search")</f>
        <v>http://tuberculist.epfl.ch/quicksearch.php?gene+name=Rv0858c&amp;submit=Search</v>
      </c>
    </row>
    <row r="888" spans="1:11">
      <c r="A888" t="s">
        <v>9375</v>
      </c>
      <c r="B888" t="s">
        <v>3406</v>
      </c>
      <c r="C888" t="s">
        <v>9567</v>
      </c>
      <c r="D888" t="s">
        <v>9812</v>
      </c>
      <c r="E888" t="s">
        <v>11600</v>
      </c>
      <c r="F888" t="s">
        <v>11601</v>
      </c>
      <c r="G888" t="s">
        <v>19219</v>
      </c>
      <c r="H888" t="s">
        <v>19459</v>
      </c>
      <c r="I888" t="s">
        <v>18780</v>
      </c>
      <c r="K888" t="str">
        <f>HYPERLINK("http://tuberculist.epfl.ch/quicksearch.php?gene+name=Rv0859&amp;submit=Search")</f>
        <v>http://tuberculist.epfl.ch/quicksearch.php?gene+name=Rv0859&amp;submit=Search</v>
      </c>
    </row>
    <row r="889" spans="1:11">
      <c r="A889" t="s">
        <v>9473</v>
      </c>
      <c r="B889" t="s">
        <v>451</v>
      </c>
      <c r="C889" t="s">
        <v>9567</v>
      </c>
      <c r="D889" t="s">
        <v>11602</v>
      </c>
      <c r="E889" t="s">
        <v>11603</v>
      </c>
      <c r="F889" t="s">
        <v>11604</v>
      </c>
      <c r="G889" t="s">
        <v>19219</v>
      </c>
      <c r="H889" t="s">
        <v>19533</v>
      </c>
      <c r="I889" t="s">
        <v>18779</v>
      </c>
      <c r="K889" t="str">
        <f>HYPERLINK("http://tuberculist.epfl.ch/quicksearch.php?gene+name=Rv0860&amp;submit=Search")</f>
        <v>http://tuberculist.epfl.ch/quicksearch.php?gene+name=Rv0860&amp;submit=Search</v>
      </c>
    </row>
    <row r="890" spans="1:11">
      <c r="A890" t="s">
        <v>11605</v>
      </c>
      <c r="B890" t="s">
        <v>1338</v>
      </c>
      <c r="C890" t="s">
        <v>9567</v>
      </c>
      <c r="D890" t="s">
        <v>11606</v>
      </c>
      <c r="E890" t="s">
        <v>11607</v>
      </c>
      <c r="F890" t="s">
        <v>11608</v>
      </c>
      <c r="G890" t="s">
        <v>19181</v>
      </c>
      <c r="H890" t="s">
        <v>19534</v>
      </c>
      <c r="I890" t="s">
        <v>18779</v>
      </c>
      <c r="K890" t="str">
        <f>HYPERLINK("http://tuberculist.epfl.ch/quicksearch.php?gene+name=Rv0861c&amp;submit=Search")</f>
        <v>http://tuberculist.epfl.ch/quicksearch.php?gene+name=Rv0861c&amp;submit=Search</v>
      </c>
    </row>
    <row r="891" spans="1:11">
      <c r="A891" t="s">
        <v>2121</v>
      </c>
      <c r="B891" t="s">
        <v>2121</v>
      </c>
      <c r="C891" t="s">
        <v>9567</v>
      </c>
      <c r="D891" t="s">
        <v>9578</v>
      </c>
      <c r="E891" t="s">
        <v>9665</v>
      </c>
      <c r="F891" t="s">
        <v>11609</v>
      </c>
      <c r="G891" t="s">
        <v>19212</v>
      </c>
      <c r="H891" t="s">
        <v>19535</v>
      </c>
      <c r="I891" t="s">
        <v>18904</v>
      </c>
      <c r="K891" t="str">
        <f>HYPERLINK("http://tuberculist.epfl.ch/quicksearch.php?gene+name=Rv0862c&amp;submit=Search")</f>
        <v>http://tuberculist.epfl.ch/quicksearch.php?gene+name=Rv0862c&amp;submit=Search</v>
      </c>
    </row>
    <row r="892" spans="1:11">
      <c r="A892" t="s">
        <v>1822</v>
      </c>
      <c r="B892" t="s">
        <v>1822</v>
      </c>
      <c r="C892" t="s">
        <v>9567</v>
      </c>
      <c r="D892" t="s">
        <v>9578</v>
      </c>
      <c r="E892" t="s">
        <v>9579</v>
      </c>
      <c r="F892" t="s">
        <v>11610</v>
      </c>
      <c r="G892" t="s">
        <v>19204</v>
      </c>
      <c r="H892" t="s">
        <v>19211</v>
      </c>
      <c r="I892" t="s">
        <v>18780</v>
      </c>
      <c r="K892" t="str">
        <f>HYPERLINK("http://tuberculist.epfl.ch/quicksearch.php?gene+name=Rv0863&amp;submit=Search")</f>
        <v>http://tuberculist.epfl.ch/quicksearch.php?gene+name=Rv0863&amp;submit=Search</v>
      </c>
    </row>
    <row r="893" spans="1:11">
      <c r="A893" t="s">
        <v>11611</v>
      </c>
      <c r="B893" t="s">
        <v>1617</v>
      </c>
      <c r="C893" t="s">
        <v>9567</v>
      </c>
      <c r="D893" t="s">
        <v>11612</v>
      </c>
      <c r="E893" t="s">
        <v>11613</v>
      </c>
      <c r="F893" t="s">
        <v>11614</v>
      </c>
      <c r="G893" t="s">
        <v>19195</v>
      </c>
      <c r="H893" t="s">
        <v>19192</v>
      </c>
      <c r="I893" t="s">
        <v>18780</v>
      </c>
      <c r="K893" t="str">
        <f>HYPERLINK("http://tuberculist.epfl.ch/quicksearch.php?gene+name=Rv0864&amp;submit=Search")</f>
        <v>http://tuberculist.epfl.ch/quicksearch.php?gene+name=Rv0864&amp;submit=Search</v>
      </c>
    </row>
    <row r="894" spans="1:11">
      <c r="A894" t="s">
        <v>5908</v>
      </c>
      <c r="B894" t="s">
        <v>1706</v>
      </c>
      <c r="C894" t="s">
        <v>9567</v>
      </c>
      <c r="D894" t="s">
        <v>11615</v>
      </c>
      <c r="E894" t="s">
        <v>11616</v>
      </c>
      <c r="F894" t="s">
        <v>11617</v>
      </c>
      <c r="G894" t="s">
        <v>19195</v>
      </c>
      <c r="H894" t="s">
        <v>19233</v>
      </c>
      <c r="I894" t="s">
        <v>18780</v>
      </c>
      <c r="K894" t="str">
        <f>HYPERLINK("http://tuberculist.epfl.ch/quicksearch.php?gene+name=Rv0865&amp;submit=Search")</f>
        <v>http://tuberculist.epfl.ch/quicksearch.php?gene+name=Rv0865&amp;submit=Search</v>
      </c>
    </row>
    <row r="895" spans="1:11">
      <c r="A895" t="s">
        <v>6157</v>
      </c>
      <c r="B895" t="s">
        <v>1835</v>
      </c>
      <c r="C895" t="s">
        <v>9567</v>
      </c>
      <c r="D895" t="s">
        <v>11618</v>
      </c>
      <c r="E895" t="s">
        <v>11619</v>
      </c>
      <c r="F895" t="s">
        <v>11620</v>
      </c>
      <c r="G895" t="s">
        <v>19195</v>
      </c>
      <c r="H895" t="s">
        <v>19229</v>
      </c>
      <c r="I895" t="s">
        <v>18780</v>
      </c>
      <c r="K895" t="str">
        <f>HYPERLINK("http://tuberculist.epfl.ch/quicksearch.php?gene+name=Rv0866&amp;submit=Search")</f>
        <v>http://tuberculist.epfl.ch/quicksearch.php?gene+name=Rv0866&amp;submit=Search</v>
      </c>
    </row>
    <row r="896" spans="1:11">
      <c r="A896" t="s">
        <v>423</v>
      </c>
      <c r="B896" t="s">
        <v>422</v>
      </c>
      <c r="C896" t="s">
        <v>9567</v>
      </c>
      <c r="D896" t="s">
        <v>11621</v>
      </c>
      <c r="E896" t="s">
        <v>11622</v>
      </c>
      <c r="F896" t="s">
        <v>11623</v>
      </c>
      <c r="G896" t="s">
        <v>19188</v>
      </c>
      <c r="H896" t="s">
        <v>19536</v>
      </c>
      <c r="I896" t="s">
        <v>18905</v>
      </c>
      <c r="J896" t="s">
        <v>18906</v>
      </c>
      <c r="K896" t="str">
        <f>HYPERLINK("http://tuberculist.epfl.ch/quicksearch.php?gene+name=Rv0867c&amp;submit=Search")</f>
        <v>http://tuberculist.epfl.ch/quicksearch.php?gene+name=Rv0867c&amp;submit=Search</v>
      </c>
    </row>
    <row r="897" spans="1:11">
      <c r="A897" t="s">
        <v>8753</v>
      </c>
      <c r="B897" t="s">
        <v>3117</v>
      </c>
      <c r="C897" t="s">
        <v>9567</v>
      </c>
      <c r="D897" t="s">
        <v>11624</v>
      </c>
      <c r="E897" t="s">
        <v>11625</v>
      </c>
      <c r="F897" t="s">
        <v>11626</v>
      </c>
      <c r="G897" t="s">
        <v>19195</v>
      </c>
      <c r="I897" t="s">
        <v>18780</v>
      </c>
      <c r="K897" t="str">
        <f>HYPERLINK("http://tuberculist.epfl.ch/quicksearch.php?gene+name=Rv0868c&amp;submit=Search")</f>
        <v>http://tuberculist.epfl.ch/quicksearch.php?gene+name=Rv0868c&amp;submit=Search</v>
      </c>
    </row>
    <row r="898" spans="1:11">
      <c r="A898" t="s">
        <v>11627</v>
      </c>
      <c r="B898" t="s">
        <v>681</v>
      </c>
      <c r="C898" t="s">
        <v>9567</v>
      </c>
      <c r="D898" t="s">
        <v>11628</v>
      </c>
      <c r="E898" t="s">
        <v>11629</v>
      </c>
      <c r="F898" t="s">
        <v>11630</v>
      </c>
      <c r="G898" t="s">
        <v>19195</v>
      </c>
      <c r="H898" t="s">
        <v>19218</v>
      </c>
      <c r="I898" t="s">
        <v>18780</v>
      </c>
      <c r="K898" t="str">
        <f>HYPERLINK("http://tuberculist.epfl.ch/quicksearch.php?gene+name=Rv0869c&amp;submit=Search")</f>
        <v>http://tuberculist.epfl.ch/quicksearch.php?gene+name=Rv0869c&amp;submit=Search</v>
      </c>
    </row>
    <row r="899" spans="1:11">
      <c r="A899" t="s">
        <v>568</v>
      </c>
      <c r="B899" t="s">
        <v>568</v>
      </c>
      <c r="C899" t="s">
        <v>9567</v>
      </c>
      <c r="D899" t="s">
        <v>9587</v>
      </c>
      <c r="E899" t="s">
        <v>11631</v>
      </c>
      <c r="F899" t="s">
        <v>11632</v>
      </c>
      <c r="G899" t="s">
        <v>19188</v>
      </c>
      <c r="H899" t="s">
        <v>19192</v>
      </c>
      <c r="I899" t="s">
        <v>18780</v>
      </c>
      <c r="K899" t="str">
        <f>HYPERLINK("http://tuberculist.epfl.ch/quicksearch.php?gene+name=Rv0870c&amp;submit=Search")</f>
        <v>http://tuberculist.epfl.ch/quicksearch.php?gene+name=Rv0870c&amp;submit=Search</v>
      </c>
    </row>
    <row r="900" spans="1:11">
      <c r="A900" t="s">
        <v>3995</v>
      </c>
      <c r="B900" t="s">
        <v>758</v>
      </c>
      <c r="C900" t="s">
        <v>9567</v>
      </c>
      <c r="D900" t="s">
        <v>11633</v>
      </c>
      <c r="E900" t="s">
        <v>11634</v>
      </c>
      <c r="F900" t="s">
        <v>11635</v>
      </c>
      <c r="G900" t="s">
        <v>19206</v>
      </c>
      <c r="H900" t="s">
        <v>19537</v>
      </c>
      <c r="I900" t="s">
        <v>18780</v>
      </c>
      <c r="K900" t="str">
        <f>HYPERLINK("http://tuberculist.epfl.ch/quicksearch.php?gene+name=Rv0871&amp;submit=Search")</f>
        <v>http://tuberculist.epfl.ch/quicksearch.php?gene+name=Rv0871&amp;submit=Search</v>
      </c>
    </row>
    <row r="901" spans="1:11">
      <c r="A901" t="s">
        <v>6337</v>
      </c>
      <c r="B901" t="s">
        <v>1916</v>
      </c>
      <c r="C901" t="s">
        <v>9567</v>
      </c>
      <c r="D901" t="s">
        <v>9578</v>
      </c>
      <c r="E901" t="s">
        <v>11636</v>
      </c>
      <c r="F901" t="s">
        <v>11637</v>
      </c>
      <c r="G901" t="s">
        <v>19262</v>
      </c>
      <c r="H901" t="s">
        <v>19267</v>
      </c>
      <c r="I901" t="s">
        <v>18780</v>
      </c>
      <c r="K901" t="str">
        <f>HYPERLINK("http://tuberculist.epfl.ch/quicksearch.php?gene+name=Rv0872c&amp;submit=Search")</f>
        <v>http://tuberculist.epfl.ch/quicksearch.php?gene+name=Rv0872c&amp;submit=Search</v>
      </c>
    </row>
    <row r="902" spans="1:11">
      <c r="A902" t="s">
        <v>6348</v>
      </c>
      <c r="B902" t="s">
        <v>1920</v>
      </c>
      <c r="C902" t="s">
        <v>9567</v>
      </c>
      <c r="D902" t="s">
        <v>9662</v>
      </c>
      <c r="E902" t="s">
        <v>11638</v>
      </c>
      <c r="F902" t="s">
        <v>11639</v>
      </c>
      <c r="G902" t="s">
        <v>19219</v>
      </c>
      <c r="H902" t="s">
        <v>19538</v>
      </c>
      <c r="I902" t="s">
        <v>18780</v>
      </c>
      <c r="K902" t="str">
        <f>HYPERLINK("http://tuberculist.epfl.ch/quicksearch.php?gene+name=Rv0873&amp;submit=Search")</f>
        <v>http://tuberculist.epfl.ch/quicksearch.php?gene+name=Rv0873&amp;submit=Search</v>
      </c>
    </row>
    <row r="903" spans="1:11">
      <c r="A903" t="s">
        <v>1571</v>
      </c>
      <c r="B903" t="s">
        <v>1571</v>
      </c>
      <c r="C903" t="s">
        <v>9567</v>
      </c>
      <c r="D903" t="s">
        <v>9578</v>
      </c>
      <c r="E903" t="s">
        <v>9579</v>
      </c>
      <c r="F903" t="s">
        <v>11640</v>
      </c>
      <c r="G903" t="s">
        <v>19210</v>
      </c>
      <c r="I903" t="s">
        <v>18780</v>
      </c>
      <c r="K903" t="str">
        <f>HYPERLINK("http://tuberculist.epfl.ch/quicksearch.php?gene+name=Rv0874c&amp;submit=Search")</f>
        <v>http://tuberculist.epfl.ch/quicksearch.php?gene+name=Rv0874c&amp;submit=Search</v>
      </c>
    </row>
    <row r="904" spans="1:11">
      <c r="A904" t="s">
        <v>971</v>
      </c>
      <c r="B904" t="s">
        <v>971</v>
      </c>
      <c r="C904" t="s">
        <v>9567</v>
      </c>
      <c r="D904" t="s">
        <v>9587</v>
      </c>
      <c r="E904" t="s">
        <v>10288</v>
      </c>
      <c r="F904" t="s">
        <v>11641</v>
      </c>
      <c r="G904" t="s">
        <v>19188</v>
      </c>
      <c r="H904" t="s">
        <v>19312</v>
      </c>
      <c r="I904" t="s">
        <v>18774</v>
      </c>
      <c r="K904" t="str">
        <f>HYPERLINK("http://tuberculist.epfl.ch/quicksearch.php?gene+name=Rv0875c&amp;submit=Search")</f>
        <v>http://tuberculist.epfl.ch/quicksearch.php?gene+name=Rv0875c&amp;submit=Search</v>
      </c>
    </row>
    <row r="905" spans="1:11">
      <c r="A905" t="s">
        <v>1287</v>
      </c>
      <c r="B905" t="s">
        <v>1287</v>
      </c>
      <c r="C905" t="s">
        <v>9567</v>
      </c>
      <c r="D905" t="s">
        <v>9587</v>
      </c>
      <c r="E905" t="s">
        <v>9671</v>
      </c>
      <c r="F905" t="s">
        <v>11642</v>
      </c>
      <c r="G905" t="s">
        <v>19188</v>
      </c>
      <c r="H905" t="s">
        <v>19539</v>
      </c>
      <c r="I905" t="s">
        <v>18907</v>
      </c>
      <c r="K905" t="str">
        <f>HYPERLINK("http://tuberculist.epfl.ch/quicksearch.php?gene+name=Rv0876c&amp;submit=Search")</f>
        <v>http://tuberculist.epfl.ch/quicksearch.php?gene+name=Rv0876c&amp;submit=Search</v>
      </c>
    </row>
    <row r="906" spans="1:11">
      <c r="A906" t="s">
        <v>2014</v>
      </c>
      <c r="B906" t="s">
        <v>2014</v>
      </c>
      <c r="C906" t="s">
        <v>9567</v>
      </c>
      <c r="D906" t="s">
        <v>9578</v>
      </c>
      <c r="E906" t="s">
        <v>9579</v>
      </c>
      <c r="F906" t="s">
        <v>11643</v>
      </c>
      <c r="G906" t="s">
        <v>19208</v>
      </c>
      <c r="H906" t="s">
        <v>19540</v>
      </c>
      <c r="I906" t="s">
        <v>18789</v>
      </c>
      <c r="K906" t="str">
        <f>HYPERLINK("http://tuberculist.epfl.ch/quicksearch.php?gene+name=Rv0877&amp;submit=Search")</f>
        <v>http://tuberculist.epfl.ch/quicksearch.php?gene+name=Rv0877&amp;submit=Search</v>
      </c>
    </row>
    <row r="907" spans="1:11">
      <c r="A907" t="s">
        <v>9161</v>
      </c>
      <c r="B907" t="s">
        <v>3307</v>
      </c>
      <c r="C907" t="s">
        <v>9567</v>
      </c>
      <c r="D907" t="s">
        <v>9578</v>
      </c>
      <c r="E907" t="s">
        <v>11644</v>
      </c>
      <c r="F907" t="s">
        <v>11645</v>
      </c>
      <c r="G907" t="s">
        <v>19253</v>
      </c>
      <c r="I907" t="s">
        <v>18789</v>
      </c>
      <c r="K907" t="str">
        <f>HYPERLINK("http://tuberculist.epfl.ch/quicksearch.php?gene+name=Rv0878c&amp;submit=Search")</f>
        <v>http://tuberculist.epfl.ch/quicksearch.php?gene+name=Rv0878c&amp;submit=Search</v>
      </c>
    </row>
    <row r="908" spans="1:11">
      <c r="A908" t="s">
        <v>11646</v>
      </c>
      <c r="B908" t="s">
        <v>11646</v>
      </c>
      <c r="C908" t="s">
        <v>9567</v>
      </c>
      <c r="D908" t="s">
        <v>9587</v>
      </c>
      <c r="E908" t="s">
        <v>9671</v>
      </c>
      <c r="F908" t="s">
        <v>11647</v>
      </c>
      <c r="G908" t="s">
        <v>19188</v>
      </c>
      <c r="H908" t="s">
        <v>19233</v>
      </c>
      <c r="I908" t="s">
        <v>18780</v>
      </c>
      <c r="K908" t="str">
        <f>HYPERLINK("http://tuberculist.epfl.ch/quicksearch.php?gene+name=Rv0879c&amp;submit=Search")</f>
        <v>http://tuberculist.epfl.ch/quicksearch.php?gene+name=Rv0879c&amp;submit=Search</v>
      </c>
    </row>
    <row r="909" spans="1:11">
      <c r="A909" t="s">
        <v>529</v>
      </c>
      <c r="B909" t="s">
        <v>529</v>
      </c>
      <c r="C909" t="s">
        <v>9567</v>
      </c>
      <c r="D909" t="s">
        <v>11326</v>
      </c>
      <c r="E909" t="s">
        <v>11648</v>
      </c>
      <c r="F909" t="s">
        <v>11649</v>
      </c>
      <c r="G909" t="s">
        <v>19197</v>
      </c>
      <c r="H909" t="s">
        <v>19233</v>
      </c>
      <c r="I909" t="s">
        <v>18779</v>
      </c>
      <c r="K909" t="str">
        <f>HYPERLINK("http://tuberculist.epfl.ch/quicksearch.php?gene+name=Rv0880&amp;submit=Search")</f>
        <v>http://tuberculist.epfl.ch/quicksearch.php?gene+name=Rv0880&amp;submit=Search</v>
      </c>
    </row>
    <row r="910" spans="1:11">
      <c r="A910" t="s">
        <v>1299</v>
      </c>
      <c r="B910" t="s">
        <v>1299</v>
      </c>
      <c r="C910" t="s">
        <v>9567</v>
      </c>
      <c r="D910" t="s">
        <v>10061</v>
      </c>
      <c r="E910" t="s">
        <v>11650</v>
      </c>
      <c r="F910" t="s">
        <v>11651</v>
      </c>
      <c r="G910" t="s">
        <v>19195</v>
      </c>
      <c r="I910" t="s">
        <v>18780</v>
      </c>
      <c r="K910" t="str">
        <f>HYPERLINK("http://tuberculist.epfl.ch/quicksearch.php?gene+name=Rv0881&amp;submit=Search")</f>
        <v>http://tuberculist.epfl.ch/quicksearch.php?gene+name=Rv0881&amp;submit=Search</v>
      </c>
    </row>
    <row r="911" spans="1:11">
      <c r="A911" t="s">
        <v>3075</v>
      </c>
      <c r="B911" t="s">
        <v>3075</v>
      </c>
      <c r="C911" t="s">
        <v>9567</v>
      </c>
      <c r="D911" t="s">
        <v>9587</v>
      </c>
      <c r="E911" t="s">
        <v>10632</v>
      </c>
      <c r="F911" t="s">
        <v>11652</v>
      </c>
      <c r="G911" t="s">
        <v>19188</v>
      </c>
      <c r="I911" t="s">
        <v>18779</v>
      </c>
      <c r="K911" t="str">
        <f>HYPERLINK("http://tuberculist.epfl.ch/quicksearch.php?gene+name=Rv0882&amp;submit=Search")</f>
        <v>http://tuberculist.epfl.ch/quicksearch.php?gene+name=Rv0882&amp;submit=Search</v>
      </c>
    </row>
    <row r="912" spans="1:11">
      <c r="A912" t="s">
        <v>2096</v>
      </c>
      <c r="B912" t="s">
        <v>2096</v>
      </c>
      <c r="C912" t="s">
        <v>9567</v>
      </c>
      <c r="D912" t="s">
        <v>9578</v>
      </c>
      <c r="E912" t="s">
        <v>9579</v>
      </c>
      <c r="F912" t="s">
        <v>11653</v>
      </c>
      <c r="G912" t="s">
        <v>19210</v>
      </c>
      <c r="I912" t="s">
        <v>18774</v>
      </c>
      <c r="K912" t="str">
        <f>HYPERLINK("http://tuberculist.epfl.ch/quicksearch.php?gene+name=Rv0883c&amp;submit=Search")</f>
        <v>http://tuberculist.epfl.ch/quicksearch.php?gene+name=Rv0883c&amp;submit=Search</v>
      </c>
    </row>
    <row r="913" spans="1:11">
      <c r="A913" t="s">
        <v>6985</v>
      </c>
      <c r="B913" t="s">
        <v>2252</v>
      </c>
      <c r="C913" t="s">
        <v>9567</v>
      </c>
      <c r="D913" t="s">
        <v>11654</v>
      </c>
      <c r="E913" t="s">
        <v>11655</v>
      </c>
      <c r="F913" t="s">
        <v>11656</v>
      </c>
      <c r="G913" t="s">
        <v>19195</v>
      </c>
      <c r="H913" t="s">
        <v>19541</v>
      </c>
      <c r="I913" t="s">
        <v>18774</v>
      </c>
      <c r="J913" t="s">
        <v>18822</v>
      </c>
      <c r="K913" t="str">
        <f>HYPERLINK("http://tuberculist.epfl.ch/quicksearch.php?gene+name=Rv0884c&amp;submit=Search")</f>
        <v>http://tuberculist.epfl.ch/quicksearch.php?gene+name=Rv0884c&amp;submit=Search</v>
      </c>
    </row>
    <row r="914" spans="1:11">
      <c r="A914" t="s">
        <v>2513</v>
      </c>
      <c r="B914" t="s">
        <v>2513</v>
      </c>
      <c r="C914" t="s">
        <v>9567</v>
      </c>
      <c r="D914" t="s">
        <v>9578</v>
      </c>
      <c r="E914" t="s">
        <v>9579</v>
      </c>
      <c r="F914" t="s">
        <v>11657</v>
      </c>
      <c r="G914" t="s">
        <v>19204</v>
      </c>
      <c r="I914" t="s">
        <v>18780</v>
      </c>
      <c r="J914" t="s">
        <v>18822</v>
      </c>
      <c r="K914" t="str">
        <f>HYPERLINK("http://tuberculist.epfl.ch/quicksearch.php?gene+name=Rv0885&amp;submit=Search")</f>
        <v>http://tuberculist.epfl.ch/quicksearch.php?gene+name=Rv0885&amp;submit=Search</v>
      </c>
    </row>
    <row r="915" spans="1:11">
      <c r="A915" t="s">
        <v>11658</v>
      </c>
      <c r="B915" t="s">
        <v>11659</v>
      </c>
      <c r="C915" t="s">
        <v>9567</v>
      </c>
      <c r="D915" t="s">
        <v>11660</v>
      </c>
      <c r="E915" t="s">
        <v>11661</v>
      </c>
      <c r="F915" t="s">
        <v>11662</v>
      </c>
      <c r="G915" t="s">
        <v>19195</v>
      </c>
      <c r="H915" t="s">
        <v>19257</v>
      </c>
      <c r="I915" t="s">
        <v>18777</v>
      </c>
      <c r="K915" t="str">
        <f>HYPERLINK("http://tuberculist.epfl.ch/quicksearch.php?gene+name=Rv0886&amp;submit=Search")</f>
        <v>http://tuberculist.epfl.ch/quicksearch.php?gene+name=Rv0886&amp;submit=Search</v>
      </c>
    </row>
    <row r="916" spans="1:11">
      <c r="A916" t="s">
        <v>11663</v>
      </c>
      <c r="B916" t="s">
        <v>11663</v>
      </c>
      <c r="C916" t="s">
        <v>9567</v>
      </c>
      <c r="D916" t="s">
        <v>9578</v>
      </c>
      <c r="E916" t="s">
        <v>9579</v>
      </c>
      <c r="F916" t="s">
        <v>11664</v>
      </c>
      <c r="G916" t="s">
        <v>19204</v>
      </c>
      <c r="H916" t="s">
        <v>19542</v>
      </c>
      <c r="I916" t="s">
        <v>18780</v>
      </c>
      <c r="K916" t="str">
        <f>HYPERLINK("http://tuberculist.epfl.ch/quicksearch.php?gene+name=Rv0887c&amp;submit=Search")</f>
        <v>http://tuberculist.epfl.ch/quicksearch.php?gene+name=Rv0887c&amp;submit=Search</v>
      </c>
    </row>
    <row r="917" spans="1:11">
      <c r="A917" t="s">
        <v>3103</v>
      </c>
      <c r="B917" t="s">
        <v>3103</v>
      </c>
      <c r="C917" t="s">
        <v>9567</v>
      </c>
      <c r="D917" t="s">
        <v>9587</v>
      </c>
      <c r="E917" t="s">
        <v>11665</v>
      </c>
      <c r="F917" t="s">
        <v>11666</v>
      </c>
      <c r="G917" t="s">
        <v>19188</v>
      </c>
      <c r="H917" t="s">
        <v>19229</v>
      </c>
      <c r="I917" t="s">
        <v>18777</v>
      </c>
      <c r="K917" t="str">
        <f>HYPERLINK("http://tuberculist.epfl.ch/quicksearch.php?gene+name=Rv0888&amp;submit=Search")</f>
        <v>http://tuberculist.epfl.ch/quicksearch.php?gene+name=Rv0888&amp;submit=Search</v>
      </c>
    </row>
    <row r="918" spans="1:11">
      <c r="A918" t="s">
        <v>7514</v>
      </c>
      <c r="B918" t="s">
        <v>2510</v>
      </c>
      <c r="C918" t="s">
        <v>9567</v>
      </c>
      <c r="D918" t="s">
        <v>11667</v>
      </c>
      <c r="E918" t="s">
        <v>11668</v>
      </c>
      <c r="F918" t="s">
        <v>11669</v>
      </c>
      <c r="G918" t="s">
        <v>19195</v>
      </c>
      <c r="H918" t="s">
        <v>19543</v>
      </c>
      <c r="I918" t="s">
        <v>18780</v>
      </c>
      <c r="K918" t="str">
        <f>HYPERLINK("http://tuberculist.epfl.ch/quicksearch.php?gene+name=Rv0889c&amp;submit=Search")</f>
        <v>http://tuberculist.epfl.ch/quicksearch.php?gene+name=Rv0889c&amp;submit=Search</v>
      </c>
    </row>
    <row r="919" spans="1:11">
      <c r="A919" t="s">
        <v>669</v>
      </c>
      <c r="B919" t="s">
        <v>669</v>
      </c>
      <c r="C919" t="s">
        <v>9567</v>
      </c>
      <c r="D919" t="s">
        <v>9629</v>
      </c>
      <c r="E919" t="s">
        <v>11670</v>
      </c>
      <c r="F919" t="s">
        <v>11671</v>
      </c>
      <c r="G919" t="s">
        <v>19197</v>
      </c>
      <c r="H919" t="s">
        <v>19544</v>
      </c>
      <c r="I919" t="s">
        <v>18789</v>
      </c>
      <c r="K919" t="str">
        <f>HYPERLINK("http://tuberculist.epfl.ch/quicksearch.php?gene+name=Rv0890c&amp;submit=Search")</f>
        <v>http://tuberculist.epfl.ch/quicksearch.php?gene+name=Rv0890c&amp;submit=Search</v>
      </c>
    </row>
    <row r="920" spans="1:11">
      <c r="A920" t="s">
        <v>1725</v>
      </c>
      <c r="B920" t="s">
        <v>1725</v>
      </c>
      <c r="C920" t="s">
        <v>9567</v>
      </c>
      <c r="D920" t="s">
        <v>11326</v>
      </c>
      <c r="E920" t="s">
        <v>9633</v>
      </c>
      <c r="F920" t="s">
        <v>11672</v>
      </c>
      <c r="G920" t="s">
        <v>19197</v>
      </c>
      <c r="H920" t="s">
        <v>19215</v>
      </c>
      <c r="I920" t="s">
        <v>18829</v>
      </c>
      <c r="K920" t="str">
        <f>HYPERLINK("http://tuberculist.epfl.ch/quicksearch.php?gene+name=Rv0891c&amp;submit=Search")</f>
        <v>http://tuberculist.epfl.ch/quicksearch.php?gene+name=Rv0891c&amp;submit=Search</v>
      </c>
    </row>
    <row r="921" spans="1:11">
      <c r="A921" t="s">
        <v>1888</v>
      </c>
      <c r="B921" t="s">
        <v>1888</v>
      </c>
      <c r="C921" t="s">
        <v>9567</v>
      </c>
      <c r="D921" t="s">
        <v>9682</v>
      </c>
      <c r="E921" t="s">
        <v>10451</v>
      </c>
      <c r="F921" t="s">
        <v>11673</v>
      </c>
      <c r="G921" t="s">
        <v>19195</v>
      </c>
      <c r="H921" t="s">
        <v>19254</v>
      </c>
      <c r="I921" t="s">
        <v>18773</v>
      </c>
      <c r="K921" t="str">
        <f>HYPERLINK("http://tuberculist.epfl.ch/quicksearch.php?gene+name=Rv0892&amp;submit=Search")</f>
        <v>http://tuberculist.epfl.ch/quicksearch.php?gene+name=Rv0892&amp;submit=Search</v>
      </c>
    </row>
    <row r="922" spans="1:11">
      <c r="A922" t="s">
        <v>2699</v>
      </c>
      <c r="B922" t="s">
        <v>2699</v>
      </c>
      <c r="C922" t="s">
        <v>9567</v>
      </c>
      <c r="D922" t="s">
        <v>9924</v>
      </c>
      <c r="E922" t="s">
        <v>9925</v>
      </c>
      <c r="F922" t="s">
        <v>11674</v>
      </c>
      <c r="G922" t="s">
        <v>19219</v>
      </c>
      <c r="I922" t="s">
        <v>18845</v>
      </c>
      <c r="K922" t="str">
        <f>HYPERLINK("http://tuberculist.epfl.ch/quicksearch.php?gene+name=Rv0893c&amp;submit=Search")</f>
        <v>http://tuberculist.epfl.ch/quicksearch.php?gene+name=Rv0893c&amp;submit=Search</v>
      </c>
    </row>
    <row r="923" spans="1:11">
      <c r="A923" t="s">
        <v>823</v>
      </c>
      <c r="B923" t="s">
        <v>823</v>
      </c>
      <c r="C923" t="s">
        <v>9567</v>
      </c>
      <c r="D923" t="s">
        <v>11326</v>
      </c>
      <c r="E923" t="s">
        <v>11675</v>
      </c>
      <c r="F923" t="s">
        <v>11676</v>
      </c>
      <c r="G923" t="s">
        <v>19197</v>
      </c>
      <c r="H923" t="s">
        <v>19215</v>
      </c>
      <c r="I923" t="s">
        <v>18801</v>
      </c>
      <c r="K923" t="str">
        <f>HYPERLINK("http://tuberculist.epfl.ch/quicksearch.php?gene+name=Rv0894&amp;submit=Search")</f>
        <v>http://tuberculist.epfl.ch/quicksearch.php?gene+name=Rv0894&amp;submit=Search</v>
      </c>
    </row>
    <row r="924" spans="1:11">
      <c r="A924" t="s">
        <v>867</v>
      </c>
      <c r="B924" t="s">
        <v>867</v>
      </c>
      <c r="C924" t="s">
        <v>9567</v>
      </c>
      <c r="D924" t="s">
        <v>10087</v>
      </c>
      <c r="E924" t="s">
        <v>10088</v>
      </c>
      <c r="F924" t="s">
        <v>11677</v>
      </c>
      <c r="G924" t="s">
        <v>19219</v>
      </c>
      <c r="H924" t="s">
        <v>19205</v>
      </c>
      <c r="I924" t="s">
        <v>18786</v>
      </c>
      <c r="K924" t="str">
        <f>HYPERLINK("http://tuberculist.epfl.ch/quicksearch.php?gene+name=Rv0895&amp;submit=Search")</f>
        <v>http://tuberculist.epfl.ch/quicksearch.php?gene+name=Rv0895&amp;submit=Search</v>
      </c>
    </row>
    <row r="925" spans="1:11">
      <c r="A925" t="s">
        <v>11678</v>
      </c>
      <c r="B925" t="s">
        <v>1889</v>
      </c>
      <c r="C925" t="s">
        <v>9567</v>
      </c>
      <c r="D925" t="s">
        <v>11667</v>
      </c>
      <c r="E925" t="s">
        <v>11679</v>
      </c>
      <c r="F925" t="s">
        <v>11680</v>
      </c>
      <c r="G925" t="s">
        <v>19195</v>
      </c>
      <c r="H925" t="s">
        <v>19545</v>
      </c>
      <c r="I925" t="s">
        <v>18776</v>
      </c>
      <c r="J925" t="s">
        <v>18873</v>
      </c>
      <c r="K925" t="str">
        <f>HYPERLINK("http://tuberculist.epfl.ch/quicksearch.php?gene+name=Rv0896&amp;submit=Search")</f>
        <v>http://tuberculist.epfl.ch/quicksearch.php?gene+name=Rv0896&amp;submit=Search</v>
      </c>
    </row>
    <row r="926" spans="1:11">
      <c r="A926" t="s">
        <v>3030</v>
      </c>
      <c r="B926" t="s">
        <v>3030</v>
      </c>
      <c r="C926" t="s">
        <v>9567</v>
      </c>
      <c r="D926" t="s">
        <v>9682</v>
      </c>
      <c r="E926" t="s">
        <v>9739</v>
      </c>
      <c r="F926" t="s">
        <v>11681</v>
      </c>
      <c r="G926" t="s">
        <v>19195</v>
      </c>
      <c r="H926" t="s">
        <v>19546</v>
      </c>
      <c r="I926" t="s">
        <v>18773</v>
      </c>
      <c r="K926" t="str">
        <f>HYPERLINK("http://tuberculist.epfl.ch/quicksearch.php?gene+name=Rv0897c&amp;submit=Search")</f>
        <v>http://tuberculist.epfl.ch/quicksearch.php?gene+name=Rv0897c&amp;submit=Search</v>
      </c>
    </row>
    <row r="927" spans="1:11">
      <c r="A927" t="s">
        <v>1166</v>
      </c>
      <c r="B927" t="s">
        <v>1166</v>
      </c>
      <c r="C927" t="s">
        <v>9567</v>
      </c>
      <c r="D927" t="s">
        <v>9578</v>
      </c>
      <c r="E927" t="s">
        <v>9579</v>
      </c>
      <c r="F927" t="s">
        <v>11682</v>
      </c>
      <c r="G927" t="s">
        <v>19210</v>
      </c>
      <c r="H927" t="s">
        <v>19213</v>
      </c>
      <c r="I927" t="s">
        <v>18780</v>
      </c>
      <c r="K927" t="str">
        <f>HYPERLINK("http://tuberculist.epfl.ch/quicksearch.php?gene+name=Rv0898c&amp;submit=Search")</f>
        <v>http://tuberculist.epfl.ch/quicksearch.php?gene+name=Rv0898c&amp;submit=Search</v>
      </c>
    </row>
    <row r="928" spans="1:11">
      <c r="A928" t="s">
        <v>6289</v>
      </c>
      <c r="B928" t="s">
        <v>1894</v>
      </c>
      <c r="C928" t="s">
        <v>9567</v>
      </c>
      <c r="D928" t="s">
        <v>11683</v>
      </c>
      <c r="E928" t="s">
        <v>11684</v>
      </c>
      <c r="F928" t="s">
        <v>11685</v>
      </c>
      <c r="G928" t="s">
        <v>19188</v>
      </c>
      <c r="H928" t="s">
        <v>19547</v>
      </c>
      <c r="I928" t="s">
        <v>18908</v>
      </c>
      <c r="K928" t="str">
        <f>HYPERLINK("http://tuberculist.epfl.ch/quicksearch.php?gene+name=Rv0899&amp;submit=Search")</f>
        <v>http://tuberculist.epfl.ch/quicksearch.php?gene+name=Rv0899&amp;submit=Search</v>
      </c>
    </row>
    <row r="929" spans="1:11">
      <c r="A929" t="s">
        <v>11686</v>
      </c>
      <c r="B929" t="s">
        <v>11686</v>
      </c>
      <c r="C929" t="s">
        <v>9567</v>
      </c>
      <c r="D929" t="s">
        <v>9587</v>
      </c>
      <c r="E929" t="s">
        <v>9590</v>
      </c>
      <c r="F929" t="s">
        <v>11687</v>
      </c>
      <c r="G929" t="s">
        <v>19188</v>
      </c>
      <c r="I929" t="s">
        <v>18801</v>
      </c>
      <c r="K929" t="str">
        <f>HYPERLINK("http://tuberculist.epfl.ch/quicksearch.php?gene+name=Rv0900&amp;submit=Search")</f>
        <v>http://tuberculist.epfl.ch/quicksearch.php?gene+name=Rv0900&amp;submit=Search</v>
      </c>
    </row>
    <row r="930" spans="1:11">
      <c r="A930" t="s">
        <v>1245</v>
      </c>
      <c r="B930" t="s">
        <v>1245</v>
      </c>
      <c r="C930" t="s">
        <v>9567</v>
      </c>
      <c r="D930" t="s">
        <v>9578</v>
      </c>
      <c r="E930" t="s">
        <v>11688</v>
      </c>
      <c r="F930" t="s">
        <v>11689</v>
      </c>
      <c r="G930" t="s">
        <v>19188</v>
      </c>
      <c r="H930" t="s">
        <v>19438</v>
      </c>
      <c r="I930" t="s">
        <v>18909</v>
      </c>
      <c r="K930" t="str">
        <f>HYPERLINK("http://tuberculist.epfl.ch/quicksearch.php?gene+name=Rv0901&amp;submit=Search")</f>
        <v>http://tuberculist.epfl.ch/quicksearch.php?gene+name=Rv0901&amp;submit=Search</v>
      </c>
    </row>
    <row r="931" spans="1:11">
      <c r="A931" t="s">
        <v>3530</v>
      </c>
      <c r="B931" t="s">
        <v>521</v>
      </c>
      <c r="C931" t="s">
        <v>9567</v>
      </c>
      <c r="D931" t="s">
        <v>11690</v>
      </c>
      <c r="E931" t="s">
        <v>11691</v>
      </c>
      <c r="F931" t="s">
        <v>11692</v>
      </c>
      <c r="G931" t="s">
        <v>19197</v>
      </c>
      <c r="H931" t="s">
        <v>19201</v>
      </c>
      <c r="I931" t="s">
        <v>18788</v>
      </c>
      <c r="K931" t="str">
        <f>HYPERLINK("http://tuberculist.epfl.ch/quicksearch.php?gene+name=Rv0902c&amp;submit=Search")</f>
        <v>http://tuberculist.epfl.ch/quicksearch.php?gene+name=Rv0902c&amp;submit=Search</v>
      </c>
    </row>
    <row r="932" spans="1:11">
      <c r="A932" t="s">
        <v>5183</v>
      </c>
      <c r="B932" t="s">
        <v>1345</v>
      </c>
      <c r="C932" t="s">
        <v>9567</v>
      </c>
      <c r="D932" t="s">
        <v>11693</v>
      </c>
      <c r="E932" t="s">
        <v>11694</v>
      </c>
      <c r="F932" t="s">
        <v>11695</v>
      </c>
      <c r="G932" t="s">
        <v>19197</v>
      </c>
      <c r="H932" t="s">
        <v>19548</v>
      </c>
      <c r="I932" t="s">
        <v>18910</v>
      </c>
      <c r="K932" t="str">
        <f>HYPERLINK("http://tuberculist.epfl.ch/quicksearch.php?gene+name=Rv0903c&amp;submit=Search")</f>
        <v>http://tuberculist.epfl.ch/quicksearch.php?gene+name=Rv0903c&amp;submit=Search</v>
      </c>
    </row>
    <row r="933" spans="1:11">
      <c r="A933" t="s">
        <v>6912</v>
      </c>
      <c r="B933" t="s">
        <v>2222</v>
      </c>
      <c r="C933" t="s">
        <v>9567</v>
      </c>
      <c r="D933" t="s">
        <v>11696</v>
      </c>
      <c r="E933" t="s">
        <v>11697</v>
      </c>
      <c r="F933" t="s">
        <v>11698</v>
      </c>
      <c r="G933" t="s">
        <v>19219</v>
      </c>
      <c r="H933" t="s">
        <v>19305</v>
      </c>
      <c r="I933" t="s">
        <v>18780</v>
      </c>
      <c r="K933" t="str">
        <f>HYPERLINK("http://tuberculist.epfl.ch/quicksearch.php?gene+name=Rv0904c&amp;submit=Search")</f>
        <v>http://tuberculist.epfl.ch/quicksearch.php?gene+name=Rv0904c&amp;submit=Search</v>
      </c>
    </row>
    <row r="934" spans="1:11">
      <c r="A934" t="s">
        <v>7550</v>
      </c>
      <c r="B934" t="s">
        <v>2528</v>
      </c>
      <c r="C934" t="s">
        <v>9567</v>
      </c>
      <c r="D934" t="s">
        <v>10092</v>
      </c>
      <c r="E934" t="s">
        <v>11699</v>
      </c>
      <c r="F934" t="s">
        <v>11700</v>
      </c>
      <c r="G934" t="s">
        <v>19219</v>
      </c>
      <c r="H934" t="s">
        <v>19549</v>
      </c>
      <c r="I934" t="s">
        <v>18780</v>
      </c>
      <c r="K934" t="str">
        <f>HYPERLINK("http://tuberculist.epfl.ch/quicksearch.php?gene+name=Rv0905&amp;submit=Search")</f>
        <v>http://tuberculist.epfl.ch/quicksearch.php?gene+name=Rv0905&amp;submit=Search</v>
      </c>
    </row>
    <row r="935" spans="1:11">
      <c r="A935" t="s">
        <v>2704</v>
      </c>
      <c r="B935" t="s">
        <v>2704</v>
      </c>
      <c r="C935" t="s">
        <v>9567</v>
      </c>
      <c r="D935" t="s">
        <v>9578</v>
      </c>
      <c r="E935" t="s">
        <v>9665</v>
      </c>
      <c r="F935" t="s">
        <v>11701</v>
      </c>
      <c r="G935" t="s">
        <v>19210</v>
      </c>
      <c r="H935" t="s">
        <v>19550</v>
      </c>
      <c r="I935" t="s">
        <v>18779</v>
      </c>
      <c r="K935" t="str">
        <f>HYPERLINK("http://tuberculist.epfl.ch/quicksearch.php?gene+name=Rv0906&amp;submit=Search")</f>
        <v>http://tuberculist.epfl.ch/quicksearch.php?gene+name=Rv0906&amp;submit=Search</v>
      </c>
    </row>
    <row r="936" spans="1:11">
      <c r="A936" t="s">
        <v>212</v>
      </c>
      <c r="B936" t="s">
        <v>212</v>
      </c>
      <c r="C936" t="s">
        <v>9567</v>
      </c>
      <c r="D936" t="s">
        <v>11702</v>
      </c>
      <c r="E936" t="s">
        <v>9665</v>
      </c>
      <c r="F936" t="s">
        <v>11703</v>
      </c>
      <c r="G936" t="s">
        <v>19188</v>
      </c>
      <c r="H936" t="s">
        <v>19551</v>
      </c>
      <c r="I936" t="s">
        <v>18776</v>
      </c>
      <c r="K936" t="str">
        <f>HYPERLINK("http://tuberculist.epfl.ch/quicksearch.php?gene+name=Rv0907&amp;submit=Search")</f>
        <v>http://tuberculist.epfl.ch/quicksearch.php?gene+name=Rv0907&amp;submit=Search</v>
      </c>
    </row>
    <row r="937" spans="1:11">
      <c r="A937" t="s">
        <v>6940</v>
      </c>
      <c r="B937" t="s">
        <v>2234</v>
      </c>
      <c r="C937" t="s">
        <v>9567</v>
      </c>
      <c r="D937" t="s">
        <v>10550</v>
      </c>
      <c r="E937" t="s">
        <v>11704</v>
      </c>
      <c r="F937" t="s">
        <v>11705</v>
      </c>
      <c r="G937" t="s">
        <v>19188</v>
      </c>
      <c r="H937" t="s">
        <v>19277</v>
      </c>
      <c r="I937" t="s">
        <v>18780</v>
      </c>
      <c r="K937" t="str">
        <f>HYPERLINK("http://tuberculist.epfl.ch/quicksearch.php?gene+name=Rv0908&amp;submit=Search")</f>
        <v>http://tuberculist.epfl.ch/quicksearch.php?gene+name=Rv0908&amp;submit=Search</v>
      </c>
    </row>
    <row r="938" spans="1:11">
      <c r="A938" t="s">
        <v>11706</v>
      </c>
      <c r="B938" t="s">
        <v>11706</v>
      </c>
      <c r="C938" t="s">
        <v>9567</v>
      </c>
      <c r="D938" t="s">
        <v>9578</v>
      </c>
      <c r="E938" t="s">
        <v>9579</v>
      </c>
      <c r="F938" t="s">
        <v>11707</v>
      </c>
      <c r="G938" t="s">
        <v>19212</v>
      </c>
      <c r="I938" t="s">
        <v>18792</v>
      </c>
      <c r="K938" t="str">
        <f>HYPERLINK("http://tuberculist.epfl.ch/quicksearch.php?gene+name=Rv0909&amp;submit=Search")</f>
        <v>http://tuberculist.epfl.ch/quicksearch.php?gene+name=Rv0909&amp;submit=Search</v>
      </c>
    </row>
    <row r="939" spans="1:11">
      <c r="A939" t="s">
        <v>1856</v>
      </c>
      <c r="B939" t="s">
        <v>1856</v>
      </c>
      <c r="C939" t="s">
        <v>9567</v>
      </c>
      <c r="D939" t="s">
        <v>9578</v>
      </c>
      <c r="E939" t="s">
        <v>9579</v>
      </c>
      <c r="F939" t="s">
        <v>11708</v>
      </c>
      <c r="G939" t="s">
        <v>19212</v>
      </c>
      <c r="I939" t="s">
        <v>18789</v>
      </c>
      <c r="K939" t="str">
        <f>HYPERLINK("http://tuberculist.epfl.ch/quicksearch.php?gene+name=Rv0910&amp;submit=Search")</f>
        <v>http://tuberculist.epfl.ch/quicksearch.php?gene+name=Rv0910&amp;submit=Search</v>
      </c>
    </row>
    <row r="940" spans="1:11">
      <c r="A940" t="s">
        <v>2529</v>
      </c>
      <c r="B940" t="s">
        <v>2529</v>
      </c>
      <c r="C940" t="s">
        <v>9567</v>
      </c>
      <c r="D940" t="s">
        <v>9578</v>
      </c>
      <c r="E940" t="s">
        <v>9665</v>
      </c>
      <c r="F940" t="s">
        <v>11709</v>
      </c>
      <c r="G940" t="s">
        <v>19204</v>
      </c>
      <c r="H940" t="s">
        <v>19233</v>
      </c>
      <c r="I940" t="s">
        <v>18780</v>
      </c>
      <c r="K940" t="str">
        <f>HYPERLINK("http://tuberculist.epfl.ch/quicksearch.php?gene+name=Rv0911&amp;submit=Search")</f>
        <v>http://tuberculist.epfl.ch/quicksearch.php?gene+name=Rv0911&amp;submit=Search</v>
      </c>
    </row>
    <row r="941" spans="1:11">
      <c r="A941" t="s">
        <v>484</v>
      </c>
      <c r="B941" t="s">
        <v>484</v>
      </c>
      <c r="C941" t="s">
        <v>9567</v>
      </c>
      <c r="D941" t="s">
        <v>9587</v>
      </c>
      <c r="E941" t="s">
        <v>9597</v>
      </c>
      <c r="F941" t="s">
        <v>11710</v>
      </c>
      <c r="G941" t="s">
        <v>19188</v>
      </c>
      <c r="I941" t="s">
        <v>18780</v>
      </c>
      <c r="K941" t="str">
        <f>HYPERLINK("http://tuberculist.epfl.ch/quicksearch.php?gene+name=Rv0912&amp;submit=Search")</f>
        <v>http://tuberculist.epfl.ch/quicksearch.php?gene+name=Rv0912&amp;submit=Search</v>
      </c>
    </row>
    <row r="942" spans="1:11">
      <c r="A942" t="s">
        <v>1217</v>
      </c>
      <c r="B942" t="s">
        <v>1217</v>
      </c>
      <c r="C942" t="s">
        <v>9567</v>
      </c>
      <c r="D942" t="s">
        <v>9682</v>
      </c>
      <c r="E942" t="s">
        <v>11711</v>
      </c>
      <c r="F942" t="s">
        <v>11712</v>
      </c>
      <c r="G942" t="s">
        <v>19195</v>
      </c>
      <c r="H942" t="s">
        <v>19552</v>
      </c>
      <c r="I942" t="s">
        <v>18776</v>
      </c>
      <c r="J942" t="s">
        <v>18775</v>
      </c>
      <c r="K942" t="str">
        <f>HYPERLINK("http://tuberculist.epfl.ch/quicksearch.php?gene+name=Rv0913c&amp;submit=Search")</f>
        <v>http://tuberculist.epfl.ch/quicksearch.php?gene+name=Rv0913c&amp;submit=Search</v>
      </c>
    </row>
    <row r="943" spans="1:11">
      <c r="A943" t="s">
        <v>2891</v>
      </c>
      <c r="B943" t="s">
        <v>2891</v>
      </c>
      <c r="C943" t="s">
        <v>9567</v>
      </c>
      <c r="D943" t="s">
        <v>11713</v>
      </c>
      <c r="E943" t="s">
        <v>11714</v>
      </c>
      <c r="F943" t="s">
        <v>11715</v>
      </c>
      <c r="G943" t="s">
        <v>19219</v>
      </c>
      <c r="H943" t="s">
        <v>19287</v>
      </c>
      <c r="I943" t="s">
        <v>18780</v>
      </c>
      <c r="K943" t="str">
        <f>HYPERLINK("http://tuberculist.epfl.ch/quicksearch.php?gene+name=Rv0914c&amp;submit=Search")</f>
        <v>http://tuberculist.epfl.ch/quicksearch.php?gene+name=Rv0914c&amp;submit=Search</v>
      </c>
    </row>
    <row r="944" spans="1:11">
      <c r="A944" t="s">
        <v>7411</v>
      </c>
      <c r="B944" t="s">
        <v>2466</v>
      </c>
      <c r="C944" t="s">
        <v>9567</v>
      </c>
      <c r="D944" t="s">
        <v>11716</v>
      </c>
      <c r="E944" t="s">
        <v>11717</v>
      </c>
      <c r="F944" t="s">
        <v>11718</v>
      </c>
      <c r="G944" t="s">
        <v>19262</v>
      </c>
      <c r="I944" t="s">
        <v>18780</v>
      </c>
      <c r="K944" t="str">
        <f>HYPERLINK("http://tuberculist.epfl.ch/quicksearch.php?gene+name=Rv0915c&amp;submit=Search")</f>
        <v>http://tuberculist.epfl.ch/quicksearch.php?gene+name=Rv0915c&amp;submit=Search</v>
      </c>
    </row>
    <row r="945" spans="1:11">
      <c r="A945" t="s">
        <v>11719</v>
      </c>
      <c r="B945" t="s">
        <v>11720</v>
      </c>
      <c r="C945" t="s">
        <v>9567</v>
      </c>
      <c r="D945" t="s">
        <v>9578</v>
      </c>
      <c r="E945" t="s">
        <v>11721</v>
      </c>
      <c r="F945" t="s">
        <v>11722</v>
      </c>
      <c r="G945" t="s">
        <v>19553</v>
      </c>
      <c r="I945" t="s">
        <v>18793</v>
      </c>
      <c r="J945" t="s">
        <v>18809</v>
      </c>
      <c r="K945" t="str">
        <f>HYPERLINK("http://tuberculist.epfl.ch/quicksearch.php?gene+name=Rv0916c&amp;submit=Search")</f>
        <v>http://tuberculist.epfl.ch/quicksearch.php?gene+name=Rv0916c&amp;submit=Search</v>
      </c>
    </row>
    <row r="946" spans="1:11">
      <c r="A946" t="s">
        <v>7721</v>
      </c>
      <c r="B946" t="s">
        <v>2614</v>
      </c>
      <c r="C946" t="s">
        <v>9567</v>
      </c>
      <c r="D946" t="s">
        <v>11723</v>
      </c>
      <c r="E946" t="s">
        <v>11724</v>
      </c>
      <c r="F946" t="s">
        <v>11725</v>
      </c>
      <c r="G946" t="s">
        <v>19188</v>
      </c>
      <c r="H946" t="s">
        <v>19211</v>
      </c>
      <c r="I946" t="s">
        <v>18780</v>
      </c>
      <c r="K946" t="str">
        <f>HYPERLINK("http://tuberculist.epfl.ch/quicksearch.php?gene+name=Rv0917&amp;submit=Search")</f>
        <v>http://tuberculist.epfl.ch/quicksearch.php?gene+name=Rv0917&amp;submit=Search</v>
      </c>
    </row>
    <row r="947" spans="1:11">
      <c r="A947" t="s">
        <v>11726</v>
      </c>
      <c r="B947" t="s">
        <v>11726</v>
      </c>
      <c r="C947" t="s">
        <v>9567</v>
      </c>
      <c r="D947" t="s">
        <v>9578</v>
      </c>
      <c r="E947" t="s">
        <v>9665</v>
      </c>
      <c r="F947" t="s">
        <v>11727</v>
      </c>
      <c r="G947" t="s">
        <v>19212</v>
      </c>
      <c r="H947" t="s">
        <v>19192</v>
      </c>
      <c r="I947" t="s">
        <v>18793</v>
      </c>
      <c r="K947" t="str">
        <f>HYPERLINK("http://tuberculist.epfl.ch/quicksearch.php?gene+name=Rv0918&amp;submit=Search")</f>
        <v>http://tuberculist.epfl.ch/quicksearch.php?gene+name=Rv0918&amp;submit=Search</v>
      </c>
    </row>
    <row r="948" spans="1:11">
      <c r="A948" t="s">
        <v>737</v>
      </c>
      <c r="B948" t="s">
        <v>737</v>
      </c>
      <c r="C948" t="s">
        <v>9567</v>
      </c>
      <c r="D948" t="s">
        <v>9898</v>
      </c>
      <c r="E948" t="s">
        <v>9899</v>
      </c>
      <c r="F948" t="s">
        <v>11728</v>
      </c>
      <c r="G948" t="s">
        <v>19195</v>
      </c>
      <c r="I948" t="s">
        <v>18789</v>
      </c>
      <c r="K948" t="str">
        <f>HYPERLINK("http://tuberculist.epfl.ch/quicksearch.php?gene+name=Rv0919&amp;submit=Search")</f>
        <v>http://tuberculist.epfl.ch/quicksearch.php?gene+name=Rv0919&amp;submit=Search</v>
      </c>
    </row>
    <row r="949" spans="1:11">
      <c r="A949" t="s">
        <v>1367</v>
      </c>
      <c r="B949" t="s">
        <v>1367</v>
      </c>
      <c r="C949" t="s">
        <v>9567</v>
      </c>
      <c r="D949" t="s">
        <v>11729</v>
      </c>
      <c r="E949" t="s">
        <v>11730</v>
      </c>
      <c r="F949" t="s">
        <v>11731</v>
      </c>
      <c r="G949" t="s">
        <v>19217</v>
      </c>
      <c r="H949" t="s">
        <v>19263</v>
      </c>
      <c r="I949" t="s">
        <v>18793</v>
      </c>
      <c r="K949" t="str">
        <f>HYPERLINK("http://tuberculist.epfl.ch/quicksearch.php?gene+name=Rv0920c&amp;submit=Search")</f>
        <v>http://tuberculist.epfl.ch/quicksearch.php?gene+name=Rv0920c&amp;submit=Search</v>
      </c>
    </row>
    <row r="950" spans="1:11">
      <c r="A950" t="s">
        <v>2646</v>
      </c>
      <c r="B950" t="s">
        <v>2646</v>
      </c>
      <c r="C950" t="s">
        <v>9567</v>
      </c>
      <c r="D950" t="s">
        <v>10963</v>
      </c>
      <c r="E950" t="s">
        <v>10964</v>
      </c>
      <c r="F950" t="s">
        <v>11732</v>
      </c>
      <c r="G950" t="s">
        <v>19217</v>
      </c>
      <c r="H950" t="s">
        <v>19215</v>
      </c>
      <c r="I950" t="s">
        <v>18780</v>
      </c>
      <c r="K950" t="str">
        <f>HYPERLINK("http://tuberculist.epfl.ch/quicksearch.php?gene+name=Rv0921&amp;submit=Search")</f>
        <v>http://tuberculist.epfl.ch/quicksearch.php?gene+name=Rv0921&amp;submit=Search</v>
      </c>
    </row>
    <row r="951" spans="1:11">
      <c r="A951" t="s">
        <v>2640</v>
      </c>
      <c r="B951" t="s">
        <v>2640</v>
      </c>
      <c r="C951" t="s">
        <v>9567</v>
      </c>
      <c r="D951" t="s">
        <v>11733</v>
      </c>
      <c r="E951" t="s">
        <v>11734</v>
      </c>
      <c r="F951" t="s">
        <v>11735</v>
      </c>
      <c r="G951" t="s">
        <v>19217</v>
      </c>
      <c r="H951" t="s">
        <v>19211</v>
      </c>
      <c r="I951" t="s">
        <v>18780</v>
      </c>
      <c r="K951" t="str">
        <f>HYPERLINK("http://tuberculist.epfl.ch/quicksearch.php?gene+name=Rv0922&amp;submit=Search")</f>
        <v>http://tuberculist.epfl.ch/quicksearch.php?gene+name=Rv0922&amp;submit=Search</v>
      </c>
    </row>
    <row r="952" spans="1:11">
      <c r="A952" t="s">
        <v>1330</v>
      </c>
      <c r="B952" t="s">
        <v>1330</v>
      </c>
      <c r="C952" t="s">
        <v>9567</v>
      </c>
      <c r="D952" t="s">
        <v>9578</v>
      </c>
      <c r="E952" t="s">
        <v>9579</v>
      </c>
      <c r="F952" t="s">
        <v>11736</v>
      </c>
      <c r="G952" t="s">
        <v>19204</v>
      </c>
      <c r="I952" t="s">
        <v>18780</v>
      </c>
      <c r="K952" t="str">
        <f>HYPERLINK("http://tuberculist.epfl.ch/quicksearch.php?gene+name=Rv0923c&amp;submit=Search")</f>
        <v>http://tuberculist.epfl.ch/quicksearch.php?gene+name=Rv0923c&amp;submit=Search</v>
      </c>
    </row>
    <row r="953" spans="1:11">
      <c r="A953" t="s">
        <v>6698</v>
      </c>
      <c r="B953" t="s">
        <v>2107</v>
      </c>
      <c r="C953" t="s">
        <v>9567</v>
      </c>
      <c r="D953" t="s">
        <v>11737</v>
      </c>
      <c r="E953" t="s">
        <v>11738</v>
      </c>
      <c r="F953" t="s">
        <v>11739</v>
      </c>
      <c r="G953" t="s">
        <v>19188</v>
      </c>
      <c r="I953" t="s">
        <v>18780</v>
      </c>
      <c r="K953" t="str">
        <f>HYPERLINK("http://tuberculist.epfl.ch/quicksearch.php?gene+name=Rv0924c&amp;submit=Search")</f>
        <v>http://tuberculist.epfl.ch/quicksearch.php?gene+name=Rv0924c&amp;submit=Search</v>
      </c>
    </row>
    <row r="954" spans="1:11">
      <c r="A954" t="s">
        <v>1041</v>
      </c>
      <c r="B954" t="s">
        <v>1041</v>
      </c>
      <c r="C954" t="s">
        <v>9567</v>
      </c>
      <c r="D954" t="s">
        <v>9578</v>
      </c>
      <c r="E954" t="s">
        <v>9665</v>
      </c>
      <c r="F954" t="s">
        <v>11740</v>
      </c>
      <c r="G954" t="s">
        <v>19204</v>
      </c>
      <c r="H954" t="s">
        <v>19287</v>
      </c>
      <c r="I954" t="s">
        <v>18780</v>
      </c>
      <c r="K954" t="str">
        <f>HYPERLINK("http://tuberculist.epfl.ch/quicksearch.php?gene+name=Rv0925c&amp;submit=Search")</f>
        <v>http://tuberculist.epfl.ch/quicksearch.php?gene+name=Rv0925c&amp;submit=Search</v>
      </c>
    </row>
    <row r="955" spans="1:11">
      <c r="A955" t="s">
        <v>1063</v>
      </c>
      <c r="B955" t="s">
        <v>1063</v>
      </c>
      <c r="C955" t="s">
        <v>9567</v>
      </c>
      <c r="D955" t="s">
        <v>9578</v>
      </c>
      <c r="E955" t="s">
        <v>9579</v>
      </c>
      <c r="F955" t="s">
        <v>11741</v>
      </c>
      <c r="G955" t="s">
        <v>19204</v>
      </c>
      <c r="H955" t="s">
        <v>19209</v>
      </c>
      <c r="I955" t="s">
        <v>18789</v>
      </c>
      <c r="J955" t="s">
        <v>18820</v>
      </c>
      <c r="K955" t="str">
        <f>HYPERLINK("http://tuberculist.epfl.ch/quicksearch.php?gene+name=Rv0926c&amp;submit=Search")</f>
        <v>http://tuberculist.epfl.ch/quicksearch.php?gene+name=Rv0926c&amp;submit=Search</v>
      </c>
    </row>
    <row r="956" spans="1:11">
      <c r="A956" t="s">
        <v>475</v>
      </c>
      <c r="B956" t="s">
        <v>475</v>
      </c>
      <c r="C956" t="s">
        <v>9567</v>
      </c>
      <c r="D956" t="s">
        <v>9931</v>
      </c>
      <c r="E956" t="s">
        <v>9932</v>
      </c>
      <c r="F956" t="s">
        <v>11742</v>
      </c>
      <c r="G956" t="s">
        <v>19195</v>
      </c>
      <c r="H956" t="s">
        <v>19554</v>
      </c>
      <c r="I956" t="s">
        <v>18793</v>
      </c>
      <c r="J956" t="s">
        <v>18820</v>
      </c>
      <c r="K956" t="str">
        <f>HYPERLINK("http://tuberculist.epfl.ch/quicksearch.php?gene+name=Rv0927c&amp;submit=Search")</f>
        <v>http://tuberculist.epfl.ch/quicksearch.php?gene+name=Rv0927c&amp;submit=Search</v>
      </c>
    </row>
    <row r="957" spans="1:11">
      <c r="A957" t="s">
        <v>3811</v>
      </c>
      <c r="B957" t="s">
        <v>663</v>
      </c>
      <c r="C957" t="s">
        <v>9567</v>
      </c>
      <c r="D957" t="s">
        <v>11743</v>
      </c>
      <c r="E957" t="s">
        <v>11744</v>
      </c>
      <c r="F957" t="s">
        <v>11745</v>
      </c>
      <c r="G957" t="s">
        <v>19188</v>
      </c>
      <c r="H957" t="s">
        <v>19555</v>
      </c>
      <c r="I957" t="s">
        <v>18783</v>
      </c>
      <c r="K957" t="str">
        <f>HYPERLINK("http://tuberculist.epfl.ch/quicksearch.php?gene+name=Rv0928&amp;submit=Search")</f>
        <v>http://tuberculist.epfl.ch/quicksearch.php?gene+name=Rv0928&amp;submit=Search</v>
      </c>
    </row>
    <row r="958" spans="1:11">
      <c r="A958" t="s">
        <v>6038</v>
      </c>
      <c r="B958" t="s">
        <v>1774</v>
      </c>
      <c r="C958" t="s">
        <v>9567</v>
      </c>
      <c r="D958" t="s">
        <v>11746</v>
      </c>
      <c r="E958" t="s">
        <v>11747</v>
      </c>
      <c r="F958" t="s">
        <v>11748</v>
      </c>
      <c r="G958" t="s">
        <v>19188</v>
      </c>
      <c r="I958" t="s">
        <v>18786</v>
      </c>
      <c r="K958" t="str">
        <f>HYPERLINK("http://tuberculist.epfl.ch/quicksearch.php?gene+name=Rv0929&amp;submit=Search")</f>
        <v>http://tuberculist.epfl.ch/quicksearch.php?gene+name=Rv0929&amp;submit=Search</v>
      </c>
    </row>
    <row r="959" spans="1:11">
      <c r="A959" t="s">
        <v>8886</v>
      </c>
      <c r="B959" t="s">
        <v>3177</v>
      </c>
      <c r="C959" t="s">
        <v>9567</v>
      </c>
      <c r="D959" t="s">
        <v>11746</v>
      </c>
      <c r="E959" t="s">
        <v>11749</v>
      </c>
      <c r="F959" t="s">
        <v>11750</v>
      </c>
      <c r="G959" t="s">
        <v>19188</v>
      </c>
      <c r="I959" t="s">
        <v>18911</v>
      </c>
      <c r="K959" t="str">
        <f>HYPERLINK("http://tuberculist.epfl.ch/quicksearch.php?gene+name=Rv0930&amp;submit=Search")</f>
        <v>http://tuberculist.epfl.ch/quicksearch.php?gene+name=Rv0930&amp;submit=Search</v>
      </c>
    </row>
    <row r="960" spans="1:11">
      <c r="A960" t="s">
        <v>11751</v>
      </c>
      <c r="B960" t="s">
        <v>2129</v>
      </c>
      <c r="C960" t="s">
        <v>9567</v>
      </c>
      <c r="D960" t="s">
        <v>11752</v>
      </c>
      <c r="E960" t="s">
        <v>11753</v>
      </c>
      <c r="F960" t="s">
        <v>11754</v>
      </c>
      <c r="G960" t="s">
        <v>19197</v>
      </c>
      <c r="H960" t="s">
        <v>19556</v>
      </c>
      <c r="I960" t="s">
        <v>18912</v>
      </c>
      <c r="K960" t="str">
        <f>HYPERLINK("http://tuberculist.epfl.ch/quicksearch.php?gene+name=Rv0931c&amp;submit=Search")</f>
        <v>http://tuberculist.epfl.ch/quicksearch.php?gene+name=Rv0931c&amp;submit=Search</v>
      </c>
    </row>
    <row r="961" spans="1:11">
      <c r="A961" t="s">
        <v>7631</v>
      </c>
      <c r="B961" t="s">
        <v>2569</v>
      </c>
      <c r="C961" t="s">
        <v>9567</v>
      </c>
      <c r="D961" t="s">
        <v>11743</v>
      </c>
      <c r="E961" t="s">
        <v>11755</v>
      </c>
      <c r="F961" t="s">
        <v>11756</v>
      </c>
      <c r="G961" t="s">
        <v>19188</v>
      </c>
      <c r="H961" t="s">
        <v>19557</v>
      </c>
      <c r="I961" t="s">
        <v>18789</v>
      </c>
      <c r="K961" t="str">
        <f>HYPERLINK("http://tuberculist.epfl.ch/quicksearch.php?gene+name=Rv0932c&amp;submit=Search")</f>
        <v>http://tuberculist.epfl.ch/quicksearch.php?gene+name=Rv0932c&amp;submit=Search</v>
      </c>
    </row>
    <row r="962" spans="1:11">
      <c r="A962" t="s">
        <v>11757</v>
      </c>
      <c r="B962" t="s">
        <v>2589</v>
      </c>
      <c r="C962" t="s">
        <v>9567</v>
      </c>
      <c r="D962" t="s">
        <v>11758</v>
      </c>
      <c r="E962" t="s">
        <v>11759</v>
      </c>
      <c r="F962" t="s">
        <v>11760</v>
      </c>
      <c r="G962" t="s">
        <v>19188</v>
      </c>
      <c r="H962" t="s">
        <v>19511</v>
      </c>
      <c r="I962" t="s">
        <v>18779</v>
      </c>
      <c r="K962" t="str">
        <f>HYPERLINK("http://tuberculist.epfl.ch/quicksearch.php?gene+name=Rv0933&amp;submit=Search")</f>
        <v>http://tuberculist.epfl.ch/quicksearch.php?gene+name=Rv0933&amp;submit=Search</v>
      </c>
    </row>
    <row r="963" spans="1:11">
      <c r="A963" t="s">
        <v>4796</v>
      </c>
      <c r="B963" t="s">
        <v>1156</v>
      </c>
      <c r="C963" t="s">
        <v>9567</v>
      </c>
      <c r="D963" t="s">
        <v>11743</v>
      </c>
      <c r="E963" t="s">
        <v>11761</v>
      </c>
      <c r="F963" t="s">
        <v>11762</v>
      </c>
      <c r="G963" t="s">
        <v>19188</v>
      </c>
      <c r="H963" t="s">
        <v>19558</v>
      </c>
      <c r="I963" t="s">
        <v>18780</v>
      </c>
      <c r="K963" t="str">
        <f>HYPERLINK("http://tuberculist.epfl.ch/quicksearch.php?gene+name=Rv0934&amp;submit=Search")</f>
        <v>http://tuberculist.epfl.ch/quicksearch.php?gene+name=Rv0934&amp;submit=Search</v>
      </c>
    </row>
    <row r="964" spans="1:11">
      <c r="A964" t="s">
        <v>9080</v>
      </c>
      <c r="B964" t="s">
        <v>3268</v>
      </c>
      <c r="C964" t="s">
        <v>9567</v>
      </c>
      <c r="D964" t="s">
        <v>11746</v>
      </c>
      <c r="E964" t="s">
        <v>11763</v>
      </c>
      <c r="F964" t="s">
        <v>11764</v>
      </c>
      <c r="G964" t="s">
        <v>19188</v>
      </c>
      <c r="H964" t="s">
        <v>19274</v>
      </c>
      <c r="I964" t="s">
        <v>18780</v>
      </c>
      <c r="K964" t="str">
        <f>HYPERLINK("http://tuberculist.epfl.ch/quicksearch.php?gene+name=Rv0935&amp;submit=Search")</f>
        <v>http://tuberculist.epfl.ch/quicksearch.php?gene+name=Rv0935&amp;submit=Search</v>
      </c>
    </row>
    <row r="965" spans="1:11">
      <c r="A965" t="s">
        <v>4127</v>
      </c>
      <c r="B965" t="s">
        <v>824</v>
      </c>
      <c r="C965" t="s">
        <v>9567</v>
      </c>
      <c r="D965" t="s">
        <v>11746</v>
      </c>
      <c r="E965" t="s">
        <v>11765</v>
      </c>
      <c r="F965" t="s">
        <v>11766</v>
      </c>
      <c r="G965" t="s">
        <v>19188</v>
      </c>
      <c r="H965" t="s">
        <v>19233</v>
      </c>
      <c r="I965" t="s">
        <v>18780</v>
      </c>
      <c r="K965" t="str">
        <f>HYPERLINK("http://tuberculist.epfl.ch/quicksearch.php?gene+name=Rv0936&amp;submit=Search")</f>
        <v>http://tuberculist.epfl.ch/quicksearch.php?gene+name=Rv0936&amp;submit=Search</v>
      </c>
    </row>
    <row r="966" spans="1:11">
      <c r="A966" t="s">
        <v>11767</v>
      </c>
      <c r="B966" t="s">
        <v>587</v>
      </c>
      <c r="C966" t="s">
        <v>9567</v>
      </c>
      <c r="D966" t="s">
        <v>11768</v>
      </c>
      <c r="E966" t="s">
        <v>11769</v>
      </c>
      <c r="F966" t="s">
        <v>11770</v>
      </c>
      <c r="G966" t="s">
        <v>19181</v>
      </c>
      <c r="H966" t="s">
        <v>19213</v>
      </c>
      <c r="I966" t="s">
        <v>18773</v>
      </c>
      <c r="K966" t="str">
        <f>HYPERLINK("http://tuberculist.epfl.ch/quicksearch.php?gene+name=Rv0937c&amp;submit=Search")</f>
        <v>http://tuberculist.epfl.ch/quicksearch.php?gene+name=Rv0937c&amp;submit=Search</v>
      </c>
    </row>
    <row r="967" spans="1:11">
      <c r="A967" t="s">
        <v>11771</v>
      </c>
      <c r="B967" t="s">
        <v>2002</v>
      </c>
      <c r="C967" t="s">
        <v>9567</v>
      </c>
      <c r="D967" t="s">
        <v>11772</v>
      </c>
      <c r="E967" t="s">
        <v>11773</v>
      </c>
      <c r="F967" t="s">
        <v>11774</v>
      </c>
      <c r="G967" t="s">
        <v>19181</v>
      </c>
      <c r="H967" t="s">
        <v>19207</v>
      </c>
      <c r="I967" t="s">
        <v>18913</v>
      </c>
      <c r="K967" t="str">
        <f>HYPERLINK("http://tuberculist.epfl.ch/quicksearch.php?gene+name=Rv0938&amp;submit=Search")</f>
        <v>http://tuberculist.epfl.ch/quicksearch.php?gene+name=Rv0938&amp;submit=Search</v>
      </c>
    </row>
    <row r="968" spans="1:11">
      <c r="A968" t="s">
        <v>2598</v>
      </c>
      <c r="B968" t="s">
        <v>2598</v>
      </c>
      <c r="C968" t="s">
        <v>9567</v>
      </c>
      <c r="D968" t="s">
        <v>11775</v>
      </c>
      <c r="E968" t="s">
        <v>11776</v>
      </c>
      <c r="F968" t="s">
        <v>11777</v>
      </c>
      <c r="G968" t="s">
        <v>19195</v>
      </c>
      <c r="H968" t="s">
        <v>19559</v>
      </c>
      <c r="I968" t="s">
        <v>18793</v>
      </c>
      <c r="K968" t="str">
        <f>HYPERLINK("http://tuberculist.epfl.ch/quicksearch.php?gene+name=Rv0939&amp;submit=Search")</f>
        <v>http://tuberculist.epfl.ch/quicksearch.php?gene+name=Rv0939&amp;submit=Search</v>
      </c>
    </row>
    <row r="969" spans="1:11">
      <c r="A969" t="s">
        <v>1979</v>
      </c>
      <c r="B969" t="s">
        <v>1979</v>
      </c>
      <c r="C969" t="s">
        <v>9567</v>
      </c>
      <c r="D969" t="s">
        <v>9682</v>
      </c>
      <c r="E969" t="s">
        <v>9683</v>
      </c>
      <c r="F969" t="s">
        <v>11778</v>
      </c>
      <c r="G969" t="s">
        <v>19195</v>
      </c>
      <c r="H969" t="s">
        <v>19560</v>
      </c>
      <c r="I969" t="s">
        <v>18773</v>
      </c>
      <c r="J969" t="s">
        <v>18820</v>
      </c>
      <c r="K969" t="str">
        <f>HYPERLINK("http://tuberculist.epfl.ch/quicksearch.php?gene+name=Rv0940c&amp;submit=Search")</f>
        <v>http://tuberculist.epfl.ch/quicksearch.php?gene+name=Rv0940c&amp;submit=Search</v>
      </c>
    </row>
    <row r="970" spans="1:11">
      <c r="A970" t="s">
        <v>485</v>
      </c>
      <c r="B970" t="s">
        <v>485</v>
      </c>
      <c r="C970" t="s">
        <v>9567</v>
      </c>
      <c r="D970" t="s">
        <v>9578</v>
      </c>
      <c r="E970" t="s">
        <v>9579</v>
      </c>
      <c r="F970" t="s">
        <v>11779</v>
      </c>
      <c r="G970" t="s">
        <v>19208</v>
      </c>
      <c r="H970" t="s">
        <v>19213</v>
      </c>
      <c r="I970" t="s">
        <v>18829</v>
      </c>
      <c r="K970" t="str">
        <f>HYPERLINK("http://tuberculist.epfl.ch/quicksearch.php?gene+name=Rv0941c&amp;submit=Search")</f>
        <v>http://tuberculist.epfl.ch/quicksearch.php?gene+name=Rv0941c&amp;submit=Search</v>
      </c>
    </row>
    <row r="971" spans="1:11">
      <c r="A971" t="s">
        <v>2055</v>
      </c>
      <c r="B971" t="s">
        <v>2055</v>
      </c>
      <c r="C971" t="s">
        <v>9567</v>
      </c>
      <c r="D971" t="s">
        <v>9587</v>
      </c>
      <c r="E971" t="s">
        <v>9713</v>
      </c>
      <c r="F971" t="s">
        <v>11780</v>
      </c>
      <c r="G971" t="s">
        <v>19204</v>
      </c>
      <c r="I971" t="s">
        <v>18914</v>
      </c>
      <c r="K971" t="str">
        <f>HYPERLINK("http://tuberculist.epfl.ch/quicksearch.php?gene+name=Rv0942&amp;submit=Search")</f>
        <v>http://tuberculist.epfl.ch/quicksearch.php?gene+name=Rv0942&amp;submit=Search</v>
      </c>
    </row>
    <row r="972" spans="1:11">
      <c r="A972" t="s">
        <v>11781</v>
      </c>
      <c r="B972" t="s">
        <v>11781</v>
      </c>
      <c r="C972" t="s">
        <v>9567</v>
      </c>
      <c r="D972" t="s">
        <v>9682</v>
      </c>
      <c r="E972" t="s">
        <v>10451</v>
      </c>
      <c r="F972" t="s">
        <v>11782</v>
      </c>
      <c r="G972" t="s">
        <v>19195</v>
      </c>
      <c r="H972" t="s">
        <v>19207</v>
      </c>
      <c r="I972" t="s">
        <v>18789</v>
      </c>
      <c r="K972" t="str">
        <f>HYPERLINK("http://tuberculist.epfl.ch/quicksearch.php?gene+name=Rv0943c&amp;submit=Search")</f>
        <v>http://tuberculist.epfl.ch/quicksearch.php?gene+name=Rv0943c&amp;submit=Search</v>
      </c>
    </row>
    <row r="973" spans="1:11">
      <c r="A973" t="s">
        <v>2312</v>
      </c>
      <c r="B973" t="s">
        <v>2312</v>
      </c>
      <c r="C973" t="s">
        <v>9567</v>
      </c>
      <c r="D973" t="s">
        <v>11783</v>
      </c>
      <c r="E973" t="s">
        <v>11784</v>
      </c>
      <c r="F973" t="s">
        <v>11785</v>
      </c>
      <c r="G973" t="s">
        <v>19181</v>
      </c>
      <c r="H973" t="s">
        <v>19207</v>
      </c>
      <c r="I973" t="s">
        <v>18780</v>
      </c>
      <c r="K973" t="str">
        <f>HYPERLINK("http://tuberculist.epfl.ch/quicksearch.php?gene+name=Rv0944&amp;submit=Search")</f>
        <v>http://tuberculist.epfl.ch/quicksearch.php?gene+name=Rv0944&amp;submit=Search</v>
      </c>
    </row>
    <row r="974" spans="1:11">
      <c r="A974" t="s">
        <v>1464</v>
      </c>
      <c r="B974" t="s">
        <v>1464</v>
      </c>
      <c r="C974" t="s">
        <v>9567</v>
      </c>
      <c r="D974" t="s">
        <v>9931</v>
      </c>
      <c r="E974" t="s">
        <v>9932</v>
      </c>
      <c r="F974" t="s">
        <v>11786</v>
      </c>
      <c r="G974" t="s">
        <v>19195</v>
      </c>
      <c r="I974" t="s">
        <v>18773</v>
      </c>
      <c r="K974" t="str">
        <f>HYPERLINK("http://tuberculist.epfl.ch/quicksearch.php?gene+name=Rv0945&amp;submit=Search")</f>
        <v>http://tuberculist.epfl.ch/quicksearch.php?gene+name=Rv0945&amp;submit=Search</v>
      </c>
    </row>
    <row r="975" spans="1:11">
      <c r="A975" t="s">
        <v>4115</v>
      </c>
      <c r="B975" t="s">
        <v>816</v>
      </c>
      <c r="C975" t="s">
        <v>9567</v>
      </c>
      <c r="D975" t="s">
        <v>11787</v>
      </c>
      <c r="E975" t="s">
        <v>11788</v>
      </c>
      <c r="F975" t="s">
        <v>11789</v>
      </c>
      <c r="G975" t="s">
        <v>19195</v>
      </c>
      <c r="H975" t="s">
        <v>19325</v>
      </c>
      <c r="I975" t="s">
        <v>18774</v>
      </c>
      <c r="K975" t="str">
        <f>HYPERLINK("http://tuberculist.epfl.ch/quicksearch.php?gene+name=Rv0946c&amp;submit=Search")</f>
        <v>http://tuberculist.epfl.ch/quicksearch.php?gene+name=Rv0946c&amp;submit=Search</v>
      </c>
    </row>
    <row r="976" spans="1:11">
      <c r="A976" t="s">
        <v>2903</v>
      </c>
      <c r="B976" t="s">
        <v>2903</v>
      </c>
      <c r="C976" t="s">
        <v>10216</v>
      </c>
      <c r="D976" t="s">
        <v>11790</v>
      </c>
      <c r="E976" t="s">
        <v>11791</v>
      </c>
      <c r="F976" t="s">
        <v>11792</v>
      </c>
      <c r="G976" t="s">
        <v>19219</v>
      </c>
      <c r="I976" t="s">
        <v>18915</v>
      </c>
      <c r="J976" t="s">
        <v>18775</v>
      </c>
      <c r="K976" t="str">
        <f>HYPERLINK("http://tuberculist.epfl.ch/quicksearch.php?gene+name=Rv0947c&amp;submit=Search")</f>
        <v>http://tuberculist.epfl.ch/quicksearch.php?gene+name=Rv0947c&amp;submit=Search</v>
      </c>
    </row>
    <row r="977" spans="1:11">
      <c r="A977" t="s">
        <v>949</v>
      </c>
      <c r="B977" t="s">
        <v>949</v>
      </c>
      <c r="C977" t="s">
        <v>9567</v>
      </c>
      <c r="D977" t="s">
        <v>11793</v>
      </c>
      <c r="E977" t="s">
        <v>11794</v>
      </c>
      <c r="F977" t="s">
        <v>11795</v>
      </c>
      <c r="G977" t="s">
        <v>19195</v>
      </c>
      <c r="H977" t="s">
        <v>19561</v>
      </c>
      <c r="I977" t="s">
        <v>18779</v>
      </c>
      <c r="K977" t="str">
        <f>HYPERLINK("http://tuberculist.epfl.ch/quicksearch.php?gene+name=Rv0948c&amp;submit=Search")</f>
        <v>http://tuberculist.epfl.ch/quicksearch.php?gene+name=Rv0948c&amp;submit=Search</v>
      </c>
    </row>
    <row r="978" spans="1:11">
      <c r="A978" t="s">
        <v>7327</v>
      </c>
      <c r="B978" t="s">
        <v>2422</v>
      </c>
      <c r="C978" t="s">
        <v>9567</v>
      </c>
      <c r="D978" t="s">
        <v>11796</v>
      </c>
      <c r="E978" t="s">
        <v>11797</v>
      </c>
      <c r="F978" t="s">
        <v>11798</v>
      </c>
      <c r="G978" t="s">
        <v>19181</v>
      </c>
      <c r="H978" t="s">
        <v>19562</v>
      </c>
      <c r="I978" t="s">
        <v>18774</v>
      </c>
      <c r="K978" t="str">
        <f>HYPERLINK("http://tuberculist.epfl.ch/quicksearch.php?gene+name=Rv0949&amp;submit=Search")</f>
        <v>http://tuberculist.epfl.ch/quicksearch.php?gene+name=Rv0949&amp;submit=Search</v>
      </c>
    </row>
    <row r="979" spans="1:11">
      <c r="A979" t="s">
        <v>1853</v>
      </c>
      <c r="B979" t="s">
        <v>1853</v>
      </c>
      <c r="C979" t="s">
        <v>9567</v>
      </c>
      <c r="D979" t="s">
        <v>9578</v>
      </c>
      <c r="E979" t="s">
        <v>9579</v>
      </c>
      <c r="F979" t="s">
        <v>11799</v>
      </c>
      <c r="G979" t="s">
        <v>19210</v>
      </c>
      <c r="H979" t="s">
        <v>19213</v>
      </c>
      <c r="I979" t="s">
        <v>18853</v>
      </c>
      <c r="J979" t="s">
        <v>18822</v>
      </c>
      <c r="K979" t="str">
        <f>HYPERLINK("http://tuberculist.epfl.ch/quicksearch.php?gene+name=Rv0950c&amp;submit=Search")</f>
        <v>http://tuberculist.epfl.ch/quicksearch.php?gene+name=Rv0950c&amp;submit=Search</v>
      </c>
    </row>
    <row r="980" spans="1:11">
      <c r="A980" t="s">
        <v>6801</v>
      </c>
      <c r="B980" t="s">
        <v>2162</v>
      </c>
      <c r="C980" t="s">
        <v>9567</v>
      </c>
      <c r="D980" t="s">
        <v>11800</v>
      </c>
      <c r="E980" t="s">
        <v>11801</v>
      </c>
      <c r="F980" t="s">
        <v>11802</v>
      </c>
      <c r="G980" t="s">
        <v>19195</v>
      </c>
      <c r="H980" t="s">
        <v>19563</v>
      </c>
      <c r="I980" t="s">
        <v>18774</v>
      </c>
      <c r="J980" t="s">
        <v>18822</v>
      </c>
      <c r="K980" t="str">
        <f>HYPERLINK("http://tuberculist.epfl.ch/quicksearch.php?gene+name=Rv0951&amp;submit=Search")</f>
        <v>http://tuberculist.epfl.ch/quicksearch.php?gene+name=Rv0951&amp;submit=Search</v>
      </c>
    </row>
    <row r="981" spans="1:11">
      <c r="A981" t="s">
        <v>6352</v>
      </c>
      <c r="B981" t="s">
        <v>1922</v>
      </c>
      <c r="C981" t="s">
        <v>9567</v>
      </c>
      <c r="D981" t="s">
        <v>11800</v>
      </c>
      <c r="E981" t="s">
        <v>11803</v>
      </c>
      <c r="F981" t="s">
        <v>11804</v>
      </c>
      <c r="G981" t="s">
        <v>19195</v>
      </c>
      <c r="H981" t="s">
        <v>19564</v>
      </c>
      <c r="I981" t="s">
        <v>18774</v>
      </c>
      <c r="K981" t="str">
        <f>HYPERLINK("http://tuberculist.epfl.ch/quicksearch.php?gene+name=Rv0952&amp;submit=Search")</f>
        <v>http://tuberculist.epfl.ch/quicksearch.php?gene+name=Rv0952&amp;submit=Search</v>
      </c>
    </row>
    <row r="982" spans="1:11">
      <c r="A982" t="s">
        <v>2904</v>
      </c>
      <c r="B982" t="s">
        <v>2904</v>
      </c>
      <c r="C982" t="s">
        <v>9567</v>
      </c>
      <c r="D982" t="s">
        <v>9682</v>
      </c>
      <c r="E982" t="s">
        <v>9683</v>
      </c>
      <c r="F982" t="s">
        <v>11805</v>
      </c>
      <c r="G982" t="s">
        <v>19195</v>
      </c>
      <c r="H982" t="s">
        <v>19233</v>
      </c>
      <c r="I982" t="s">
        <v>18780</v>
      </c>
      <c r="J982" t="s">
        <v>18820</v>
      </c>
      <c r="K982" t="str">
        <f>HYPERLINK("http://tuberculist.epfl.ch/quicksearch.php?gene+name=Rv0953c&amp;submit=Search")</f>
        <v>http://tuberculist.epfl.ch/quicksearch.php?gene+name=Rv0953c&amp;submit=Search</v>
      </c>
    </row>
    <row r="983" spans="1:11">
      <c r="A983" t="s">
        <v>1691</v>
      </c>
      <c r="B983" t="s">
        <v>1691</v>
      </c>
      <c r="C983" t="s">
        <v>9567</v>
      </c>
      <c r="D983" t="s">
        <v>9587</v>
      </c>
      <c r="E983" t="s">
        <v>9597</v>
      </c>
      <c r="F983" t="s">
        <v>11806</v>
      </c>
      <c r="G983" t="s">
        <v>19188</v>
      </c>
      <c r="H983" t="s">
        <v>19189</v>
      </c>
      <c r="I983" t="s">
        <v>18780</v>
      </c>
      <c r="K983" t="str">
        <f>HYPERLINK("http://tuberculist.epfl.ch/quicksearch.php?gene+name=Rv0954&amp;submit=Search")</f>
        <v>http://tuberculist.epfl.ch/quicksearch.php?gene+name=Rv0954&amp;submit=Search</v>
      </c>
    </row>
    <row r="984" spans="1:11">
      <c r="A984" t="s">
        <v>1789</v>
      </c>
      <c r="B984" t="s">
        <v>1789</v>
      </c>
      <c r="C984" t="s">
        <v>9567</v>
      </c>
      <c r="D984" t="s">
        <v>9587</v>
      </c>
      <c r="E984" t="s">
        <v>9668</v>
      </c>
      <c r="F984" t="s">
        <v>11807</v>
      </c>
      <c r="G984" t="s">
        <v>19188</v>
      </c>
      <c r="H984" t="s">
        <v>19211</v>
      </c>
      <c r="I984" t="s">
        <v>18774</v>
      </c>
      <c r="K984" t="str">
        <f>HYPERLINK("http://tuberculist.epfl.ch/quicksearch.php?gene+name=Rv0955&amp;submit=Search")</f>
        <v>http://tuberculist.epfl.ch/quicksearch.php?gene+name=Rv0955&amp;submit=Search</v>
      </c>
    </row>
    <row r="985" spans="1:11">
      <c r="A985" t="s">
        <v>8073</v>
      </c>
      <c r="B985" t="s">
        <v>2792</v>
      </c>
      <c r="C985" t="s">
        <v>9567</v>
      </c>
      <c r="D985" t="s">
        <v>11808</v>
      </c>
      <c r="E985" t="s">
        <v>11809</v>
      </c>
      <c r="F985" t="s">
        <v>11810</v>
      </c>
      <c r="G985" t="s">
        <v>19195</v>
      </c>
      <c r="H985" t="s">
        <v>19209</v>
      </c>
      <c r="I985" t="s">
        <v>18788</v>
      </c>
      <c r="K985" t="str">
        <f>HYPERLINK("http://tuberculist.epfl.ch/quicksearch.php?gene+name=Rv0956&amp;submit=Search")</f>
        <v>http://tuberculist.epfl.ch/quicksearch.php?gene+name=Rv0956&amp;submit=Search</v>
      </c>
    </row>
    <row r="986" spans="1:11">
      <c r="A986" t="s">
        <v>3818</v>
      </c>
      <c r="B986" t="s">
        <v>667</v>
      </c>
      <c r="C986" t="s">
        <v>9567</v>
      </c>
      <c r="D986" t="s">
        <v>11811</v>
      </c>
      <c r="E986" t="s">
        <v>11812</v>
      </c>
      <c r="F986" t="s">
        <v>11813</v>
      </c>
      <c r="G986" t="s">
        <v>19195</v>
      </c>
      <c r="H986" t="s">
        <v>19565</v>
      </c>
      <c r="I986" t="s">
        <v>18774</v>
      </c>
      <c r="K986" t="str">
        <f>HYPERLINK("http://tuberculist.epfl.ch/quicksearch.php?gene+name=Rv0957&amp;submit=Search")</f>
        <v>http://tuberculist.epfl.ch/quicksearch.php?gene+name=Rv0957&amp;submit=Search</v>
      </c>
    </row>
    <row r="987" spans="1:11">
      <c r="A987" t="s">
        <v>549</v>
      </c>
      <c r="B987" t="s">
        <v>549</v>
      </c>
      <c r="C987" t="s">
        <v>9567</v>
      </c>
      <c r="D987" t="s">
        <v>11814</v>
      </c>
      <c r="E987" t="s">
        <v>11815</v>
      </c>
      <c r="F987" t="s">
        <v>11816</v>
      </c>
      <c r="G987" t="s">
        <v>19195</v>
      </c>
      <c r="H987" t="s">
        <v>19371</v>
      </c>
      <c r="I987" t="s">
        <v>18780</v>
      </c>
      <c r="K987" t="str">
        <f>HYPERLINK("http://tuberculist.epfl.ch/quicksearch.php?gene+name=Rv0958&amp;submit=Search")</f>
        <v>http://tuberculist.epfl.ch/quicksearch.php?gene+name=Rv0958&amp;submit=Search</v>
      </c>
    </row>
    <row r="988" spans="1:11">
      <c r="A988" t="s">
        <v>1318</v>
      </c>
      <c r="B988" t="s">
        <v>1318</v>
      </c>
      <c r="C988" t="s">
        <v>9567</v>
      </c>
      <c r="D988" t="s">
        <v>9578</v>
      </c>
      <c r="E988" t="s">
        <v>9579</v>
      </c>
      <c r="F988" t="s">
        <v>11817</v>
      </c>
      <c r="G988" t="s">
        <v>19204</v>
      </c>
      <c r="H988" t="s">
        <v>19207</v>
      </c>
      <c r="I988" t="s">
        <v>18779</v>
      </c>
      <c r="K988" t="str">
        <f>HYPERLINK("http://tuberculist.epfl.ch/quicksearch.php?gene+name=Rv0959&amp;submit=Search")</f>
        <v>http://tuberculist.epfl.ch/quicksearch.php?gene+name=Rv0959&amp;submit=Search</v>
      </c>
    </row>
    <row r="989" spans="1:11">
      <c r="A989" t="s">
        <v>11818</v>
      </c>
      <c r="B989" t="s">
        <v>2647</v>
      </c>
      <c r="C989" t="s">
        <v>9567</v>
      </c>
      <c r="D989" t="s">
        <v>9587</v>
      </c>
      <c r="E989" t="s">
        <v>11819</v>
      </c>
      <c r="F989" t="s">
        <v>11820</v>
      </c>
      <c r="G989" t="s">
        <v>19206</v>
      </c>
      <c r="I989" t="s">
        <v>18773</v>
      </c>
      <c r="K989" t="str">
        <f>HYPERLINK("http://tuberculist.epfl.ch/quicksearch.php?gene+name=Rv0959A&amp;submit=Search")</f>
        <v>http://tuberculist.epfl.ch/quicksearch.php?gene+name=Rv0959A&amp;submit=Search</v>
      </c>
    </row>
    <row r="990" spans="1:11">
      <c r="A990" t="s">
        <v>11821</v>
      </c>
      <c r="B990" t="s">
        <v>11822</v>
      </c>
      <c r="C990" t="s">
        <v>9567</v>
      </c>
      <c r="D990" t="s">
        <v>9587</v>
      </c>
      <c r="E990" t="s">
        <v>11823</v>
      </c>
      <c r="F990" t="s">
        <v>11824</v>
      </c>
      <c r="G990" t="s">
        <v>19206</v>
      </c>
      <c r="H990" t="s">
        <v>19233</v>
      </c>
      <c r="I990" t="s">
        <v>18780</v>
      </c>
      <c r="K990" t="str">
        <f>HYPERLINK("http://tuberculist.epfl.ch/quicksearch.php?gene+name=Rv0960&amp;submit=Search")</f>
        <v>http://tuberculist.epfl.ch/quicksearch.php?gene+name=Rv0960&amp;submit=Search</v>
      </c>
    </row>
    <row r="991" spans="1:11">
      <c r="A991" t="s">
        <v>1857</v>
      </c>
      <c r="B991" t="s">
        <v>1857</v>
      </c>
      <c r="C991" t="s">
        <v>9567</v>
      </c>
      <c r="D991" t="s">
        <v>9587</v>
      </c>
      <c r="E991" t="s">
        <v>10806</v>
      </c>
      <c r="F991" t="s">
        <v>11825</v>
      </c>
      <c r="G991" t="s">
        <v>19188</v>
      </c>
      <c r="I991" t="s">
        <v>18796</v>
      </c>
      <c r="K991" t="str">
        <f>HYPERLINK("http://tuberculist.epfl.ch/quicksearch.php?gene+name=Rv0961&amp;submit=Search")</f>
        <v>http://tuberculist.epfl.ch/quicksearch.php?gene+name=Rv0961&amp;submit=Search</v>
      </c>
    </row>
    <row r="992" spans="1:11">
      <c r="A992" t="s">
        <v>3494</v>
      </c>
      <c r="B992" t="s">
        <v>505</v>
      </c>
      <c r="C992" t="s">
        <v>9567</v>
      </c>
      <c r="D992" t="s">
        <v>9587</v>
      </c>
      <c r="E992" t="s">
        <v>11826</v>
      </c>
      <c r="F992" t="s">
        <v>11827</v>
      </c>
      <c r="G992" t="s">
        <v>19188</v>
      </c>
      <c r="I992" t="s">
        <v>18821</v>
      </c>
      <c r="K992" t="str">
        <f>HYPERLINK("http://tuberculist.epfl.ch/quicksearch.php?gene+name=Rv0962c&amp;submit=Search")</f>
        <v>http://tuberculist.epfl.ch/quicksearch.php?gene+name=Rv0962c&amp;submit=Search</v>
      </c>
    </row>
    <row r="993" spans="1:11">
      <c r="A993" t="s">
        <v>3211</v>
      </c>
      <c r="B993" t="s">
        <v>3211</v>
      </c>
      <c r="C993" t="s">
        <v>9567</v>
      </c>
      <c r="D993" t="s">
        <v>9578</v>
      </c>
      <c r="E993" t="s">
        <v>9579</v>
      </c>
      <c r="F993" t="s">
        <v>11828</v>
      </c>
      <c r="G993" t="s">
        <v>19210</v>
      </c>
      <c r="I993" t="s">
        <v>18804</v>
      </c>
      <c r="K993" t="str">
        <f>HYPERLINK("http://tuberculist.epfl.ch/quicksearch.php?gene+name=Rv0963c&amp;submit=Search")</f>
        <v>http://tuberculist.epfl.ch/quicksearch.php?gene+name=Rv0963c&amp;submit=Search</v>
      </c>
    </row>
    <row r="994" spans="1:11">
      <c r="A994" t="s">
        <v>11829</v>
      </c>
      <c r="B994" t="s">
        <v>11829</v>
      </c>
      <c r="C994" t="s">
        <v>9567</v>
      </c>
      <c r="D994" t="s">
        <v>9587</v>
      </c>
      <c r="E994" t="s">
        <v>9713</v>
      </c>
      <c r="F994" t="s">
        <v>11830</v>
      </c>
      <c r="G994" t="s">
        <v>19210</v>
      </c>
      <c r="I994" t="s">
        <v>18780</v>
      </c>
      <c r="K994" t="str">
        <f>HYPERLINK("http://tuberculist.epfl.ch/quicksearch.php?gene+name=Rv0964c&amp;submit=Search")</f>
        <v>http://tuberculist.epfl.ch/quicksearch.php?gene+name=Rv0964c&amp;submit=Search</v>
      </c>
    </row>
    <row r="995" spans="1:11">
      <c r="A995" t="s">
        <v>950</v>
      </c>
      <c r="B995" t="s">
        <v>950</v>
      </c>
      <c r="C995" t="s">
        <v>9567</v>
      </c>
      <c r="D995" t="s">
        <v>9578</v>
      </c>
      <c r="E995" t="s">
        <v>9579</v>
      </c>
      <c r="F995" t="s">
        <v>11831</v>
      </c>
      <c r="G995" t="s">
        <v>19212</v>
      </c>
      <c r="I995" t="s">
        <v>18780</v>
      </c>
      <c r="K995" t="str">
        <f>HYPERLINK("http://tuberculist.epfl.ch/quicksearch.php?gene+name=Rv0965c&amp;submit=Search")</f>
        <v>http://tuberculist.epfl.ch/quicksearch.php?gene+name=Rv0965c&amp;submit=Search</v>
      </c>
    </row>
    <row r="996" spans="1:11">
      <c r="A996" t="s">
        <v>1412</v>
      </c>
      <c r="B996" t="s">
        <v>1412</v>
      </c>
      <c r="C996" t="s">
        <v>9567</v>
      </c>
      <c r="D996" t="s">
        <v>9578</v>
      </c>
      <c r="E996" t="s">
        <v>9665</v>
      </c>
      <c r="F996" t="s">
        <v>11832</v>
      </c>
      <c r="G996" t="s">
        <v>19210</v>
      </c>
      <c r="H996" t="s">
        <v>19250</v>
      </c>
      <c r="I996" t="s">
        <v>18780</v>
      </c>
      <c r="K996" t="str">
        <f>HYPERLINK("http://tuberculist.epfl.ch/quicksearch.php?gene+name=Rv0966c&amp;submit=Search")</f>
        <v>http://tuberculist.epfl.ch/quicksearch.php?gene+name=Rv0966c&amp;submit=Search</v>
      </c>
    </row>
    <row r="997" spans="1:11">
      <c r="A997" t="s">
        <v>387</v>
      </c>
      <c r="B997" t="s">
        <v>106</v>
      </c>
      <c r="C997" t="s">
        <v>9567</v>
      </c>
      <c r="D997" t="s">
        <v>11833</v>
      </c>
      <c r="E997" t="s">
        <v>11834</v>
      </c>
      <c r="F997" t="s">
        <v>11835</v>
      </c>
      <c r="G997" t="s">
        <v>19197</v>
      </c>
      <c r="H997" t="s">
        <v>19566</v>
      </c>
      <c r="I997" t="s">
        <v>18773</v>
      </c>
      <c r="K997" t="str">
        <f>HYPERLINK("http://tuberculist.epfl.ch/quicksearch.php?gene+name=Rv0967&amp;submit=Search")</f>
        <v>http://tuberculist.epfl.ch/quicksearch.php?gene+name=Rv0967&amp;submit=Search</v>
      </c>
    </row>
    <row r="998" spans="1:11">
      <c r="A998" t="s">
        <v>109</v>
      </c>
      <c r="B998" t="s">
        <v>109</v>
      </c>
      <c r="C998" t="s">
        <v>9567</v>
      </c>
      <c r="D998" t="s">
        <v>9578</v>
      </c>
      <c r="E998" t="s">
        <v>9665</v>
      </c>
      <c r="F998" t="s">
        <v>11836</v>
      </c>
      <c r="G998" t="s">
        <v>19210</v>
      </c>
      <c r="H998" t="s">
        <v>19567</v>
      </c>
      <c r="I998" t="s">
        <v>18780</v>
      </c>
      <c r="K998" t="str">
        <f>HYPERLINK("http://tuberculist.epfl.ch/quicksearch.php?gene+name=Rv0968&amp;submit=Search")</f>
        <v>http://tuberculist.epfl.ch/quicksearch.php?gene+name=Rv0968&amp;submit=Search</v>
      </c>
    </row>
    <row r="999" spans="1:11">
      <c r="A999" t="s">
        <v>8406</v>
      </c>
      <c r="B999" t="s">
        <v>2952</v>
      </c>
      <c r="C999" t="s">
        <v>9567</v>
      </c>
      <c r="D999" t="s">
        <v>10550</v>
      </c>
      <c r="E999" t="s">
        <v>11837</v>
      </c>
      <c r="F999" t="s">
        <v>11838</v>
      </c>
      <c r="G999" t="s">
        <v>19188</v>
      </c>
      <c r="H999" t="s">
        <v>19568</v>
      </c>
      <c r="I999" t="s">
        <v>18780</v>
      </c>
      <c r="K999" t="str">
        <f>HYPERLINK("http://tuberculist.epfl.ch/quicksearch.php?gene+name=Rv0969&amp;submit=Search")</f>
        <v>http://tuberculist.epfl.ch/quicksearch.php?gene+name=Rv0969&amp;submit=Search</v>
      </c>
    </row>
    <row r="1000" spans="1:11">
      <c r="A1000" t="s">
        <v>801</v>
      </c>
      <c r="B1000" t="s">
        <v>801</v>
      </c>
      <c r="C1000" t="s">
        <v>9567</v>
      </c>
      <c r="D1000" t="s">
        <v>9587</v>
      </c>
      <c r="E1000" t="s">
        <v>9668</v>
      </c>
      <c r="F1000" t="s">
        <v>11839</v>
      </c>
      <c r="G1000" t="s">
        <v>19188</v>
      </c>
      <c r="I1000" t="s">
        <v>18780</v>
      </c>
      <c r="K1000" t="str">
        <f>HYPERLINK("http://tuberculist.epfl.ch/quicksearch.php?gene+name=Rv0970&amp;submit=Search")</f>
        <v>http://tuberculist.epfl.ch/quicksearch.php?gene+name=Rv0970&amp;submit=Search</v>
      </c>
    </row>
    <row r="1001" spans="1:11">
      <c r="A1001" t="s">
        <v>6372</v>
      </c>
      <c r="B1001" t="s">
        <v>1932</v>
      </c>
      <c r="C1001" t="s">
        <v>9567</v>
      </c>
      <c r="D1001" t="s">
        <v>10092</v>
      </c>
      <c r="E1001" t="s">
        <v>11840</v>
      </c>
      <c r="F1001" t="s">
        <v>11841</v>
      </c>
      <c r="G1001" t="s">
        <v>19219</v>
      </c>
      <c r="H1001" t="s">
        <v>19569</v>
      </c>
      <c r="I1001" t="s">
        <v>18780</v>
      </c>
      <c r="K1001" t="str">
        <f>HYPERLINK("http://tuberculist.epfl.ch/quicksearch.php?gene+name=Rv0971c&amp;submit=Search")</f>
        <v>http://tuberculist.epfl.ch/quicksearch.php?gene+name=Rv0971c&amp;submit=Search</v>
      </c>
    </row>
    <row r="1002" spans="1:11">
      <c r="A1002" t="s">
        <v>4033</v>
      </c>
      <c r="B1002" t="s">
        <v>774</v>
      </c>
      <c r="C1002" t="s">
        <v>9567</v>
      </c>
      <c r="D1002" t="s">
        <v>9662</v>
      </c>
      <c r="E1002" t="s">
        <v>11842</v>
      </c>
      <c r="F1002" t="s">
        <v>11843</v>
      </c>
      <c r="G1002" t="s">
        <v>19219</v>
      </c>
      <c r="H1002" t="s">
        <v>19570</v>
      </c>
      <c r="I1002" t="s">
        <v>18773</v>
      </c>
      <c r="K1002" t="str">
        <f>HYPERLINK("http://tuberculist.epfl.ch/quicksearch.php?gene+name=Rv0972c&amp;submit=Search")</f>
        <v>http://tuberculist.epfl.ch/quicksearch.php?gene+name=Rv0972c&amp;submit=Search</v>
      </c>
    </row>
    <row r="1003" spans="1:11">
      <c r="A1003" t="s">
        <v>7976</v>
      </c>
      <c r="B1003" t="s">
        <v>2747</v>
      </c>
      <c r="C1003" t="s">
        <v>9567</v>
      </c>
      <c r="D1003" t="s">
        <v>11844</v>
      </c>
      <c r="E1003" t="s">
        <v>11845</v>
      </c>
      <c r="F1003" t="s">
        <v>11846</v>
      </c>
      <c r="G1003" t="s">
        <v>19219</v>
      </c>
      <c r="H1003" t="s">
        <v>19207</v>
      </c>
      <c r="I1003" t="s">
        <v>18774</v>
      </c>
      <c r="K1003" t="str">
        <f>HYPERLINK("http://tuberculist.epfl.ch/quicksearch.php?gene+name=Rv0973c&amp;submit=Search")</f>
        <v>http://tuberculist.epfl.ch/quicksearch.php?gene+name=Rv0973c&amp;submit=Search</v>
      </c>
    </row>
    <row r="1004" spans="1:11">
      <c r="A1004" t="s">
        <v>5117</v>
      </c>
      <c r="B1004" t="s">
        <v>1310</v>
      </c>
      <c r="C1004" t="s">
        <v>9567</v>
      </c>
      <c r="D1004" t="s">
        <v>11847</v>
      </c>
      <c r="E1004" t="s">
        <v>11848</v>
      </c>
      <c r="F1004" t="s">
        <v>11849</v>
      </c>
      <c r="G1004" t="s">
        <v>19219</v>
      </c>
      <c r="H1004" t="s">
        <v>19265</v>
      </c>
      <c r="I1004" t="s">
        <v>18773</v>
      </c>
      <c r="J1004" t="s">
        <v>18809</v>
      </c>
      <c r="K1004" t="str">
        <f>HYPERLINK("http://tuberculist.epfl.ch/quicksearch.php?gene+name=Rv0974c&amp;submit=Search")</f>
        <v>http://tuberculist.epfl.ch/quicksearch.php?gene+name=Rv0974c&amp;submit=Search</v>
      </c>
    </row>
    <row r="1005" spans="1:11">
      <c r="A1005" t="s">
        <v>6020</v>
      </c>
      <c r="B1005" t="s">
        <v>1767</v>
      </c>
      <c r="C1005" t="s">
        <v>9567</v>
      </c>
      <c r="D1005" t="s">
        <v>9662</v>
      </c>
      <c r="E1005" t="s">
        <v>11850</v>
      </c>
      <c r="F1005" t="s">
        <v>11851</v>
      </c>
      <c r="G1005" t="s">
        <v>19219</v>
      </c>
      <c r="I1005" t="s">
        <v>18780</v>
      </c>
      <c r="K1005" t="str">
        <f>HYPERLINK("http://tuberculist.epfl.ch/quicksearch.php?gene+name=Rv0975c&amp;submit=Search")</f>
        <v>http://tuberculist.epfl.ch/quicksearch.php?gene+name=Rv0975c&amp;submit=Search</v>
      </c>
    </row>
    <row r="1006" spans="1:11">
      <c r="A1006" t="s">
        <v>2626</v>
      </c>
      <c r="B1006" t="s">
        <v>2626</v>
      </c>
      <c r="C1006" t="s">
        <v>9567</v>
      </c>
      <c r="D1006" t="s">
        <v>9578</v>
      </c>
      <c r="E1006" t="s">
        <v>9579</v>
      </c>
      <c r="F1006" t="s">
        <v>11852</v>
      </c>
      <c r="G1006" t="s">
        <v>19220</v>
      </c>
      <c r="I1006" t="s">
        <v>18780</v>
      </c>
      <c r="K1006" t="str">
        <f>HYPERLINK("http://tuberculist.epfl.ch/quicksearch.php?gene+name=Rv0976c&amp;submit=Search")</f>
        <v>http://tuberculist.epfl.ch/quicksearch.php?gene+name=Rv0976c&amp;submit=Search</v>
      </c>
    </row>
    <row r="1007" spans="1:11">
      <c r="A1007" t="s">
        <v>6023</v>
      </c>
      <c r="B1007" t="s">
        <v>1768</v>
      </c>
      <c r="C1007" t="s">
        <v>9567</v>
      </c>
      <c r="D1007" t="s">
        <v>9578</v>
      </c>
      <c r="E1007" t="s">
        <v>11853</v>
      </c>
      <c r="F1007" t="s">
        <v>11854</v>
      </c>
      <c r="G1007" t="s">
        <v>19262</v>
      </c>
      <c r="I1007" t="s">
        <v>18777</v>
      </c>
      <c r="K1007" t="str">
        <f>HYPERLINK("http://tuberculist.epfl.ch/quicksearch.php?gene+name=Rv0977&amp;submit=Search")</f>
        <v>http://tuberculist.epfl.ch/quicksearch.php?gene+name=Rv0977&amp;submit=Search</v>
      </c>
    </row>
    <row r="1008" spans="1:11">
      <c r="A1008" t="s">
        <v>11855</v>
      </c>
      <c r="B1008" t="s">
        <v>11856</v>
      </c>
      <c r="C1008" t="s">
        <v>9567</v>
      </c>
      <c r="D1008" t="s">
        <v>9578</v>
      </c>
      <c r="E1008" t="s">
        <v>11857</v>
      </c>
      <c r="F1008" t="s">
        <v>11858</v>
      </c>
      <c r="G1008" t="s">
        <v>19262</v>
      </c>
      <c r="H1008" t="s">
        <v>19254</v>
      </c>
      <c r="I1008" t="s">
        <v>18793</v>
      </c>
      <c r="K1008" t="str">
        <f>HYPERLINK("http://tuberculist.epfl.ch/quicksearch.php?gene+name=Rv0978c&amp;submit=Search")</f>
        <v>http://tuberculist.epfl.ch/quicksearch.php?gene+name=Rv0978c&amp;submit=Search</v>
      </c>
    </row>
    <row r="1009" spans="1:11">
      <c r="A1009" t="s">
        <v>11859</v>
      </c>
      <c r="B1009" t="s">
        <v>11860</v>
      </c>
      <c r="C1009" t="s">
        <v>9567</v>
      </c>
      <c r="D1009" t="s">
        <v>11861</v>
      </c>
      <c r="E1009" t="s">
        <v>11862</v>
      </c>
      <c r="F1009" t="s">
        <v>11863</v>
      </c>
      <c r="G1009" t="s">
        <v>19181</v>
      </c>
      <c r="H1009" t="s">
        <v>19502</v>
      </c>
      <c r="I1009" t="s">
        <v>18773</v>
      </c>
      <c r="K1009" t="str">
        <f>HYPERLINK("http://tuberculist.epfl.ch/quicksearch.php?gene+name=Rv0979A&amp;submit=Search")</f>
        <v>http://tuberculist.epfl.ch/quicksearch.php?gene+name=Rv0979A&amp;submit=Search</v>
      </c>
    </row>
    <row r="1010" spans="1:11">
      <c r="A1010" t="s">
        <v>11864</v>
      </c>
      <c r="B1010" t="s">
        <v>11864</v>
      </c>
      <c r="C1010" t="s">
        <v>9567</v>
      </c>
      <c r="D1010" t="s">
        <v>9587</v>
      </c>
      <c r="E1010" t="s">
        <v>9713</v>
      </c>
      <c r="F1010" t="s">
        <v>11865</v>
      </c>
      <c r="G1010" t="s">
        <v>19212</v>
      </c>
      <c r="I1010" t="s">
        <v>18779</v>
      </c>
      <c r="K1010" t="str">
        <f>HYPERLINK("http://tuberculist.epfl.ch/quicksearch.php?gene+name=Rv0979c&amp;submit=Search")</f>
        <v>http://tuberculist.epfl.ch/quicksearch.php?gene+name=Rv0979c&amp;submit=Search</v>
      </c>
    </row>
    <row r="1011" spans="1:11">
      <c r="A1011" t="s">
        <v>7522</v>
      </c>
      <c r="B1011" t="s">
        <v>2514</v>
      </c>
      <c r="C1011" t="s">
        <v>9567</v>
      </c>
      <c r="D1011" t="s">
        <v>9578</v>
      </c>
      <c r="E1011" t="s">
        <v>11866</v>
      </c>
      <c r="F1011" t="s">
        <v>11867</v>
      </c>
      <c r="G1011" t="s">
        <v>19262</v>
      </c>
      <c r="I1011" t="s">
        <v>18793</v>
      </c>
      <c r="K1011" t="str">
        <f>HYPERLINK("http://tuberculist.epfl.ch/quicksearch.php?gene+name=Rv0980c&amp;submit=Search")</f>
        <v>http://tuberculist.epfl.ch/quicksearch.php?gene+name=Rv0980c&amp;submit=Search</v>
      </c>
    </row>
    <row r="1012" spans="1:11">
      <c r="A1012" t="s">
        <v>6954</v>
      </c>
      <c r="B1012" t="s">
        <v>2240</v>
      </c>
      <c r="C1012" t="s">
        <v>9567</v>
      </c>
      <c r="D1012" t="s">
        <v>11868</v>
      </c>
      <c r="E1012" t="s">
        <v>11869</v>
      </c>
      <c r="F1012" t="s">
        <v>11870</v>
      </c>
      <c r="G1012" t="s">
        <v>19197</v>
      </c>
      <c r="H1012" t="s">
        <v>19196</v>
      </c>
      <c r="I1012" t="s">
        <v>18916</v>
      </c>
      <c r="K1012" t="str">
        <f>HYPERLINK("http://tuberculist.epfl.ch/quicksearch.php?gene+name=Rv0981&amp;submit=Search")</f>
        <v>http://tuberculist.epfl.ch/quicksearch.php?gene+name=Rv0981&amp;submit=Search</v>
      </c>
    </row>
    <row r="1013" spans="1:11">
      <c r="A1013" t="s">
        <v>6222</v>
      </c>
      <c r="B1013" t="s">
        <v>1867</v>
      </c>
      <c r="C1013" t="s">
        <v>9567</v>
      </c>
      <c r="D1013" t="s">
        <v>11871</v>
      </c>
      <c r="E1013" t="s">
        <v>11872</v>
      </c>
      <c r="F1013" t="s">
        <v>11873</v>
      </c>
      <c r="G1013" t="s">
        <v>19197</v>
      </c>
      <c r="H1013" t="s">
        <v>19571</v>
      </c>
      <c r="I1013" t="s">
        <v>18917</v>
      </c>
      <c r="K1013" t="str">
        <f>HYPERLINK("http://tuberculist.epfl.ch/quicksearch.php?gene+name=Rv0982&amp;submit=Search")</f>
        <v>http://tuberculist.epfl.ch/quicksearch.php?gene+name=Rv0982&amp;submit=Search</v>
      </c>
    </row>
    <row r="1014" spans="1:11">
      <c r="A1014" t="s">
        <v>11874</v>
      </c>
      <c r="B1014" t="s">
        <v>3070</v>
      </c>
      <c r="C1014" t="s">
        <v>9567</v>
      </c>
      <c r="D1014" t="s">
        <v>9875</v>
      </c>
      <c r="E1014" t="s">
        <v>11875</v>
      </c>
      <c r="F1014" t="s">
        <v>11876</v>
      </c>
      <c r="G1014" t="s">
        <v>19195</v>
      </c>
      <c r="H1014" t="s">
        <v>19572</v>
      </c>
      <c r="I1014" t="s">
        <v>18793</v>
      </c>
      <c r="K1014" t="str">
        <f>HYPERLINK("http://tuberculist.epfl.ch/quicksearch.php?gene+name=Rv0983&amp;submit=Search")</f>
        <v>http://tuberculist.epfl.ch/quicksearch.php?gene+name=Rv0983&amp;submit=Search</v>
      </c>
    </row>
    <row r="1015" spans="1:11">
      <c r="A1015" t="s">
        <v>7973</v>
      </c>
      <c r="B1015" t="s">
        <v>2746</v>
      </c>
      <c r="C1015" t="s">
        <v>9567</v>
      </c>
      <c r="D1015" t="s">
        <v>11877</v>
      </c>
      <c r="E1015" t="s">
        <v>11878</v>
      </c>
      <c r="F1015" t="s">
        <v>11879</v>
      </c>
      <c r="G1015" t="s">
        <v>19195</v>
      </c>
      <c r="H1015" t="s">
        <v>19573</v>
      </c>
      <c r="I1015" t="s">
        <v>18779</v>
      </c>
      <c r="K1015" t="str">
        <f>HYPERLINK("http://tuberculist.epfl.ch/quicksearch.php?gene+name=Rv0984&amp;submit=Search")</f>
        <v>http://tuberculist.epfl.ch/quicksearch.php?gene+name=Rv0984&amp;submit=Search</v>
      </c>
    </row>
    <row r="1016" spans="1:11">
      <c r="A1016" t="s">
        <v>7093</v>
      </c>
      <c r="B1016" t="s">
        <v>2307</v>
      </c>
      <c r="C1016" t="s">
        <v>9567</v>
      </c>
      <c r="D1016" t="s">
        <v>11880</v>
      </c>
      <c r="E1016" t="s">
        <v>11881</v>
      </c>
      <c r="F1016" t="s">
        <v>11882</v>
      </c>
      <c r="G1016" t="s">
        <v>19188</v>
      </c>
      <c r="H1016" t="s">
        <v>19244</v>
      </c>
      <c r="I1016" t="s">
        <v>18780</v>
      </c>
      <c r="K1016" t="str">
        <f>HYPERLINK("http://tuberculist.epfl.ch/quicksearch.php?gene+name=Rv0985c&amp;submit=Search")</f>
        <v>http://tuberculist.epfl.ch/quicksearch.php?gene+name=Rv0985c&amp;submit=Search</v>
      </c>
    </row>
    <row r="1017" spans="1:11">
      <c r="A1017" t="s">
        <v>78</v>
      </c>
      <c r="B1017" t="s">
        <v>78</v>
      </c>
      <c r="C1017" t="s">
        <v>9567</v>
      </c>
      <c r="D1017" t="s">
        <v>11883</v>
      </c>
      <c r="E1017" t="s">
        <v>11884</v>
      </c>
      <c r="F1017" t="s">
        <v>11885</v>
      </c>
      <c r="G1017" t="s">
        <v>19188</v>
      </c>
      <c r="I1017" t="s">
        <v>18918</v>
      </c>
      <c r="K1017" t="str">
        <f>HYPERLINK("http://tuberculist.epfl.ch/quicksearch.php?gene+name=Rv0986&amp;submit=Search")</f>
        <v>http://tuberculist.epfl.ch/quicksearch.php?gene+name=Rv0986&amp;submit=Search</v>
      </c>
    </row>
    <row r="1018" spans="1:11">
      <c r="A1018" t="s">
        <v>3271</v>
      </c>
      <c r="B1018" t="s">
        <v>3271</v>
      </c>
      <c r="C1018" t="s">
        <v>9567</v>
      </c>
      <c r="D1018" t="s">
        <v>11886</v>
      </c>
      <c r="E1018" t="s">
        <v>11887</v>
      </c>
      <c r="F1018" t="s">
        <v>11888</v>
      </c>
      <c r="G1018" t="s">
        <v>19188</v>
      </c>
      <c r="H1018" t="s">
        <v>19207</v>
      </c>
      <c r="I1018" t="s">
        <v>18845</v>
      </c>
      <c r="K1018" t="str">
        <f>HYPERLINK("http://tuberculist.epfl.ch/quicksearch.php?gene+name=Rv0987&amp;submit=Search")</f>
        <v>http://tuberculist.epfl.ch/quicksearch.php?gene+name=Rv0987&amp;submit=Search</v>
      </c>
    </row>
    <row r="1019" spans="1:11">
      <c r="A1019" t="s">
        <v>3397</v>
      </c>
      <c r="B1019" t="s">
        <v>3397</v>
      </c>
      <c r="C1019" t="s">
        <v>9567</v>
      </c>
      <c r="D1019" t="s">
        <v>9587</v>
      </c>
      <c r="E1019" t="s">
        <v>10288</v>
      </c>
      <c r="F1019" t="s">
        <v>11889</v>
      </c>
      <c r="G1019" t="s">
        <v>19188</v>
      </c>
      <c r="H1019" t="s">
        <v>19574</v>
      </c>
      <c r="I1019" t="s">
        <v>18788</v>
      </c>
      <c r="K1019" t="str">
        <f>HYPERLINK("http://tuberculist.epfl.ch/quicksearch.php?gene+name=Rv0988&amp;submit=Search")</f>
        <v>http://tuberculist.epfl.ch/quicksearch.php?gene+name=Rv0988&amp;submit=Search</v>
      </c>
    </row>
    <row r="1020" spans="1:11">
      <c r="A1020" t="s">
        <v>6339</v>
      </c>
      <c r="B1020" t="s">
        <v>1917</v>
      </c>
      <c r="C1020" t="s">
        <v>9567</v>
      </c>
      <c r="D1020" t="s">
        <v>11890</v>
      </c>
      <c r="E1020" t="s">
        <v>11891</v>
      </c>
      <c r="F1020" t="s">
        <v>11892</v>
      </c>
      <c r="G1020" t="s">
        <v>19195</v>
      </c>
      <c r="H1020" t="s">
        <v>19214</v>
      </c>
      <c r="I1020" t="s">
        <v>18780</v>
      </c>
      <c r="K1020" t="str">
        <f>HYPERLINK("http://tuberculist.epfl.ch/quicksearch.php?gene+name=Rv0989c&amp;submit=Search")</f>
        <v>http://tuberculist.epfl.ch/quicksearch.php?gene+name=Rv0989c&amp;submit=Search</v>
      </c>
    </row>
    <row r="1021" spans="1:11">
      <c r="A1021" t="s">
        <v>3193</v>
      </c>
      <c r="B1021" t="s">
        <v>3193</v>
      </c>
      <c r="C1021" t="s">
        <v>9567</v>
      </c>
      <c r="D1021" t="s">
        <v>9587</v>
      </c>
      <c r="E1021" t="s">
        <v>9713</v>
      </c>
      <c r="F1021" t="s">
        <v>11893</v>
      </c>
      <c r="G1021" t="s">
        <v>19204</v>
      </c>
      <c r="I1021" t="s">
        <v>18789</v>
      </c>
      <c r="K1021" t="str">
        <f>HYPERLINK("http://tuberculist.epfl.ch/quicksearch.php?gene+name=Rv0990c&amp;submit=Search")</f>
        <v>http://tuberculist.epfl.ch/quicksearch.php?gene+name=Rv0990c&amp;submit=Search</v>
      </c>
    </row>
    <row r="1022" spans="1:11">
      <c r="A1022" t="s">
        <v>2850</v>
      </c>
      <c r="B1022" t="s">
        <v>2850</v>
      </c>
      <c r="C1022" t="s">
        <v>9567</v>
      </c>
      <c r="D1022" t="s">
        <v>9578</v>
      </c>
      <c r="E1022" t="s">
        <v>11894</v>
      </c>
      <c r="F1022" t="s">
        <v>11895</v>
      </c>
      <c r="G1022" t="s">
        <v>19212</v>
      </c>
      <c r="H1022" t="s">
        <v>19233</v>
      </c>
      <c r="I1022" t="s">
        <v>18780</v>
      </c>
      <c r="K1022" t="str">
        <f>HYPERLINK("http://tuberculist.epfl.ch/quicksearch.php?gene+name=Rv0991c&amp;submit=Search")</f>
        <v>http://tuberculist.epfl.ch/quicksearch.php?gene+name=Rv0991c&amp;submit=Search</v>
      </c>
    </row>
    <row r="1023" spans="1:11">
      <c r="A1023" t="s">
        <v>2211</v>
      </c>
      <c r="B1023" t="s">
        <v>2211</v>
      </c>
      <c r="C1023" t="s">
        <v>9567</v>
      </c>
      <c r="D1023" t="s">
        <v>9578</v>
      </c>
      <c r="E1023" t="s">
        <v>9579</v>
      </c>
      <c r="F1023" t="s">
        <v>11896</v>
      </c>
      <c r="G1023" t="s">
        <v>19212</v>
      </c>
      <c r="H1023" t="s">
        <v>19213</v>
      </c>
      <c r="I1023" t="s">
        <v>18780</v>
      </c>
      <c r="K1023" t="str">
        <f>HYPERLINK("http://tuberculist.epfl.ch/quicksearch.php?gene+name=Rv0992c&amp;submit=Search")</f>
        <v>http://tuberculist.epfl.ch/quicksearch.php?gene+name=Rv0992c&amp;submit=Search</v>
      </c>
    </row>
    <row r="1024" spans="1:11">
      <c r="A1024" t="s">
        <v>6025</v>
      </c>
      <c r="B1024" t="s">
        <v>1769</v>
      </c>
      <c r="C1024" t="s">
        <v>9567</v>
      </c>
      <c r="D1024" t="s">
        <v>11897</v>
      </c>
      <c r="E1024" t="s">
        <v>11898</v>
      </c>
      <c r="F1024" t="s">
        <v>11899</v>
      </c>
      <c r="G1024" t="s">
        <v>19195</v>
      </c>
      <c r="H1024" t="s">
        <v>19575</v>
      </c>
      <c r="I1024" t="s">
        <v>18774</v>
      </c>
      <c r="K1024" t="str">
        <f>HYPERLINK("http://tuberculist.epfl.ch/quicksearch.php?gene+name=Rv0993&amp;submit=Search")</f>
        <v>http://tuberculist.epfl.ch/quicksearch.php?gene+name=Rv0993&amp;submit=Search</v>
      </c>
    </row>
    <row r="1025" spans="1:11">
      <c r="A1025" t="s">
        <v>8540</v>
      </c>
      <c r="B1025" t="s">
        <v>3015</v>
      </c>
      <c r="C1025" t="s">
        <v>9567</v>
      </c>
      <c r="D1025" t="s">
        <v>10579</v>
      </c>
      <c r="E1025" t="s">
        <v>11900</v>
      </c>
      <c r="F1025" t="s">
        <v>11901</v>
      </c>
      <c r="G1025" t="s">
        <v>19195</v>
      </c>
      <c r="H1025" t="s">
        <v>19576</v>
      </c>
      <c r="I1025" t="s">
        <v>18786</v>
      </c>
      <c r="K1025" t="str">
        <f>HYPERLINK("http://tuberculist.epfl.ch/quicksearch.php?gene+name=Rv0994&amp;submit=Search")</f>
        <v>http://tuberculist.epfl.ch/quicksearch.php?gene+name=Rv0994&amp;submit=Search</v>
      </c>
    </row>
    <row r="1026" spans="1:11">
      <c r="A1026" t="s">
        <v>7391</v>
      </c>
      <c r="B1026" t="s">
        <v>2455</v>
      </c>
      <c r="C1026" t="s">
        <v>9567</v>
      </c>
      <c r="D1026" t="s">
        <v>11902</v>
      </c>
      <c r="E1026" t="s">
        <v>11903</v>
      </c>
      <c r="F1026" t="s">
        <v>11904</v>
      </c>
      <c r="G1026" t="s">
        <v>19181</v>
      </c>
      <c r="I1026" t="s">
        <v>18786</v>
      </c>
      <c r="K1026" t="str">
        <f>HYPERLINK("http://tuberculist.epfl.ch/quicksearch.php?gene+name=Rv0995&amp;submit=Search")</f>
        <v>http://tuberculist.epfl.ch/quicksearch.php?gene+name=Rv0995&amp;submit=Search</v>
      </c>
    </row>
    <row r="1027" spans="1:11">
      <c r="A1027" t="s">
        <v>550</v>
      </c>
      <c r="B1027" t="s">
        <v>550</v>
      </c>
      <c r="C1027" t="s">
        <v>9567</v>
      </c>
      <c r="D1027" t="s">
        <v>9587</v>
      </c>
      <c r="E1027" t="s">
        <v>9597</v>
      </c>
      <c r="F1027" t="s">
        <v>11905</v>
      </c>
      <c r="G1027" t="s">
        <v>19188</v>
      </c>
      <c r="H1027" t="s">
        <v>19320</v>
      </c>
      <c r="I1027" t="s">
        <v>18789</v>
      </c>
      <c r="K1027" t="str">
        <f>HYPERLINK("http://tuberculist.epfl.ch/quicksearch.php?gene+name=Rv0996&amp;submit=Search")</f>
        <v>http://tuberculist.epfl.ch/quicksearch.php?gene+name=Rv0996&amp;submit=Search</v>
      </c>
    </row>
    <row r="1028" spans="1:11">
      <c r="A1028" t="s">
        <v>506</v>
      </c>
      <c r="B1028" t="s">
        <v>506</v>
      </c>
      <c r="C1028" t="s">
        <v>9567</v>
      </c>
      <c r="D1028" t="s">
        <v>9587</v>
      </c>
      <c r="E1028" t="s">
        <v>9713</v>
      </c>
      <c r="F1028" t="s">
        <v>11906</v>
      </c>
      <c r="G1028" t="s">
        <v>19212</v>
      </c>
      <c r="I1028" t="s">
        <v>18780</v>
      </c>
      <c r="K1028" t="str">
        <f>HYPERLINK("http://tuberculist.epfl.ch/quicksearch.php?gene+name=Rv0997&amp;submit=Search")</f>
        <v>http://tuberculist.epfl.ch/quicksearch.php?gene+name=Rv0997&amp;submit=Search</v>
      </c>
    </row>
    <row r="1029" spans="1:11">
      <c r="A1029" t="s">
        <v>2157</v>
      </c>
      <c r="B1029" t="s">
        <v>2157</v>
      </c>
      <c r="C1029" t="s">
        <v>9567</v>
      </c>
      <c r="D1029" t="s">
        <v>9587</v>
      </c>
      <c r="E1029" t="s">
        <v>9579</v>
      </c>
      <c r="F1029" t="s">
        <v>11907</v>
      </c>
      <c r="G1029" t="s">
        <v>19212</v>
      </c>
      <c r="I1029" t="s">
        <v>18780</v>
      </c>
      <c r="K1029" t="str">
        <f>HYPERLINK("http://tuberculist.epfl.ch/quicksearch.php?gene+name=Rv0998&amp;submit=Search")</f>
        <v>http://tuberculist.epfl.ch/quicksearch.php?gene+name=Rv0998&amp;submit=Search</v>
      </c>
    </row>
    <row r="1030" spans="1:11">
      <c r="A1030" t="s">
        <v>1233</v>
      </c>
      <c r="B1030" t="s">
        <v>1233</v>
      </c>
      <c r="C1030" t="s">
        <v>9567</v>
      </c>
      <c r="D1030" t="s">
        <v>9587</v>
      </c>
      <c r="E1030" t="s">
        <v>9768</v>
      </c>
      <c r="F1030" t="s">
        <v>11908</v>
      </c>
      <c r="G1030" t="s">
        <v>19204</v>
      </c>
      <c r="H1030" t="s">
        <v>19577</v>
      </c>
      <c r="I1030" t="s">
        <v>18780</v>
      </c>
      <c r="K1030" t="str">
        <f>HYPERLINK("http://tuberculist.epfl.ch/quicksearch.php?gene+name=Rv0999&amp;submit=Search")</f>
        <v>http://tuberculist.epfl.ch/quicksearch.php?gene+name=Rv0999&amp;submit=Search</v>
      </c>
    </row>
    <row r="1031" spans="1:11">
      <c r="A1031" t="s">
        <v>2816</v>
      </c>
      <c r="B1031" t="s">
        <v>2816</v>
      </c>
      <c r="C1031" t="s">
        <v>9567</v>
      </c>
      <c r="D1031" t="s">
        <v>9578</v>
      </c>
      <c r="E1031" t="s">
        <v>9579</v>
      </c>
      <c r="F1031" t="s">
        <v>11909</v>
      </c>
      <c r="G1031" t="s">
        <v>19204</v>
      </c>
      <c r="I1031" t="s">
        <v>18780</v>
      </c>
      <c r="J1031" t="s">
        <v>18855</v>
      </c>
      <c r="K1031" t="str">
        <f>HYPERLINK("http://tuberculist.epfl.ch/quicksearch.php?gene+name=Rv1000c&amp;submit=Search")</f>
        <v>http://tuberculist.epfl.ch/quicksearch.php?gene+name=Rv1000c&amp;submit=Search</v>
      </c>
    </row>
    <row r="1032" spans="1:11">
      <c r="A1032" t="s">
        <v>6967</v>
      </c>
      <c r="B1032" t="s">
        <v>2245</v>
      </c>
      <c r="C1032" t="s">
        <v>9567</v>
      </c>
      <c r="D1032" t="s">
        <v>11910</v>
      </c>
      <c r="E1032" t="s">
        <v>11911</v>
      </c>
      <c r="F1032" t="s">
        <v>11912</v>
      </c>
      <c r="G1032" t="s">
        <v>19195</v>
      </c>
      <c r="H1032" t="s">
        <v>19269</v>
      </c>
      <c r="I1032" t="s">
        <v>18789</v>
      </c>
      <c r="K1032" t="str">
        <f>HYPERLINK("http://tuberculist.epfl.ch/quicksearch.php?gene+name=Rv1001&amp;submit=Search")</f>
        <v>http://tuberculist.epfl.ch/quicksearch.php?gene+name=Rv1001&amp;submit=Search</v>
      </c>
    </row>
    <row r="1033" spans="1:11">
      <c r="A1033" t="s">
        <v>1816</v>
      </c>
      <c r="B1033" t="s">
        <v>1816</v>
      </c>
      <c r="C1033" t="s">
        <v>9567</v>
      </c>
      <c r="D1033" t="s">
        <v>9587</v>
      </c>
      <c r="E1033" t="s">
        <v>11913</v>
      </c>
      <c r="F1033" t="s">
        <v>11914</v>
      </c>
      <c r="G1033" t="s">
        <v>19188</v>
      </c>
      <c r="H1033" t="s">
        <v>19192</v>
      </c>
      <c r="I1033" t="s">
        <v>18774</v>
      </c>
      <c r="K1033" t="str">
        <f>HYPERLINK("http://tuberculist.epfl.ch/quicksearch.php?gene+name=Rv1002c&amp;submit=Search")</f>
        <v>http://tuberculist.epfl.ch/quicksearch.php?gene+name=Rv1002c&amp;submit=Search</v>
      </c>
    </row>
    <row r="1034" spans="1:11">
      <c r="A1034" t="s">
        <v>1449</v>
      </c>
      <c r="B1034" t="s">
        <v>1449</v>
      </c>
      <c r="C1034" t="s">
        <v>9567</v>
      </c>
      <c r="D1034" t="s">
        <v>9578</v>
      </c>
      <c r="E1034" t="s">
        <v>9665</v>
      </c>
      <c r="F1034" t="s">
        <v>11915</v>
      </c>
      <c r="G1034" t="s">
        <v>19204</v>
      </c>
      <c r="H1034" t="s">
        <v>19250</v>
      </c>
      <c r="I1034" t="s">
        <v>18780</v>
      </c>
      <c r="K1034" t="str">
        <f>HYPERLINK("http://tuberculist.epfl.ch/quicksearch.php?gene+name=Rv1003&amp;submit=Search")</f>
        <v>http://tuberculist.epfl.ch/quicksearch.php?gene+name=Rv1003&amp;submit=Search</v>
      </c>
    </row>
    <row r="1035" spans="1:11">
      <c r="A1035" t="s">
        <v>582</v>
      </c>
      <c r="B1035" t="s">
        <v>582</v>
      </c>
      <c r="C1035" t="s">
        <v>9567</v>
      </c>
      <c r="D1035" t="s">
        <v>9587</v>
      </c>
      <c r="E1035" t="s">
        <v>9758</v>
      </c>
      <c r="F1035" t="s">
        <v>11916</v>
      </c>
      <c r="G1035" t="s">
        <v>19188</v>
      </c>
      <c r="H1035" t="s">
        <v>19192</v>
      </c>
      <c r="I1035" t="s">
        <v>18780</v>
      </c>
      <c r="K1035" t="str">
        <f>HYPERLINK("http://tuberculist.epfl.ch/quicksearch.php?gene+name=Rv1004c&amp;submit=Search")</f>
        <v>http://tuberculist.epfl.ch/quicksearch.php?gene+name=Rv1004c&amp;submit=Search</v>
      </c>
    </row>
    <row r="1036" spans="1:11">
      <c r="A1036" t="s">
        <v>4090</v>
      </c>
      <c r="B1036" t="s">
        <v>802</v>
      </c>
      <c r="C1036" t="s">
        <v>9567</v>
      </c>
      <c r="D1036" t="s">
        <v>11917</v>
      </c>
      <c r="E1036" t="s">
        <v>11918</v>
      </c>
      <c r="F1036" t="s">
        <v>11919</v>
      </c>
      <c r="G1036" t="s">
        <v>19195</v>
      </c>
      <c r="H1036" t="s">
        <v>19207</v>
      </c>
      <c r="I1036" t="s">
        <v>18774</v>
      </c>
      <c r="K1036" t="str">
        <f>HYPERLINK("http://tuberculist.epfl.ch/quicksearch.php?gene+name=Rv1005c&amp;submit=Search")</f>
        <v>http://tuberculist.epfl.ch/quicksearch.php?gene+name=Rv1005c&amp;submit=Search</v>
      </c>
    </row>
    <row r="1037" spans="1:11">
      <c r="A1037" t="s">
        <v>3004</v>
      </c>
      <c r="B1037" t="s">
        <v>3004</v>
      </c>
      <c r="C1037" t="s">
        <v>9567</v>
      </c>
      <c r="D1037" t="s">
        <v>9587</v>
      </c>
      <c r="E1037" t="s">
        <v>9768</v>
      </c>
      <c r="F1037" t="s">
        <v>11920</v>
      </c>
      <c r="G1037" t="s">
        <v>19204</v>
      </c>
      <c r="H1037" t="s">
        <v>19578</v>
      </c>
      <c r="I1037" t="s">
        <v>18789</v>
      </c>
      <c r="K1037" t="str">
        <f>HYPERLINK("http://tuberculist.epfl.ch/quicksearch.php?gene+name=Rv1006&amp;submit=Search")</f>
        <v>http://tuberculist.epfl.ch/quicksearch.php?gene+name=Rv1006&amp;submit=Search</v>
      </c>
    </row>
    <row r="1038" spans="1:11">
      <c r="A1038" t="s">
        <v>8785</v>
      </c>
      <c r="B1038" t="s">
        <v>3132</v>
      </c>
      <c r="C1038" t="s">
        <v>9567</v>
      </c>
      <c r="D1038" t="s">
        <v>11921</v>
      </c>
      <c r="E1038" t="s">
        <v>11922</v>
      </c>
      <c r="F1038" t="s">
        <v>11923</v>
      </c>
      <c r="G1038" t="s">
        <v>19181</v>
      </c>
      <c r="H1038" t="s">
        <v>19579</v>
      </c>
      <c r="I1038" t="s">
        <v>18774</v>
      </c>
      <c r="K1038" t="str">
        <f>HYPERLINK("http://tuberculist.epfl.ch/quicksearch.php?gene+name=Rv1007c&amp;submit=Search")</f>
        <v>http://tuberculist.epfl.ch/quicksearch.php?gene+name=Rv1007c&amp;submit=Search</v>
      </c>
    </row>
    <row r="1039" spans="1:11">
      <c r="A1039" t="s">
        <v>6361</v>
      </c>
      <c r="B1039" t="s">
        <v>1926</v>
      </c>
      <c r="C1039" t="s">
        <v>9567</v>
      </c>
      <c r="D1039" t="s">
        <v>11924</v>
      </c>
      <c r="E1039" t="s">
        <v>11925</v>
      </c>
      <c r="F1039" t="s">
        <v>11926</v>
      </c>
      <c r="G1039" t="s">
        <v>19188</v>
      </c>
      <c r="H1039" t="s">
        <v>19252</v>
      </c>
      <c r="I1039" t="s">
        <v>18919</v>
      </c>
      <c r="K1039" t="str">
        <f>HYPERLINK("http://tuberculist.epfl.ch/quicksearch.php?gene+name=Rv1008&amp;submit=Search")</f>
        <v>http://tuberculist.epfl.ch/quicksearch.php?gene+name=Rv1008&amp;submit=Search</v>
      </c>
    </row>
    <row r="1040" spans="1:11">
      <c r="A1040" t="s">
        <v>7469</v>
      </c>
      <c r="B1040" t="s">
        <v>2494</v>
      </c>
      <c r="C1040" t="s">
        <v>9567</v>
      </c>
      <c r="D1040" t="s">
        <v>11927</v>
      </c>
      <c r="E1040" t="s">
        <v>11928</v>
      </c>
      <c r="F1040" t="s">
        <v>11929</v>
      </c>
      <c r="G1040" t="s">
        <v>19188</v>
      </c>
      <c r="H1040" t="s">
        <v>19211</v>
      </c>
      <c r="I1040" t="s">
        <v>18920</v>
      </c>
      <c r="K1040" t="str">
        <f>HYPERLINK("http://tuberculist.epfl.ch/quicksearch.php?gene+name=Rv1009&amp;submit=Search")</f>
        <v>http://tuberculist.epfl.ch/quicksearch.php?gene+name=Rv1009&amp;submit=Search</v>
      </c>
    </row>
    <row r="1041" spans="1:11">
      <c r="A1041" t="s">
        <v>7600</v>
      </c>
      <c r="B1041" t="s">
        <v>2551</v>
      </c>
      <c r="C1041" t="s">
        <v>9567</v>
      </c>
      <c r="D1041" t="s">
        <v>11930</v>
      </c>
      <c r="E1041" t="s">
        <v>11931</v>
      </c>
      <c r="F1041" t="s">
        <v>11932</v>
      </c>
      <c r="G1041" t="s">
        <v>19181</v>
      </c>
      <c r="I1041" t="s">
        <v>18773</v>
      </c>
      <c r="K1041" t="str">
        <f>HYPERLINK("http://tuberculist.epfl.ch/quicksearch.php?gene+name=Rv1010&amp;submit=Search")</f>
        <v>http://tuberculist.epfl.ch/quicksearch.php?gene+name=Rv1010&amp;submit=Search</v>
      </c>
    </row>
    <row r="1042" spans="1:11">
      <c r="A1042" t="s">
        <v>5619</v>
      </c>
      <c r="B1042" t="s">
        <v>1572</v>
      </c>
      <c r="C1042" t="s">
        <v>9567</v>
      </c>
      <c r="D1042" t="s">
        <v>11933</v>
      </c>
      <c r="E1042" t="s">
        <v>11934</v>
      </c>
      <c r="F1042" t="s">
        <v>11935</v>
      </c>
      <c r="G1042" t="s">
        <v>19195</v>
      </c>
      <c r="H1042" t="s">
        <v>19213</v>
      </c>
      <c r="I1042" t="s">
        <v>18774</v>
      </c>
      <c r="K1042" t="str">
        <f>HYPERLINK("http://tuberculist.epfl.ch/quicksearch.php?gene+name=Rv1011&amp;submit=Search")</f>
        <v>http://tuberculist.epfl.ch/quicksearch.php?gene+name=Rv1011&amp;submit=Search</v>
      </c>
    </row>
    <row r="1043" spans="1:11">
      <c r="A1043" t="s">
        <v>11936</v>
      </c>
      <c r="B1043" t="s">
        <v>11936</v>
      </c>
      <c r="C1043" t="s">
        <v>9567</v>
      </c>
      <c r="D1043" t="s">
        <v>9587</v>
      </c>
      <c r="E1043" t="s">
        <v>9713</v>
      </c>
      <c r="F1043" t="s">
        <v>11937</v>
      </c>
      <c r="G1043" t="s">
        <v>19212</v>
      </c>
      <c r="I1043" t="s">
        <v>18780</v>
      </c>
      <c r="K1043" t="str">
        <f>HYPERLINK("http://tuberculist.epfl.ch/quicksearch.php?gene+name=Rv1012&amp;submit=Search")</f>
        <v>http://tuberculist.epfl.ch/quicksearch.php?gene+name=Rv1012&amp;submit=Search</v>
      </c>
    </row>
    <row r="1044" spans="1:11">
      <c r="A1044" t="s">
        <v>6837</v>
      </c>
      <c r="B1044" t="s">
        <v>2180</v>
      </c>
      <c r="C1044" t="s">
        <v>9567</v>
      </c>
      <c r="D1044" t="s">
        <v>11938</v>
      </c>
      <c r="E1044" t="s">
        <v>11939</v>
      </c>
      <c r="F1044" t="s">
        <v>11940</v>
      </c>
      <c r="G1044" t="s">
        <v>19219</v>
      </c>
      <c r="H1044" t="s">
        <v>19580</v>
      </c>
      <c r="I1044" t="s">
        <v>18835</v>
      </c>
      <c r="K1044" t="str">
        <f>HYPERLINK("http://tuberculist.epfl.ch/quicksearch.php?gene+name=Rv1013&amp;submit=Search")</f>
        <v>http://tuberculist.epfl.ch/quicksearch.php?gene+name=Rv1013&amp;submit=Search</v>
      </c>
    </row>
    <row r="1045" spans="1:11">
      <c r="A1045" t="s">
        <v>6557</v>
      </c>
      <c r="B1045" t="s">
        <v>2029</v>
      </c>
      <c r="C1045" t="s">
        <v>9567</v>
      </c>
      <c r="D1045" t="s">
        <v>11941</v>
      </c>
      <c r="E1045" t="s">
        <v>11942</v>
      </c>
      <c r="F1045" t="s">
        <v>11943</v>
      </c>
      <c r="G1045" t="s">
        <v>19195</v>
      </c>
      <c r="H1045" t="s">
        <v>19581</v>
      </c>
      <c r="I1045" t="s">
        <v>18774</v>
      </c>
      <c r="K1045" t="str">
        <f>HYPERLINK("http://tuberculist.epfl.ch/quicksearch.php?gene+name=Rv1014c&amp;submit=Search")</f>
        <v>http://tuberculist.epfl.ch/quicksearch.php?gene+name=Rv1014c&amp;submit=Search</v>
      </c>
    </row>
    <row r="1046" spans="1:11">
      <c r="A1046" t="s">
        <v>9021</v>
      </c>
      <c r="B1046" t="s">
        <v>3240</v>
      </c>
      <c r="C1046" t="s">
        <v>9567</v>
      </c>
      <c r="D1046" t="s">
        <v>11944</v>
      </c>
      <c r="E1046" t="s">
        <v>11945</v>
      </c>
      <c r="F1046" t="s">
        <v>11946</v>
      </c>
      <c r="G1046" t="s">
        <v>19181</v>
      </c>
      <c r="H1046" t="s">
        <v>19326</v>
      </c>
      <c r="I1046" t="s">
        <v>18845</v>
      </c>
      <c r="K1046" t="str">
        <f>HYPERLINK("http://tuberculist.epfl.ch/quicksearch.php?gene+name=Rv1015c&amp;submit=Search")</f>
        <v>http://tuberculist.epfl.ch/quicksearch.php?gene+name=Rv1015c&amp;submit=Search</v>
      </c>
    </row>
    <row r="1047" spans="1:11">
      <c r="A1047" t="s">
        <v>4895</v>
      </c>
      <c r="B1047" t="s">
        <v>1204</v>
      </c>
      <c r="C1047" t="s">
        <v>9567</v>
      </c>
      <c r="D1047" t="s">
        <v>9587</v>
      </c>
      <c r="E1047" t="s">
        <v>11947</v>
      </c>
      <c r="F1047" t="s">
        <v>11948</v>
      </c>
      <c r="G1047" t="s">
        <v>19188</v>
      </c>
      <c r="H1047" t="s">
        <v>19582</v>
      </c>
      <c r="I1047" t="s">
        <v>18827</v>
      </c>
      <c r="K1047" t="str">
        <f>HYPERLINK("http://tuberculist.epfl.ch/quicksearch.php?gene+name=Rv1016c&amp;submit=Search")</f>
        <v>http://tuberculist.epfl.ch/quicksearch.php?gene+name=Rv1016c&amp;submit=Search</v>
      </c>
    </row>
    <row r="1048" spans="1:11">
      <c r="A1048" t="s">
        <v>8790</v>
      </c>
      <c r="B1048" t="s">
        <v>3134</v>
      </c>
      <c r="C1048" t="s">
        <v>9567</v>
      </c>
      <c r="D1048" t="s">
        <v>11949</v>
      </c>
      <c r="E1048" t="s">
        <v>11950</v>
      </c>
      <c r="F1048" t="s">
        <v>11951</v>
      </c>
      <c r="G1048" t="s">
        <v>19195</v>
      </c>
      <c r="H1048" t="s">
        <v>19583</v>
      </c>
      <c r="I1048" t="s">
        <v>18774</v>
      </c>
      <c r="K1048" t="str">
        <f>HYPERLINK("http://tuberculist.epfl.ch/quicksearch.php?gene+name=Rv1017c&amp;submit=Search")</f>
        <v>http://tuberculist.epfl.ch/quicksearch.php?gene+name=Rv1017c&amp;submit=Search</v>
      </c>
    </row>
    <row r="1049" spans="1:11">
      <c r="A1049" t="s">
        <v>5799</v>
      </c>
      <c r="B1049" t="s">
        <v>1655</v>
      </c>
      <c r="C1049" t="s">
        <v>9567</v>
      </c>
      <c r="D1049" t="s">
        <v>11952</v>
      </c>
      <c r="E1049" t="s">
        <v>11953</v>
      </c>
      <c r="F1049" t="s">
        <v>11954</v>
      </c>
      <c r="G1049" t="s">
        <v>19188</v>
      </c>
      <c r="H1049" t="s">
        <v>19584</v>
      </c>
      <c r="I1049" t="s">
        <v>18774</v>
      </c>
      <c r="K1049" t="str">
        <f>HYPERLINK("http://tuberculist.epfl.ch/quicksearch.php?gene+name=Rv1018c&amp;submit=Search")</f>
        <v>http://tuberculist.epfl.ch/quicksearch.php?gene+name=Rv1018c&amp;submit=Search</v>
      </c>
    </row>
    <row r="1050" spans="1:11">
      <c r="A1050" t="s">
        <v>2432</v>
      </c>
      <c r="B1050" t="s">
        <v>2432</v>
      </c>
      <c r="C1050" t="s">
        <v>9567</v>
      </c>
      <c r="D1050" t="s">
        <v>9629</v>
      </c>
      <c r="E1050" t="s">
        <v>11955</v>
      </c>
      <c r="F1050" t="s">
        <v>11956</v>
      </c>
      <c r="G1050" t="s">
        <v>19197</v>
      </c>
      <c r="H1050" t="s">
        <v>19233</v>
      </c>
      <c r="I1050" t="s">
        <v>18780</v>
      </c>
      <c r="K1050" t="str">
        <f>HYPERLINK("http://tuberculist.epfl.ch/quicksearch.php?gene+name=Rv1019&amp;submit=Search")</f>
        <v>http://tuberculist.epfl.ch/quicksearch.php?gene+name=Rv1019&amp;submit=Search</v>
      </c>
    </row>
    <row r="1051" spans="1:11">
      <c r="A1051" t="s">
        <v>7842</v>
      </c>
      <c r="B1051" t="s">
        <v>2679</v>
      </c>
      <c r="C1051" t="s">
        <v>9567</v>
      </c>
      <c r="D1051" t="s">
        <v>11957</v>
      </c>
      <c r="E1051" t="s">
        <v>11958</v>
      </c>
      <c r="F1051" t="s">
        <v>11959</v>
      </c>
      <c r="G1051" t="s">
        <v>19181</v>
      </c>
      <c r="H1051" t="s">
        <v>19369</v>
      </c>
      <c r="I1051" t="s">
        <v>18789</v>
      </c>
      <c r="K1051" t="str">
        <f>HYPERLINK("http://tuberculist.epfl.ch/quicksearch.php?gene+name=Rv1020&amp;submit=Search")</f>
        <v>http://tuberculist.epfl.ch/quicksearch.php?gene+name=Rv1020&amp;submit=Search</v>
      </c>
    </row>
    <row r="1052" spans="1:11">
      <c r="A1052" t="s">
        <v>1683</v>
      </c>
      <c r="B1052" t="s">
        <v>1683</v>
      </c>
      <c r="C1052" t="s">
        <v>9567</v>
      </c>
      <c r="D1052" t="s">
        <v>9578</v>
      </c>
      <c r="E1052" t="s">
        <v>9665</v>
      </c>
      <c r="F1052" t="s">
        <v>11960</v>
      </c>
      <c r="G1052" t="s">
        <v>19212</v>
      </c>
      <c r="H1052" t="s">
        <v>19371</v>
      </c>
      <c r="I1052" t="s">
        <v>18890</v>
      </c>
      <c r="K1052" t="str">
        <f>HYPERLINK("http://tuberculist.epfl.ch/quicksearch.php?gene+name=Rv1021&amp;submit=Search")</f>
        <v>http://tuberculist.epfl.ch/quicksearch.php?gene+name=Rv1021&amp;submit=Search</v>
      </c>
    </row>
    <row r="1053" spans="1:11">
      <c r="A1053" t="s">
        <v>7537</v>
      </c>
      <c r="B1053" t="s">
        <v>2522</v>
      </c>
      <c r="C1053" t="s">
        <v>9567</v>
      </c>
      <c r="D1053" t="s">
        <v>9587</v>
      </c>
      <c r="E1053" t="s">
        <v>11961</v>
      </c>
      <c r="F1053" t="s">
        <v>11962</v>
      </c>
      <c r="G1053" t="s">
        <v>19188</v>
      </c>
      <c r="H1053" t="s">
        <v>19192</v>
      </c>
      <c r="I1053" t="s">
        <v>18779</v>
      </c>
      <c r="K1053" t="str">
        <f>HYPERLINK("http://tuberculist.epfl.ch/quicksearch.php?gene+name=Rv1022&amp;submit=Search")</f>
        <v>http://tuberculist.epfl.ch/quicksearch.php?gene+name=Rv1022&amp;submit=Search</v>
      </c>
    </row>
    <row r="1054" spans="1:11">
      <c r="A1054" t="s">
        <v>4563</v>
      </c>
      <c r="B1054" t="s">
        <v>1042</v>
      </c>
      <c r="C1054" t="s">
        <v>9567</v>
      </c>
      <c r="D1054" t="s">
        <v>11963</v>
      </c>
      <c r="E1054" t="s">
        <v>11964</v>
      </c>
      <c r="F1054" t="s">
        <v>11965</v>
      </c>
      <c r="G1054" t="s">
        <v>19195</v>
      </c>
      <c r="H1054" t="s">
        <v>19585</v>
      </c>
      <c r="I1054" t="s">
        <v>18774</v>
      </c>
      <c r="K1054" t="str">
        <f>HYPERLINK("http://tuberculist.epfl.ch/quicksearch.php?gene+name=Rv1023&amp;submit=Search")</f>
        <v>http://tuberculist.epfl.ch/quicksearch.php?gene+name=Rv1023&amp;submit=Search</v>
      </c>
    </row>
    <row r="1055" spans="1:11">
      <c r="A1055" t="s">
        <v>825</v>
      </c>
      <c r="B1055" t="s">
        <v>825</v>
      </c>
      <c r="C1055" t="s">
        <v>9567</v>
      </c>
      <c r="D1055" t="s">
        <v>9587</v>
      </c>
      <c r="E1055" t="s">
        <v>9588</v>
      </c>
      <c r="F1055" t="s">
        <v>11966</v>
      </c>
      <c r="G1055" t="s">
        <v>19188</v>
      </c>
      <c r="H1055" t="s">
        <v>19274</v>
      </c>
      <c r="I1055" t="s">
        <v>18774</v>
      </c>
      <c r="K1055" t="str">
        <f>HYPERLINK("http://tuberculist.epfl.ch/quicksearch.php?gene+name=Rv1024&amp;submit=Search")</f>
        <v>http://tuberculist.epfl.ch/quicksearch.php?gene+name=Rv1024&amp;submit=Search</v>
      </c>
    </row>
    <row r="1056" spans="1:11">
      <c r="A1056" t="s">
        <v>710</v>
      </c>
      <c r="B1056" t="s">
        <v>710</v>
      </c>
      <c r="C1056" t="s">
        <v>9567</v>
      </c>
      <c r="D1056" t="s">
        <v>9578</v>
      </c>
      <c r="E1056" t="s">
        <v>9665</v>
      </c>
      <c r="F1056" t="s">
        <v>11967</v>
      </c>
      <c r="G1056" t="s">
        <v>19212</v>
      </c>
      <c r="H1056" t="s">
        <v>19233</v>
      </c>
      <c r="I1056" t="s">
        <v>18774</v>
      </c>
      <c r="K1056" t="str">
        <f>HYPERLINK("http://tuberculist.epfl.ch/quicksearch.php?gene+name=Rv1025&amp;submit=Search")</f>
        <v>http://tuberculist.epfl.ch/quicksearch.php?gene+name=Rv1025&amp;submit=Search</v>
      </c>
    </row>
    <row r="1057" spans="1:11">
      <c r="A1057" t="s">
        <v>1210</v>
      </c>
      <c r="B1057" t="s">
        <v>1210</v>
      </c>
      <c r="C1057" t="s">
        <v>9567</v>
      </c>
      <c r="D1057" t="s">
        <v>11968</v>
      </c>
      <c r="E1057" t="s">
        <v>9665</v>
      </c>
      <c r="F1057" t="s">
        <v>11969</v>
      </c>
      <c r="G1057" t="s">
        <v>19206</v>
      </c>
      <c r="H1057" t="s">
        <v>19586</v>
      </c>
      <c r="I1057" t="s">
        <v>18800</v>
      </c>
      <c r="K1057" t="str">
        <f>HYPERLINK("http://tuberculist.epfl.ch/quicksearch.php?gene+name=Rv1026&amp;submit=Search")</f>
        <v>http://tuberculist.epfl.ch/quicksearch.php?gene+name=Rv1026&amp;submit=Search</v>
      </c>
    </row>
    <row r="1058" spans="1:11">
      <c r="A1058" t="s">
        <v>11970</v>
      </c>
      <c r="B1058" t="s">
        <v>11971</v>
      </c>
      <c r="C1058" t="s">
        <v>9567</v>
      </c>
      <c r="D1058" t="s">
        <v>11972</v>
      </c>
      <c r="E1058" t="s">
        <v>11973</v>
      </c>
      <c r="F1058" t="s">
        <v>11974</v>
      </c>
      <c r="G1058" t="s">
        <v>19197</v>
      </c>
      <c r="I1058" t="s">
        <v>18921</v>
      </c>
      <c r="J1058" t="s">
        <v>18775</v>
      </c>
      <c r="K1058" t="str">
        <f>HYPERLINK("http://tuberculist.epfl.ch/quicksearch.php?gene+name=Rv1027c&amp;submit=Search")</f>
        <v>http://tuberculist.epfl.ch/quicksearch.php?gene+name=Rv1027c&amp;submit=Search</v>
      </c>
    </row>
    <row r="1059" spans="1:11">
      <c r="A1059" t="s">
        <v>11975</v>
      </c>
      <c r="B1059" t="s">
        <v>11976</v>
      </c>
      <c r="C1059" t="s">
        <v>9567</v>
      </c>
      <c r="D1059" t="s">
        <v>11977</v>
      </c>
      <c r="E1059" t="s">
        <v>11978</v>
      </c>
      <c r="F1059" t="s">
        <v>11979</v>
      </c>
      <c r="G1059" t="s">
        <v>19188</v>
      </c>
      <c r="I1059" t="s">
        <v>18793</v>
      </c>
      <c r="K1059" t="str">
        <f>HYPERLINK("http://tuberculist.epfl.ch/quicksearch.php?gene+name=Rv1028A&amp;submit=Search")</f>
        <v>http://tuberculist.epfl.ch/quicksearch.php?gene+name=Rv1028A&amp;submit=Search</v>
      </c>
    </row>
    <row r="1060" spans="1:11">
      <c r="A1060" t="s">
        <v>5590</v>
      </c>
      <c r="B1060" t="s">
        <v>1559</v>
      </c>
      <c r="C1060" t="s">
        <v>9567</v>
      </c>
      <c r="D1060" t="s">
        <v>11980</v>
      </c>
      <c r="E1060" t="s">
        <v>11981</v>
      </c>
      <c r="F1060" t="s">
        <v>11982</v>
      </c>
      <c r="G1060" t="s">
        <v>19197</v>
      </c>
      <c r="H1060" t="s">
        <v>19207</v>
      </c>
      <c r="I1060" t="s">
        <v>18922</v>
      </c>
      <c r="K1060" t="str">
        <f>HYPERLINK("http://tuberculist.epfl.ch/quicksearch.php?gene+name=Rv1028c&amp;submit=Search")</f>
        <v>http://tuberculist.epfl.ch/quicksearch.php?gene+name=Rv1028c&amp;submit=Search</v>
      </c>
    </row>
    <row r="1061" spans="1:11">
      <c r="A1061" t="s">
        <v>5298</v>
      </c>
      <c r="B1061" t="s">
        <v>1403</v>
      </c>
      <c r="C1061" t="s">
        <v>9567</v>
      </c>
      <c r="D1061" t="s">
        <v>11983</v>
      </c>
      <c r="E1061" t="s">
        <v>11984</v>
      </c>
      <c r="F1061" t="s">
        <v>11985</v>
      </c>
      <c r="G1061" t="s">
        <v>19188</v>
      </c>
      <c r="I1061" t="s">
        <v>18789</v>
      </c>
      <c r="K1061" t="str">
        <f>HYPERLINK("http://tuberculist.epfl.ch/quicksearch.php?gene+name=Rv1029&amp;submit=Search")</f>
        <v>http://tuberculist.epfl.ch/quicksearch.php?gene+name=Rv1029&amp;submit=Search</v>
      </c>
    </row>
    <row r="1062" spans="1:11">
      <c r="A1062" t="s">
        <v>5911</v>
      </c>
      <c r="B1062" t="s">
        <v>1707</v>
      </c>
      <c r="C1062" t="s">
        <v>9567</v>
      </c>
      <c r="D1062" t="s">
        <v>11986</v>
      </c>
      <c r="E1062" t="s">
        <v>11987</v>
      </c>
      <c r="F1062" t="s">
        <v>11988</v>
      </c>
      <c r="G1062" t="s">
        <v>19188</v>
      </c>
      <c r="H1062" t="s">
        <v>19192</v>
      </c>
      <c r="I1062" t="s">
        <v>18780</v>
      </c>
      <c r="K1062" t="str">
        <f>HYPERLINK("http://tuberculist.epfl.ch/quicksearch.php?gene+name=Rv1030&amp;submit=Search")</f>
        <v>http://tuberculist.epfl.ch/quicksearch.php?gene+name=Rv1030&amp;submit=Search</v>
      </c>
    </row>
    <row r="1063" spans="1:11">
      <c r="A1063" t="s">
        <v>8425</v>
      </c>
      <c r="B1063" t="s">
        <v>2962</v>
      </c>
      <c r="C1063" t="s">
        <v>9567</v>
      </c>
      <c r="D1063" t="s">
        <v>11989</v>
      </c>
      <c r="E1063" t="s">
        <v>11990</v>
      </c>
      <c r="F1063" t="s">
        <v>11991</v>
      </c>
      <c r="G1063" t="s">
        <v>19188</v>
      </c>
      <c r="H1063" t="s">
        <v>19192</v>
      </c>
      <c r="I1063" t="s">
        <v>18779</v>
      </c>
      <c r="K1063" t="str">
        <f>HYPERLINK("http://tuberculist.epfl.ch/quicksearch.php?gene+name=Rv1031&amp;submit=Search")</f>
        <v>http://tuberculist.epfl.ch/quicksearch.php?gene+name=Rv1031&amp;submit=Search</v>
      </c>
    </row>
    <row r="1064" spans="1:11">
      <c r="A1064" t="s">
        <v>4005</v>
      </c>
      <c r="B1064" t="s">
        <v>764</v>
      </c>
      <c r="C1064" t="s">
        <v>9567</v>
      </c>
      <c r="D1064" t="s">
        <v>11992</v>
      </c>
      <c r="E1064" t="s">
        <v>11993</v>
      </c>
      <c r="F1064" t="s">
        <v>11994</v>
      </c>
      <c r="G1064" t="s">
        <v>19197</v>
      </c>
      <c r="I1064" t="s">
        <v>18923</v>
      </c>
      <c r="K1064" t="str">
        <f>HYPERLINK("http://tuberculist.epfl.ch/quicksearch.php?gene+name=Rv1032c&amp;submit=Search")</f>
        <v>http://tuberculist.epfl.ch/quicksearch.php?gene+name=Rv1032c&amp;submit=Search</v>
      </c>
    </row>
    <row r="1065" spans="1:11">
      <c r="A1065" t="s">
        <v>8635</v>
      </c>
      <c r="B1065" t="s">
        <v>3058</v>
      </c>
      <c r="C1065" t="s">
        <v>9567</v>
      </c>
      <c r="D1065" t="s">
        <v>11995</v>
      </c>
      <c r="E1065" t="s">
        <v>11996</v>
      </c>
      <c r="F1065" t="s">
        <v>11997</v>
      </c>
      <c r="G1065" t="s">
        <v>19197</v>
      </c>
      <c r="I1065" t="s">
        <v>18789</v>
      </c>
      <c r="K1065" t="str">
        <f>HYPERLINK("http://tuberculist.epfl.ch/quicksearch.php?gene+name=Rv1033c&amp;submit=Search")</f>
        <v>http://tuberculist.epfl.ch/quicksearch.php?gene+name=Rv1033c&amp;submit=Search</v>
      </c>
    </row>
    <row r="1066" spans="1:11">
      <c r="A1066" t="s">
        <v>11998</v>
      </c>
      <c r="B1066" t="s">
        <v>11998</v>
      </c>
      <c r="C1066" t="s">
        <v>9567</v>
      </c>
      <c r="D1066" t="s">
        <v>11999</v>
      </c>
      <c r="E1066" t="s">
        <v>11318</v>
      </c>
      <c r="F1066" t="s">
        <v>12000</v>
      </c>
      <c r="G1066" t="s">
        <v>19217</v>
      </c>
      <c r="I1066" t="s">
        <v>18793</v>
      </c>
      <c r="K1066" t="str">
        <f>HYPERLINK("http://tuberculist.epfl.ch/quicksearch.php?gene+name=Rv1034c&amp;submit=Search")</f>
        <v>http://tuberculist.epfl.ch/quicksearch.php?gene+name=Rv1034c&amp;submit=Search</v>
      </c>
    </row>
    <row r="1067" spans="1:11">
      <c r="A1067" t="s">
        <v>12001</v>
      </c>
      <c r="B1067" t="s">
        <v>12001</v>
      </c>
      <c r="C1067" t="s">
        <v>9567</v>
      </c>
      <c r="D1067" t="s">
        <v>11999</v>
      </c>
      <c r="E1067" t="s">
        <v>11318</v>
      </c>
      <c r="F1067" t="s">
        <v>12002</v>
      </c>
      <c r="G1067" t="s">
        <v>19217</v>
      </c>
      <c r="H1067" t="s">
        <v>19358</v>
      </c>
      <c r="I1067" t="s">
        <v>18779</v>
      </c>
      <c r="K1067" t="str">
        <f>HYPERLINK("http://tuberculist.epfl.ch/quicksearch.php?gene+name=Rv1035c&amp;submit=Search")</f>
        <v>http://tuberculist.epfl.ch/quicksearch.php?gene+name=Rv1035c&amp;submit=Search</v>
      </c>
    </row>
    <row r="1068" spans="1:11">
      <c r="A1068" t="s">
        <v>2056</v>
      </c>
      <c r="B1068" t="s">
        <v>2056</v>
      </c>
      <c r="C1068" t="s">
        <v>9567</v>
      </c>
      <c r="D1068" t="s">
        <v>11999</v>
      </c>
      <c r="E1068" t="s">
        <v>12003</v>
      </c>
      <c r="F1068" t="s">
        <v>12004</v>
      </c>
      <c r="G1068" t="s">
        <v>19217</v>
      </c>
      <c r="I1068" t="s">
        <v>18780</v>
      </c>
      <c r="K1068" t="str">
        <f>HYPERLINK("http://tuberculist.epfl.ch/quicksearch.php?gene+name=Rv1036c&amp;submit=Search")</f>
        <v>http://tuberculist.epfl.ch/quicksearch.php?gene+name=Rv1036c&amp;submit=Search</v>
      </c>
    </row>
    <row r="1069" spans="1:11">
      <c r="A1069" t="s">
        <v>4631</v>
      </c>
      <c r="B1069" t="s">
        <v>12005</v>
      </c>
      <c r="C1069" t="s">
        <v>9567</v>
      </c>
      <c r="D1069" t="s">
        <v>9587</v>
      </c>
      <c r="E1069" t="s">
        <v>12006</v>
      </c>
      <c r="F1069" t="s">
        <v>12007</v>
      </c>
      <c r="G1069" t="s">
        <v>19188</v>
      </c>
      <c r="H1069" t="s">
        <v>19587</v>
      </c>
      <c r="I1069" t="s">
        <v>18779</v>
      </c>
      <c r="K1069" t="str">
        <f>HYPERLINK("http://tuberculist.epfl.ch/quicksearch.php?gene+name=Rv1037c&amp;submit=Search")</f>
        <v>http://tuberculist.epfl.ch/quicksearch.php?gene+name=Rv1037c&amp;submit=Search</v>
      </c>
    </row>
    <row r="1070" spans="1:11">
      <c r="A1070" t="s">
        <v>7270</v>
      </c>
      <c r="B1070" t="s">
        <v>2392</v>
      </c>
      <c r="C1070" t="s">
        <v>9567</v>
      </c>
      <c r="D1070" t="s">
        <v>9578</v>
      </c>
      <c r="E1070" t="s">
        <v>12008</v>
      </c>
      <c r="F1070" t="s">
        <v>12009</v>
      </c>
      <c r="G1070" t="s">
        <v>19188</v>
      </c>
      <c r="H1070" t="s">
        <v>19588</v>
      </c>
      <c r="I1070" t="s">
        <v>18779</v>
      </c>
      <c r="K1070" t="str">
        <f>HYPERLINK("http://tuberculist.epfl.ch/quicksearch.php?gene+name=Rv1038c&amp;submit=Search")</f>
        <v>http://tuberculist.epfl.ch/quicksearch.php?gene+name=Rv1038c&amp;submit=Search</v>
      </c>
    </row>
    <row r="1071" spans="1:11">
      <c r="A1071" t="s">
        <v>8209</v>
      </c>
      <c r="B1071" t="s">
        <v>2861</v>
      </c>
      <c r="C1071" t="s">
        <v>9567</v>
      </c>
      <c r="D1071" t="s">
        <v>9578</v>
      </c>
      <c r="E1071" t="s">
        <v>12010</v>
      </c>
      <c r="F1071" t="s">
        <v>12011</v>
      </c>
      <c r="G1071" t="s">
        <v>19253</v>
      </c>
      <c r="H1071" t="s">
        <v>19254</v>
      </c>
      <c r="I1071" t="s">
        <v>18780</v>
      </c>
      <c r="K1071" t="str">
        <f>HYPERLINK("http://tuberculist.epfl.ch/quicksearch.php?gene+name=Rv1039c&amp;submit=Search")</f>
        <v>http://tuberculist.epfl.ch/quicksearch.php?gene+name=Rv1039c&amp;submit=Search</v>
      </c>
    </row>
    <row r="1072" spans="1:11">
      <c r="A1072" t="s">
        <v>3968</v>
      </c>
      <c r="B1072" t="s">
        <v>381</v>
      </c>
      <c r="C1072" t="s">
        <v>9567</v>
      </c>
      <c r="D1072" t="s">
        <v>9578</v>
      </c>
      <c r="E1072" t="s">
        <v>12012</v>
      </c>
      <c r="F1072" t="s">
        <v>12013</v>
      </c>
      <c r="G1072" t="s">
        <v>19253</v>
      </c>
      <c r="I1072" t="s">
        <v>18793</v>
      </c>
      <c r="K1072" t="str">
        <f>HYPERLINK("http://tuberculist.epfl.ch/quicksearch.php?gene+name=Rv1040c&amp;submit=Search")</f>
        <v>http://tuberculist.epfl.ch/quicksearch.php?gene+name=Rv1040c&amp;submit=Search</v>
      </c>
    </row>
    <row r="1073" spans="1:11">
      <c r="A1073" t="s">
        <v>12014</v>
      </c>
      <c r="B1073" t="s">
        <v>12014</v>
      </c>
      <c r="C1073" t="s">
        <v>9567</v>
      </c>
      <c r="D1073" t="s">
        <v>12015</v>
      </c>
      <c r="E1073" t="s">
        <v>12016</v>
      </c>
      <c r="F1073" t="s">
        <v>12017</v>
      </c>
      <c r="G1073" t="s">
        <v>19217</v>
      </c>
      <c r="H1073" t="s">
        <v>19263</v>
      </c>
      <c r="I1073" t="s">
        <v>18779</v>
      </c>
      <c r="J1073" t="s">
        <v>18775</v>
      </c>
      <c r="K1073" t="str">
        <f>HYPERLINK("http://tuberculist.epfl.ch/quicksearch.php?gene+name=Rv1041c&amp;submit=Search")</f>
        <v>http://tuberculist.epfl.ch/quicksearch.php?gene+name=Rv1041c&amp;submit=Search</v>
      </c>
    </row>
    <row r="1074" spans="1:11">
      <c r="A1074" t="s">
        <v>12018</v>
      </c>
      <c r="B1074" t="s">
        <v>12018</v>
      </c>
      <c r="C1074" t="s">
        <v>9567</v>
      </c>
      <c r="D1074" t="s">
        <v>12015</v>
      </c>
      <c r="E1074" t="s">
        <v>12016</v>
      </c>
      <c r="F1074" t="s">
        <v>12019</v>
      </c>
      <c r="G1074" t="s">
        <v>19217</v>
      </c>
      <c r="I1074" t="s">
        <v>18805</v>
      </c>
      <c r="K1074" t="str">
        <f>HYPERLINK("http://tuberculist.epfl.ch/quicksearch.php?gene+name=Rv1042c&amp;submit=Search")</f>
        <v>http://tuberculist.epfl.ch/quicksearch.php?gene+name=Rv1042c&amp;submit=Search</v>
      </c>
    </row>
    <row r="1075" spans="1:11">
      <c r="A1075" t="s">
        <v>655</v>
      </c>
      <c r="B1075" t="s">
        <v>655</v>
      </c>
      <c r="C1075" t="s">
        <v>9567</v>
      </c>
      <c r="D1075" t="s">
        <v>9578</v>
      </c>
      <c r="E1075" t="s">
        <v>9579</v>
      </c>
      <c r="F1075" t="s">
        <v>12020</v>
      </c>
      <c r="G1075" t="s">
        <v>19204</v>
      </c>
      <c r="I1075" t="s">
        <v>18789</v>
      </c>
      <c r="K1075" t="str">
        <f>HYPERLINK("http://tuberculist.epfl.ch/quicksearch.php?gene+name=Rv1043c&amp;submit=Search")</f>
        <v>http://tuberculist.epfl.ch/quicksearch.php?gene+name=Rv1043c&amp;submit=Search</v>
      </c>
    </row>
    <row r="1076" spans="1:11">
      <c r="A1076" t="s">
        <v>507</v>
      </c>
      <c r="B1076" t="s">
        <v>507</v>
      </c>
      <c r="C1076" t="s">
        <v>9567</v>
      </c>
      <c r="D1076" t="s">
        <v>9578</v>
      </c>
      <c r="E1076" t="s">
        <v>9579</v>
      </c>
      <c r="F1076" t="s">
        <v>12021</v>
      </c>
      <c r="G1076" t="s">
        <v>19185</v>
      </c>
      <c r="I1076" t="s">
        <v>18776</v>
      </c>
      <c r="K1076" t="str">
        <f>HYPERLINK("http://tuberculist.epfl.ch/quicksearch.php?gene+name=Rv1044&amp;submit=Search")</f>
        <v>http://tuberculist.epfl.ch/quicksearch.php?gene+name=Rv1044&amp;submit=Search</v>
      </c>
    </row>
    <row r="1077" spans="1:11">
      <c r="A1077" t="s">
        <v>1413</v>
      </c>
      <c r="B1077" t="s">
        <v>1413</v>
      </c>
      <c r="C1077" t="s">
        <v>9567</v>
      </c>
      <c r="D1077" t="s">
        <v>9587</v>
      </c>
      <c r="E1077" t="s">
        <v>9713</v>
      </c>
      <c r="F1077" t="s">
        <v>12022</v>
      </c>
      <c r="G1077" t="s">
        <v>19212</v>
      </c>
      <c r="H1077" t="s">
        <v>19211</v>
      </c>
      <c r="I1077" t="s">
        <v>18786</v>
      </c>
      <c r="K1077" t="str">
        <f>HYPERLINK("http://tuberculist.epfl.ch/quicksearch.php?gene+name=Rv1045&amp;submit=Search")</f>
        <v>http://tuberculist.epfl.ch/quicksearch.php?gene+name=Rv1045&amp;submit=Search</v>
      </c>
    </row>
    <row r="1078" spans="1:11">
      <c r="A1078" t="s">
        <v>1061</v>
      </c>
      <c r="B1078" t="s">
        <v>1061</v>
      </c>
      <c r="C1078" t="s">
        <v>9567</v>
      </c>
      <c r="D1078" t="s">
        <v>9587</v>
      </c>
      <c r="E1078" t="s">
        <v>9713</v>
      </c>
      <c r="F1078" t="s">
        <v>12023</v>
      </c>
      <c r="G1078" t="s">
        <v>19363</v>
      </c>
      <c r="I1078" t="s">
        <v>18924</v>
      </c>
      <c r="K1078" t="str">
        <f>HYPERLINK("http://tuberculist.epfl.ch/quicksearch.php?gene+name=Rv1046c&amp;submit=Search")</f>
        <v>http://tuberculist.epfl.ch/quicksearch.php?gene+name=Rv1046c&amp;submit=Search</v>
      </c>
    </row>
    <row r="1079" spans="1:11">
      <c r="A1079" t="s">
        <v>12024</v>
      </c>
      <c r="B1079" t="s">
        <v>12024</v>
      </c>
      <c r="C1079" t="s">
        <v>9567</v>
      </c>
      <c r="D1079" t="s">
        <v>12025</v>
      </c>
      <c r="E1079" t="s">
        <v>11730</v>
      </c>
      <c r="F1079" t="s">
        <v>12026</v>
      </c>
      <c r="G1079" t="s">
        <v>19217</v>
      </c>
      <c r="I1079" t="s">
        <v>18779</v>
      </c>
      <c r="K1079" t="str">
        <f>HYPERLINK("http://tuberculist.epfl.ch/quicksearch.php?gene+name=Rv1047&amp;submit=Search")</f>
        <v>http://tuberculist.epfl.ch/quicksearch.php?gene+name=Rv1047&amp;submit=Search</v>
      </c>
    </row>
    <row r="1080" spans="1:11">
      <c r="A1080" t="s">
        <v>1944</v>
      </c>
      <c r="B1080" t="s">
        <v>1944</v>
      </c>
      <c r="C1080" t="s">
        <v>9567</v>
      </c>
      <c r="D1080" t="s">
        <v>9587</v>
      </c>
      <c r="E1080" t="s">
        <v>9713</v>
      </c>
      <c r="F1080" t="s">
        <v>12027</v>
      </c>
      <c r="G1080" t="s">
        <v>19208</v>
      </c>
      <c r="I1080" t="s">
        <v>18777</v>
      </c>
      <c r="K1080" t="str">
        <f>HYPERLINK("http://tuberculist.epfl.ch/quicksearch.php?gene+name=Rv1048c&amp;submit=Search")</f>
        <v>http://tuberculist.epfl.ch/quicksearch.php?gene+name=Rv1048c&amp;submit=Search</v>
      </c>
    </row>
    <row r="1081" spans="1:11">
      <c r="A1081" t="s">
        <v>12028</v>
      </c>
      <c r="B1081" t="s">
        <v>12028</v>
      </c>
      <c r="C1081" t="s">
        <v>9567</v>
      </c>
      <c r="D1081" t="s">
        <v>9969</v>
      </c>
      <c r="E1081" t="s">
        <v>12029</v>
      </c>
      <c r="F1081" t="s">
        <v>12030</v>
      </c>
      <c r="G1081" t="s">
        <v>19197</v>
      </c>
      <c r="H1081" t="s">
        <v>19215</v>
      </c>
      <c r="I1081" t="s">
        <v>18786</v>
      </c>
      <c r="K1081" t="str">
        <f>HYPERLINK("http://tuberculist.epfl.ch/quicksearch.php?gene+name=Rv1049&amp;submit=Search")</f>
        <v>http://tuberculist.epfl.ch/quicksearch.php?gene+name=Rv1049&amp;submit=Search</v>
      </c>
    </row>
    <row r="1082" spans="1:11">
      <c r="A1082" t="s">
        <v>12031</v>
      </c>
      <c r="B1082" t="s">
        <v>12031</v>
      </c>
      <c r="C1082" t="s">
        <v>9567</v>
      </c>
      <c r="D1082" t="s">
        <v>12032</v>
      </c>
      <c r="E1082" t="s">
        <v>9739</v>
      </c>
      <c r="F1082" t="s">
        <v>12033</v>
      </c>
      <c r="G1082" t="s">
        <v>19195</v>
      </c>
      <c r="H1082" t="s">
        <v>19194</v>
      </c>
      <c r="I1082" t="s">
        <v>18793</v>
      </c>
      <c r="K1082" t="str">
        <f>HYPERLINK("http://tuberculist.epfl.ch/quicksearch.php?gene+name=Rv1050&amp;submit=Search")</f>
        <v>http://tuberculist.epfl.ch/quicksearch.php?gene+name=Rv1050&amp;submit=Search</v>
      </c>
    </row>
    <row r="1083" spans="1:11">
      <c r="A1083" t="s">
        <v>12034</v>
      </c>
      <c r="B1083" t="s">
        <v>12034</v>
      </c>
      <c r="C1083" t="s">
        <v>9567</v>
      </c>
      <c r="D1083" t="s">
        <v>9578</v>
      </c>
      <c r="E1083" t="s">
        <v>9579</v>
      </c>
      <c r="F1083" t="s">
        <v>12035</v>
      </c>
      <c r="G1083" t="s">
        <v>19208</v>
      </c>
      <c r="H1083" t="s">
        <v>19205</v>
      </c>
      <c r="I1083" t="s">
        <v>18777</v>
      </c>
      <c r="K1083" t="str">
        <f>HYPERLINK("http://tuberculist.epfl.ch/quicksearch.php?gene+name=Rv1051c&amp;submit=Search")</f>
        <v>http://tuberculist.epfl.ch/quicksearch.php?gene+name=Rv1051c&amp;submit=Search</v>
      </c>
    </row>
    <row r="1084" spans="1:11">
      <c r="A1084" t="s">
        <v>12036</v>
      </c>
      <c r="B1084" t="s">
        <v>12036</v>
      </c>
      <c r="C1084" t="s">
        <v>9567</v>
      </c>
      <c r="D1084" t="s">
        <v>9587</v>
      </c>
      <c r="E1084" t="s">
        <v>9713</v>
      </c>
      <c r="F1084" t="s">
        <v>12037</v>
      </c>
      <c r="G1084" t="s">
        <v>19212</v>
      </c>
      <c r="I1084" t="s">
        <v>18789</v>
      </c>
      <c r="K1084" t="str">
        <f>HYPERLINK("http://tuberculist.epfl.ch/quicksearch.php?gene+name=Rv1052&amp;submit=Search")</f>
        <v>http://tuberculist.epfl.ch/quicksearch.php?gene+name=Rv1052&amp;submit=Search</v>
      </c>
    </row>
    <row r="1085" spans="1:11">
      <c r="A1085" t="s">
        <v>508</v>
      </c>
      <c r="B1085" t="s">
        <v>508</v>
      </c>
      <c r="C1085" t="s">
        <v>9567</v>
      </c>
      <c r="D1085" t="s">
        <v>9587</v>
      </c>
      <c r="E1085" t="s">
        <v>9713</v>
      </c>
      <c r="F1085" t="s">
        <v>12038</v>
      </c>
      <c r="G1085" t="s">
        <v>19212</v>
      </c>
      <c r="I1085" t="s">
        <v>18780</v>
      </c>
      <c r="J1085" t="s">
        <v>18839</v>
      </c>
      <c r="K1085" t="str">
        <f>HYPERLINK("http://tuberculist.epfl.ch/quicksearch.php?gene+name=Rv1053c&amp;submit=Search")</f>
        <v>http://tuberculist.epfl.ch/quicksearch.php?gene+name=Rv1053c&amp;submit=Search</v>
      </c>
    </row>
    <row r="1086" spans="1:11">
      <c r="A1086" t="s">
        <v>1432</v>
      </c>
      <c r="B1086" t="s">
        <v>1432</v>
      </c>
      <c r="C1086" t="s">
        <v>9567</v>
      </c>
      <c r="D1086" t="s">
        <v>12039</v>
      </c>
      <c r="E1086" t="s">
        <v>12040</v>
      </c>
      <c r="F1086" t="s">
        <v>12041</v>
      </c>
      <c r="G1086" t="s">
        <v>19217</v>
      </c>
      <c r="I1086" t="s">
        <v>18773</v>
      </c>
      <c r="J1086" t="s">
        <v>18839</v>
      </c>
      <c r="K1086" t="str">
        <f>HYPERLINK("http://tuberculist.epfl.ch/quicksearch.php?gene+name=Rv1054&amp;submit=Search")</f>
        <v>http://tuberculist.epfl.ch/quicksearch.php?gene+name=Rv1054&amp;submit=Search</v>
      </c>
    </row>
    <row r="1087" spans="1:11">
      <c r="A1087" t="s">
        <v>12042</v>
      </c>
      <c r="B1087" t="s">
        <v>12042</v>
      </c>
      <c r="C1087" t="s">
        <v>9567</v>
      </c>
      <c r="D1087" t="s">
        <v>12039</v>
      </c>
      <c r="E1087" t="s">
        <v>12043</v>
      </c>
      <c r="F1087" t="s">
        <v>12044</v>
      </c>
      <c r="G1087" t="s">
        <v>19217</v>
      </c>
      <c r="I1087" t="s">
        <v>18779</v>
      </c>
      <c r="K1087" t="str">
        <f>HYPERLINK("http://tuberculist.epfl.ch/quicksearch.php?gene+name=Rv1055&amp;submit=Search")</f>
        <v>http://tuberculist.epfl.ch/quicksearch.php?gene+name=Rv1055&amp;submit=Search</v>
      </c>
    </row>
    <row r="1088" spans="1:11">
      <c r="A1088" t="s">
        <v>1716</v>
      </c>
      <c r="B1088" t="s">
        <v>1716</v>
      </c>
      <c r="C1088" t="s">
        <v>9567</v>
      </c>
      <c r="D1088" t="s">
        <v>9578</v>
      </c>
      <c r="E1088" t="s">
        <v>9665</v>
      </c>
      <c r="F1088" t="s">
        <v>12045</v>
      </c>
      <c r="G1088" t="s">
        <v>19216</v>
      </c>
      <c r="H1088" t="s">
        <v>19459</v>
      </c>
      <c r="I1088" t="s">
        <v>18780</v>
      </c>
      <c r="K1088" t="str">
        <f>HYPERLINK("http://tuberculist.epfl.ch/quicksearch.php?gene+name=Rv1056&amp;submit=Search")</f>
        <v>http://tuberculist.epfl.ch/quicksearch.php?gene+name=Rv1056&amp;submit=Search</v>
      </c>
    </row>
    <row r="1089" spans="1:11">
      <c r="A1089" t="s">
        <v>3205</v>
      </c>
      <c r="B1089" t="s">
        <v>3205</v>
      </c>
      <c r="C1089" t="s">
        <v>9567</v>
      </c>
      <c r="D1089" t="s">
        <v>9578</v>
      </c>
      <c r="E1089" t="s">
        <v>9579</v>
      </c>
      <c r="F1089" t="s">
        <v>12046</v>
      </c>
      <c r="G1089" t="s">
        <v>19212</v>
      </c>
      <c r="H1089" t="s">
        <v>19254</v>
      </c>
      <c r="I1089" t="s">
        <v>18780</v>
      </c>
      <c r="K1089" t="str">
        <f>HYPERLINK("http://tuberculist.epfl.ch/quicksearch.php?gene+name=Rv1057&amp;submit=Search")</f>
        <v>http://tuberculist.epfl.ch/quicksearch.php?gene+name=Rv1057&amp;submit=Search</v>
      </c>
    </row>
    <row r="1090" spans="1:11">
      <c r="A1090" t="s">
        <v>6723</v>
      </c>
      <c r="B1090" t="s">
        <v>2122</v>
      </c>
      <c r="C1090" t="s">
        <v>9567</v>
      </c>
      <c r="D1090" t="s">
        <v>12047</v>
      </c>
      <c r="E1090" t="s">
        <v>12048</v>
      </c>
      <c r="F1090" t="s">
        <v>12049</v>
      </c>
      <c r="G1090" t="s">
        <v>19219</v>
      </c>
      <c r="H1090" t="s">
        <v>19250</v>
      </c>
      <c r="I1090" t="s">
        <v>18779</v>
      </c>
      <c r="K1090" t="str">
        <f>HYPERLINK("http://tuberculist.epfl.ch/quicksearch.php?gene+name=Rv1058&amp;submit=Search")</f>
        <v>http://tuberculist.epfl.ch/quicksearch.php?gene+name=Rv1058&amp;submit=Search</v>
      </c>
    </row>
    <row r="1091" spans="1:11">
      <c r="A1091" t="s">
        <v>2574</v>
      </c>
      <c r="B1091" t="s">
        <v>2574</v>
      </c>
      <c r="C1091" t="s">
        <v>9567</v>
      </c>
      <c r="D1091" t="s">
        <v>9578</v>
      </c>
      <c r="E1091" t="s">
        <v>9665</v>
      </c>
      <c r="F1091" t="s">
        <v>12050</v>
      </c>
      <c r="G1091" t="s">
        <v>19212</v>
      </c>
      <c r="H1091" t="s">
        <v>19233</v>
      </c>
      <c r="I1091" t="s">
        <v>18776</v>
      </c>
      <c r="J1091" t="s">
        <v>18820</v>
      </c>
      <c r="K1091" t="str">
        <f>HYPERLINK("http://tuberculist.epfl.ch/quicksearch.php?gene+name=Rv1059&amp;submit=Search")</f>
        <v>http://tuberculist.epfl.ch/quicksearch.php?gene+name=Rv1059&amp;submit=Search</v>
      </c>
    </row>
    <row r="1092" spans="1:11">
      <c r="A1092" t="s">
        <v>2511</v>
      </c>
      <c r="B1092" t="s">
        <v>2511</v>
      </c>
      <c r="C1092" t="s">
        <v>9567</v>
      </c>
      <c r="D1092" t="s">
        <v>9587</v>
      </c>
      <c r="E1092" t="s">
        <v>9768</v>
      </c>
      <c r="F1092" t="s">
        <v>12051</v>
      </c>
      <c r="G1092" t="s">
        <v>19210</v>
      </c>
      <c r="H1092" t="s">
        <v>19401</v>
      </c>
      <c r="I1092" t="s">
        <v>18780</v>
      </c>
      <c r="K1092" t="str">
        <f>HYPERLINK("http://tuberculist.epfl.ch/quicksearch.php?gene+name=Rv1060&amp;submit=Search")</f>
        <v>http://tuberculist.epfl.ch/quicksearch.php?gene+name=Rv1060&amp;submit=Search</v>
      </c>
    </row>
    <row r="1093" spans="1:11">
      <c r="A1093" t="s">
        <v>619</v>
      </c>
      <c r="B1093" t="s">
        <v>619</v>
      </c>
      <c r="C1093" t="s">
        <v>9567</v>
      </c>
      <c r="D1093" t="s">
        <v>9578</v>
      </c>
      <c r="E1093" t="s">
        <v>9665</v>
      </c>
      <c r="F1093" t="s">
        <v>12052</v>
      </c>
      <c r="G1093" t="s">
        <v>19204</v>
      </c>
      <c r="H1093" t="s">
        <v>19233</v>
      </c>
      <c r="I1093" t="s">
        <v>18780</v>
      </c>
      <c r="K1093" t="str">
        <f>HYPERLINK("http://tuberculist.epfl.ch/quicksearch.php?gene+name=Rv1061&amp;submit=Search")</f>
        <v>http://tuberculist.epfl.ch/quicksearch.php?gene+name=Rv1061&amp;submit=Search</v>
      </c>
    </row>
    <row r="1094" spans="1:11">
      <c r="A1094" t="s">
        <v>1246</v>
      </c>
      <c r="B1094" t="s">
        <v>1246</v>
      </c>
      <c r="C1094" t="s">
        <v>9567</v>
      </c>
      <c r="D1094" t="s">
        <v>9578</v>
      </c>
      <c r="E1094" t="s">
        <v>9579</v>
      </c>
      <c r="F1094" t="s">
        <v>12053</v>
      </c>
      <c r="G1094" t="s">
        <v>19212</v>
      </c>
      <c r="H1094" t="s">
        <v>19213</v>
      </c>
      <c r="I1094" t="s">
        <v>18793</v>
      </c>
      <c r="K1094" t="str">
        <f>HYPERLINK("http://tuberculist.epfl.ch/quicksearch.php?gene+name=Rv1062&amp;submit=Search")</f>
        <v>http://tuberculist.epfl.ch/quicksearch.php?gene+name=Rv1062&amp;submit=Search</v>
      </c>
    </row>
    <row r="1095" spans="1:11">
      <c r="A1095" t="s">
        <v>629</v>
      </c>
      <c r="B1095" t="s">
        <v>629</v>
      </c>
      <c r="C1095" t="s">
        <v>9567</v>
      </c>
      <c r="D1095" t="s">
        <v>9578</v>
      </c>
      <c r="E1095" t="s">
        <v>9579</v>
      </c>
      <c r="F1095" t="s">
        <v>12054</v>
      </c>
      <c r="G1095" t="s">
        <v>19220</v>
      </c>
      <c r="H1095" t="s">
        <v>19213</v>
      </c>
      <c r="I1095" t="s">
        <v>18773</v>
      </c>
      <c r="K1095" t="str">
        <f>HYPERLINK("http://tuberculist.epfl.ch/quicksearch.php?gene+name=Rv1063c&amp;submit=Search")</f>
        <v>http://tuberculist.epfl.ch/quicksearch.php?gene+name=Rv1063c&amp;submit=Search</v>
      </c>
    </row>
    <row r="1096" spans="1:11">
      <c r="A1096" t="s">
        <v>12055</v>
      </c>
      <c r="B1096" t="s">
        <v>12056</v>
      </c>
      <c r="C1096" t="s">
        <v>9567</v>
      </c>
      <c r="D1096" t="s">
        <v>9587</v>
      </c>
      <c r="E1096" t="s">
        <v>12057</v>
      </c>
      <c r="F1096" t="s">
        <v>12058</v>
      </c>
      <c r="G1096" t="s">
        <v>19188</v>
      </c>
      <c r="I1096" t="s">
        <v>18780</v>
      </c>
      <c r="K1096" t="str">
        <f>HYPERLINK("http://tuberculist.epfl.ch/quicksearch.php?gene+name=Rv1064c&amp;submit=Search")</f>
        <v>http://tuberculist.epfl.ch/quicksearch.php?gene+name=Rv1064c&amp;submit=Search</v>
      </c>
    </row>
    <row r="1097" spans="1:11">
      <c r="A1097" t="s">
        <v>217</v>
      </c>
      <c r="B1097" t="s">
        <v>217</v>
      </c>
      <c r="C1097" t="s">
        <v>9567</v>
      </c>
      <c r="D1097" t="s">
        <v>9578</v>
      </c>
      <c r="E1097" t="s">
        <v>9579</v>
      </c>
      <c r="F1097" t="s">
        <v>12059</v>
      </c>
      <c r="G1097" t="s">
        <v>19210</v>
      </c>
      <c r="I1097" t="s">
        <v>18780</v>
      </c>
      <c r="K1097" t="str">
        <f>HYPERLINK("http://tuberculist.epfl.ch/quicksearch.php?gene+name=Rv1065&amp;submit=Search")</f>
        <v>http://tuberculist.epfl.ch/quicksearch.php?gene+name=Rv1065&amp;submit=Search</v>
      </c>
    </row>
    <row r="1098" spans="1:11">
      <c r="A1098" t="s">
        <v>1933</v>
      </c>
      <c r="B1098" t="s">
        <v>1933</v>
      </c>
      <c r="C1098" t="s">
        <v>9567</v>
      </c>
      <c r="D1098" t="s">
        <v>9578</v>
      </c>
      <c r="E1098" t="s">
        <v>9579</v>
      </c>
      <c r="F1098" t="s">
        <v>12060</v>
      </c>
      <c r="G1098" t="s">
        <v>19204</v>
      </c>
      <c r="I1098" t="s">
        <v>18780</v>
      </c>
      <c r="K1098" t="str">
        <f>HYPERLINK("http://tuberculist.epfl.ch/quicksearch.php?gene+name=Rv1066&amp;submit=Search")</f>
        <v>http://tuberculist.epfl.ch/quicksearch.php?gene+name=Rv1066&amp;submit=Search</v>
      </c>
    </row>
    <row r="1099" spans="1:11">
      <c r="A1099" t="s">
        <v>12061</v>
      </c>
      <c r="B1099" t="s">
        <v>46</v>
      </c>
      <c r="C1099" t="s">
        <v>9567</v>
      </c>
      <c r="D1099" t="s">
        <v>9578</v>
      </c>
      <c r="E1099" t="s">
        <v>12062</v>
      </c>
      <c r="F1099" t="s">
        <v>12063</v>
      </c>
      <c r="G1099" t="s">
        <v>19262</v>
      </c>
      <c r="H1099" t="s">
        <v>19267</v>
      </c>
      <c r="I1099" t="s">
        <v>18779</v>
      </c>
      <c r="K1099" t="str">
        <f>HYPERLINK("http://tuberculist.epfl.ch/quicksearch.php?gene+name=Rv1067c&amp;submit=Search")</f>
        <v>http://tuberculist.epfl.ch/quicksearch.php?gene+name=Rv1067c&amp;submit=Search</v>
      </c>
    </row>
    <row r="1100" spans="1:11">
      <c r="A1100" t="s">
        <v>12064</v>
      </c>
      <c r="B1100" t="s">
        <v>86</v>
      </c>
      <c r="C1100" t="s">
        <v>9567</v>
      </c>
      <c r="D1100" t="s">
        <v>9578</v>
      </c>
      <c r="E1100" t="s">
        <v>12065</v>
      </c>
      <c r="F1100" t="s">
        <v>12066</v>
      </c>
      <c r="G1100" t="s">
        <v>19262</v>
      </c>
      <c r="I1100" t="s">
        <v>18773</v>
      </c>
      <c r="J1100" t="s">
        <v>18844</v>
      </c>
      <c r="K1100" t="str">
        <f>HYPERLINK("http://tuberculist.epfl.ch/quicksearch.php?gene+name=Rv1068c&amp;submit=Search")</f>
        <v>http://tuberculist.epfl.ch/quicksearch.php?gene+name=Rv1068c&amp;submit=Search</v>
      </c>
    </row>
    <row r="1101" spans="1:11">
      <c r="A1101" t="s">
        <v>665</v>
      </c>
      <c r="B1101" t="s">
        <v>665</v>
      </c>
      <c r="C1101" t="s">
        <v>9567</v>
      </c>
      <c r="D1101" t="s">
        <v>9578</v>
      </c>
      <c r="E1101" t="s">
        <v>9665</v>
      </c>
      <c r="F1101" t="s">
        <v>12067</v>
      </c>
      <c r="G1101" t="s">
        <v>19212</v>
      </c>
      <c r="H1101" t="s">
        <v>19589</v>
      </c>
      <c r="I1101" t="s">
        <v>18789</v>
      </c>
      <c r="K1101" t="str">
        <f>HYPERLINK("http://tuberculist.epfl.ch/quicksearch.php?gene+name=Rv1069c&amp;submit=Search")</f>
        <v>http://tuberculist.epfl.ch/quicksearch.php?gene+name=Rv1069c&amp;submit=Search</v>
      </c>
    </row>
    <row r="1102" spans="1:11">
      <c r="A1102" t="s">
        <v>6183</v>
      </c>
      <c r="B1102" t="s">
        <v>1850</v>
      </c>
      <c r="C1102" t="s">
        <v>9567</v>
      </c>
      <c r="D1102" t="s">
        <v>10092</v>
      </c>
      <c r="E1102" t="s">
        <v>12068</v>
      </c>
      <c r="F1102" t="s">
        <v>12069</v>
      </c>
      <c r="G1102" t="s">
        <v>19219</v>
      </c>
      <c r="H1102" t="s">
        <v>19590</v>
      </c>
      <c r="I1102" t="s">
        <v>18780</v>
      </c>
      <c r="K1102" t="str">
        <f>HYPERLINK("http://tuberculist.epfl.ch/quicksearch.php?gene+name=Rv1070c&amp;submit=Search")</f>
        <v>http://tuberculist.epfl.ch/quicksearch.php?gene+name=Rv1070c&amp;submit=Search</v>
      </c>
    </row>
    <row r="1103" spans="1:11">
      <c r="A1103" t="s">
        <v>8268</v>
      </c>
      <c r="B1103" t="s">
        <v>2887</v>
      </c>
      <c r="C1103" t="s">
        <v>9567</v>
      </c>
      <c r="D1103" t="s">
        <v>10092</v>
      </c>
      <c r="E1103" t="s">
        <v>12070</v>
      </c>
      <c r="F1103" t="s">
        <v>12071</v>
      </c>
      <c r="G1103" t="s">
        <v>19219</v>
      </c>
      <c r="H1103" t="s">
        <v>19591</v>
      </c>
      <c r="I1103" t="s">
        <v>18781</v>
      </c>
      <c r="K1103" t="str">
        <f>HYPERLINK("http://tuberculist.epfl.ch/quicksearch.php?gene+name=Rv1071c&amp;submit=Search")</f>
        <v>http://tuberculist.epfl.ch/quicksearch.php?gene+name=Rv1071c&amp;submit=Search</v>
      </c>
    </row>
    <row r="1104" spans="1:11">
      <c r="A1104" t="s">
        <v>3425</v>
      </c>
      <c r="B1104" t="s">
        <v>3425</v>
      </c>
      <c r="C1104" t="s">
        <v>9567</v>
      </c>
      <c r="D1104" t="s">
        <v>9587</v>
      </c>
      <c r="E1104" t="s">
        <v>9597</v>
      </c>
      <c r="F1104" t="s">
        <v>12072</v>
      </c>
      <c r="G1104" t="s">
        <v>19188</v>
      </c>
      <c r="H1104" t="s">
        <v>19272</v>
      </c>
      <c r="I1104" t="s">
        <v>18845</v>
      </c>
      <c r="K1104" t="str">
        <f>HYPERLINK("http://tuberculist.epfl.ch/quicksearch.php?gene+name=Rv1072&amp;submit=Search")</f>
        <v>http://tuberculist.epfl.ch/quicksearch.php?gene+name=Rv1072&amp;submit=Search</v>
      </c>
    </row>
    <row r="1105" spans="1:11">
      <c r="A1105" t="s">
        <v>1962</v>
      </c>
      <c r="B1105" t="s">
        <v>1962</v>
      </c>
      <c r="C1105" t="s">
        <v>9567</v>
      </c>
      <c r="D1105" t="s">
        <v>9578</v>
      </c>
      <c r="E1105" t="s">
        <v>9579</v>
      </c>
      <c r="F1105" t="s">
        <v>12073</v>
      </c>
      <c r="G1105" t="s">
        <v>19212</v>
      </c>
      <c r="H1105" t="s">
        <v>19263</v>
      </c>
      <c r="I1105" t="s">
        <v>18789</v>
      </c>
      <c r="K1105" t="str">
        <f>HYPERLINK("http://tuberculist.epfl.ch/quicksearch.php?gene+name=Rv1073&amp;submit=Search")</f>
        <v>http://tuberculist.epfl.ch/quicksearch.php?gene+name=Rv1073&amp;submit=Search</v>
      </c>
    </row>
    <row r="1106" spans="1:11">
      <c r="A1106" t="s">
        <v>4944</v>
      </c>
      <c r="B1106" t="s">
        <v>1229</v>
      </c>
      <c r="C1106" t="s">
        <v>9567</v>
      </c>
      <c r="D1106" t="s">
        <v>12074</v>
      </c>
      <c r="E1106" t="s">
        <v>12075</v>
      </c>
      <c r="F1106" t="s">
        <v>12076</v>
      </c>
      <c r="G1106" t="s">
        <v>19219</v>
      </c>
      <c r="H1106" t="s">
        <v>19592</v>
      </c>
      <c r="I1106" t="s">
        <v>18780</v>
      </c>
      <c r="K1106" t="str">
        <f>HYPERLINK("http://tuberculist.epfl.ch/quicksearch.php?gene+name=Rv1074c&amp;submit=Search")</f>
        <v>http://tuberculist.epfl.ch/quicksearch.php?gene+name=Rv1074c&amp;submit=Search</v>
      </c>
    </row>
    <row r="1107" spans="1:11">
      <c r="A1107" t="s">
        <v>509</v>
      </c>
      <c r="B1107" t="s">
        <v>509</v>
      </c>
      <c r="C1107" t="s">
        <v>9567</v>
      </c>
      <c r="D1107" t="s">
        <v>9578</v>
      </c>
      <c r="E1107" t="s">
        <v>12077</v>
      </c>
      <c r="F1107" t="s">
        <v>12078</v>
      </c>
      <c r="G1107" t="s">
        <v>19188</v>
      </c>
      <c r="H1107" t="s">
        <v>19194</v>
      </c>
      <c r="I1107" t="s">
        <v>18789</v>
      </c>
      <c r="K1107" t="str">
        <f>HYPERLINK("http://tuberculist.epfl.ch/quicksearch.php?gene+name=Rv1075c&amp;submit=Search")</f>
        <v>http://tuberculist.epfl.ch/quicksearch.php?gene+name=Rv1075c&amp;submit=Search</v>
      </c>
    </row>
    <row r="1108" spans="1:11">
      <c r="A1108" t="s">
        <v>12079</v>
      </c>
      <c r="B1108" t="s">
        <v>12080</v>
      </c>
      <c r="C1108" t="s">
        <v>9567</v>
      </c>
      <c r="D1108" t="s">
        <v>12081</v>
      </c>
      <c r="E1108" t="s">
        <v>12082</v>
      </c>
      <c r="F1108" t="s">
        <v>12083</v>
      </c>
      <c r="G1108" t="s">
        <v>19195</v>
      </c>
      <c r="I1108" t="s">
        <v>18788</v>
      </c>
      <c r="J1108" t="s">
        <v>18775</v>
      </c>
      <c r="K1108" t="str">
        <f>HYPERLINK("http://tuberculist.epfl.ch/quicksearch.php?gene+name=Rv1076&amp;submit=Search")</f>
        <v>http://tuberculist.epfl.ch/quicksearch.php?gene+name=Rv1076&amp;submit=Search</v>
      </c>
    </row>
    <row r="1109" spans="1:11">
      <c r="A1109" t="s">
        <v>7603</v>
      </c>
      <c r="B1109" t="s">
        <v>2552</v>
      </c>
      <c r="C1109" t="s">
        <v>9567</v>
      </c>
      <c r="D1109" t="s">
        <v>12084</v>
      </c>
      <c r="E1109" t="s">
        <v>12085</v>
      </c>
      <c r="F1109" t="s">
        <v>12086</v>
      </c>
      <c r="G1109" t="s">
        <v>19195</v>
      </c>
      <c r="H1109" t="s">
        <v>19593</v>
      </c>
      <c r="I1109" t="s">
        <v>18780</v>
      </c>
      <c r="K1109" t="str">
        <f>HYPERLINK("http://tuberculist.epfl.ch/quicksearch.php?gene+name=Rv1077&amp;submit=Search")</f>
        <v>http://tuberculist.epfl.ch/quicksearch.php?gene+name=Rv1077&amp;submit=Search</v>
      </c>
    </row>
    <row r="1110" spans="1:11">
      <c r="A1110" t="s">
        <v>4492</v>
      </c>
      <c r="B1110" t="s">
        <v>1009</v>
      </c>
      <c r="C1110" t="s">
        <v>9567</v>
      </c>
      <c r="D1110" t="s">
        <v>9587</v>
      </c>
      <c r="E1110" t="s">
        <v>12087</v>
      </c>
      <c r="F1110" t="s">
        <v>12088</v>
      </c>
      <c r="G1110" t="s">
        <v>19210</v>
      </c>
      <c r="H1110" t="s">
        <v>19438</v>
      </c>
      <c r="I1110" t="s">
        <v>18795</v>
      </c>
      <c r="K1110" t="str">
        <f>HYPERLINK("http://tuberculist.epfl.ch/quicksearch.php?gene+name=Rv1078&amp;submit=Search")</f>
        <v>http://tuberculist.epfl.ch/quicksearch.php?gene+name=Rv1078&amp;submit=Search</v>
      </c>
    </row>
    <row r="1111" spans="1:11">
      <c r="A1111" t="s">
        <v>8313</v>
      </c>
      <c r="B1111" t="s">
        <v>2909</v>
      </c>
      <c r="C1111" t="s">
        <v>9567</v>
      </c>
      <c r="D1111" t="s">
        <v>12089</v>
      </c>
      <c r="E1111" t="s">
        <v>12090</v>
      </c>
      <c r="F1111" t="s">
        <v>12091</v>
      </c>
      <c r="G1111" t="s">
        <v>19195</v>
      </c>
      <c r="H1111" t="s">
        <v>19319</v>
      </c>
      <c r="I1111" t="s">
        <v>18925</v>
      </c>
      <c r="K1111" t="str">
        <f>HYPERLINK("http://tuberculist.epfl.ch/quicksearch.php?gene+name=Rv1079&amp;submit=Search")</f>
        <v>http://tuberculist.epfl.ch/quicksearch.php?gene+name=Rv1079&amp;submit=Search</v>
      </c>
    </row>
    <row r="1112" spans="1:11">
      <c r="A1112" t="s">
        <v>6643</v>
      </c>
      <c r="B1112" t="s">
        <v>2084</v>
      </c>
      <c r="C1112" t="s">
        <v>9567</v>
      </c>
      <c r="D1112" t="s">
        <v>12092</v>
      </c>
      <c r="E1112" t="s">
        <v>12093</v>
      </c>
      <c r="F1112" t="s">
        <v>12094</v>
      </c>
      <c r="G1112" t="s">
        <v>19181</v>
      </c>
      <c r="H1112" t="s">
        <v>19594</v>
      </c>
      <c r="I1112" t="s">
        <v>18788</v>
      </c>
      <c r="K1112" t="str">
        <f>HYPERLINK("http://tuberculist.epfl.ch/quicksearch.php?gene+name=Rv1080c&amp;submit=Search")</f>
        <v>http://tuberculist.epfl.ch/quicksearch.php?gene+name=Rv1080c&amp;submit=Search</v>
      </c>
    </row>
    <row r="1113" spans="1:11">
      <c r="A1113" t="s">
        <v>12095</v>
      </c>
      <c r="B1113" t="s">
        <v>12095</v>
      </c>
      <c r="C1113" t="s">
        <v>9567</v>
      </c>
      <c r="D1113" t="s">
        <v>9587</v>
      </c>
      <c r="E1113" t="s">
        <v>9595</v>
      </c>
      <c r="F1113" t="s">
        <v>12096</v>
      </c>
      <c r="G1113" t="s">
        <v>19188</v>
      </c>
      <c r="I1113" t="s">
        <v>18788</v>
      </c>
      <c r="K1113" t="str">
        <f>HYPERLINK("http://tuberculist.epfl.ch/quicksearch.php?gene+name=Rv1081c&amp;submit=Search")</f>
        <v>http://tuberculist.epfl.ch/quicksearch.php?gene+name=Rv1081c&amp;submit=Search</v>
      </c>
    </row>
    <row r="1114" spans="1:11">
      <c r="A1114" t="s">
        <v>3540</v>
      </c>
      <c r="B1114" t="s">
        <v>525</v>
      </c>
      <c r="C1114" t="s">
        <v>9567</v>
      </c>
      <c r="D1114" t="s">
        <v>12097</v>
      </c>
      <c r="E1114" t="s">
        <v>12098</v>
      </c>
      <c r="F1114" t="s">
        <v>12099</v>
      </c>
      <c r="G1114" t="s">
        <v>19206</v>
      </c>
      <c r="H1114" t="s">
        <v>19196</v>
      </c>
      <c r="I1114" t="s">
        <v>18780</v>
      </c>
      <c r="K1114" t="str">
        <f>HYPERLINK("http://tuberculist.epfl.ch/quicksearch.php?gene+name=Rv1082&amp;submit=Search")</f>
        <v>http://tuberculist.epfl.ch/quicksearch.php?gene+name=Rv1082&amp;submit=Search</v>
      </c>
    </row>
    <row r="1115" spans="1:11">
      <c r="A1115" t="s">
        <v>12100</v>
      </c>
      <c r="B1115" t="s">
        <v>12100</v>
      </c>
      <c r="C1115" t="s">
        <v>9567</v>
      </c>
      <c r="D1115" t="s">
        <v>9578</v>
      </c>
      <c r="E1115" t="s">
        <v>9579</v>
      </c>
      <c r="F1115" t="s">
        <v>12101</v>
      </c>
      <c r="G1115" t="s">
        <v>19298</v>
      </c>
      <c r="H1115" t="s">
        <v>19213</v>
      </c>
      <c r="I1115" t="s">
        <v>18773</v>
      </c>
      <c r="K1115" t="str">
        <f>HYPERLINK("http://tuberculist.epfl.ch/quicksearch.php?gene+name=Rv1083&amp;submit=Search")</f>
        <v>http://tuberculist.epfl.ch/quicksearch.php?gene+name=Rv1083&amp;submit=Search</v>
      </c>
    </row>
    <row r="1116" spans="1:11">
      <c r="A1116" t="s">
        <v>1151</v>
      </c>
      <c r="B1116" t="s">
        <v>1151</v>
      </c>
      <c r="C1116" t="s">
        <v>9567</v>
      </c>
      <c r="D1116" t="s">
        <v>9578</v>
      </c>
      <c r="E1116" t="s">
        <v>9665</v>
      </c>
      <c r="F1116" t="s">
        <v>12102</v>
      </c>
      <c r="G1116" t="s">
        <v>19204</v>
      </c>
      <c r="H1116" t="s">
        <v>19595</v>
      </c>
      <c r="I1116" t="s">
        <v>18781</v>
      </c>
      <c r="K1116" t="str">
        <f>HYPERLINK("http://tuberculist.epfl.ch/quicksearch.php?gene+name=Rv1084&amp;submit=Search")</f>
        <v>http://tuberculist.epfl.ch/quicksearch.php?gene+name=Rv1084&amp;submit=Search</v>
      </c>
    </row>
    <row r="1117" spans="1:11">
      <c r="A1117" t="s">
        <v>1247</v>
      </c>
      <c r="B1117" t="s">
        <v>1247</v>
      </c>
      <c r="C1117" t="s">
        <v>9567</v>
      </c>
      <c r="D1117" t="s">
        <v>12103</v>
      </c>
      <c r="E1117" t="s">
        <v>12104</v>
      </c>
      <c r="F1117" t="s">
        <v>12105</v>
      </c>
      <c r="G1117" t="s">
        <v>19206</v>
      </c>
      <c r="H1117" t="s">
        <v>19214</v>
      </c>
      <c r="I1117" t="s">
        <v>18779</v>
      </c>
      <c r="K1117" t="str">
        <f>HYPERLINK("http://tuberculist.epfl.ch/quicksearch.php?gene+name=Rv1085c&amp;submit=Search")</f>
        <v>http://tuberculist.epfl.ch/quicksearch.php?gene+name=Rv1085c&amp;submit=Search</v>
      </c>
    </row>
    <row r="1118" spans="1:11">
      <c r="A1118" t="s">
        <v>3040</v>
      </c>
      <c r="B1118" t="s">
        <v>3040</v>
      </c>
      <c r="C1118" t="s">
        <v>9567</v>
      </c>
      <c r="D1118" t="s">
        <v>12106</v>
      </c>
      <c r="E1118" t="s">
        <v>12107</v>
      </c>
      <c r="F1118" t="s">
        <v>12108</v>
      </c>
      <c r="G1118" t="s">
        <v>19188</v>
      </c>
      <c r="H1118" t="s">
        <v>19213</v>
      </c>
      <c r="I1118" t="s">
        <v>18788</v>
      </c>
      <c r="K1118" t="str">
        <f>HYPERLINK("http://tuberculist.epfl.ch/quicksearch.php?gene+name=Rv1086&amp;submit=Search")</f>
        <v>http://tuberculist.epfl.ch/quicksearch.php?gene+name=Rv1086&amp;submit=Search</v>
      </c>
    </row>
    <row r="1119" spans="1:11">
      <c r="A1119" t="s">
        <v>12109</v>
      </c>
      <c r="B1119" t="s">
        <v>12110</v>
      </c>
      <c r="C1119" t="s">
        <v>9567</v>
      </c>
      <c r="D1119" t="s">
        <v>9578</v>
      </c>
      <c r="E1119" t="s">
        <v>12111</v>
      </c>
      <c r="F1119" t="s">
        <v>12112</v>
      </c>
      <c r="G1119" t="s">
        <v>19262</v>
      </c>
      <c r="H1119" t="s">
        <v>19254</v>
      </c>
      <c r="I1119" t="s">
        <v>18793</v>
      </c>
      <c r="K1119" t="str">
        <f>HYPERLINK("http://tuberculist.epfl.ch/quicksearch.php?gene+name=Rv1087&amp;submit=Search")</f>
        <v>http://tuberculist.epfl.ch/quicksearch.php?gene+name=Rv1087&amp;submit=Search</v>
      </c>
    </row>
    <row r="1120" spans="1:11">
      <c r="A1120" t="s">
        <v>12113</v>
      </c>
      <c r="B1120" t="s">
        <v>12113</v>
      </c>
      <c r="C1120" t="s">
        <v>9567</v>
      </c>
      <c r="D1120" t="s">
        <v>9578</v>
      </c>
      <c r="E1120" t="s">
        <v>9579</v>
      </c>
      <c r="F1120" t="s">
        <v>12114</v>
      </c>
      <c r="G1120" t="s">
        <v>19188</v>
      </c>
      <c r="I1120" t="s">
        <v>18793</v>
      </c>
      <c r="K1120" t="str">
        <f>HYPERLINK("http://tuberculist.epfl.ch/quicksearch.php?gene+name=Rv1087A&amp;submit=Search")</f>
        <v>http://tuberculist.epfl.ch/quicksearch.php?gene+name=Rv1087A&amp;submit=Search</v>
      </c>
    </row>
    <row r="1121" spans="1:11">
      <c r="A1121" t="s">
        <v>12115</v>
      </c>
      <c r="B1121" t="s">
        <v>12116</v>
      </c>
      <c r="C1121" t="s">
        <v>9567</v>
      </c>
      <c r="D1121" t="s">
        <v>9578</v>
      </c>
      <c r="E1121" t="s">
        <v>12117</v>
      </c>
      <c r="F1121" t="s">
        <v>12118</v>
      </c>
      <c r="G1121" t="s">
        <v>19262</v>
      </c>
      <c r="H1121" t="s">
        <v>19596</v>
      </c>
      <c r="I1121" t="s">
        <v>18779</v>
      </c>
      <c r="K1121" t="str">
        <f>HYPERLINK("http://tuberculist.epfl.ch/quicksearch.php?gene+name=Rv1088&amp;submit=Search")</f>
        <v>http://tuberculist.epfl.ch/quicksearch.php?gene+name=Rv1088&amp;submit=Search</v>
      </c>
    </row>
    <row r="1122" spans="1:11">
      <c r="A1122" t="s">
        <v>12119</v>
      </c>
      <c r="B1122" t="s">
        <v>12120</v>
      </c>
      <c r="C1122" t="s">
        <v>9567</v>
      </c>
      <c r="D1122" t="s">
        <v>9578</v>
      </c>
      <c r="E1122" t="s">
        <v>12121</v>
      </c>
      <c r="F1122" t="s">
        <v>12122</v>
      </c>
      <c r="G1122" t="s">
        <v>19262</v>
      </c>
      <c r="I1122" t="s">
        <v>18780</v>
      </c>
      <c r="J1122" t="s">
        <v>18809</v>
      </c>
      <c r="K1122" t="str">
        <f>HYPERLINK("http://tuberculist.epfl.ch/quicksearch.php?gene+name=Rv1089&amp;submit=Search")</f>
        <v>http://tuberculist.epfl.ch/quicksearch.php?gene+name=Rv1089&amp;submit=Search</v>
      </c>
    </row>
    <row r="1123" spans="1:11">
      <c r="A1123" t="s">
        <v>12123</v>
      </c>
      <c r="B1123" t="s">
        <v>12124</v>
      </c>
      <c r="C1123" t="s">
        <v>9567</v>
      </c>
      <c r="D1123" t="s">
        <v>9722</v>
      </c>
      <c r="E1123" t="s">
        <v>12125</v>
      </c>
      <c r="F1123" t="s">
        <v>12126</v>
      </c>
      <c r="G1123" t="s">
        <v>19195</v>
      </c>
      <c r="I1123" t="s">
        <v>18793</v>
      </c>
      <c r="K1123" t="str">
        <f>HYPERLINK("http://tuberculist.epfl.ch/quicksearch.php?gene+name=Rv1089A&amp;submit=Search")</f>
        <v>http://tuberculist.epfl.ch/quicksearch.php?gene+name=Rv1089A&amp;submit=Search</v>
      </c>
    </row>
    <row r="1124" spans="1:11">
      <c r="A1124" t="s">
        <v>12127</v>
      </c>
      <c r="B1124" t="s">
        <v>12128</v>
      </c>
      <c r="C1124" t="s">
        <v>9567</v>
      </c>
      <c r="D1124" t="s">
        <v>9722</v>
      </c>
      <c r="E1124" t="s">
        <v>12129</v>
      </c>
      <c r="F1124" t="s">
        <v>12130</v>
      </c>
      <c r="G1124" t="s">
        <v>19195</v>
      </c>
      <c r="I1124" t="s">
        <v>18780</v>
      </c>
      <c r="K1124" t="str">
        <f>HYPERLINK("http://tuberculist.epfl.ch/quicksearch.php?gene+name=Rv1090&amp;submit=Search")</f>
        <v>http://tuberculist.epfl.ch/quicksearch.php?gene+name=Rv1090&amp;submit=Search</v>
      </c>
    </row>
    <row r="1125" spans="1:11">
      <c r="A1125" t="s">
        <v>5251</v>
      </c>
      <c r="B1125" t="s">
        <v>1377</v>
      </c>
      <c r="C1125" t="s">
        <v>9567</v>
      </c>
      <c r="D1125" t="s">
        <v>9578</v>
      </c>
      <c r="E1125" t="s">
        <v>12131</v>
      </c>
      <c r="F1125" t="s">
        <v>12132</v>
      </c>
      <c r="G1125" t="s">
        <v>19262</v>
      </c>
      <c r="H1125" t="s">
        <v>19267</v>
      </c>
      <c r="I1125" t="s">
        <v>18773</v>
      </c>
      <c r="K1125" t="str">
        <f>HYPERLINK("http://tuberculist.epfl.ch/quicksearch.php?gene+name=Rv1091&amp;submit=Search")</f>
        <v>http://tuberculist.epfl.ch/quicksearch.php?gene+name=Rv1091&amp;submit=Search</v>
      </c>
    </row>
    <row r="1126" spans="1:11">
      <c r="A1126" t="s">
        <v>8610</v>
      </c>
      <c r="B1126" t="s">
        <v>3046</v>
      </c>
      <c r="C1126" t="s">
        <v>9567</v>
      </c>
      <c r="D1126" t="s">
        <v>12133</v>
      </c>
      <c r="E1126" t="s">
        <v>12134</v>
      </c>
      <c r="F1126" t="s">
        <v>12135</v>
      </c>
      <c r="G1126" t="s">
        <v>19195</v>
      </c>
      <c r="H1126" t="s">
        <v>19597</v>
      </c>
      <c r="I1126" t="s">
        <v>18885</v>
      </c>
      <c r="K1126" t="str">
        <f>HYPERLINK("http://tuberculist.epfl.ch/quicksearch.php?gene+name=Rv1092c&amp;submit=Search")</f>
        <v>http://tuberculist.epfl.ch/quicksearch.php?gene+name=Rv1092c&amp;submit=Search</v>
      </c>
    </row>
    <row r="1127" spans="1:11">
      <c r="A1127" t="s">
        <v>12136</v>
      </c>
      <c r="B1127" t="s">
        <v>3357</v>
      </c>
      <c r="C1127" t="s">
        <v>9567</v>
      </c>
      <c r="D1127" t="s">
        <v>12137</v>
      </c>
      <c r="E1127" t="s">
        <v>12138</v>
      </c>
      <c r="F1127" t="s">
        <v>12139</v>
      </c>
      <c r="G1127" t="s">
        <v>19195</v>
      </c>
      <c r="H1127" t="s">
        <v>19598</v>
      </c>
      <c r="I1127" t="s">
        <v>18776</v>
      </c>
      <c r="K1127" t="str">
        <f>HYPERLINK("http://tuberculist.epfl.ch/quicksearch.php?gene+name=Rv1093&amp;submit=Search")</f>
        <v>http://tuberculist.epfl.ch/quicksearch.php?gene+name=Rv1093&amp;submit=Search</v>
      </c>
    </row>
    <row r="1128" spans="1:11">
      <c r="A1128" t="s">
        <v>9077</v>
      </c>
      <c r="B1128" t="s">
        <v>3267</v>
      </c>
      <c r="C1128" t="s">
        <v>9567</v>
      </c>
      <c r="D1128" t="s">
        <v>12140</v>
      </c>
      <c r="E1128" t="s">
        <v>12141</v>
      </c>
      <c r="F1128" t="s">
        <v>12142</v>
      </c>
      <c r="G1128" t="s">
        <v>19219</v>
      </c>
      <c r="H1128" t="s">
        <v>19599</v>
      </c>
      <c r="I1128" t="s">
        <v>18774</v>
      </c>
      <c r="K1128" t="str">
        <f>HYPERLINK("http://tuberculist.epfl.ch/quicksearch.php?gene+name=Rv1094&amp;submit=Search")</f>
        <v>http://tuberculist.epfl.ch/quicksearch.php?gene+name=Rv1094&amp;submit=Search</v>
      </c>
    </row>
    <row r="1129" spans="1:11">
      <c r="A1129" t="s">
        <v>8501</v>
      </c>
      <c r="B1129" t="s">
        <v>2996</v>
      </c>
      <c r="C1129" t="s">
        <v>9567</v>
      </c>
      <c r="D1129" t="s">
        <v>9587</v>
      </c>
      <c r="E1129" t="s">
        <v>12143</v>
      </c>
      <c r="F1129" t="s">
        <v>12144</v>
      </c>
      <c r="G1129" t="s">
        <v>19195</v>
      </c>
      <c r="H1129" t="s">
        <v>19600</v>
      </c>
      <c r="I1129" t="s">
        <v>18780</v>
      </c>
      <c r="K1129" t="str">
        <f>HYPERLINK("http://tuberculist.epfl.ch/quicksearch.php?gene+name=Rv1095&amp;submit=Search")</f>
        <v>http://tuberculist.epfl.ch/quicksearch.php?gene+name=Rv1095&amp;submit=Search</v>
      </c>
    </row>
    <row r="1130" spans="1:11">
      <c r="A1130" t="s">
        <v>1663</v>
      </c>
      <c r="B1130" t="s">
        <v>1663</v>
      </c>
      <c r="C1130" t="s">
        <v>9567</v>
      </c>
      <c r="D1130" t="s">
        <v>12145</v>
      </c>
      <c r="E1130" t="s">
        <v>12146</v>
      </c>
      <c r="F1130" t="s">
        <v>12147</v>
      </c>
      <c r="G1130" t="s">
        <v>19195</v>
      </c>
      <c r="H1130" t="s">
        <v>19601</v>
      </c>
      <c r="I1130" t="s">
        <v>18926</v>
      </c>
      <c r="K1130" t="str">
        <f>HYPERLINK("http://tuberculist.epfl.ch/quicksearch.php?gene+name=Rv1096&amp;submit=Search")</f>
        <v>http://tuberculist.epfl.ch/quicksearch.php?gene+name=Rv1096&amp;submit=Search</v>
      </c>
    </row>
    <row r="1131" spans="1:11">
      <c r="A1131" t="s">
        <v>2601</v>
      </c>
      <c r="B1131" t="s">
        <v>2601</v>
      </c>
      <c r="C1131" t="s">
        <v>9567</v>
      </c>
      <c r="D1131" t="s">
        <v>9587</v>
      </c>
      <c r="E1131" t="s">
        <v>12148</v>
      </c>
      <c r="F1131" t="s">
        <v>12149</v>
      </c>
      <c r="G1131" t="s">
        <v>19188</v>
      </c>
      <c r="H1131" t="s">
        <v>19602</v>
      </c>
      <c r="I1131" t="s">
        <v>18779</v>
      </c>
      <c r="K1131" t="str">
        <f>HYPERLINK("http://tuberculist.epfl.ch/quicksearch.php?gene+name=Rv1097c&amp;submit=Search")</f>
        <v>http://tuberculist.epfl.ch/quicksearch.php?gene+name=Rv1097c&amp;submit=Search</v>
      </c>
    </row>
    <row r="1132" spans="1:11">
      <c r="A1132" t="s">
        <v>12150</v>
      </c>
      <c r="B1132" t="s">
        <v>1814</v>
      </c>
      <c r="C1132" t="s">
        <v>9567</v>
      </c>
      <c r="D1132" t="s">
        <v>12151</v>
      </c>
      <c r="E1132" t="s">
        <v>12152</v>
      </c>
      <c r="F1132" t="s">
        <v>12153</v>
      </c>
      <c r="G1132" t="s">
        <v>19195</v>
      </c>
      <c r="H1132" t="s">
        <v>19603</v>
      </c>
      <c r="I1132" t="s">
        <v>18774</v>
      </c>
      <c r="K1132" t="str">
        <f>HYPERLINK("http://tuberculist.epfl.ch/quicksearch.php?gene+name=Rv1098c&amp;submit=Search")</f>
        <v>http://tuberculist.epfl.ch/quicksearch.php?gene+name=Rv1098c&amp;submit=Search</v>
      </c>
    </row>
    <row r="1133" spans="1:11">
      <c r="A1133" t="s">
        <v>6445</v>
      </c>
      <c r="B1133" t="s">
        <v>1973</v>
      </c>
      <c r="C1133" t="s">
        <v>9567</v>
      </c>
      <c r="D1133" t="s">
        <v>12154</v>
      </c>
      <c r="E1133" t="s">
        <v>12155</v>
      </c>
      <c r="F1133" t="s">
        <v>12156</v>
      </c>
      <c r="G1133" t="s">
        <v>19195</v>
      </c>
      <c r="H1133" t="s">
        <v>19604</v>
      </c>
      <c r="I1133" t="s">
        <v>18846</v>
      </c>
      <c r="K1133" t="str">
        <f>HYPERLINK("http://tuberculist.epfl.ch/quicksearch.php?gene+name=Rv1099c&amp;submit=Search")</f>
        <v>http://tuberculist.epfl.ch/quicksearch.php?gene+name=Rv1099c&amp;submit=Search</v>
      </c>
    </row>
    <row r="1134" spans="1:11">
      <c r="A1134" t="s">
        <v>934</v>
      </c>
      <c r="B1134" t="s">
        <v>934</v>
      </c>
      <c r="C1134" t="s">
        <v>9567</v>
      </c>
      <c r="D1134" t="s">
        <v>9578</v>
      </c>
      <c r="E1134" t="s">
        <v>9665</v>
      </c>
      <c r="F1134" t="s">
        <v>12157</v>
      </c>
      <c r="G1134" t="s">
        <v>19212</v>
      </c>
      <c r="H1134" t="s">
        <v>19233</v>
      </c>
      <c r="I1134" t="s">
        <v>18859</v>
      </c>
      <c r="K1134" t="str">
        <f>HYPERLINK("http://tuberculist.epfl.ch/quicksearch.php?gene+name=Rv1100&amp;submit=Search")</f>
        <v>http://tuberculist.epfl.ch/quicksearch.php?gene+name=Rv1100&amp;submit=Search</v>
      </c>
    </row>
    <row r="1135" spans="1:11">
      <c r="A1135" t="s">
        <v>2348</v>
      </c>
      <c r="B1135" t="s">
        <v>2348</v>
      </c>
      <c r="C1135" t="s">
        <v>9567</v>
      </c>
      <c r="D1135" t="s">
        <v>9587</v>
      </c>
      <c r="E1135" t="s">
        <v>11913</v>
      </c>
      <c r="F1135" t="s">
        <v>12158</v>
      </c>
      <c r="G1135" t="s">
        <v>19188</v>
      </c>
      <c r="H1135" t="s">
        <v>19605</v>
      </c>
      <c r="I1135" t="s">
        <v>18780</v>
      </c>
      <c r="K1135" t="str">
        <f>HYPERLINK("http://tuberculist.epfl.ch/quicksearch.php?gene+name=Rv1101c&amp;submit=Search")</f>
        <v>http://tuberculist.epfl.ch/quicksearch.php?gene+name=Rv1101c&amp;submit=Search</v>
      </c>
    </row>
    <row r="1136" spans="1:11">
      <c r="A1136" t="s">
        <v>12159</v>
      </c>
      <c r="B1136" t="s">
        <v>12160</v>
      </c>
      <c r="C1136" t="s">
        <v>9567</v>
      </c>
      <c r="D1136" t="s">
        <v>12161</v>
      </c>
      <c r="E1136" t="s">
        <v>12162</v>
      </c>
      <c r="F1136" t="s">
        <v>12163</v>
      </c>
      <c r="G1136" t="s">
        <v>19206</v>
      </c>
      <c r="I1136" t="s">
        <v>18789</v>
      </c>
      <c r="K1136" t="str">
        <f>HYPERLINK("http://tuberculist.epfl.ch/quicksearch.php?gene+name=Rv1102c&amp;submit=Search")</f>
        <v>http://tuberculist.epfl.ch/quicksearch.php?gene+name=Rv1102c&amp;submit=Search</v>
      </c>
    </row>
    <row r="1137" spans="1:11">
      <c r="A1137" t="s">
        <v>12164</v>
      </c>
      <c r="B1137" t="s">
        <v>972</v>
      </c>
      <c r="C1137" t="s">
        <v>9567</v>
      </c>
      <c r="D1137" t="s">
        <v>9578</v>
      </c>
      <c r="E1137" t="s">
        <v>12165</v>
      </c>
      <c r="F1137" t="s">
        <v>12166</v>
      </c>
      <c r="G1137" t="s">
        <v>19206</v>
      </c>
      <c r="H1137" t="s">
        <v>19213</v>
      </c>
      <c r="I1137" t="s">
        <v>18780</v>
      </c>
      <c r="K1137" t="str">
        <f>HYPERLINK("http://tuberculist.epfl.ch/quicksearch.php?gene+name=Rv1103c&amp;submit=Search")</f>
        <v>http://tuberculist.epfl.ch/quicksearch.php?gene+name=Rv1103c&amp;submit=Search</v>
      </c>
    </row>
    <row r="1138" spans="1:11">
      <c r="A1138" t="s">
        <v>2681</v>
      </c>
      <c r="B1138" t="s">
        <v>2681</v>
      </c>
      <c r="C1138" t="s">
        <v>9567</v>
      </c>
      <c r="D1138" t="s">
        <v>12167</v>
      </c>
      <c r="E1138" t="s">
        <v>12168</v>
      </c>
      <c r="F1138" t="s">
        <v>12169</v>
      </c>
      <c r="G1138" t="s">
        <v>19195</v>
      </c>
      <c r="I1138" t="s">
        <v>18779</v>
      </c>
      <c r="K1138" t="str">
        <f>HYPERLINK("http://tuberculist.epfl.ch/quicksearch.php?gene+name=Rv1104&amp;submit=Search")</f>
        <v>http://tuberculist.epfl.ch/quicksearch.php?gene+name=Rv1104&amp;submit=Search</v>
      </c>
    </row>
    <row r="1139" spans="1:11">
      <c r="A1139" t="s">
        <v>12170</v>
      </c>
      <c r="B1139" t="s">
        <v>12170</v>
      </c>
      <c r="C1139" t="s">
        <v>9567</v>
      </c>
      <c r="D1139" t="s">
        <v>12171</v>
      </c>
      <c r="E1139" t="s">
        <v>12168</v>
      </c>
      <c r="F1139" t="s">
        <v>12172</v>
      </c>
      <c r="G1139" t="s">
        <v>19195</v>
      </c>
      <c r="I1139" t="s">
        <v>18780</v>
      </c>
      <c r="K1139" t="str">
        <f>HYPERLINK("http://tuberculist.epfl.ch/quicksearch.php?gene+name=Rv1105&amp;submit=Search")</f>
        <v>http://tuberculist.epfl.ch/quicksearch.php?gene+name=Rv1105&amp;submit=Search</v>
      </c>
    </row>
    <row r="1140" spans="1:11">
      <c r="A1140" t="s">
        <v>3147</v>
      </c>
      <c r="B1140" t="s">
        <v>3147</v>
      </c>
      <c r="C1140" t="s">
        <v>9567</v>
      </c>
      <c r="D1140" t="s">
        <v>12173</v>
      </c>
      <c r="E1140" t="s">
        <v>12174</v>
      </c>
      <c r="F1140" t="s">
        <v>12175</v>
      </c>
      <c r="G1140" t="s">
        <v>19195</v>
      </c>
      <c r="H1140" t="s">
        <v>19606</v>
      </c>
      <c r="I1140" t="s">
        <v>18789</v>
      </c>
      <c r="J1140" t="s">
        <v>18927</v>
      </c>
      <c r="K1140" t="str">
        <f>HYPERLINK("http://tuberculist.epfl.ch/quicksearch.php?gene+name=Rv1106c&amp;submit=Search")</f>
        <v>http://tuberculist.epfl.ch/quicksearch.php?gene+name=Rv1106c&amp;submit=Search</v>
      </c>
    </row>
    <row r="1141" spans="1:11">
      <c r="A1141" t="s">
        <v>12176</v>
      </c>
      <c r="B1141" t="s">
        <v>12177</v>
      </c>
      <c r="C1141" t="s">
        <v>9567</v>
      </c>
      <c r="D1141" t="s">
        <v>12178</v>
      </c>
      <c r="E1141" t="s">
        <v>12179</v>
      </c>
      <c r="F1141" t="s">
        <v>12180</v>
      </c>
      <c r="G1141" t="s">
        <v>19181</v>
      </c>
      <c r="I1141" t="s">
        <v>18789</v>
      </c>
      <c r="K1141" t="str">
        <f>HYPERLINK("http://tuberculist.epfl.ch/quicksearch.php?gene+name=Rv1107c&amp;submit=Search")</f>
        <v>http://tuberculist.epfl.ch/quicksearch.php?gene+name=Rv1107c&amp;submit=Search</v>
      </c>
    </row>
    <row r="1142" spans="1:11">
      <c r="A1142" t="s">
        <v>3872</v>
      </c>
      <c r="B1142" t="s">
        <v>691</v>
      </c>
      <c r="C1142" t="s">
        <v>9567</v>
      </c>
      <c r="D1142" t="s">
        <v>12181</v>
      </c>
      <c r="E1142" t="s">
        <v>12182</v>
      </c>
      <c r="F1142" t="s">
        <v>12183</v>
      </c>
      <c r="G1142" t="s">
        <v>19181</v>
      </c>
      <c r="H1142" t="s">
        <v>19205</v>
      </c>
      <c r="I1142" t="s">
        <v>18793</v>
      </c>
      <c r="K1142" t="str">
        <f>HYPERLINK("http://tuberculist.epfl.ch/quicksearch.php?gene+name=Rv1108c&amp;submit=Search")</f>
        <v>http://tuberculist.epfl.ch/quicksearch.php?gene+name=Rv1108c&amp;submit=Search</v>
      </c>
    </row>
    <row r="1143" spans="1:11">
      <c r="A1143" t="s">
        <v>2834</v>
      </c>
      <c r="B1143" t="s">
        <v>2834</v>
      </c>
      <c r="C1143" t="s">
        <v>9567</v>
      </c>
      <c r="D1143" t="s">
        <v>9578</v>
      </c>
      <c r="E1143" t="s">
        <v>9665</v>
      </c>
      <c r="F1143" t="s">
        <v>12184</v>
      </c>
      <c r="G1143" t="s">
        <v>19185</v>
      </c>
      <c r="H1143" t="s">
        <v>19607</v>
      </c>
      <c r="I1143" t="s">
        <v>18853</v>
      </c>
      <c r="K1143" t="str">
        <f>HYPERLINK("http://tuberculist.epfl.ch/quicksearch.php?gene+name=Rv1109c&amp;submit=Search")</f>
        <v>http://tuberculist.epfl.ch/quicksearch.php?gene+name=Rv1109c&amp;submit=Search</v>
      </c>
    </row>
    <row r="1144" spans="1:11">
      <c r="A1144" t="s">
        <v>12185</v>
      </c>
      <c r="B1144" t="s">
        <v>3145</v>
      </c>
      <c r="C1144" t="s">
        <v>9567</v>
      </c>
      <c r="D1144" t="s">
        <v>12186</v>
      </c>
      <c r="E1144" t="s">
        <v>12187</v>
      </c>
      <c r="F1144" t="s">
        <v>12188</v>
      </c>
      <c r="G1144" t="s">
        <v>19188</v>
      </c>
      <c r="H1144" t="s">
        <v>19192</v>
      </c>
      <c r="I1144" t="s">
        <v>18776</v>
      </c>
      <c r="K1144" t="str">
        <f>HYPERLINK("http://tuberculist.epfl.ch/quicksearch.php?gene+name=Rv1110&amp;submit=Search")</f>
        <v>http://tuberculist.epfl.ch/quicksearch.php?gene+name=Rv1110&amp;submit=Search</v>
      </c>
    </row>
    <row r="1145" spans="1:11">
      <c r="A1145" t="s">
        <v>1741</v>
      </c>
      <c r="B1145" t="s">
        <v>1741</v>
      </c>
      <c r="C1145" t="s">
        <v>9567</v>
      </c>
      <c r="D1145" t="s">
        <v>9578</v>
      </c>
      <c r="E1145" t="s">
        <v>9579</v>
      </c>
      <c r="F1145" t="s">
        <v>12189</v>
      </c>
      <c r="G1145" t="s">
        <v>19212</v>
      </c>
      <c r="I1145" t="s">
        <v>18928</v>
      </c>
      <c r="K1145" t="str">
        <f>HYPERLINK("http://tuberculist.epfl.ch/quicksearch.php?gene+name=Rv1111c&amp;submit=Search")</f>
        <v>http://tuberculist.epfl.ch/quicksearch.php?gene+name=Rv1111c&amp;submit=Search</v>
      </c>
    </row>
    <row r="1146" spans="1:11">
      <c r="A1146" t="s">
        <v>3212</v>
      </c>
      <c r="B1146" t="s">
        <v>3212</v>
      </c>
      <c r="C1146" t="s">
        <v>9567</v>
      </c>
      <c r="D1146" t="s">
        <v>9587</v>
      </c>
      <c r="E1146" t="s">
        <v>12190</v>
      </c>
      <c r="F1146" t="s">
        <v>12191</v>
      </c>
      <c r="G1146" t="s">
        <v>19204</v>
      </c>
      <c r="H1146" t="s">
        <v>19561</v>
      </c>
      <c r="I1146" t="s">
        <v>18777</v>
      </c>
      <c r="K1146" t="str">
        <f>HYPERLINK("http://tuberculist.epfl.ch/quicksearch.php?gene+name=Rv1112&amp;submit=Search")</f>
        <v>http://tuberculist.epfl.ch/quicksearch.php?gene+name=Rv1112&amp;submit=Search</v>
      </c>
    </row>
    <row r="1147" spans="1:11">
      <c r="A1147" t="s">
        <v>12192</v>
      </c>
      <c r="B1147" t="s">
        <v>12193</v>
      </c>
      <c r="C1147" t="s">
        <v>9567</v>
      </c>
      <c r="D1147" t="s">
        <v>9587</v>
      </c>
      <c r="E1147" t="s">
        <v>12194</v>
      </c>
      <c r="F1147" t="s">
        <v>12195</v>
      </c>
      <c r="G1147" t="s">
        <v>19206</v>
      </c>
      <c r="H1147" t="s">
        <v>19213</v>
      </c>
      <c r="I1147" t="s">
        <v>18779</v>
      </c>
      <c r="K1147" t="str">
        <f>HYPERLINK("http://tuberculist.epfl.ch/quicksearch.php?gene+name=Rv1113&amp;submit=Search")</f>
        <v>http://tuberculist.epfl.ch/quicksearch.php?gene+name=Rv1113&amp;submit=Search</v>
      </c>
    </row>
    <row r="1148" spans="1:11">
      <c r="A1148" t="s">
        <v>12196</v>
      </c>
      <c r="B1148" t="s">
        <v>12197</v>
      </c>
      <c r="C1148" t="s">
        <v>9567</v>
      </c>
      <c r="D1148" t="s">
        <v>9587</v>
      </c>
      <c r="E1148" t="s">
        <v>12198</v>
      </c>
      <c r="F1148" t="s">
        <v>12199</v>
      </c>
      <c r="G1148" t="s">
        <v>19206</v>
      </c>
      <c r="H1148" t="s">
        <v>19334</v>
      </c>
      <c r="I1148" t="s">
        <v>18780</v>
      </c>
      <c r="K1148" t="str">
        <f>HYPERLINK("http://tuberculist.epfl.ch/quicksearch.php?gene+name=Rv1114&amp;submit=Search")</f>
        <v>http://tuberculist.epfl.ch/quicksearch.php?gene+name=Rv1114&amp;submit=Search</v>
      </c>
    </row>
    <row r="1149" spans="1:11">
      <c r="A1149" t="s">
        <v>12200</v>
      </c>
      <c r="B1149" t="s">
        <v>12200</v>
      </c>
      <c r="C1149" t="s">
        <v>9567</v>
      </c>
      <c r="D1149" t="s">
        <v>9587</v>
      </c>
      <c r="E1149" t="s">
        <v>10054</v>
      </c>
      <c r="F1149" t="s">
        <v>12201</v>
      </c>
      <c r="G1149" t="s">
        <v>19188</v>
      </c>
      <c r="I1149" t="s">
        <v>18929</v>
      </c>
      <c r="K1149" t="str">
        <f>HYPERLINK("http://tuberculist.epfl.ch/quicksearch.php?gene+name=Rv1115&amp;submit=Search")</f>
        <v>http://tuberculist.epfl.ch/quicksearch.php?gene+name=Rv1115&amp;submit=Search</v>
      </c>
    </row>
    <row r="1150" spans="1:11">
      <c r="A1150" t="s">
        <v>12202</v>
      </c>
      <c r="B1150" t="s">
        <v>12202</v>
      </c>
      <c r="C1150" t="s">
        <v>9567</v>
      </c>
      <c r="D1150" t="s">
        <v>9587</v>
      </c>
      <c r="E1150" t="s">
        <v>9713</v>
      </c>
      <c r="F1150" t="s">
        <v>12203</v>
      </c>
      <c r="G1150" t="s">
        <v>19212</v>
      </c>
      <c r="I1150" t="s">
        <v>18779</v>
      </c>
      <c r="J1150" t="s">
        <v>18844</v>
      </c>
      <c r="K1150" t="str">
        <f>HYPERLINK("http://tuberculist.epfl.ch/quicksearch.php?gene+name=Rv1116&amp;submit=Search")</f>
        <v>http://tuberculist.epfl.ch/quicksearch.php?gene+name=Rv1116&amp;submit=Search</v>
      </c>
    </row>
    <row r="1151" spans="1:11">
      <c r="A1151" t="s">
        <v>12204</v>
      </c>
      <c r="B1151" t="s">
        <v>12204</v>
      </c>
      <c r="C1151" t="s">
        <v>9567</v>
      </c>
      <c r="D1151" t="s">
        <v>9578</v>
      </c>
      <c r="E1151" t="s">
        <v>12205</v>
      </c>
      <c r="F1151" t="s">
        <v>12206</v>
      </c>
      <c r="G1151" t="s">
        <v>19212</v>
      </c>
      <c r="I1151" t="s">
        <v>18773</v>
      </c>
      <c r="K1151" t="str">
        <f>HYPERLINK("http://tuberculist.epfl.ch/quicksearch.php?gene+name=Rv1116A&amp;submit=Search")</f>
        <v>http://tuberculist.epfl.ch/quicksearch.php?gene+name=Rv1116A&amp;submit=Search</v>
      </c>
    </row>
    <row r="1152" spans="1:11">
      <c r="A1152" t="s">
        <v>2144</v>
      </c>
      <c r="B1152" t="s">
        <v>2144</v>
      </c>
      <c r="C1152" t="s">
        <v>9567</v>
      </c>
      <c r="D1152" t="s">
        <v>9578</v>
      </c>
      <c r="E1152" t="s">
        <v>9665</v>
      </c>
      <c r="F1152" t="s">
        <v>12207</v>
      </c>
      <c r="G1152" t="s">
        <v>19208</v>
      </c>
      <c r="H1152" t="s">
        <v>19233</v>
      </c>
      <c r="I1152" t="s">
        <v>18780</v>
      </c>
      <c r="K1152" t="str">
        <f>HYPERLINK("http://tuberculist.epfl.ch/quicksearch.php?gene+name=Rv1117&amp;submit=Search")</f>
        <v>http://tuberculist.epfl.ch/quicksearch.php?gene+name=Rv1117&amp;submit=Search</v>
      </c>
    </row>
    <row r="1153" spans="1:11">
      <c r="A1153" t="s">
        <v>721</v>
      </c>
      <c r="B1153" t="s">
        <v>721</v>
      </c>
      <c r="C1153" t="s">
        <v>9567</v>
      </c>
      <c r="D1153" t="s">
        <v>9578</v>
      </c>
      <c r="E1153" t="s">
        <v>9665</v>
      </c>
      <c r="F1153" t="s">
        <v>12208</v>
      </c>
      <c r="G1153" t="s">
        <v>19212</v>
      </c>
      <c r="H1153" t="s">
        <v>19196</v>
      </c>
      <c r="I1153" t="s">
        <v>18780</v>
      </c>
      <c r="K1153" t="str">
        <f>HYPERLINK("http://tuberculist.epfl.ch/quicksearch.php?gene+name=Rv1118c&amp;submit=Search")</f>
        <v>http://tuberculist.epfl.ch/quicksearch.php?gene+name=Rv1118c&amp;submit=Search</v>
      </c>
    </row>
    <row r="1154" spans="1:11">
      <c r="A1154" t="s">
        <v>12209</v>
      </c>
      <c r="B1154" t="s">
        <v>12209</v>
      </c>
      <c r="C1154" t="s">
        <v>9567</v>
      </c>
      <c r="D1154" t="s">
        <v>9587</v>
      </c>
      <c r="E1154" t="s">
        <v>9713</v>
      </c>
      <c r="F1154" t="s">
        <v>12210</v>
      </c>
      <c r="G1154" t="s">
        <v>19212</v>
      </c>
      <c r="I1154" t="s">
        <v>18779</v>
      </c>
      <c r="K1154" t="str">
        <f>HYPERLINK("http://tuberculist.epfl.ch/quicksearch.php?gene+name=Rv1119c&amp;submit=Search")</f>
        <v>http://tuberculist.epfl.ch/quicksearch.php?gene+name=Rv1119c&amp;submit=Search</v>
      </c>
    </row>
    <row r="1155" spans="1:11">
      <c r="A1155" t="s">
        <v>12211</v>
      </c>
      <c r="B1155" t="s">
        <v>12211</v>
      </c>
      <c r="C1155" t="s">
        <v>9567</v>
      </c>
      <c r="D1155" t="s">
        <v>9578</v>
      </c>
      <c r="E1155" t="s">
        <v>9579</v>
      </c>
      <c r="F1155" t="s">
        <v>12212</v>
      </c>
      <c r="G1155" t="s">
        <v>19204</v>
      </c>
      <c r="I1155" t="s">
        <v>18860</v>
      </c>
      <c r="K1155" t="str">
        <f>HYPERLINK("http://tuberculist.epfl.ch/quicksearch.php?gene+name=Rv1120c&amp;submit=Search")</f>
        <v>http://tuberculist.epfl.ch/quicksearch.php?gene+name=Rv1120c&amp;submit=Search</v>
      </c>
    </row>
    <row r="1156" spans="1:11">
      <c r="A1156" t="s">
        <v>8515</v>
      </c>
      <c r="B1156" t="s">
        <v>3003</v>
      </c>
      <c r="C1156" t="s">
        <v>9567</v>
      </c>
      <c r="D1156" t="s">
        <v>12213</v>
      </c>
      <c r="E1156" t="s">
        <v>12214</v>
      </c>
      <c r="F1156" t="s">
        <v>12215</v>
      </c>
      <c r="G1156" t="s">
        <v>19195</v>
      </c>
      <c r="H1156" t="s">
        <v>19403</v>
      </c>
      <c r="I1156" t="s">
        <v>18860</v>
      </c>
      <c r="K1156" t="str">
        <f>HYPERLINK("http://tuberculist.epfl.ch/quicksearch.php?gene+name=Rv1121&amp;submit=Search")</f>
        <v>http://tuberculist.epfl.ch/quicksearch.php?gene+name=Rv1121&amp;submit=Search</v>
      </c>
    </row>
    <row r="1157" spans="1:11">
      <c r="A1157" t="s">
        <v>4744</v>
      </c>
      <c r="B1157" t="s">
        <v>1132</v>
      </c>
      <c r="C1157" t="s">
        <v>9567</v>
      </c>
      <c r="D1157" t="s">
        <v>12216</v>
      </c>
      <c r="E1157" t="s">
        <v>12217</v>
      </c>
      <c r="F1157" t="s">
        <v>12218</v>
      </c>
      <c r="G1157" t="s">
        <v>19195</v>
      </c>
      <c r="H1157" t="s">
        <v>19608</v>
      </c>
      <c r="I1157" t="s">
        <v>18774</v>
      </c>
      <c r="K1157" t="str">
        <f>HYPERLINK("http://tuberculist.epfl.ch/quicksearch.php?gene+name=Rv1122&amp;submit=Search")</f>
        <v>http://tuberculist.epfl.ch/quicksearch.php?gene+name=Rv1122&amp;submit=Search</v>
      </c>
    </row>
    <row r="1158" spans="1:11">
      <c r="A1158" t="s">
        <v>5495</v>
      </c>
      <c r="B1158" t="s">
        <v>1509</v>
      </c>
      <c r="C1158" t="s">
        <v>9567</v>
      </c>
      <c r="D1158" t="s">
        <v>10841</v>
      </c>
      <c r="E1158" t="s">
        <v>12219</v>
      </c>
      <c r="F1158" t="s">
        <v>12220</v>
      </c>
      <c r="G1158" t="s">
        <v>19206</v>
      </c>
      <c r="I1158" t="s">
        <v>18779</v>
      </c>
      <c r="K1158" t="str">
        <f>HYPERLINK("http://tuberculist.epfl.ch/quicksearch.php?gene+name=Rv1123c&amp;submit=Search")</f>
        <v>http://tuberculist.epfl.ch/quicksearch.php?gene+name=Rv1123c&amp;submit=Search</v>
      </c>
    </row>
    <row r="1159" spans="1:11">
      <c r="A1159" t="s">
        <v>5232</v>
      </c>
      <c r="B1159" t="s">
        <v>1368</v>
      </c>
      <c r="C1159" t="s">
        <v>9567</v>
      </c>
      <c r="D1159" t="s">
        <v>9903</v>
      </c>
      <c r="E1159" t="s">
        <v>12221</v>
      </c>
      <c r="F1159" t="s">
        <v>12222</v>
      </c>
      <c r="G1159" t="s">
        <v>19206</v>
      </c>
      <c r="H1159" t="s">
        <v>19609</v>
      </c>
      <c r="I1159" t="s">
        <v>18780</v>
      </c>
      <c r="K1159" t="str">
        <f>HYPERLINK("http://tuberculist.epfl.ch/quicksearch.php?gene+name=Rv1124&amp;submit=Search")</f>
        <v>http://tuberculist.epfl.ch/quicksearch.php?gene+name=Rv1124&amp;submit=Search</v>
      </c>
    </row>
    <row r="1160" spans="1:11">
      <c r="A1160" t="s">
        <v>530</v>
      </c>
      <c r="B1160" t="s">
        <v>530</v>
      </c>
      <c r="C1160" t="s">
        <v>9567</v>
      </c>
      <c r="D1160" t="s">
        <v>9578</v>
      </c>
      <c r="E1160" t="s">
        <v>9579</v>
      </c>
      <c r="F1160" t="s">
        <v>12223</v>
      </c>
      <c r="G1160" t="s">
        <v>19212</v>
      </c>
      <c r="H1160" t="s">
        <v>19207</v>
      </c>
      <c r="I1160" t="s">
        <v>18859</v>
      </c>
      <c r="K1160" t="str">
        <f>HYPERLINK("http://tuberculist.epfl.ch/quicksearch.php?gene+name=Rv1125&amp;submit=Search")</f>
        <v>http://tuberculist.epfl.ch/quicksearch.php?gene+name=Rv1125&amp;submit=Search</v>
      </c>
    </row>
    <row r="1161" spans="1:11">
      <c r="A1161" t="s">
        <v>1732</v>
      </c>
      <c r="B1161" t="s">
        <v>1732</v>
      </c>
      <c r="C1161" t="s">
        <v>9567</v>
      </c>
      <c r="D1161" t="s">
        <v>9578</v>
      </c>
      <c r="E1161" t="s">
        <v>9665</v>
      </c>
      <c r="F1161" t="s">
        <v>12224</v>
      </c>
      <c r="G1161" t="s">
        <v>19204</v>
      </c>
      <c r="H1161" t="s">
        <v>19561</v>
      </c>
      <c r="I1161" t="s">
        <v>18774</v>
      </c>
      <c r="K1161" t="str">
        <f>HYPERLINK("http://tuberculist.epfl.ch/quicksearch.php?gene+name=Rv1126c&amp;submit=Search")</f>
        <v>http://tuberculist.epfl.ch/quicksearch.php?gene+name=Rv1126c&amp;submit=Search</v>
      </c>
    </row>
    <row r="1162" spans="1:11">
      <c r="A1162" t="s">
        <v>7724</v>
      </c>
      <c r="B1162" t="s">
        <v>2615</v>
      </c>
      <c r="C1162" t="s">
        <v>9567</v>
      </c>
      <c r="D1162" t="s">
        <v>12225</v>
      </c>
      <c r="E1162" t="s">
        <v>12226</v>
      </c>
      <c r="F1162" t="s">
        <v>12227</v>
      </c>
      <c r="G1162" t="s">
        <v>19195</v>
      </c>
      <c r="I1162" t="s">
        <v>18779</v>
      </c>
      <c r="K1162" t="str">
        <f>HYPERLINK("http://tuberculist.epfl.ch/quicksearch.php?gene+name=Rv1127c&amp;submit=Search")</f>
        <v>http://tuberculist.epfl.ch/quicksearch.php?gene+name=Rv1127c&amp;submit=Search</v>
      </c>
    </row>
    <row r="1163" spans="1:11">
      <c r="A1163" t="s">
        <v>1319</v>
      </c>
      <c r="B1163" t="s">
        <v>1319</v>
      </c>
      <c r="C1163" t="s">
        <v>9567</v>
      </c>
      <c r="D1163" t="s">
        <v>9587</v>
      </c>
      <c r="E1163" t="s">
        <v>9579</v>
      </c>
      <c r="F1163" t="s">
        <v>12228</v>
      </c>
      <c r="G1163" t="s">
        <v>19217</v>
      </c>
      <c r="H1163" t="s">
        <v>19211</v>
      </c>
      <c r="I1163" t="s">
        <v>18930</v>
      </c>
      <c r="K1163" t="str">
        <f>HYPERLINK("http://tuberculist.epfl.ch/quicksearch.php?gene+name=Rv1128c&amp;submit=Search")</f>
        <v>http://tuberculist.epfl.ch/quicksearch.php?gene+name=Rv1128c&amp;submit=Search</v>
      </c>
    </row>
    <row r="1164" spans="1:11">
      <c r="A1164" t="s">
        <v>3001</v>
      </c>
      <c r="B1164" t="s">
        <v>3001</v>
      </c>
      <c r="C1164" t="s">
        <v>9567</v>
      </c>
      <c r="D1164" t="s">
        <v>9969</v>
      </c>
      <c r="E1164" t="s">
        <v>12229</v>
      </c>
      <c r="F1164" t="s">
        <v>12230</v>
      </c>
      <c r="G1164" t="s">
        <v>19197</v>
      </c>
      <c r="H1164" t="s">
        <v>19213</v>
      </c>
      <c r="I1164" t="s">
        <v>18931</v>
      </c>
      <c r="K1164" t="str">
        <f>HYPERLINK("http://tuberculist.epfl.ch/quicksearch.php?gene+name=Rv1129c&amp;submit=Search")</f>
        <v>http://tuberculist.epfl.ch/quicksearch.php?gene+name=Rv1129c&amp;submit=Search</v>
      </c>
    </row>
    <row r="1165" spans="1:11">
      <c r="A1165" t="s">
        <v>12231</v>
      </c>
      <c r="B1165" t="s">
        <v>432</v>
      </c>
      <c r="C1165" t="s">
        <v>9567</v>
      </c>
      <c r="D1165" t="s">
        <v>12232</v>
      </c>
      <c r="E1165" t="s">
        <v>12233</v>
      </c>
      <c r="F1165" t="s">
        <v>12234</v>
      </c>
      <c r="G1165" t="s">
        <v>19195</v>
      </c>
      <c r="H1165" t="s">
        <v>19610</v>
      </c>
      <c r="I1165" t="s">
        <v>18932</v>
      </c>
      <c r="K1165" t="str">
        <f>HYPERLINK("http://tuberculist.epfl.ch/quicksearch.php?gene+name=Rv1130&amp;submit=Search")</f>
        <v>http://tuberculist.epfl.ch/quicksearch.php?gene+name=Rv1130&amp;submit=Search</v>
      </c>
    </row>
    <row r="1166" spans="1:11">
      <c r="A1166" t="s">
        <v>12235</v>
      </c>
      <c r="B1166" t="s">
        <v>433</v>
      </c>
      <c r="C1166" t="s">
        <v>9567</v>
      </c>
      <c r="D1166" t="s">
        <v>12236</v>
      </c>
      <c r="E1166" t="s">
        <v>12237</v>
      </c>
      <c r="F1166" t="s">
        <v>12238</v>
      </c>
      <c r="G1166" t="s">
        <v>19195</v>
      </c>
      <c r="H1166" t="s">
        <v>19213</v>
      </c>
      <c r="I1166" t="s">
        <v>18933</v>
      </c>
      <c r="K1166" t="str">
        <f>HYPERLINK("http://tuberculist.epfl.ch/quicksearch.php?gene+name=Rv1131&amp;submit=Search")</f>
        <v>http://tuberculist.epfl.ch/quicksearch.php?gene+name=Rv1131&amp;submit=Search</v>
      </c>
    </row>
    <row r="1167" spans="1:11">
      <c r="A1167" t="s">
        <v>1397</v>
      </c>
      <c r="B1167" t="s">
        <v>1397</v>
      </c>
      <c r="C1167" t="s">
        <v>9567</v>
      </c>
      <c r="D1167" t="s">
        <v>9587</v>
      </c>
      <c r="E1167" t="s">
        <v>11913</v>
      </c>
      <c r="F1167" t="s">
        <v>12239</v>
      </c>
      <c r="G1167" t="s">
        <v>19188</v>
      </c>
      <c r="H1167" t="s">
        <v>19392</v>
      </c>
      <c r="I1167" t="s">
        <v>18780</v>
      </c>
      <c r="J1167" t="s">
        <v>18820</v>
      </c>
      <c r="K1167" t="str">
        <f>HYPERLINK("http://tuberculist.epfl.ch/quicksearch.php?gene+name=Rv1132&amp;submit=Search")</f>
        <v>http://tuberculist.epfl.ch/quicksearch.php?gene+name=Rv1132&amp;submit=Search</v>
      </c>
    </row>
    <row r="1168" spans="1:11">
      <c r="A1168" t="s">
        <v>8242</v>
      </c>
      <c r="B1168" t="s">
        <v>2878</v>
      </c>
      <c r="C1168" t="s">
        <v>9567</v>
      </c>
      <c r="D1168" t="s">
        <v>12240</v>
      </c>
      <c r="E1168" t="s">
        <v>12241</v>
      </c>
      <c r="F1168" t="s">
        <v>12242</v>
      </c>
      <c r="G1168" t="s">
        <v>19195</v>
      </c>
      <c r="H1168" t="s">
        <v>19611</v>
      </c>
      <c r="I1168" t="s">
        <v>18774</v>
      </c>
      <c r="K1168" t="str">
        <f>HYPERLINK("http://tuberculist.epfl.ch/quicksearch.php?gene+name=Rv1133c&amp;submit=Search")</f>
        <v>http://tuberculist.epfl.ch/quicksearch.php?gene+name=Rv1133c&amp;submit=Search</v>
      </c>
    </row>
    <row r="1169" spans="1:11">
      <c r="A1169" t="s">
        <v>12243</v>
      </c>
      <c r="B1169" t="s">
        <v>12243</v>
      </c>
      <c r="C1169" t="s">
        <v>9567</v>
      </c>
      <c r="D1169" t="s">
        <v>9587</v>
      </c>
      <c r="E1169" t="s">
        <v>9713</v>
      </c>
      <c r="F1169" t="s">
        <v>12244</v>
      </c>
      <c r="G1169" t="s">
        <v>19212</v>
      </c>
      <c r="I1169" t="s">
        <v>18780</v>
      </c>
      <c r="K1169" t="str">
        <f>HYPERLINK("http://tuberculist.epfl.ch/quicksearch.php?gene+name=Rv1134&amp;submit=Search")</f>
        <v>http://tuberculist.epfl.ch/quicksearch.php?gene+name=Rv1134&amp;submit=Search</v>
      </c>
    </row>
    <row r="1170" spans="1:11">
      <c r="A1170" t="s">
        <v>12245</v>
      </c>
      <c r="B1170" t="s">
        <v>12245</v>
      </c>
      <c r="C1170" t="s">
        <v>9567</v>
      </c>
      <c r="D1170" t="s">
        <v>12246</v>
      </c>
      <c r="E1170" t="s">
        <v>12247</v>
      </c>
      <c r="F1170" t="s">
        <v>12248</v>
      </c>
      <c r="G1170" t="s">
        <v>19219</v>
      </c>
      <c r="I1170" t="s">
        <v>18793</v>
      </c>
      <c r="K1170" t="str">
        <f>HYPERLINK("http://tuberculist.epfl.ch/quicksearch.php?gene+name=Rv1135A&amp;submit=Search")</f>
        <v>http://tuberculist.epfl.ch/quicksearch.php?gene+name=Rv1135A&amp;submit=Search</v>
      </c>
    </row>
    <row r="1171" spans="1:11">
      <c r="A1171" t="s">
        <v>6375</v>
      </c>
      <c r="B1171" t="s">
        <v>1934</v>
      </c>
      <c r="C1171" t="s">
        <v>9567</v>
      </c>
      <c r="D1171" t="s">
        <v>9578</v>
      </c>
      <c r="E1171" t="s">
        <v>12249</v>
      </c>
      <c r="F1171" t="s">
        <v>12250</v>
      </c>
      <c r="G1171" t="s">
        <v>19262</v>
      </c>
      <c r="I1171" t="s">
        <v>18789</v>
      </c>
      <c r="K1171" t="str">
        <f>HYPERLINK("http://tuberculist.epfl.ch/quicksearch.php?gene+name=Rv1135c&amp;submit=Search")</f>
        <v>http://tuberculist.epfl.ch/quicksearch.php?gene+name=Rv1135c&amp;submit=Search</v>
      </c>
    </row>
    <row r="1172" spans="1:11">
      <c r="A1172" t="s">
        <v>12251</v>
      </c>
      <c r="B1172" t="s">
        <v>12251</v>
      </c>
      <c r="C1172" t="s">
        <v>9567</v>
      </c>
      <c r="D1172" t="s">
        <v>12252</v>
      </c>
      <c r="E1172" t="s">
        <v>12253</v>
      </c>
      <c r="F1172" t="s">
        <v>12254</v>
      </c>
      <c r="G1172" t="s">
        <v>19219</v>
      </c>
      <c r="I1172" t="s">
        <v>18780</v>
      </c>
      <c r="K1172" t="str">
        <f>HYPERLINK("http://tuberculist.epfl.ch/quicksearch.php?gene+name=Rv1136&amp;submit=Search")</f>
        <v>http://tuberculist.epfl.ch/quicksearch.php?gene+name=Rv1136&amp;submit=Search</v>
      </c>
    </row>
    <row r="1173" spans="1:11">
      <c r="A1173" t="s">
        <v>12255</v>
      </c>
      <c r="B1173" t="s">
        <v>12255</v>
      </c>
      <c r="C1173" t="s">
        <v>9567</v>
      </c>
      <c r="D1173" t="s">
        <v>9587</v>
      </c>
      <c r="E1173" t="s">
        <v>9713</v>
      </c>
      <c r="F1173" t="s">
        <v>12256</v>
      </c>
      <c r="G1173" t="s">
        <v>19212</v>
      </c>
      <c r="I1173" t="s">
        <v>18780</v>
      </c>
      <c r="K1173" t="str">
        <f>HYPERLINK("http://tuberculist.epfl.ch/quicksearch.php?gene+name=Rv1137c&amp;submit=Search")</f>
        <v>http://tuberculist.epfl.ch/quicksearch.php?gene+name=Rv1137c&amp;submit=Search</v>
      </c>
    </row>
    <row r="1174" spans="1:11">
      <c r="A1174" t="s">
        <v>1993</v>
      </c>
      <c r="B1174" t="s">
        <v>1993</v>
      </c>
      <c r="C1174" t="s">
        <v>9567</v>
      </c>
      <c r="D1174" t="s">
        <v>9682</v>
      </c>
      <c r="E1174" t="s">
        <v>9683</v>
      </c>
      <c r="F1174" t="s">
        <v>12257</v>
      </c>
      <c r="G1174" t="s">
        <v>19195</v>
      </c>
      <c r="H1174" t="s">
        <v>19513</v>
      </c>
      <c r="I1174" t="s">
        <v>18779</v>
      </c>
      <c r="K1174" t="str">
        <f>HYPERLINK("http://tuberculist.epfl.ch/quicksearch.php?gene+name=Rv1138c&amp;submit=Search")</f>
        <v>http://tuberculist.epfl.ch/quicksearch.php?gene+name=Rv1138c&amp;submit=Search</v>
      </c>
    </row>
    <row r="1175" spans="1:11">
      <c r="A1175" t="s">
        <v>1369</v>
      </c>
      <c r="B1175" t="s">
        <v>1369</v>
      </c>
      <c r="C1175" t="s">
        <v>9567</v>
      </c>
      <c r="D1175" t="s">
        <v>9578</v>
      </c>
      <c r="E1175" t="s">
        <v>12258</v>
      </c>
      <c r="F1175" t="s">
        <v>12259</v>
      </c>
      <c r="G1175" t="s">
        <v>19188</v>
      </c>
      <c r="I1175" t="s">
        <v>18789</v>
      </c>
      <c r="K1175" t="str">
        <f>HYPERLINK("http://tuberculist.epfl.ch/quicksearch.php?gene+name=Rv1139c&amp;submit=Search")</f>
        <v>http://tuberculist.epfl.ch/quicksearch.php?gene+name=Rv1139c&amp;submit=Search</v>
      </c>
    </row>
    <row r="1176" spans="1:11">
      <c r="A1176" t="s">
        <v>2377</v>
      </c>
      <c r="B1176" t="s">
        <v>2377</v>
      </c>
      <c r="C1176" t="s">
        <v>9567</v>
      </c>
      <c r="D1176" t="s">
        <v>9578</v>
      </c>
      <c r="E1176" t="s">
        <v>10806</v>
      </c>
      <c r="F1176" t="s">
        <v>12260</v>
      </c>
      <c r="G1176" t="s">
        <v>19188</v>
      </c>
      <c r="H1176" t="s">
        <v>19612</v>
      </c>
      <c r="I1176" t="s">
        <v>18780</v>
      </c>
      <c r="K1176" t="str">
        <f>HYPERLINK("http://tuberculist.epfl.ch/quicksearch.php?gene+name=Rv1140&amp;submit=Search")</f>
        <v>http://tuberculist.epfl.ch/quicksearch.php?gene+name=Rv1140&amp;submit=Search</v>
      </c>
    </row>
    <row r="1177" spans="1:11">
      <c r="A1177" t="s">
        <v>6725</v>
      </c>
      <c r="B1177" t="s">
        <v>2123</v>
      </c>
      <c r="C1177" t="s">
        <v>9567</v>
      </c>
      <c r="D1177" t="s">
        <v>10092</v>
      </c>
      <c r="E1177" t="s">
        <v>12261</v>
      </c>
      <c r="F1177" t="s">
        <v>12262</v>
      </c>
      <c r="G1177" t="s">
        <v>19219</v>
      </c>
      <c r="H1177" t="s">
        <v>19213</v>
      </c>
      <c r="I1177" t="s">
        <v>18780</v>
      </c>
      <c r="K1177" t="str">
        <f>HYPERLINK("http://tuberculist.epfl.ch/quicksearch.php?gene+name=Rv1141c&amp;submit=Search")</f>
        <v>http://tuberculist.epfl.ch/quicksearch.php?gene+name=Rv1141c&amp;submit=Search</v>
      </c>
    </row>
    <row r="1178" spans="1:11">
      <c r="A1178" t="s">
        <v>7019</v>
      </c>
      <c r="B1178" t="s">
        <v>2266</v>
      </c>
      <c r="C1178" t="s">
        <v>9567</v>
      </c>
      <c r="D1178" t="s">
        <v>10092</v>
      </c>
      <c r="E1178" t="s">
        <v>12263</v>
      </c>
      <c r="F1178" t="s">
        <v>12264</v>
      </c>
      <c r="G1178" t="s">
        <v>19219</v>
      </c>
      <c r="H1178" t="s">
        <v>19184</v>
      </c>
      <c r="I1178" t="s">
        <v>18780</v>
      </c>
      <c r="K1178" t="str">
        <f>HYPERLINK("http://tuberculist.epfl.ch/quicksearch.php?gene+name=Rv1142c&amp;submit=Search")</f>
        <v>http://tuberculist.epfl.ch/quicksearch.php?gene+name=Rv1142c&amp;submit=Search</v>
      </c>
    </row>
    <row r="1179" spans="1:11">
      <c r="A1179" t="s">
        <v>6731</v>
      </c>
      <c r="B1179" t="s">
        <v>2126</v>
      </c>
      <c r="C1179" t="s">
        <v>9567</v>
      </c>
      <c r="D1179" t="s">
        <v>12265</v>
      </c>
      <c r="E1179" t="s">
        <v>12266</v>
      </c>
      <c r="F1179" t="s">
        <v>12267</v>
      </c>
      <c r="G1179" t="s">
        <v>19219</v>
      </c>
      <c r="H1179" t="s">
        <v>19229</v>
      </c>
      <c r="I1179" t="s">
        <v>18789</v>
      </c>
      <c r="K1179" t="str">
        <f>HYPERLINK("http://tuberculist.epfl.ch/quicksearch.php?gene+name=Rv1143&amp;submit=Search")</f>
        <v>http://tuberculist.epfl.ch/quicksearch.php?gene+name=Rv1143&amp;submit=Search</v>
      </c>
    </row>
    <row r="1180" spans="1:11">
      <c r="A1180" t="s">
        <v>1733</v>
      </c>
      <c r="B1180" t="s">
        <v>1733</v>
      </c>
      <c r="C1180" t="s">
        <v>9567</v>
      </c>
      <c r="D1180" t="s">
        <v>12268</v>
      </c>
      <c r="E1180" t="s">
        <v>9932</v>
      </c>
      <c r="F1180" t="s">
        <v>12269</v>
      </c>
      <c r="G1180" t="s">
        <v>19195</v>
      </c>
      <c r="H1180" t="s">
        <v>19230</v>
      </c>
      <c r="I1180" t="s">
        <v>18810</v>
      </c>
      <c r="K1180" t="str">
        <f>HYPERLINK("http://tuberculist.epfl.ch/quicksearch.php?gene+name=Rv1144&amp;submit=Search")</f>
        <v>http://tuberculist.epfl.ch/quicksearch.php?gene+name=Rv1144&amp;submit=Search</v>
      </c>
    </row>
    <row r="1181" spans="1:11">
      <c r="A1181" t="s">
        <v>12270</v>
      </c>
      <c r="B1181" t="s">
        <v>12271</v>
      </c>
      <c r="C1181" t="s">
        <v>9567</v>
      </c>
      <c r="D1181" t="s">
        <v>10051</v>
      </c>
      <c r="E1181" t="s">
        <v>12272</v>
      </c>
      <c r="F1181" t="s">
        <v>12273</v>
      </c>
      <c r="G1181" t="s">
        <v>19188</v>
      </c>
      <c r="H1181" t="s">
        <v>19207</v>
      </c>
      <c r="I1181" t="s">
        <v>18780</v>
      </c>
      <c r="K1181" t="str">
        <f>HYPERLINK("http://tuberculist.epfl.ch/quicksearch.php?gene+name=Rv1145&amp;submit=Search")</f>
        <v>http://tuberculist.epfl.ch/quicksearch.php?gene+name=Rv1145&amp;submit=Search</v>
      </c>
    </row>
    <row r="1182" spans="1:11">
      <c r="A1182" t="s">
        <v>12274</v>
      </c>
      <c r="B1182" t="s">
        <v>2775</v>
      </c>
      <c r="C1182" t="s">
        <v>9567</v>
      </c>
      <c r="D1182" t="s">
        <v>10051</v>
      </c>
      <c r="E1182" t="s">
        <v>12275</v>
      </c>
      <c r="F1182" t="s">
        <v>12276</v>
      </c>
      <c r="G1182" t="s">
        <v>19188</v>
      </c>
      <c r="I1182" t="s">
        <v>18789</v>
      </c>
      <c r="K1182" t="str">
        <f>HYPERLINK("http://tuberculist.epfl.ch/quicksearch.php?gene+name=Rv1146&amp;submit=Search")</f>
        <v>http://tuberculist.epfl.ch/quicksearch.php?gene+name=Rv1146&amp;submit=Search</v>
      </c>
    </row>
    <row r="1183" spans="1:11">
      <c r="A1183" t="s">
        <v>12277</v>
      </c>
      <c r="B1183" t="s">
        <v>12277</v>
      </c>
      <c r="C1183" t="s">
        <v>9567</v>
      </c>
      <c r="D1183" t="s">
        <v>9578</v>
      </c>
      <c r="E1183" t="s">
        <v>9665</v>
      </c>
      <c r="F1183" t="s">
        <v>12278</v>
      </c>
      <c r="G1183" t="s">
        <v>19212</v>
      </c>
      <c r="H1183" t="s">
        <v>19454</v>
      </c>
      <c r="I1183" t="s">
        <v>18777</v>
      </c>
      <c r="K1183" t="str">
        <f>HYPERLINK("http://tuberculist.epfl.ch/quicksearch.php?gene+name=Rv1147&amp;submit=Search")</f>
        <v>http://tuberculist.epfl.ch/quicksearch.php?gene+name=Rv1147&amp;submit=Search</v>
      </c>
    </row>
    <row r="1184" spans="1:11">
      <c r="A1184" t="s">
        <v>2839</v>
      </c>
      <c r="B1184" t="s">
        <v>2839</v>
      </c>
      <c r="C1184" t="s">
        <v>9567</v>
      </c>
      <c r="D1184" t="s">
        <v>9587</v>
      </c>
      <c r="E1184" t="s">
        <v>9579</v>
      </c>
      <c r="F1184" t="s">
        <v>12279</v>
      </c>
      <c r="G1184" t="s">
        <v>19217</v>
      </c>
      <c r="I1184" t="s">
        <v>18780</v>
      </c>
      <c r="J1184" t="s">
        <v>18809</v>
      </c>
      <c r="K1184" t="str">
        <f>HYPERLINK("http://tuberculist.epfl.ch/quicksearch.php?gene+name=Rv1148c&amp;submit=Search")</f>
        <v>http://tuberculist.epfl.ch/quicksearch.php?gene+name=Rv1148c&amp;submit=Search</v>
      </c>
    </row>
    <row r="1185" spans="1:11">
      <c r="A1185" t="s">
        <v>12280</v>
      </c>
      <c r="B1185" t="s">
        <v>12280</v>
      </c>
      <c r="C1185" t="s">
        <v>9567</v>
      </c>
      <c r="D1185" t="s">
        <v>12281</v>
      </c>
      <c r="E1185" t="s">
        <v>11734</v>
      </c>
      <c r="F1185" t="s">
        <v>12282</v>
      </c>
      <c r="G1185" t="s">
        <v>19217</v>
      </c>
      <c r="I1185" t="s">
        <v>18773</v>
      </c>
      <c r="K1185" t="str">
        <f>HYPERLINK("http://tuberculist.epfl.ch/quicksearch.php?gene+name=Rv1149&amp;submit=Search")</f>
        <v>http://tuberculist.epfl.ch/quicksearch.php?gene+name=Rv1149&amp;submit=Search</v>
      </c>
    </row>
    <row r="1186" spans="1:11">
      <c r="A1186" t="s">
        <v>12283</v>
      </c>
      <c r="B1186" t="s">
        <v>12283</v>
      </c>
      <c r="C1186" t="s">
        <v>10216</v>
      </c>
      <c r="D1186" t="s">
        <v>12281</v>
      </c>
      <c r="E1186" t="s">
        <v>10967</v>
      </c>
      <c r="F1186" t="s">
        <v>12284</v>
      </c>
      <c r="G1186" t="s">
        <v>19217</v>
      </c>
      <c r="I1186" t="s">
        <v>18934</v>
      </c>
      <c r="K1186" t="str">
        <f>HYPERLINK("http://tuberculist.epfl.ch/quicksearch.php?gene+name=Rv1150&amp;submit=Search")</f>
        <v>http://tuberculist.epfl.ch/quicksearch.php?gene+name=Rv1150&amp;submit=Search</v>
      </c>
    </row>
    <row r="1187" spans="1:11">
      <c r="A1187" t="s">
        <v>1708</v>
      </c>
      <c r="B1187" t="s">
        <v>1708</v>
      </c>
      <c r="C1187" t="s">
        <v>9567</v>
      </c>
      <c r="D1187" t="s">
        <v>9969</v>
      </c>
      <c r="E1187" t="s">
        <v>11504</v>
      </c>
      <c r="F1187" t="s">
        <v>12285</v>
      </c>
      <c r="G1187" t="s">
        <v>19197</v>
      </c>
      <c r="H1187" t="s">
        <v>19265</v>
      </c>
      <c r="I1187" t="s">
        <v>18780</v>
      </c>
      <c r="K1187" t="str">
        <f>HYPERLINK("http://tuberculist.epfl.ch/quicksearch.php?gene+name=Rv1151c&amp;submit=Search")</f>
        <v>http://tuberculist.epfl.ch/quicksearch.php?gene+name=Rv1151c&amp;submit=Search</v>
      </c>
    </row>
    <row r="1188" spans="1:11">
      <c r="A1188" t="s">
        <v>620</v>
      </c>
      <c r="B1188" t="s">
        <v>620</v>
      </c>
      <c r="C1188" t="s">
        <v>9567</v>
      </c>
      <c r="D1188" t="s">
        <v>9969</v>
      </c>
      <c r="E1188" t="s">
        <v>9763</v>
      </c>
      <c r="F1188" t="s">
        <v>12286</v>
      </c>
      <c r="G1188" t="s">
        <v>19197</v>
      </c>
      <c r="H1188" t="s">
        <v>19233</v>
      </c>
      <c r="I1188" t="s">
        <v>18780</v>
      </c>
      <c r="K1188" t="str">
        <f>HYPERLINK("http://tuberculist.epfl.ch/quicksearch.php?gene+name=Rv1152&amp;submit=Search")</f>
        <v>http://tuberculist.epfl.ch/quicksearch.php?gene+name=Rv1152&amp;submit=Search</v>
      </c>
    </row>
    <row r="1189" spans="1:11">
      <c r="A1189" t="s">
        <v>8324</v>
      </c>
      <c r="B1189" t="s">
        <v>2915</v>
      </c>
      <c r="C1189" t="s">
        <v>9567</v>
      </c>
      <c r="D1189" t="s">
        <v>12287</v>
      </c>
      <c r="E1189" t="s">
        <v>12288</v>
      </c>
      <c r="F1189" t="s">
        <v>12289</v>
      </c>
      <c r="G1189" t="s">
        <v>19219</v>
      </c>
      <c r="H1189" t="s">
        <v>19196</v>
      </c>
      <c r="I1189" t="s">
        <v>18779</v>
      </c>
      <c r="K1189" t="str">
        <f>HYPERLINK("http://tuberculist.epfl.ch/quicksearch.php?gene+name=Rv1153c&amp;submit=Search")</f>
        <v>http://tuberculist.epfl.ch/quicksearch.php?gene+name=Rv1153c&amp;submit=Search</v>
      </c>
    </row>
    <row r="1190" spans="1:11">
      <c r="A1190" t="s">
        <v>12290</v>
      </c>
      <c r="B1190" t="s">
        <v>12290</v>
      </c>
      <c r="C1190" t="s">
        <v>9567</v>
      </c>
      <c r="D1190" t="s">
        <v>9587</v>
      </c>
      <c r="E1190" t="s">
        <v>9713</v>
      </c>
      <c r="F1190" t="s">
        <v>12291</v>
      </c>
      <c r="G1190" t="s">
        <v>19212</v>
      </c>
      <c r="H1190" t="s">
        <v>19213</v>
      </c>
      <c r="I1190" t="s">
        <v>18780</v>
      </c>
      <c r="K1190" t="str">
        <f>HYPERLINK("http://tuberculist.epfl.ch/quicksearch.php?gene+name=Rv1154c&amp;submit=Search")</f>
        <v>http://tuberculist.epfl.ch/quicksearch.php?gene+name=Rv1154c&amp;submit=Search</v>
      </c>
    </row>
    <row r="1191" spans="1:11">
      <c r="A1191" t="s">
        <v>2557</v>
      </c>
      <c r="B1191" t="s">
        <v>2557</v>
      </c>
      <c r="C1191" t="s">
        <v>9567</v>
      </c>
      <c r="D1191" t="s">
        <v>12292</v>
      </c>
      <c r="E1191" t="s">
        <v>12293</v>
      </c>
      <c r="F1191" t="s">
        <v>12294</v>
      </c>
      <c r="G1191" t="s">
        <v>19195</v>
      </c>
      <c r="H1191" t="s">
        <v>19233</v>
      </c>
      <c r="I1191" t="s">
        <v>18780</v>
      </c>
      <c r="K1191" t="str">
        <f>HYPERLINK("http://tuberculist.epfl.ch/quicksearch.php?gene+name=Rv1155&amp;submit=Search")</f>
        <v>http://tuberculist.epfl.ch/quicksearch.php?gene+name=Rv1155&amp;submit=Search</v>
      </c>
    </row>
    <row r="1192" spans="1:11">
      <c r="A1192" t="s">
        <v>2343</v>
      </c>
      <c r="B1192" t="s">
        <v>2343</v>
      </c>
      <c r="C1192" t="s">
        <v>9567</v>
      </c>
      <c r="D1192" t="s">
        <v>9578</v>
      </c>
      <c r="E1192" t="s">
        <v>9665</v>
      </c>
      <c r="F1192" t="s">
        <v>12295</v>
      </c>
      <c r="G1192" t="s">
        <v>19185</v>
      </c>
      <c r="H1192" t="s">
        <v>19233</v>
      </c>
      <c r="I1192" t="s">
        <v>18780</v>
      </c>
      <c r="K1192" t="str">
        <f>HYPERLINK("http://tuberculist.epfl.ch/quicksearch.php?gene+name=Rv1156&amp;submit=Search")</f>
        <v>http://tuberculist.epfl.ch/quicksearch.php?gene+name=Rv1156&amp;submit=Search</v>
      </c>
    </row>
    <row r="1193" spans="1:11">
      <c r="A1193" t="s">
        <v>1722</v>
      </c>
      <c r="B1193" t="s">
        <v>1722</v>
      </c>
      <c r="C1193" t="s">
        <v>9567</v>
      </c>
      <c r="D1193" t="s">
        <v>9578</v>
      </c>
      <c r="E1193" t="s">
        <v>12296</v>
      </c>
      <c r="F1193" t="s">
        <v>12297</v>
      </c>
      <c r="G1193" t="s">
        <v>19212</v>
      </c>
      <c r="H1193" t="s">
        <v>19278</v>
      </c>
      <c r="I1193" t="s">
        <v>18792</v>
      </c>
      <c r="J1193" t="s">
        <v>18775</v>
      </c>
      <c r="K1193" t="str">
        <f>HYPERLINK("http://tuberculist.epfl.ch/quicksearch.php?gene+name=Rv1157c&amp;submit=Search")</f>
        <v>http://tuberculist.epfl.ch/quicksearch.php?gene+name=Rv1157c&amp;submit=Search</v>
      </c>
    </row>
    <row r="1194" spans="1:11">
      <c r="A1194" t="s">
        <v>1433</v>
      </c>
      <c r="B1194" t="s">
        <v>1433</v>
      </c>
      <c r="C1194" t="s">
        <v>9567</v>
      </c>
      <c r="D1194" t="s">
        <v>9578</v>
      </c>
      <c r="E1194" t="s">
        <v>12298</v>
      </c>
      <c r="F1194" t="s">
        <v>12299</v>
      </c>
      <c r="G1194" t="s">
        <v>19212</v>
      </c>
      <c r="H1194" t="s">
        <v>19613</v>
      </c>
      <c r="I1194" t="s">
        <v>18779</v>
      </c>
      <c r="J1194" t="s">
        <v>18822</v>
      </c>
      <c r="K1194" t="str">
        <f>HYPERLINK("http://tuberculist.epfl.ch/quicksearch.php?gene+name=Rv1158c&amp;submit=Search")</f>
        <v>http://tuberculist.epfl.ch/quicksearch.php?gene+name=Rv1158c&amp;submit=Search</v>
      </c>
    </row>
    <row r="1195" spans="1:11">
      <c r="A1195" t="s">
        <v>4685</v>
      </c>
      <c r="B1195" t="s">
        <v>1100</v>
      </c>
      <c r="C1195" t="s">
        <v>9567</v>
      </c>
      <c r="D1195" t="s">
        <v>12300</v>
      </c>
      <c r="E1195" t="s">
        <v>12301</v>
      </c>
      <c r="F1195" t="s">
        <v>12302</v>
      </c>
      <c r="G1195" t="s">
        <v>19188</v>
      </c>
      <c r="H1195" t="s">
        <v>19614</v>
      </c>
      <c r="I1195" t="s">
        <v>18788</v>
      </c>
      <c r="J1195" t="s">
        <v>18822</v>
      </c>
      <c r="K1195" t="str">
        <f>HYPERLINK("http://tuberculist.epfl.ch/quicksearch.php?gene+name=Rv1159&amp;submit=Search")</f>
        <v>http://tuberculist.epfl.ch/quicksearch.php?gene+name=Rv1159&amp;submit=Search</v>
      </c>
    </row>
    <row r="1196" spans="1:11">
      <c r="A1196" t="s">
        <v>722</v>
      </c>
      <c r="B1196" t="s">
        <v>722</v>
      </c>
      <c r="C1196" t="s">
        <v>9567</v>
      </c>
      <c r="D1196" t="s">
        <v>9587</v>
      </c>
      <c r="E1196" t="s">
        <v>9768</v>
      </c>
      <c r="F1196" t="s">
        <v>12303</v>
      </c>
      <c r="G1196" t="s">
        <v>19204</v>
      </c>
      <c r="H1196" t="s">
        <v>19615</v>
      </c>
      <c r="I1196" t="s">
        <v>18793</v>
      </c>
      <c r="K1196" t="str">
        <f>HYPERLINK("http://tuberculist.epfl.ch/quicksearch.php?gene+name=Rv1159A&amp;submit=Search")</f>
        <v>http://tuberculist.epfl.ch/quicksearch.php?gene+name=Rv1159A&amp;submit=Search</v>
      </c>
    </row>
    <row r="1197" spans="1:11">
      <c r="A1197" t="s">
        <v>6160</v>
      </c>
      <c r="B1197" t="s">
        <v>1836</v>
      </c>
      <c r="C1197" t="s">
        <v>9567</v>
      </c>
      <c r="D1197" t="s">
        <v>12304</v>
      </c>
      <c r="E1197" t="s">
        <v>12305</v>
      </c>
      <c r="F1197" t="s">
        <v>12306</v>
      </c>
      <c r="G1197" t="s">
        <v>19181</v>
      </c>
      <c r="I1197" t="s">
        <v>18780</v>
      </c>
      <c r="K1197" t="str">
        <f>HYPERLINK("http://tuberculist.epfl.ch/quicksearch.php?gene+name=Rv1160&amp;submit=Search")</f>
        <v>http://tuberculist.epfl.ch/quicksearch.php?gene+name=Rv1160&amp;submit=Search</v>
      </c>
    </row>
    <row r="1198" spans="1:11">
      <c r="A1198" t="s">
        <v>8090</v>
      </c>
      <c r="B1198" t="s">
        <v>2801</v>
      </c>
      <c r="C1198" t="s">
        <v>9567</v>
      </c>
      <c r="D1198" t="s">
        <v>12307</v>
      </c>
      <c r="E1198" t="s">
        <v>12308</v>
      </c>
      <c r="F1198" t="s">
        <v>12309</v>
      </c>
      <c r="G1198" t="s">
        <v>19195</v>
      </c>
      <c r="H1198" t="s">
        <v>19616</v>
      </c>
      <c r="I1198" t="s">
        <v>18935</v>
      </c>
      <c r="K1198" t="str">
        <f>HYPERLINK("http://tuberculist.epfl.ch/quicksearch.php?gene+name=Rv1161&amp;submit=Search")</f>
        <v>http://tuberculist.epfl.ch/quicksearch.php?gene+name=Rv1161&amp;submit=Search</v>
      </c>
    </row>
    <row r="1199" spans="1:11">
      <c r="A1199" t="s">
        <v>3776</v>
      </c>
      <c r="B1199" t="s">
        <v>647</v>
      </c>
      <c r="C1199" t="s">
        <v>9567</v>
      </c>
      <c r="D1199" t="s">
        <v>12307</v>
      </c>
      <c r="E1199" t="s">
        <v>12310</v>
      </c>
      <c r="F1199" t="s">
        <v>12311</v>
      </c>
      <c r="G1199" t="s">
        <v>19195</v>
      </c>
      <c r="H1199" t="s">
        <v>19617</v>
      </c>
      <c r="I1199" t="s">
        <v>18789</v>
      </c>
      <c r="J1199" t="s">
        <v>18775</v>
      </c>
      <c r="K1199" t="str">
        <f>HYPERLINK("http://tuberculist.epfl.ch/quicksearch.php?gene+name=Rv1162&amp;submit=Search")</f>
        <v>http://tuberculist.epfl.ch/quicksearch.php?gene+name=Rv1162&amp;submit=Search</v>
      </c>
    </row>
    <row r="1200" spans="1:11">
      <c r="A1200" t="s">
        <v>12312</v>
      </c>
      <c r="B1200" t="s">
        <v>12313</v>
      </c>
      <c r="C1200" t="s">
        <v>9567</v>
      </c>
      <c r="D1200" t="s">
        <v>12307</v>
      </c>
      <c r="E1200" t="s">
        <v>12314</v>
      </c>
      <c r="F1200" t="s">
        <v>12315</v>
      </c>
      <c r="G1200" t="s">
        <v>19195</v>
      </c>
      <c r="H1200" t="s">
        <v>19612</v>
      </c>
      <c r="I1200" t="s">
        <v>18789</v>
      </c>
      <c r="J1200" t="s">
        <v>18775</v>
      </c>
      <c r="K1200" t="str">
        <f>HYPERLINK("http://tuberculist.epfl.ch/quicksearch.php?gene+name=Rv1163&amp;submit=Search")</f>
        <v>http://tuberculist.epfl.ch/quicksearch.php?gene+name=Rv1163&amp;submit=Search</v>
      </c>
    </row>
    <row r="1201" spans="1:11">
      <c r="A1201" t="s">
        <v>9024</v>
      </c>
      <c r="B1201" t="s">
        <v>3241</v>
      </c>
      <c r="C1201" t="s">
        <v>9567</v>
      </c>
      <c r="D1201" t="s">
        <v>12307</v>
      </c>
      <c r="E1201" t="s">
        <v>12316</v>
      </c>
      <c r="F1201" t="s">
        <v>12317</v>
      </c>
      <c r="G1201" t="s">
        <v>19195</v>
      </c>
      <c r="H1201" t="s">
        <v>19192</v>
      </c>
      <c r="I1201" t="s">
        <v>18789</v>
      </c>
      <c r="K1201" t="str">
        <f>HYPERLINK("http://tuberculist.epfl.ch/quicksearch.php?gene+name=Rv1164&amp;submit=Search")</f>
        <v>http://tuberculist.epfl.ch/quicksearch.php?gene+name=Rv1164&amp;submit=Search</v>
      </c>
    </row>
    <row r="1202" spans="1:11">
      <c r="A1202" t="s">
        <v>8906</v>
      </c>
      <c r="B1202" t="s">
        <v>3184</v>
      </c>
      <c r="C1202" t="s">
        <v>9567</v>
      </c>
      <c r="D1202" t="s">
        <v>12318</v>
      </c>
      <c r="E1202" t="s">
        <v>12319</v>
      </c>
      <c r="F1202" t="s">
        <v>12320</v>
      </c>
      <c r="G1202" t="s">
        <v>19181</v>
      </c>
      <c r="H1202" t="s">
        <v>19250</v>
      </c>
      <c r="I1202" t="s">
        <v>18789</v>
      </c>
      <c r="K1202" t="str">
        <f>HYPERLINK("http://tuberculist.epfl.ch/quicksearch.php?gene+name=Rv1165&amp;submit=Search")</f>
        <v>http://tuberculist.epfl.ch/quicksearch.php?gene+name=Rv1165&amp;submit=Search</v>
      </c>
    </row>
    <row r="1203" spans="1:11">
      <c r="A1203" t="s">
        <v>8288</v>
      </c>
      <c r="B1203" t="s">
        <v>2896</v>
      </c>
      <c r="C1203" t="s">
        <v>9567</v>
      </c>
      <c r="D1203" t="s">
        <v>9587</v>
      </c>
      <c r="E1203" t="s">
        <v>12321</v>
      </c>
      <c r="F1203" t="s">
        <v>12322</v>
      </c>
      <c r="G1203" t="s">
        <v>19188</v>
      </c>
      <c r="H1203" t="s">
        <v>19618</v>
      </c>
      <c r="I1203" t="s">
        <v>18774</v>
      </c>
      <c r="K1203" t="str">
        <f>HYPERLINK("http://tuberculist.epfl.ch/quicksearch.php?gene+name=Rv1166&amp;submit=Search")</f>
        <v>http://tuberculist.epfl.ch/quicksearch.php?gene+name=Rv1166&amp;submit=Search</v>
      </c>
    </row>
    <row r="1204" spans="1:11">
      <c r="A1204" t="s">
        <v>811</v>
      </c>
      <c r="B1204" t="s">
        <v>811</v>
      </c>
      <c r="C1204" t="s">
        <v>9567</v>
      </c>
      <c r="D1204" t="s">
        <v>9629</v>
      </c>
      <c r="E1204" t="s">
        <v>9763</v>
      </c>
      <c r="F1204" t="s">
        <v>12323</v>
      </c>
      <c r="G1204" t="s">
        <v>19197</v>
      </c>
      <c r="I1204" t="s">
        <v>18779</v>
      </c>
      <c r="K1204" t="str">
        <f>HYPERLINK("http://tuberculist.epfl.ch/quicksearch.php?gene+name=Rv1167c&amp;submit=Search")</f>
        <v>http://tuberculist.epfl.ch/quicksearch.php?gene+name=Rv1167c&amp;submit=Search</v>
      </c>
    </row>
    <row r="1205" spans="1:11">
      <c r="A1205" t="s">
        <v>12324</v>
      </c>
      <c r="B1205" t="s">
        <v>951</v>
      </c>
      <c r="C1205" t="s">
        <v>9567</v>
      </c>
      <c r="D1205" t="s">
        <v>9578</v>
      </c>
      <c r="E1205" t="s">
        <v>12325</v>
      </c>
      <c r="F1205" t="s">
        <v>12326</v>
      </c>
      <c r="G1205" t="s">
        <v>19553</v>
      </c>
      <c r="I1205" t="s">
        <v>18789</v>
      </c>
      <c r="K1205" t="str">
        <f>HYPERLINK("http://tuberculist.epfl.ch/quicksearch.php?gene+name=Rv1168c&amp;submit=Search")</f>
        <v>http://tuberculist.epfl.ch/quicksearch.php?gene+name=Rv1168c&amp;submit=Search</v>
      </c>
    </row>
    <row r="1206" spans="1:11">
      <c r="A1206" t="s">
        <v>12327</v>
      </c>
      <c r="B1206" t="s">
        <v>12328</v>
      </c>
      <c r="C1206" t="s">
        <v>9567</v>
      </c>
      <c r="D1206" t="s">
        <v>9578</v>
      </c>
      <c r="E1206" t="s">
        <v>12329</v>
      </c>
      <c r="F1206" t="s">
        <v>12330</v>
      </c>
      <c r="G1206" t="s">
        <v>19262</v>
      </c>
      <c r="H1206" t="s">
        <v>19192</v>
      </c>
      <c r="I1206" t="s">
        <v>18801</v>
      </c>
      <c r="K1206" t="str">
        <f>HYPERLINK("http://tuberculist.epfl.ch/quicksearch.php?gene+name=Rv1169c&amp;submit=Search")</f>
        <v>http://tuberculist.epfl.ch/quicksearch.php?gene+name=Rv1169c&amp;submit=Search</v>
      </c>
    </row>
    <row r="1207" spans="1:11">
      <c r="A1207" t="s">
        <v>7149</v>
      </c>
      <c r="B1207" t="s">
        <v>2337</v>
      </c>
      <c r="C1207" t="s">
        <v>9567</v>
      </c>
      <c r="D1207" t="s">
        <v>12331</v>
      </c>
      <c r="E1207" t="s">
        <v>12332</v>
      </c>
      <c r="F1207" t="s">
        <v>12333</v>
      </c>
      <c r="G1207" t="s">
        <v>19195</v>
      </c>
      <c r="H1207" t="s">
        <v>19225</v>
      </c>
      <c r="I1207" t="s">
        <v>18788</v>
      </c>
      <c r="K1207" t="str">
        <f>HYPERLINK("http://tuberculist.epfl.ch/quicksearch.php?gene+name=Rv1170&amp;submit=Search")</f>
        <v>http://tuberculist.epfl.ch/quicksearch.php?gene+name=Rv1170&amp;submit=Search</v>
      </c>
    </row>
    <row r="1208" spans="1:11">
      <c r="A1208" t="s">
        <v>12334</v>
      </c>
      <c r="B1208" t="s">
        <v>12334</v>
      </c>
      <c r="C1208" t="s">
        <v>9567</v>
      </c>
      <c r="D1208" t="s">
        <v>9587</v>
      </c>
      <c r="E1208" t="s">
        <v>9579</v>
      </c>
      <c r="F1208" t="s">
        <v>12335</v>
      </c>
      <c r="G1208" t="s">
        <v>19212</v>
      </c>
      <c r="I1208" t="s">
        <v>18780</v>
      </c>
      <c r="K1208" t="str">
        <f>HYPERLINK("http://tuberculist.epfl.ch/quicksearch.php?gene+name=Rv1171&amp;submit=Search")</f>
        <v>http://tuberculist.epfl.ch/quicksearch.php?gene+name=Rv1171&amp;submit=Search</v>
      </c>
    </row>
    <row r="1209" spans="1:11">
      <c r="A1209" t="s">
        <v>12336</v>
      </c>
      <c r="B1209" t="s">
        <v>12337</v>
      </c>
      <c r="C1209" t="s">
        <v>9567</v>
      </c>
      <c r="D1209" t="s">
        <v>9578</v>
      </c>
      <c r="E1209" t="s">
        <v>12338</v>
      </c>
      <c r="F1209" t="s">
        <v>12339</v>
      </c>
      <c r="G1209" t="s">
        <v>19262</v>
      </c>
      <c r="H1209" t="s">
        <v>19619</v>
      </c>
      <c r="I1209" t="s">
        <v>18793</v>
      </c>
      <c r="K1209" t="str">
        <f>HYPERLINK("http://tuberculist.epfl.ch/quicksearch.php?gene+name=Rv1172c&amp;submit=Search")</f>
        <v>http://tuberculist.epfl.ch/quicksearch.php?gene+name=Rv1172c&amp;submit=Search</v>
      </c>
    </row>
    <row r="1210" spans="1:11">
      <c r="A1210" t="s">
        <v>5992</v>
      </c>
      <c r="B1210" t="s">
        <v>1752</v>
      </c>
      <c r="C1210" t="s">
        <v>9567</v>
      </c>
      <c r="D1210" t="s">
        <v>12340</v>
      </c>
      <c r="E1210" t="s">
        <v>12341</v>
      </c>
      <c r="F1210" t="s">
        <v>12342</v>
      </c>
      <c r="G1210" t="s">
        <v>19195</v>
      </c>
      <c r="H1210" t="s">
        <v>19207</v>
      </c>
      <c r="I1210" t="s">
        <v>18936</v>
      </c>
      <c r="K1210" t="str">
        <f>HYPERLINK("http://tuberculist.epfl.ch/quicksearch.php?gene+name=Rv1173&amp;submit=Search")</f>
        <v>http://tuberculist.epfl.ch/quicksearch.php?gene+name=Rv1173&amp;submit=Search</v>
      </c>
    </row>
    <row r="1211" spans="1:11">
      <c r="A1211" t="s">
        <v>12343</v>
      </c>
      <c r="B1211" t="s">
        <v>562</v>
      </c>
      <c r="C1211" t="s">
        <v>9567</v>
      </c>
      <c r="D1211" t="s">
        <v>12344</v>
      </c>
      <c r="E1211" t="s">
        <v>12345</v>
      </c>
      <c r="F1211" t="s">
        <v>12346</v>
      </c>
      <c r="G1211" t="s">
        <v>19188</v>
      </c>
      <c r="H1211" t="s">
        <v>19620</v>
      </c>
      <c r="I1211" t="s">
        <v>18780</v>
      </c>
      <c r="K1211" t="str">
        <f>HYPERLINK("http://tuberculist.epfl.ch/quicksearch.php?gene+name=Rv1174c&amp;submit=Search")</f>
        <v>http://tuberculist.epfl.ch/quicksearch.php?gene+name=Rv1174c&amp;submit=Search</v>
      </c>
    </row>
    <row r="1212" spans="1:11">
      <c r="A1212" t="s">
        <v>6692</v>
      </c>
      <c r="B1212" t="s">
        <v>2104</v>
      </c>
      <c r="C1212" t="s">
        <v>9567</v>
      </c>
      <c r="D1212" t="s">
        <v>12347</v>
      </c>
      <c r="E1212" t="s">
        <v>12348</v>
      </c>
      <c r="F1212" t="s">
        <v>12349</v>
      </c>
      <c r="G1212" t="s">
        <v>19219</v>
      </c>
      <c r="H1212" t="s">
        <v>19570</v>
      </c>
      <c r="I1212" t="s">
        <v>18780</v>
      </c>
      <c r="K1212" t="str">
        <f>HYPERLINK("http://tuberculist.epfl.ch/quicksearch.php?gene+name=Rv1175c&amp;submit=Search")</f>
        <v>http://tuberculist.epfl.ch/quicksearch.php?gene+name=Rv1175c&amp;submit=Search</v>
      </c>
    </row>
    <row r="1213" spans="1:11">
      <c r="A1213" t="s">
        <v>12350</v>
      </c>
      <c r="B1213" t="s">
        <v>12350</v>
      </c>
      <c r="C1213" t="s">
        <v>9567</v>
      </c>
      <c r="D1213" t="s">
        <v>9578</v>
      </c>
      <c r="E1213" t="s">
        <v>9579</v>
      </c>
      <c r="F1213" t="s">
        <v>12351</v>
      </c>
      <c r="G1213" t="s">
        <v>19212</v>
      </c>
      <c r="H1213" t="s">
        <v>19205</v>
      </c>
      <c r="I1213" t="s">
        <v>18780</v>
      </c>
      <c r="K1213" t="str">
        <f>HYPERLINK("http://tuberculist.epfl.ch/quicksearch.php?gene+name=Rv1176c&amp;submit=Search")</f>
        <v>http://tuberculist.epfl.ch/quicksearch.php?gene+name=Rv1176c&amp;submit=Search</v>
      </c>
    </row>
    <row r="1214" spans="1:11">
      <c r="A1214" t="s">
        <v>31</v>
      </c>
      <c r="B1214" t="s">
        <v>30</v>
      </c>
      <c r="C1214" t="s">
        <v>9567</v>
      </c>
      <c r="D1214" t="s">
        <v>11181</v>
      </c>
      <c r="E1214" t="s">
        <v>12352</v>
      </c>
      <c r="F1214" t="s">
        <v>12353</v>
      </c>
      <c r="G1214" t="s">
        <v>19195</v>
      </c>
      <c r="H1214" t="s">
        <v>19272</v>
      </c>
      <c r="I1214" t="s">
        <v>18774</v>
      </c>
      <c r="K1214" t="str">
        <f>HYPERLINK("http://tuberculist.epfl.ch/quicksearch.php?gene+name=Rv1177&amp;submit=Search")</f>
        <v>http://tuberculist.epfl.ch/quicksearch.php?gene+name=Rv1177&amp;submit=Search</v>
      </c>
    </row>
    <row r="1215" spans="1:11">
      <c r="A1215" t="s">
        <v>3285</v>
      </c>
      <c r="B1215" t="s">
        <v>3285</v>
      </c>
      <c r="C1215" t="s">
        <v>9567</v>
      </c>
      <c r="D1215" t="s">
        <v>9682</v>
      </c>
      <c r="E1215" t="s">
        <v>9756</v>
      </c>
      <c r="F1215" t="s">
        <v>12354</v>
      </c>
      <c r="G1215" t="s">
        <v>19195</v>
      </c>
      <c r="H1215" t="s">
        <v>19246</v>
      </c>
      <c r="I1215" t="s">
        <v>18937</v>
      </c>
      <c r="K1215" t="str">
        <f>HYPERLINK("http://tuberculist.epfl.ch/quicksearch.php?gene+name=Rv1178&amp;submit=Search")</f>
        <v>http://tuberculist.epfl.ch/quicksearch.php?gene+name=Rv1178&amp;submit=Search</v>
      </c>
    </row>
    <row r="1216" spans="1:11">
      <c r="A1216" t="s">
        <v>3090</v>
      </c>
      <c r="B1216" t="s">
        <v>3090</v>
      </c>
      <c r="C1216" t="s">
        <v>9567</v>
      </c>
      <c r="D1216" t="s">
        <v>9587</v>
      </c>
      <c r="E1216" t="s">
        <v>9768</v>
      </c>
      <c r="F1216" t="s">
        <v>12355</v>
      </c>
      <c r="G1216" t="s">
        <v>19212</v>
      </c>
      <c r="H1216" t="s">
        <v>19621</v>
      </c>
      <c r="I1216" t="s">
        <v>18780</v>
      </c>
      <c r="K1216" t="str">
        <f>HYPERLINK("http://tuberculist.epfl.ch/quicksearch.php?gene+name=Rv1179c&amp;submit=Search")</f>
        <v>http://tuberculist.epfl.ch/quicksearch.php?gene+name=Rv1179c&amp;submit=Search</v>
      </c>
    </row>
    <row r="1217" spans="1:11">
      <c r="A1217" t="s">
        <v>12</v>
      </c>
      <c r="B1217" t="s">
        <v>11</v>
      </c>
      <c r="C1217" t="s">
        <v>9567</v>
      </c>
      <c r="D1217" t="s">
        <v>12356</v>
      </c>
      <c r="E1217" t="s">
        <v>12357</v>
      </c>
      <c r="F1217" t="s">
        <v>12358</v>
      </c>
      <c r="G1217" t="s">
        <v>19219</v>
      </c>
      <c r="H1217" t="s">
        <v>19213</v>
      </c>
      <c r="I1217" t="s">
        <v>18938</v>
      </c>
      <c r="K1217" t="str">
        <f>HYPERLINK("http://tuberculist.epfl.ch/quicksearch.php?gene+name=Rv1180&amp;submit=Search")</f>
        <v>http://tuberculist.epfl.ch/quicksearch.php?gene+name=Rv1180&amp;submit=Search</v>
      </c>
    </row>
    <row r="1218" spans="1:11">
      <c r="A1218" t="s">
        <v>12359</v>
      </c>
      <c r="B1218" t="s">
        <v>880</v>
      </c>
      <c r="C1218" t="s">
        <v>9567</v>
      </c>
      <c r="D1218" t="s">
        <v>11938</v>
      </c>
      <c r="E1218" t="s">
        <v>12360</v>
      </c>
      <c r="F1218" t="s">
        <v>12361</v>
      </c>
      <c r="G1218" t="s">
        <v>19219</v>
      </c>
      <c r="H1218" t="s">
        <v>19622</v>
      </c>
      <c r="I1218" t="s">
        <v>18939</v>
      </c>
      <c r="K1218" t="str">
        <f>HYPERLINK("http://tuberculist.epfl.ch/quicksearch.php?gene+name=Rv1181&amp;submit=Search")</f>
        <v>http://tuberculist.epfl.ch/quicksearch.php?gene+name=Rv1181&amp;submit=Search</v>
      </c>
    </row>
    <row r="1219" spans="1:11">
      <c r="A1219" t="s">
        <v>8023</v>
      </c>
      <c r="B1219" t="s">
        <v>2771</v>
      </c>
      <c r="C1219" t="s">
        <v>9567</v>
      </c>
      <c r="D1219" t="s">
        <v>12362</v>
      </c>
      <c r="E1219" t="s">
        <v>12363</v>
      </c>
      <c r="F1219" t="s">
        <v>12364</v>
      </c>
      <c r="G1219" t="s">
        <v>19219</v>
      </c>
      <c r="H1219" t="s">
        <v>19254</v>
      </c>
      <c r="I1219" t="s">
        <v>18801</v>
      </c>
      <c r="J1219" t="s">
        <v>18839</v>
      </c>
      <c r="K1219" t="str">
        <f>HYPERLINK("http://tuberculist.epfl.ch/quicksearch.php?gene+name=Rv1182&amp;submit=Search")</f>
        <v>http://tuberculist.epfl.ch/quicksearch.php?gene+name=Rv1182&amp;submit=Search</v>
      </c>
    </row>
    <row r="1220" spans="1:11">
      <c r="A1220" t="s">
        <v>7275</v>
      </c>
      <c r="B1220" t="s">
        <v>2395</v>
      </c>
      <c r="C1220" t="s">
        <v>9567</v>
      </c>
      <c r="D1220" t="s">
        <v>10051</v>
      </c>
      <c r="E1220" t="s">
        <v>12365</v>
      </c>
      <c r="F1220" t="s">
        <v>12366</v>
      </c>
      <c r="G1220" t="s">
        <v>19188</v>
      </c>
      <c r="H1220" t="s">
        <v>19623</v>
      </c>
      <c r="I1220" t="s">
        <v>18940</v>
      </c>
      <c r="K1220" t="str">
        <f>HYPERLINK("http://tuberculist.epfl.ch/quicksearch.php?gene+name=Rv1183&amp;submit=Search")</f>
        <v>http://tuberculist.epfl.ch/quicksearch.php?gene+name=Rv1183&amp;submit=Search</v>
      </c>
    </row>
    <row r="1221" spans="1:11">
      <c r="A1221" t="s">
        <v>120</v>
      </c>
      <c r="B1221" t="s">
        <v>120</v>
      </c>
      <c r="C1221" t="s">
        <v>9567</v>
      </c>
      <c r="D1221" t="s">
        <v>9578</v>
      </c>
      <c r="E1221" t="s">
        <v>10054</v>
      </c>
      <c r="F1221" t="s">
        <v>12367</v>
      </c>
      <c r="G1221" t="s">
        <v>19188</v>
      </c>
      <c r="H1221" t="s">
        <v>19192</v>
      </c>
      <c r="I1221" t="s">
        <v>18835</v>
      </c>
      <c r="K1221" t="str">
        <f>HYPERLINK("http://tuberculist.epfl.ch/quicksearch.php?gene+name=Rv1184c&amp;submit=Search")</f>
        <v>http://tuberculist.epfl.ch/quicksearch.php?gene+name=Rv1184c&amp;submit=Search</v>
      </c>
    </row>
    <row r="1222" spans="1:11">
      <c r="A1222" t="s">
        <v>128</v>
      </c>
      <c r="B1222" t="s">
        <v>129</v>
      </c>
      <c r="C1222" t="s">
        <v>9567</v>
      </c>
      <c r="D1222" t="s">
        <v>12368</v>
      </c>
      <c r="E1222" t="s">
        <v>12369</v>
      </c>
      <c r="F1222" t="s">
        <v>12370</v>
      </c>
      <c r="G1222" t="s">
        <v>19219</v>
      </c>
      <c r="H1222" t="s">
        <v>19339</v>
      </c>
      <c r="I1222" t="s">
        <v>18810</v>
      </c>
      <c r="K1222" t="str">
        <f>HYPERLINK("http://tuberculist.epfl.ch/quicksearch.php?gene+name=Rv1185c&amp;submit=Search")</f>
        <v>http://tuberculist.epfl.ch/quicksearch.php?gene+name=Rv1185c&amp;submit=Search</v>
      </c>
    </row>
    <row r="1223" spans="1:11">
      <c r="A1223" t="s">
        <v>1434</v>
      </c>
      <c r="B1223" t="s">
        <v>1434</v>
      </c>
      <c r="C1223" t="s">
        <v>9567</v>
      </c>
      <c r="D1223" t="s">
        <v>9578</v>
      </c>
      <c r="E1223" t="s">
        <v>9665</v>
      </c>
      <c r="F1223" t="s">
        <v>12371</v>
      </c>
      <c r="G1223" t="s">
        <v>19212</v>
      </c>
      <c r="H1223" t="s">
        <v>19587</v>
      </c>
      <c r="I1223" t="s">
        <v>18838</v>
      </c>
      <c r="K1223" t="str">
        <f>HYPERLINK("http://tuberculist.epfl.ch/quicksearch.php?gene+name=Rv1186c&amp;submit=Search")</f>
        <v>http://tuberculist.epfl.ch/quicksearch.php?gene+name=Rv1186c&amp;submit=Search</v>
      </c>
    </row>
    <row r="1224" spans="1:11">
      <c r="A1224" t="s">
        <v>4093</v>
      </c>
      <c r="B1224" t="s">
        <v>803</v>
      </c>
      <c r="C1224" t="s">
        <v>9567</v>
      </c>
      <c r="D1224" t="s">
        <v>12372</v>
      </c>
      <c r="E1224" t="s">
        <v>12373</v>
      </c>
      <c r="F1224" t="s">
        <v>12374</v>
      </c>
      <c r="G1224" t="s">
        <v>19195</v>
      </c>
      <c r="H1224" t="s">
        <v>19209</v>
      </c>
      <c r="I1224" t="s">
        <v>18842</v>
      </c>
      <c r="K1224" t="str">
        <f>HYPERLINK("http://tuberculist.epfl.ch/quicksearch.php?gene+name=Rv1187&amp;submit=Search")</f>
        <v>http://tuberculist.epfl.ch/quicksearch.php?gene+name=Rv1187&amp;submit=Search</v>
      </c>
    </row>
    <row r="1225" spans="1:11">
      <c r="A1225" t="s">
        <v>12375</v>
      </c>
      <c r="B1225" t="s">
        <v>12375</v>
      </c>
      <c r="C1225" t="s">
        <v>9567</v>
      </c>
      <c r="D1225" t="s">
        <v>12376</v>
      </c>
      <c r="E1225" t="s">
        <v>12377</v>
      </c>
      <c r="F1225" t="s">
        <v>12378</v>
      </c>
      <c r="G1225" t="s">
        <v>19195</v>
      </c>
      <c r="H1225" t="s">
        <v>19417</v>
      </c>
      <c r="I1225" t="s">
        <v>18800</v>
      </c>
      <c r="K1225" t="str">
        <f>HYPERLINK("http://tuberculist.epfl.ch/quicksearch.php?gene+name=Rv1188&amp;submit=Search")</f>
        <v>http://tuberculist.epfl.ch/quicksearch.php?gene+name=Rv1188&amp;submit=Search</v>
      </c>
    </row>
    <row r="1226" spans="1:11">
      <c r="A1226" t="s">
        <v>3501</v>
      </c>
      <c r="B1226" t="s">
        <v>510</v>
      </c>
      <c r="C1226" t="s">
        <v>9567</v>
      </c>
      <c r="D1226" t="s">
        <v>12379</v>
      </c>
      <c r="E1226" t="s">
        <v>12380</v>
      </c>
      <c r="F1226" t="s">
        <v>12381</v>
      </c>
      <c r="G1226" t="s">
        <v>19181</v>
      </c>
      <c r="I1226" t="s">
        <v>18804</v>
      </c>
      <c r="K1226" t="str">
        <f>HYPERLINK("http://tuberculist.epfl.ch/quicksearch.php?gene+name=Rv1189&amp;submit=Search")</f>
        <v>http://tuberculist.epfl.ch/quicksearch.php?gene+name=Rv1189&amp;submit=Search</v>
      </c>
    </row>
    <row r="1227" spans="1:11">
      <c r="A1227" t="s">
        <v>12382</v>
      </c>
      <c r="B1227" t="s">
        <v>12382</v>
      </c>
      <c r="C1227" t="s">
        <v>9567</v>
      </c>
      <c r="D1227" t="s">
        <v>9578</v>
      </c>
      <c r="E1227" t="s">
        <v>9579</v>
      </c>
      <c r="F1227" t="s">
        <v>12383</v>
      </c>
      <c r="G1227" t="s">
        <v>19204</v>
      </c>
      <c r="I1227" t="s">
        <v>18804</v>
      </c>
      <c r="K1227" t="str">
        <f>HYPERLINK("http://tuberculist.epfl.ch/quicksearch.php?gene+name=Rv1190&amp;submit=Search")</f>
        <v>http://tuberculist.epfl.ch/quicksearch.php?gene+name=Rv1190&amp;submit=Search</v>
      </c>
    </row>
    <row r="1228" spans="1:11">
      <c r="A1228" t="s">
        <v>12384</v>
      </c>
      <c r="B1228" t="s">
        <v>12384</v>
      </c>
      <c r="C1228" t="s">
        <v>9567</v>
      </c>
      <c r="D1228" t="s">
        <v>9578</v>
      </c>
      <c r="E1228" t="s">
        <v>9665</v>
      </c>
      <c r="F1228" t="s">
        <v>12385</v>
      </c>
      <c r="G1228" t="s">
        <v>19212</v>
      </c>
      <c r="H1228" t="s">
        <v>19624</v>
      </c>
      <c r="I1228" t="s">
        <v>18804</v>
      </c>
      <c r="K1228" t="str">
        <f>HYPERLINK("http://tuberculist.epfl.ch/quicksearch.php?gene+name=Rv1191&amp;submit=Search")</f>
        <v>http://tuberculist.epfl.ch/quicksearch.php?gene+name=Rv1191&amp;submit=Search</v>
      </c>
    </row>
    <row r="1229" spans="1:11">
      <c r="A1229" t="s">
        <v>3233</v>
      </c>
      <c r="B1229" t="s">
        <v>3233</v>
      </c>
      <c r="C1229" t="s">
        <v>9567</v>
      </c>
      <c r="D1229" t="s">
        <v>9587</v>
      </c>
      <c r="E1229" t="s">
        <v>9768</v>
      </c>
      <c r="F1229" t="s">
        <v>12386</v>
      </c>
      <c r="G1229" t="s">
        <v>19204</v>
      </c>
      <c r="H1229" t="s">
        <v>19625</v>
      </c>
      <c r="I1229" t="s">
        <v>18941</v>
      </c>
      <c r="K1229" t="str">
        <f>HYPERLINK("http://tuberculist.epfl.ch/quicksearch.php?gene+name=Rv1192&amp;submit=Search")</f>
        <v>http://tuberculist.epfl.ch/quicksearch.php?gene+name=Rv1192&amp;submit=Search</v>
      </c>
    </row>
    <row r="1230" spans="1:11">
      <c r="A1230" t="s">
        <v>6295</v>
      </c>
      <c r="B1230" t="s">
        <v>1896</v>
      </c>
      <c r="C1230" t="s">
        <v>9567</v>
      </c>
      <c r="D1230" t="s">
        <v>12368</v>
      </c>
      <c r="E1230" t="s">
        <v>12387</v>
      </c>
      <c r="F1230" t="s">
        <v>12388</v>
      </c>
      <c r="G1230" t="s">
        <v>19219</v>
      </c>
      <c r="H1230" t="s">
        <v>19626</v>
      </c>
      <c r="I1230" t="s">
        <v>18942</v>
      </c>
      <c r="K1230" t="str">
        <f>HYPERLINK("http://tuberculist.epfl.ch/quicksearch.php?gene+name=Rv1193&amp;submit=Search")</f>
        <v>http://tuberculist.epfl.ch/quicksearch.php?gene+name=Rv1193&amp;submit=Search</v>
      </c>
    </row>
    <row r="1231" spans="1:11">
      <c r="A1231" t="s">
        <v>2164</v>
      </c>
      <c r="B1231" t="s">
        <v>2164</v>
      </c>
      <c r="C1231" t="s">
        <v>9567</v>
      </c>
      <c r="D1231" t="s">
        <v>9578</v>
      </c>
      <c r="E1231" t="s">
        <v>9665</v>
      </c>
      <c r="F1231" t="s">
        <v>12389</v>
      </c>
      <c r="G1231" t="s">
        <v>19210</v>
      </c>
      <c r="H1231" t="s">
        <v>19401</v>
      </c>
      <c r="I1231" t="s">
        <v>18801</v>
      </c>
      <c r="K1231" t="str">
        <f>HYPERLINK("http://tuberculist.epfl.ch/quicksearch.php?gene+name=Rv1194c&amp;submit=Search")</f>
        <v>http://tuberculist.epfl.ch/quicksearch.php?gene+name=Rv1194c&amp;submit=Search</v>
      </c>
    </row>
    <row r="1232" spans="1:11">
      <c r="A1232" t="s">
        <v>125</v>
      </c>
      <c r="B1232" t="s">
        <v>124</v>
      </c>
      <c r="C1232" t="s">
        <v>9567</v>
      </c>
      <c r="D1232" t="s">
        <v>9578</v>
      </c>
      <c r="E1232" t="s">
        <v>12390</v>
      </c>
      <c r="F1232" t="s">
        <v>12391</v>
      </c>
      <c r="G1232" t="s">
        <v>19262</v>
      </c>
      <c r="H1232" t="s">
        <v>19213</v>
      </c>
      <c r="I1232" t="s">
        <v>18792</v>
      </c>
      <c r="J1232" t="s">
        <v>18943</v>
      </c>
      <c r="K1232" t="str">
        <f>HYPERLINK("http://tuberculist.epfl.ch/quicksearch.php?gene+name=Rv1195&amp;submit=Search")</f>
        <v>http://tuberculist.epfl.ch/quicksearch.php?gene+name=Rv1195&amp;submit=Search</v>
      </c>
    </row>
    <row r="1233" spans="1:11">
      <c r="A1233" t="s">
        <v>8612</v>
      </c>
      <c r="B1233" t="s">
        <v>3047</v>
      </c>
      <c r="C1233" t="s">
        <v>9567</v>
      </c>
      <c r="D1233" t="s">
        <v>9578</v>
      </c>
      <c r="E1233" t="s">
        <v>12392</v>
      </c>
      <c r="F1233" t="s">
        <v>12393</v>
      </c>
      <c r="G1233" t="s">
        <v>19253</v>
      </c>
      <c r="H1233" t="s">
        <v>19278</v>
      </c>
      <c r="I1233" t="s">
        <v>18779</v>
      </c>
      <c r="K1233" t="str">
        <f>HYPERLINK("http://tuberculist.epfl.ch/quicksearch.php?gene+name=Rv1196&amp;submit=Search")</f>
        <v>http://tuberculist.epfl.ch/quicksearch.php?gene+name=Rv1196&amp;submit=Search</v>
      </c>
    </row>
    <row r="1234" spans="1:11">
      <c r="A1234" t="s">
        <v>12394</v>
      </c>
      <c r="B1234" t="s">
        <v>12395</v>
      </c>
      <c r="C1234" t="s">
        <v>9567</v>
      </c>
      <c r="D1234" t="s">
        <v>9578</v>
      </c>
      <c r="E1234" t="s">
        <v>12396</v>
      </c>
      <c r="F1234" t="s">
        <v>12397</v>
      </c>
      <c r="G1234" t="s">
        <v>19188</v>
      </c>
      <c r="H1234" t="s">
        <v>19627</v>
      </c>
      <c r="I1234" t="s">
        <v>18779</v>
      </c>
      <c r="K1234" t="str">
        <f>HYPERLINK("http://tuberculist.epfl.ch/quicksearch.php?gene+name=Rv1197&amp;submit=Search")</f>
        <v>http://tuberculist.epfl.ch/quicksearch.php?gene+name=Rv1197&amp;submit=Search</v>
      </c>
    </row>
    <row r="1235" spans="1:11">
      <c r="A1235" t="s">
        <v>12398</v>
      </c>
      <c r="B1235" t="s">
        <v>12399</v>
      </c>
      <c r="C1235" t="s">
        <v>9567</v>
      </c>
      <c r="D1235" t="s">
        <v>9587</v>
      </c>
      <c r="E1235" t="s">
        <v>12400</v>
      </c>
      <c r="F1235" t="s">
        <v>12401</v>
      </c>
      <c r="G1235" t="s">
        <v>19188</v>
      </c>
      <c r="H1235" t="s">
        <v>19628</v>
      </c>
      <c r="I1235" t="s">
        <v>18777</v>
      </c>
      <c r="K1235" t="str">
        <f>HYPERLINK("http://tuberculist.epfl.ch/quicksearch.php?gene+name=Rv1198&amp;submit=Search")</f>
        <v>http://tuberculist.epfl.ch/quicksearch.php?gene+name=Rv1198&amp;submit=Search</v>
      </c>
    </row>
    <row r="1236" spans="1:11">
      <c r="A1236" t="s">
        <v>12402</v>
      </c>
      <c r="B1236" t="s">
        <v>12402</v>
      </c>
      <c r="C1236" t="s">
        <v>9567</v>
      </c>
      <c r="D1236" t="s">
        <v>12025</v>
      </c>
      <c r="E1236" t="s">
        <v>11734</v>
      </c>
      <c r="F1236" t="s">
        <v>12403</v>
      </c>
      <c r="G1236" t="s">
        <v>19217</v>
      </c>
      <c r="I1236" t="s">
        <v>18779</v>
      </c>
      <c r="K1236" t="str">
        <f>HYPERLINK("http://tuberculist.epfl.ch/quicksearch.php?gene+name=Rv1199c&amp;submit=Search")</f>
        <v>http://tuberculist.epfl.ch/quicksearch.php?gene+name=Rv1199c&amp;submit=Search</v>
      </c>
    </row>
    <row r="1237" spans="1:11">
      <c r="A1237" t="s">
        <v>2079</v>
      </c>
      <c r="B1237" t="s">
        <v>2079</v>
      </c>
      <c r="C1237" t="s">
        <v>9567</v>
      </c>
      <c r="D1237" t="s">
        <v>12404</v>
      </c>
      <c r="E1237" t="s">
        <v>11579</v>
      </c>
      <c r="F1237" t="s">
        <v>12405</v>
      </c>
      <c r="G1237" t="s">
        <v>19188</v>
      </c>
      <c r="I1237" t="s">
        <v>18780</v>
      </c>
      <c r="K1237" t="str">
        <f>HYPERLINK("http://tuberculist.epfl.ch/quicksearch.php?gene+name=Rv1200&amp;submit=Search")</f>
        <v>http://tuberculist.epfl.ch/quicksearch.php?gene+name=Rv1200&amp;submit=Search</v>
      </c>
    </row>
    <row r="1238" spans="1:11">
      <c r="A1238" t="s">
        <v>12406</v>
      </c>
      <c r="B1238" t="s">
        <v>2244</v>
      </c>
      <c r="C1238" t="s">
        <v>9567</v>
      </c>
      <c r="D1238" t="s">
        <v>12407</v>
      </c>
      <c r="E1238" t="s">
        <v>12408</v>
      </c>
      <c r="F1238" t="s">
        <v>12409</v>
      </c>
      <c r="G1238" t="s">
        <v>19195</v>
      </c>
      <c r="H1238" t="s">
        <v>19282</v>
      </c>
      <c r="I1238" t="s">
        <v>18774</v>
      </c>
      <c r="K1238" t="str">
        <f>HYPERLINK("http://tuberculist.epfl.ch/quicksearch.php?gene+name=Rv1201c&amp;submit=Search")</f>
        <v>http://tuberculist.epfl.ch/quicksearch.php?gene+name=Rv1201c&amp;submit=Search</v>
      </c>
    </row>
    <row r="1239" spans="1:11">
      <c r="A1239" t="s">
        <v>8271</v>
      </c>
      <c r="B1239" t="s">
        <v>2888</v>
      </c>
      <c r="C1239" t="s">
        <v>9567</v>
      </c>
      <c r="D1239" t="s">
        <v>12410</v>
      </c>
      <c r="E1239" t="s">
        <v>12411</v>
      </c>
      <c r="F1239" t="s">
        <v>12412</v>
      </c>
      <c r="G1239" t="s">
        <v>19195</v>
      </c>
      <c r="H1239" t="s">
        <v>19233</v>
      </c>
      <c r="I1239" t="s">
        <v>18774</v>
      </c>
      <c r="K1239" t="str">
        <f>HYPERLINK("http://tuberculist.epfl.ch/quicksearch.php?gene+name=Rv1202&amp;submit=Search")</f>
        <v>http://tuberculist.epfl.ch/quicksearch.php?gene+name=Rv1202&amp;submit=Search</v>
      </c>
    </row>
    <row r="1240" spans="1:11">
      <c r="A1240" t="s">
        <v>12413</v>
      </c>
      <c r="B1240" t="s">
        <v>12413</v>
      </c>
      <c r="C1240" t="s">
        <v>9567</v>
      </c>
      <c r="D1240" t="s">
        <v>9587</v>
      </c>
      <c r="E1240" t="s">
        <v>9713</v>
      </c>
      <c r="F1240" t="s">
        <v>12414</v>
      </c>
      <c r="G1240" t="s">
        <v>19204</v>
      </c>
      <c r="I1240" t="s">
        <v>18779</v>
      </c>
      <c r="K1240" t="str">
        <f>HYPERLINK("http://tuberculist.epfl.ch/quicksearch.php?gene+name=Rv1203c&amp;submit=Search")</f>
        <v>http://tuberculist.epfl.ch/quicksearch.php?gene+name=Rv1203c&amp;submit=Search</v>
      </c>
    </row>
    <row r="1241" spans="1:11">
      <c r="A1241" t="s">
        <v>2339</v>
      </c>
      <c r="B1241" t="s">
        <v>2339</v>
      </c>
      <c r="C1241" t="s">
        <v>9567</v>
      </c>
      <c r="D1241" t="s">
        <v>9578</v>
      </c>
      <c r="E1241" t="s">
        <v>9579</v>
      </c>
      <c r="F1241" t="s">
        <v>12415</v>
      </c>
      <c r="G1241" t="s">
        <v>19210</v>
      </c>
      <c r="I1241" t="s">
        <v>18810</v>
      </c>
      <c r="K1241" t="str">
        <f>HYPERLINK("http://tuberculist.epfl.ch/quicksearch.php?gene+name=Rv1204c&amp;submit=Search")</f>
        <v>http://tuberculist.epfl.ch/quicksearch.php?gene+name=Rv1204c&amp;submit=Search</v>
      </c>
    </row>
    <row r="1242" spans="1:11">
      <c r="A1242" t="s">
        <v>1626</v>
      </c>
      <c r="B1242" t="s">
        <v>1626</v>
      </c>
      <c r="C1242" t="s">
        <v>9567</v>
      </c>
      <c r="D1242" t="s">
        <v>9578</v>
      </c>
      <c r="E1242" t="s">
        <v>9579</v>
      </c>
      <c r="F1242" t="s">
        <v>12416</v>
      </c>
      <c r="G1242" t="s">
        <v>19220</v>
      </c>
      <c r="H1242" t="s">
        <v>19213</v>
      </c>
      <c r="I1242" t="s">
        <v>18789</v>
      </c>
      <c r="K1242" t="str">
        <f>HYPERLINK("http://tuberculist.epfl.ch/quicksearch.php?gene+name=Rv1205&amp;submit=Search")</f>
        <v>http://tuberculist.epfl.ch/quicksearch.php?gene+name=Rv1205&amp;submit=Search</v>
      </c>
    </row>
    <row r="1243" spans="1:11">
      <c r="A1243" t="s">
        <v>6537</v>
      </c>
      <c r="B1243" t="s">
        <v>2018</v>
      </c>
      <c r="C1243" t="s">
        <v>9567</v>
      </c>
      <c r="D1243" t="s">
        <v>12417</v>
      </c>
      <c r="E1243" t="s">
        <v>12418</v>
      </c>
      <c r="F1243" t="s">
        <v>12419</v>
      </c>
      <c r="G1243" t="s">
        <v>19219</v>
      </c>
      <c r="H1243" t="s">
        <v>19629</v>
      </c>
      <c r="I1243" t="s">
        <v>18777</v>
      </c>
      <c r="K1243" t="str">
        <f>HYPERLINK("http://tuberculist.epfl.ch/quicksearch.php?gene+name=Rv1206&amp;submit=Search")</f>
        <v>http://tuberculist.epfl.ch/quicksearch.php?gene+name=Rv1206&amp;submit=Search</v>
      </c>
    </row>
    <row r="1244" spans="1:11">
      <c r="A1244" t="s">
        <v>8355</v>
      </c>
      <c r="B1244" t="s">
        <v>2930</v>
      </c>
      <c r="C1244" t="s">
        <v>9567</v>
      </c>
      <c r="D1244" t="s">
        <v>12420</v>
      </c>
      <c r="E1244" t="s">
        <v>12421</v>
      </c>
      <c r="F1244" t="s">
        <v>12422</v>
      </c>
      <c r="G1244" t="s">
        <v>19195</v>
      </c>
      <c r="I1244" t="s">
        <v>18780</v>
      </c>
      <c r="K1244" t="str">
        <f>HYPERLINK("http://tuberculist.epfl.ch/quicksearch.php?gene+name=Rv1207&amp;submit=Search")</f>
        <v>http://tuberculist.epfl.ch/quicksearch.php?gene+name=Rv1207&amp;submit=Search</v>
      </c>
    </row>
    <row r="1245" spans="1:11">
      <c r="A1245" t="s">
        <v>12423</v>
      </c>
      <c r="B1245" t="s">
        <v>2561</v>
      </c>
      <c r="C1245" t="s">
        <v>9567</v>
      </c>
      <c r="D1245" t="s">
        <v>12424</v>
      </c>
      <c r="E1245" t="s">
        <v>12425</v>
      </c>
      <c r="F1245" t="s">
        <v>12426</v>
      </c>
      <c r="G1245" t="s">
        <v>19195</v>
      </c>
      <c r="I1245" t="s">
        <v>18774</v>
      </c>
      <c r="K1245" t="str">
        <f>HYPERLINK("http://tuberculist.epfl.ch/quicksearch.php?gene+name=Rv1208&amp;submit=Search")</f>
        <v>http://tuberculist.epfl.ch/quicksearch.php?gene+name=Rv1208&amp;submit=Search</v>
      </c>
    </row>
    <row r="1246" spans="1:11">
      <c r="A1246" t="s">
        <v>2425</v>
      </c>
      <c r="B1246" t="s">
        <v>2425</v>
      </c>
      <c r="C1246" t="s">
        <v>9567</v>
      </c>
      <c r="D1246" t="s">
        <v>9578</v>
      </c>
      <c r="E1246" t="s">
        <v>9665</v>
      </c>
      <c r="F1246" t="s">
        <v>12427</v>
      </c>
      <c r="G1246" t="s">
        <v>19204</v>
      </c>
      <c r="H1246" t="s">
        <v>19233</v>
      </c>
      <c r="I1246" t="s">
        <v>18780</v>
      </c>
      <c r="K1246" t="str">
        <f>HYPERLINK("http://tuberculist.epfl.ch/quicksearch.php?gene+name=Rv1209&amp;submit=Search")</f>
        <v>http://tuberculist.epfl.ch/quicksearch.php?gene+name=Rv1209&amp;submit=Search</v>
      </c>
    </row>
    <row r="1247" spans="1:11">
      <c r="A1247" t="s">
        <v>5644</v>
      </c>
      <c r="B1247" t="s">
        <v>1585</v>
      </c>
      <c r="C1247" t="s">
        <v>9567</v>
      </c>
      <c r="D1247" t="s">
        <v>12428</v>
      </c>
      <c r="E1247" t="s">
        <v>12429</v>
      </c>
      <c r="F1247" t="s">
        <v>12430</v>
      </c>
      <c r="G1247" t="s">
        <v>19181</v>
      </c>
      <c r="I1247" t="s">
        <v>18780</v>
      </c>
      <c r="K1247" t="str">
        <f>HYPERLINK("http://tuberculist.epfl.ch/quicksearch.php?gene+name=Rv1210&amp;submit=Search")</f>
        <v>http://tuberculist.epfl.ch/quicksearch.php?gene+name=Rv1210&amp;submit=Search</v>
      </c>
    </row>
    <row r="1248" spans="1:11">
      <c r="A1248" t="s">
        <v>531</v>
      </c>
      <c r="B1248" t="s">
        <v>531</v>
      </c>
      <c r="C1248" t="s">
        <v>9567</v>
      </c>
      <c r="D1248" t="s">
        <v>9578</v>
      </c>
      <c r="E1248" t="s">
        <v>9665</v>
      </c>
      <c r="F1248" t="s">
        <v>12431</v>
      </c>
      <c r="G1248" t="s">
        <v>19212</v>
      </c>
      <c r="H1248" t="s">
        <v>19630</v>
      </c>
      <c r="I1248" t="s">
        <v>18944</v>
      </c>
      <c r="K1248" t="str">
        <f>HYPERLINK("http://tuberculist.epfl.ch/quicksearch.php?gene+name=Rv1211&amp;submit=Search")</f>
        <v>http://tuberculist.epfl.ch/quicksearch.php?gene+name=Rv1211&amp;submit=Search</v>
      </c>
    </row>
    <row r="1249" spans="1:11">
      <c r="A1249" t="s">
        <v>12432</v>
      </c>
      <c r="B1249" t="s">
        <v>1901</v>
      </c>
      <c r="C1249" t="s">
        <v>9567</v>
      </c>
      <c r="D1249" t="s">
        <v>12032</v>
      </c>
      <c r="E1249" t="s">
        <v>12433</v>
      </c>
      <c r="F1249" t="s">
        <v>12434</v>
      </c>
      <c r="G1249" t="s">
        <v>19195</v>
      </c>
      <c r="I1249" t="s">
        <v>18945</v>
      </c>
      <c r="K1249" t="str">
        <f>HYPERLINK("http://tuberculist.epfl.ch/quicksearch.php?gene+name=Rv1212c&amp;submit=Search")</f>
        <v>http://tuberculist.epfl.ch/quicksearch.php?gene+name=Rv1212c&amp;submit=Search</v>
      </c>
    </row>
    <row r="1250" spans="1:11">
      <c r="A1250" t="s">
        <v>4575</v>
      </c>
      <c r="B1250" t="s">
        <v>1046</v>
      </c>
      <c r="C1250" t="s">
        <v>9567</v>
      </c>
      <c r="D1250" t="s">
        <v>12435</v>
      </c>
      <c r="E1250" t="s">
        <v>12436</v>
      </c>
      <c r="F1250" t="s">
        <v>12437</v>
      </c>
      <c r="G1250" t="s">
        <v>19195</v>
      </c>
      <c r="H1250" t="s">
        <v>19326</v>
      </c>
      <c r="I1250" t="s">
        <v>18946</v>
      </c>
      <c r="K1250" t="str">
        <f>HYPERLINK("http://tuberculist.epfl.ch/quicksearch.php?gene+name=Rv1213&amp;submit=Search")</f>
        <v>http://tuberculist.epfl.ch/quicksearch.php?gene+name=Rv1213&amp;submit=Search</v>
      </c>
    </row>
    <row r="1251" spans="1:11">
      <c r="A1251" t="s">
        <v>6028</v>
      </c>
      <c r="B1251" t="s">
        <v>1770</v>
      </c>
      <c r="C1251" t="s">
        <v>9567</v>
      </c>
      <c r="D1251" t="s">
        <v>9578</v>
      </c>
      <c r="E1251" t="s">
        <v>12438</v>
      </c>
      <c r="F1251" t="s">
        <v>12439</v>
      </c>
      <c r="G1251" t="s">
        <v>19253</v>
      </c>
      <c r="H1251" t="s">
        <v>19254</v>
      </c>
      <c r="I1251" t="s">
        <v>18793</v>
      </c>
      <c r="K1251" t="str">
        <f>HYPERLINK("http://tuberculist.epfl.ch/quicksearch.php?gene+name=Rv1214c&amp;submit=Search")</f>
        <v>http://tuberculist.epfl.ch/quicksearch.php?gene+name=Rv1214c&amp;submit=Search</v>
      </c>
    </row>
    <row r="1252" spans="1:11">
      <c r="A1252" t="s">
        <v>3304</v>
      </c>
      <c r="B1252" t="s">
        <v>3304</v>
      </c>
      <c r="C1252" t="s">
        <v>9567</v>
      </c>
      <c r="D1252" t="s">
        <v>9578</v>
      </c>
      <c r="E1252" t="s">
        <v>9665</v>
      </c>
      <c r="F1252" t="s">
        <v>12440</v>
      </c>
      <c r="G1252" t="s">
        <v>19210</v>
      </c>
      <c r="H1252" t="s">
        <v>19631</v>
      </c>
      <c r="I1252" t="s">
        <v>18899</v>
      </c>
      <c r="K1252" t="str">
        <f>HYPERLINK("http://tuberculist.epfl.ch/quicksearch.php?gene+name=Rv1215c&amp;submit=Search")</f>
        <v>http://tuberculist.epfl.ch/quicksearch.php?gene+name=Rv1215c&amp;submit=Search</v>
      </c>
    </row>
    <row r="1253" spans="1:11">
      <c r="A1253" t="s">
        <v>2951</v>
      </c>
      <c r="B1253" t="s">
        <v>2951</v>
      </c>
      <c r="C1253" t="s">
        <v>9567</v>
      </c>
      <c r="D1253" t="s">
        <v>9578</v>
      </c>
      <c r="E1253" t="s">
        <v>9668</v>
      </c>
      <c r="F1253" t="s">
        <v>12441</v>
      </c>
      <c r="G1253" t="s">
        <v>19188</v>
      </c>
      <c r="H1253" t="s">
        <v>19233</v>
      </c>
      <c r="I1253" t="s">
        <v>18780</v>
      </c>
      <c r="K1253" t="str">
        <f>HYPERLINK("http://tuberculist.epfl.ch/quicksearch.php?gene+name=Rv1216c&amp;submit=Search")</f>
        <v>http://tuberculist.epfl.ch/quicksearch.php?gene+name=Rv1216c&amp;submit=Search</v>
      </c>
    </row>
    <row r="1254" spans="1:11">
      <c r="A1254" t="s">
        <v>137</v>
      </c>
      <c r="B1254" t="s">
        <v>137</v>
      </c>
      <c r="C1254" t="s">
        <v>9567</v>
      </c>
      <c r="D1254" t="s">
        <v>12442</v>
      </c>
      <c r="E1254" t="s">
        <v>12443</v>
      </c>
      <c r="F1254" t="s">
        <v>12444</v>
      </c>
      <c r="G1254" t="s">
        <v>19188</v>
      </c>
      <c r="H1254" t="s">
        <v>19192</v>
      </c>
      <c r="I1254" t="s">
        <v>18793</v>
      </c>
      <c r="K1254" t="str">
        <f>HYPERLINK("http://tuberculist.epfl.ch/quicksearch.php?gene+name=Rv1217c&amp;submit=Search")</f>
        <v>http://tuberculist.epfl.ch/quicksearch.php?gene+name=Rv1217c&amp;submit=Search</v>
      </c>
    </row>
    <row r="1255" spans="1:11">
      <c r="A1255" t="s">
        <v>143</v>
      </c>
      <c r="B1255" t="s">
        <v>143</v>
      </c>
      <c r="C1255" t="s">
        <v>9567</v>
      </c>
      <c r="D1255" t="s">
        <v>12445</v>
      </c>
      <c r="E1255" t="s">
        <v>12446</v>
      </c>
      <c r="F1255" t="s">
        <v>12447</v>
      </c>
      <c r="G1255" t="s">
        <v>19188</v>
      </c>
      <c r="H1255" t="s">
        <v>19305</v>
      </c>
      <c r="I1255" t="s">
        <v>18780</v>
      </c>
      <c r="K1255" t="str">
        <f>HYPERLINK("http://tuberculist.epfl.ch/quicksearch.php?gene+name=Rv1218c&amp;submit=Search")</f>
        <v>http://tuberculist.epfl.ch/quicksearch.php?gene+name=Rv1218c&amp;submit=Search</v>
      </c>
    </row>
    <row r="1256" spans="1:11">
      <c r="A1256" t="s">
        <v>151</v>
      </c>
      <c r="B1256" t="s">
        <v>151</v>
      </c>
      <c r="C1256" t="s">
        <v>9567</v>
      </c>
      <c r="D1256" t="s">
        <v>9629</v>
      </c>
      <c r="E1256" t="s">
        <v>9763</v>
      </c>
      <c r="F1256" t="s">
        <v>12448</v>
      </c>
      <c r="G1256" t="s">
        <v>19197</v>
      </c>
      <c r="I1256" t="s">
        <v>18780</v>
      </c>
      <c r="K1256" t="str">
        <f>HYPERLINK("http://tuberculist.epfl.ch/quicksearch.php?gene+name=Rv1219c&amp;submit=Search")</f>
        <v>http://tuberculist.epfl.ch/quicksearch.php?gene+name=Rv1219c&amp;submit=Search</v>
      </c>
    </row>
    <row r="1257" spans="1:11">
      <c r="A1257" t="s">
        <v>1170</v>
      </c>
      <c r="B1257" t="s">
        <v>1170</v>
      </c>
      <c r="C1257" t="s">
        <v>9567</v>
      </c>
      <c r="D1257" t="s">
        <v>12449</v>
      </c>
      <c r="E1257" t="s">
        <v>12450</v>
      </c>
      <c r="F1257" t="s">
        <v>12451</v>
      </c>
      <c r="G1257" t="s">
        <v>19195</v>
      </c>
      <c r="H1257" t="s">
        <v>19225</v>
      </c>
      <c r="I1257" t="s">
        <v>18779</v>
      </c>
      <c r="K1257" t="str">
        <f>HYPERLINK("http://tuberculist.epfl.ch/quicksearch.php?gene+name=Rv1220c&amp;submit=Search")</f>
        <v>http://tuberculist.epfl.ch/quicksearch.php?gene+name=Rv1220c&amp;submit=Search</v>
      </c>
    </row>
    <row r="1258" spans="1:11">
      <c r="A1258" t="s">
        <v>4254</v>
      </c>
      <c r="B1258" t="s">
        <v>885</v>
      </c>
      <c r="C1258" t="s">
        <v>9567</v>
      </c>
      <c r="D1258" t="s">
        <v>12452</v>
      </c>
      <c r="E1258" t="s">
        <v>12453</v>
      </c>
      <c r="F1258" t="s">
        <v>12454</v>
      </c>
      <c r="G1258" t="s">
        <v>19181</v>
      </c>
      <c r="I1258" t="s">
        <v>18947</v>
      </c>
      <c r="J1258" t="s">
        <v>18948</v>
      </c>
      <c r="K1258" t="str">
        <f>HYPERLINK("http://tuberculist.epfl.ch/quicksearch.php?gene+name=Rv1221&amp;submit=Search")</f>
        <v>http://tuberculist.epfl.ch/quicksearch.php?gene+name=Rv1221&amp;submit=Search</v>
      </c>
    </row>
    <row r="1259" spans="1:11">
      <c r="A1259" t="s">
        <v>12455</v>
      </c>
      <c r="B1259" t="s">
        <v>476</v>
      </c>
      <c r="C1259" t="s">
        <v>9567</v>
      </c>
      <c r="D1259" t="s">
        <v>12456</v>
      </c>
      <c r="E1259" t="s">
        <v>12457</v>
      </c>
      <c r="F1259" t="s">
        <v>12458</v>
      </c>
      <c r="G1259" t="s">
        <v>19181</v>
      </c>
      <c r="H1259" t="s">
        <v>19213</v>
      </c>
      <c r="I1259" t="s">
        <v>18780</v>
      </c>
      <c r="K1259" t="str">
        <f>HYPERLINK("http://tuberculist.epfl.ch/quicksearch.php?gene+name=Rv1222&amp;submit=Search")</f>
        <v>http://tuberculist.epfl.ch/quicksearch.php?gene+name=Rv1222&amp;submit=Search</v>
      </c>
    </row>
    <row r="1260" spans="1:11">
      <c r="A1260" t="s">
        <v>8846</v>
      </c>
      <c r="B1260" t="s">
        <v>3156</v>
      </c>
      <c r="C1260" t="s">
        <v>9567</v>
      </c>
      <c r="D1260" t="s">
        <v>12459</v>
      </c>
      <c r="E1260" t="s">
        <v>12460</v>
      </c>
      <c r="F1260" t="s">
        <v>12461</v>
      </c>
      <c r="G1260" t="s">
        <v>19195</v>
      </c>
      <c r="H1260" t="s">
        <v>19602</v>
      </c>
      <c r="I1260" t="s">
        <v>18774</v>
      </c>
      <c r="K1260" t="str">
        <f>HYPERLINK("http://tuberculist.epfl.ch/quicksearch.php?gene+name=Rv1223&amp;submit=Search")</f>
        <v>http://tuberculist.epfl.ch/quicksearch.php?gene+name=Rv1223&amp;submit=Search</v>
      </c>
    </row>
    <row r="1261" spans="1:11">
      <c r="A1261" t="s">
        <v>4861</v>
      </c>
      <c r="B1261" t="s">
        <v>1188</v>
      </c>
      <c r="C1261" t="s">
        <v>9567</v>
      </c>
      <c r="D1261" t="s">
        <v>12462</v>
      </c>
      <c r="E1261" t="s">
        <v>12463</v>
      </c>
      <c r="F1261" t="s">
        <v>12464</v>
      </c>
      <c r="G1261" t="s">
        <v>19188</v>
      </c>
      <c r="I1261" t="s">
        <v>18949</v>
      </c>
      <c r="K1261" t="str">
        <f>HYPERLINK("http://tuberculist.epfl.ch/quicksearch.php?gene+name=Rv1224&amp;submit=Search")</f>
        <v>http://tuberculist.epfl.ch/quicksearch.php?gene+name=Rv1224&amp;submit=Search</v>
      </c>
    </row>
    <row r="1262" spans="1:11">
      <c r="A1262" t="s">
        <v>3032</v>
      </c>
      <c r="B1262" t="s">
        <v>3032</v>
      </c>
      <c r="C1262" t="s">
        <v>9567</v>
      </c>
      <c r="D1262" t="s">
        <v>9578</v>
      </c>
      <c r="E1262" t="s">
        <v>9579</v>
      </c>
      <c r="F1262" t="s">
        <v>12465</v>
      </c>
      <c r="G1262" t="s">
        <v>19210</v>
      </c>
      <c r="I1262" t="s">
        <v>18780</v>
      </c>
      <c r="K1262" t="str">
        <f>HYPERLINK("http://tuberculist.epfl.ch/quicksearch.php?gene+name=Rv1225c&amp;submit=Search")</f>
        <v>http://tuberculist.epfl.ch/quicksearch.php?gene+name=Rv1225c&amp;submit=Search</v>
      </c>
    </row>
    <row r="1263" spans="1:11">
      <c r="A1263" t="s">
        <v>2319</v>
      </c>
      <c r="B1263" t="s">
        <v>2319</v>
      </c>
      <c r="C1263" t="s">
        <v>9567</v>
      </c>
      <c r="D1263" t="s">
        <v>9587</v>
      </c>
      <c r="E1263" t="s">
        <v>10632</v>
      </c>
      <c r="F1263" t="s">
        <v>12466</v>
      </c>
      <c r="G1263" t="s">
        <v>19188</v>
      </c>
      <c r="H1263" t="s">
        <v>19252</v>
      </c>
      <c r="I1263" t="s">
        <v>18789</v>
      </c>
      <c r="K1263" t="str">
        <f>HYPERLINK("http://tuberculist.epfl.ch/quicksearch.php?gene+name=Rv1226c&amp;submit=Search")</f>
        <v>http://tuberculist.epfl.ch/quicksearch.php?gene+name=Rv1226c&amp;submit=Search</v>
      </c>
    </row>
    <row r="1264" spans="1:11">
      <c r="A1264" t="s">
        <v>2057</v>
      </c>
      <c r="B1264" t="s">
        <v>2057</v>
      </c>
      <c r="C1264" t="s">
        <v>9567</v>
      </c>
      <c r="D1264" t="s">
        <v>9587</v>
      </c>
      <c r="E1264" t="s">
        <v>10632</v>
      </c>
      <c r="F1264" t="s">
        <v>12467</v>
      </c>
      <c r="G1264" t="s">
        <v>19188</v>
      </c>
      <c r="H1264" t="s">
        <v>19192</v>
      </c>
      <c r="I1264" t="s">
        <v>18780</v>
      </c>
      <c r="K1264" t="str">
        <f>HYPERLINK("http://tuberculist.epfl.ch/quicksearch.php?gene+name=Rv1227c&amp;submit=Search")</f>
        <v>http://tuberculist.epfl.ch/quicksearch.php?gene+name=Rv1227c&amp;submit=Search</v>
      </c>
    </row>
    <row r="1265" spans="1:11">
      <c r="A1265" t="s">
        <v>6425</v>
      </c>
      <c r="B1265" t="s">
        <v>1963</v>
      </c>
      <c r="C1265" t="s">
        <v>9567</v>
      </c>
      <c r="D1265" t="s">
        <v>9587</v>
      </c>
      <c r="E1265" t="s">
        <v>12468</v>
      </c>
      <c r="F1265" t="s">
        <v>12469</v>
      </c>
      <c r="G1265" t="s">
        <v>19188</v>
      </c>
      <c r="H1265" t="s">
        <v>19389</v>
      </c>
      <c r="I1265" t="s">
        <v>18780</v>
      </c>
      <c r="K1265" t="str">
        <f>HYPERLINK("http://tuberculist.epfl.ch/quicksearch.php?gene+name=Rv1228&amp;submit=Search")</f>
        <v>http://tuberculist.epfl.ch/quicksearch.php?gene+name=Rv1228&amp;submit=Search</v>
      </c>
    </row>
    <row r="1266" spans="1:11">
      <c r="A1266" t="s">
        <v>8107</v>
      </c>
      <c r="B1266" t="s">
        <v>2807</v>
      </c>
      <c r="C1266" t="s">
        <v>9567</v>
      </c>
      <c r="D1266" t="s">
        <v>12470</v>
      </c>
      <c r="E1266" t="s">
        <v>12471</v>
      </c>
      <c r="F1266" t="s">
        <v>12472</v>
      </c>
      <c r="G1266" t="s">
        <v>19195</v>
      </c>
      <c r="H1266" t="s">
        <v>19632</v>
      </c>
      <c r="I1266" t="s">
        <v>18774</v>
      </c>
      <c r="K1266" t="str">
        <f>HYPERLINK("http://tuberculist.epfl.ch/quicksearch.php?gene+name=Rv1229c&amp;submit=Search")</f>
        <v>http://tuberculist.epfl.ch/quicksearch.php?gene+name=Rv1229c&amp;submit=Search</v>
      </c>
    </row>
    <row r="1267" spans="1:11">
      <c r="A1267" t="s">
        <v>852</v>
      </c>
      <c r="B1267" t="s">
        <v>852</v>
      </c>
      <c r="C1267" t="s">
        <v>9567</v>
      </c>
      <c r="D1267" t="s">
        <v>9587</v>
      </c>
      <c r="E1267" t="s">
        <v>9590</v>
      </c>
      <c r="F1267" t="s">
        <v>12473</v>
      </c>
      <c r="G1267" t="s">
        <v>19188</v>
      </c>
      <c r="H1267" t="s">
        <v>19254</v>
      </c>
      <c r="I1267" t="s">
        <v>18780</v>
      </c>
      <c r="K1267" t="str">
        <f>HYPERLINK("http://tuberculist.epfl.ch/quicksearch.php?gene+name=Rv1230c&amp;submit=Search")</f>
        <v>http://tuberculist.epfl.ch/quicksearch.php?gene+name=Rv1230c&amp;submit=Search</v>
      </c>
    </row>
    <row r="1268" spans="1:11">
      <c r="A1268" t="s">
        <v>2633</v>
      </c>
      <c r="B1268" t="s">
        <v>2633</v>
      </c>
      <c r="C1268" t="s">
        <v>9567</v>
      </c>
      <c r="D1268" t="s">
        <v>9587</v>
      </c>
      <c r="E1268" t="s">
        <v>9758</v>
      </c>
      <c r="F1268" t="s">
        <v>12474</v>
      </c>
      <c r="G1268" t="s">
        <v>19188</v>
      </c>
      <c r="H1268" t="s">
        <v>19374</v>
      </c>
      <c r="I1268" t="s">
        <v>18780</v>
      </c>
      <c r="K1268" t="str">
        <f>HYPERLINK("http://tuberculist.epfl.ch/quicksearch.php?gene+name=Rv1231c&amp;submit=Search")</f>
        <v>http://tuberculist.epfl.ch/quicksearch.php?gene+name=Rv1231c&amp;submit=Search</v>
      </c>
    </row>
    <row r="1269" spans="1:11">
      <c r="A1269" t="s">
        <v>3354</v>
      </c>
      <c r="B1269" t="s">
        <v>3354</v>
      </c>
      <c r="C1269" t="s">
        <v>9567</v>
      </c>
      <c r="D1269" t="s">
        <v>9578</v>
      </c>
      <c r="E1269" t="s">
        <v>9665</v>
      </c>
      <c r="F1269" t="s">
        <v>12475</v>
      </c>
      <c r="G1269" t="s">
        <v>19212</v>
      </c>
      <c r="H1269" t="s">
        <v>19597</v>
      </c>
      <c r="I1269" t="s">
        <v>18838</v>
      </c>
      <c r="K1269" t="str">
        <f>HYPERLINK("http://tuberculist.epfl.ch/quicksearch.php?gene+name=Rv1232c&amp;submit=Search")</f>
        <v>http://tuberculist.epfl.ch/quicksearch.php?gene+name=Rv1232c&amp;submit=Search</v>
      </c>
    </row>
    <row r="1270" spans="1:11">
      <c r="A1270" t="s">
        <v>2959</v>
      </c>
      <c r="B1270" t="s">
        <v>2959</v>
      </c>
      <c r="C1270" t="s">
        <v>9567</v>
      </c>
      <c r="D1270" t="s">
        <v>9578</v>
      </c>
      <c r="E1270" t="s">
        <v>12258</v>
      </c>
      <c r="F1270" t="s">
        <v>12476</v>
      </c>
      <c r="G1270" t="s">
        <v>19188</v>
      </c>
      <c r="I1270" t="s">
        <v>18780</v>
      </c>
      <c r="K1270" t="str">
        <f>HYPERLINK("http://tuberculist.epfl.ch/quicksearch.php?gene+name=Rv1233c&amp;submit=Search")</f>
        <v>http://tuberculist.epfl.ch/quicksearch.php?gene+name=Rv1233c&amp;submit=Search</v>
      </c>
    </row>
    <row r="1271" spans="1:11">
      <c r="A1271" t="s">
        <v>759</v>
      </c>
      <c r="B1271" t="s">
        <v>759</v>
      </c>
      <c r="C1271" t="s">
        <v>9567</v>
      </c>
      <c r="D1271" t="s">
        <v>9587</v>
      </c>
      <c r="E1271" t="s">
        <v>10632</v>
      </c>
      <c r="F1271" t="s">
        <v>12477</v>
      </c>
      <c r="G1271" t="s">
        <v>19188</v>
      </c>
      <c r="H1271" t="s">
        <v>19301</v>
      </c>
      <c r="I1271" t="s">
        <v>18780</v>
      </c>
      <c r="K1271" t="str">
        <f>HYPERLINK("http://tuberculist.epfl.ch/quicksearch.php?gene+name=Rv1234&amp;submit=Search")</f>
        <v>http://tuberculist.epfl.ch/quicksearch.php?gene+name=Rv1234&amp;submit=Search</v>
      </c>
    </row>
    <row r="1272" spans="1:11">
      <c r="A1272" t="s">
        <v>3984</v>
      </c>
      <c r="B1272" t="s">
        <v>753</v>
      </c>
      <c r="C1272" t="s">
        <v>9567</v>
      </c>
      <c r="D1272" t="s">
        <v>12478</v>
      </c>
      <c r="E1272" t="s">
        <v>12479</v>
      </c>
      <c r="F1272" t="s">
        <v>12480</v>
      </c>
      <c r="G1272" t="s">
        <v>19188</v>
      </c>
      <c r="H1272" t="s">
        <v>19633</v>
      </c>
      <c r="I1272" t="s">
        <v>18827</v>
      </c>
      <c r="K1272" t="str">
        <f>HYPERLINK("http://tuberculist.epfl.ch/quicksearch.php?gene+name=Rv1235&amp;submit=Search")</f>
        <v>http://tuberculist.epfl.ch/quicksearch.php?gene+name=Rv1235&amp;submit=Search</v>
      </c>
    </row>
    <row r="1273" spans="1:11">
      <c r="A1273" t="s">
        <v>3970</v>
      </c>
      <c r="B1273" t="s">
        <v>746</v>
      </c>
      <c r="C1273" t="s">
        <v>9567</v>
      </c>
      <c r="D1273" t="s">
        <v>12481</v>
      </c>
      <c r="E1273" t="s">
        <v>12482</v>
      </c>
      <c r="F1273" t="s">
        <v>12483</v>
      </c>
      <c r="G1273" t="s">
        <v>19188</v>
      </c>
      <c r="H1273" t="s">
        <v>19430</v>
      </c>
      <c r="I1273" t="s">
        <v>18827</v>
      </c>
      <c r="K1273" t="str">
        <f>HYPERLINK("http://tuberculist.epfl.ch/quicksearch.php?gene+name=Rv1236&amp;submit=Search")</f>
        <v>http://tuberculist.epfl.ch/quicksearch.php?gene+name=Rv1236&amp;submit=Search</v>
      </c>
    </row>
    <row r="1274" spans="1:11">
      <c r="A1274" t="s">
        <v>9217</v>
      </c>
      <c r="B1274" t="s">
        <v>3332</v>
      </c>
      <c r="C1274" t="s">
        <v>9567</v>
      </c>
      <c r="D1274" t="s">
        <v>12481</v>
      </c>
      <c r="E1274" t="s">
        <v>12484</v>
      </c>
      <c r="F1274" t="s">
        <v>12485</v>
      </c>
      <c r="G1274" t="s">
        <v>19188</v>
      </c>
      <c r="H1274" t="s">
        <v>19233</v>
      </c>
      <c r="I1274" t="s">
        <v>18944</v>
      </c>
      <c r="K1274" t="str">
        <f>HYPERLINK("http://tuberculist.epfl.ch/quicksearch.php?gene+name=Rv1237&amp;submit=Search")</f>
        <v>http://tuberculist.epfl.ch/quicksearch.php?gene+name=Rv1237&amp;submit=Search</v>
      </c>
    </row>
    <row r="1275" spans="1:11">
      <c r="A1275" t="s">
        <v>6315</v>
      </c>
      <c r="B1275" t="s">
        <v>1905</v>
      </c>
      <c r="C1275" t="s">
        <v>9567</v>
      </c>
      <c r="D1275" t="s">
        <v>12486</v>
      </c>
      <c r="E1275" t="s">
        <v>12487</v>
      </c>
      <c r="F1275" t="s">
        <v>12488</v>
      </c>
      <c r="G1275" t="s">
        <v>19188</v>
      </c>
      <c r="H1275" t="s">
        <v>19287</v>
      </c>
      <c r="I1275" t="s">
        <v>18950</v>
      </c>
      <c r="K1275" t="str">
        <f>HYPERLINK("http://tuberculist.epfl.ch/quicksearch.php?gene+name=Rv1238&amp;submit=Search")</f>
        <v>http://tuberculist.epfl.ch/quicksearch.php?gene+name=Rv1238&amp;submit=Search</v>
      </c>
    </row>
    <row r="1276" spans="1:11">
      <c r="A1276" t="s">
        <v>6103</v>
      </c>
      <c r="B1276" t="s">
        <v>1807</v>
      </c>
      <c r="C1276" t="s">
        <v>9567</v>
      </c>
      <c r="D1276" t="s">
        <v>12489</v>
      </c>
      <c r="E1276" t="s">
        <v>12490</v>
      </c>
      <c r="F1276" t="s">
        <v>12491</v>
      </c>
      <c r="G1276" t="s">
        <v>19188</v>
      </c>
      <c r="H1276" t="s">
        <v>19634</v>
      </c>
      <c r="I1276" t="s">
        <v>18789</v>
      </c>
      <c r="K1276" t="str">
        <f>HYPERLINK("http://tuberculist.epfl.ch/quicksearch.php?gene+name=Rv1239c&amp;submit=Search")</f>
        <v>http://tuberculist.epfl.ch/quicksearch.php?gene+name=Rv1239c&amp;submit=Search</v>
      </c>
    </row>
    <row r="1277" spans="1:11">
      <c r="A1277" t="s">
        <v>407</v>
      </c>
      <c r="B1277" t="s">
        <v>1844</v>
      </c>
      <c r="C1277" t="s">
        <v>9567</v>
      </c>
      <c r="D1277" t="s">
        <v>12492</v>
      </c>
      <c r="E1277" t="s">
        <v>12493</v>
      </c>
      <c r="F1277" t="s">
        <v>12494</v>
      </c>
      <c r="G1277" t="s">
        <v>19195</v>
      </c>
      <c r="H1277" t="s">
        <v>19635</v>
      </c>
      <c r="I1277" t="s">
        <v>18779</v>
      </c>
      <c r="J1277" t="s">
        <v>18868</v>
      </c>
      <c r="K1277" t="str">
        <f>HYPERLINK("http://tuberculist.epfl.ch/quicksearch.php?gene+name=Rv1240&amp;submit=Search")</f>
        <v>http://tuberculist.epfl.ch/quicksearch.php?gene+name=Rv1240&amp;submit=Search</v>
      </c>
    </row>
    <row r="1278" spans="1:11">
      <c r="A1278" t="s">
        <v>12495</v>
      </c>
      <c r="B1278" t="s">
        <v>12496</v>
      </c>
      <c r="C1278" t="s">
        <v>9567</v>
      </c>
      <c r="D1278" t="s">
        <v>9587</v>
      </c>
      <c r="E1278" t="s">
        <v>12497</v>
      </c>
      <c r="F1278" t="s">
        <v>12498</v>
      </c>
      <c r="G1278" t="s">
        <v>19206</v>
      </c>
      <c r="I1278" t="s">
        <v>18773</v>
      </c>
      <c r="K1278" t="str">
        <f>HYPERLINK("http://tuberculist.epfl.ch/quicksearch.php?gene+name=Rv1241&amp;submit=Search")</f>
        <v>http://tuberculist.epfl.ch/quicksearch.php?gene+name=Rv1241&amp;submit=Search</v>
      </c>
    </row>
    <row r="1279" spans="1:11">
      <c r="A1279" t="s">
        <v>12499</v>
      </c>
      <c r="B1279" t="s">
        <v>12500</v>
      </c>
      <c r="C1279" t="s">
        <v>9567</v>
      </c>
      <c r="D1279" t="s">
        <v>9587</v>
      </c>
      <c r="E1279" t="s">
        <v>12501</v>
      </c>
      <c r="F1279" t="s">
        <v>12502</v>
      </c>
      <c r="G1279" t="s">
        <v>19206</v>
      </c>
      <c r="H1279" t="s">
        <v>19225</v>
      </c>
      <c r="I1279" t="s">
        <v>18789</v>
      </c>
      <c r="K1279" t="str">
        <f>HYPERLINK("http://tuberculist.epfl.ch/quicksearch.php?gene+name=Rv1242&amp;submit=Search")</f>
        <v>http://tuberculist.epfl.ch/quicksearch.php?gene+name=Rv1242&amp;submit=Search</v>
      </c>
    </row>
    <row r="1280" spans="1:11">
      <c r="A1280" t="s">
        <v>12503</v>
      </c>
      <c r="B1280" t="s">
        <v>12504</v>
      </c>
      <c r="C1280" t="s">
        <v>9567</v>
      </c>
      <c r="D1280" t="s">
        <v>9578</v>
      </c>
      <c r="E1280" t="s">
        <v>12505</v>
      </c>
      <c r="F1280" t="s">
        <v>12506</v>
      </c>
      <c r="G1280" t="s">
        <v>19262</v>
      </c>
      <c r="H1280" t="s">
        <v>19211</v>
      </c>
      <c r="I1280" t="s">
        <v>18780</v>
      </c>
      <c r="K1280" t="str">
        <f>HYPERLINK("http://tuberculist.epfl.ch/quicksearch.php?gene+name=Rv1243c&amp;submit=Search")</f>
        <v>http://tuberculist.epfl.ch/quicksearch.php?gene+name=Rv1243c&amp;submit=Search</v>
      </c>
    </row>
    <row r="1281" spans="1:11">
      <c r="A1281" t="s">
        <v>6499</v>
      </c>
      <c r="B1281" t="s">
        <v>1999</v>
      </c>
      <c r="C1281" t="s">
        <v>9567</v>
      </c>
      <c r="D1281" t="s">
        <v>9587</v>
      </c>
      <c r="E1281" t="s">
        <v>12507</v>
      </c>
      <c r="F1281" t="s">
        <v>12508</v>
      </c>
      <c r="G1281" t="s">
        <v>19188</v>
      </c>
      <c r="H1281" t="s">
        <v>19326</v>
      </c>
      <c r="I1281" t="s">
        <v>18827</v>
      </c>
      <c r="K1281" t="str">
        <f>HYPERLINK("http://tuberculist.epfl.ch/quicksearch.php?gene+name=Rv1244&amp;submit=Search")</f>
        <v>http://tuberculist.epfl.ch/quicksearch.php?gene+name=Rv1244&amp;submit=Search</v>
      </c>
    </row>
    <row r="1282" spans="1:11">
      <c r="A1282" t="s">
        <v>1404</v>
      </c>
      <c r="B1282" t="s">
        <v>1404</v>
      </c>
      <c r="C1282" t="s">
        <v>9567</v>
      </c>
      <c r="D1282" t="s">
        <v>12268</v>
      </c>
      <c r="E1282" t="s">
        <v>9932</v>
      </c>
      <c r="F1282" t="s">
        <v>12509</v>
      </c>
      <c r="G1282" t="s">
        <v>19195</v>
      </c>
      <c r="H1282" t="s">
        <v>19636</v>
      </c>
      <c r="I1282" t="s">
        <v>18780</v>
      </c>
      <c r="K1282" t="str">
        <f>HYPERLINK("http://tuberculist.epfl.ch/quicksearch.php?gene+name=Rv1245c&amp;submit=Search")</f>
        <v>http://tuberculist.epfl.ch/quicksearch.php?gene+name=Rv1245c&amp;submit=Search</v>
      </c>
    </row>
    <row r="1283" spans="1:11">
      <c r="A1283" t="s">
        <v>12510</v>
      </c>
      <c r="B1283" t="s">
        <v>12511</v>
      </c>
      <c r="C1283" t="s">
        <v>9567</v>
      </c>
      <c r="D1283" t="s">
        <v>9578</v>
      </c>
      <c r="E1283" t="s">
        <v>12512</v>
      </c>
      <c r="F1283" t="s">
        <v>12513</v>
      </c>
      <c r="G1283" t="s">
        <v>19206</v>
      </c>
      <c r="I1283" t="s">
        <v>18951</v>
      </c>
      <c r="K1283" t="str">
        <f>HYPERLINK("http://tuberculist.epfl.ch/quicksearch.php?gene+name=Rv1246c&amp;submit=Search")</f>
        <v>http://tuberculist.epfl.ch/quicksearch.php?gene+name=Rv1246c&amp;submit=Search</v>
      </c>
    </row>
    <row r="1284" spans="1:11">
      <c r="A1284" t="s">
        <v>12514</v>
      </c>
      <c r="B1284" t="s">
        <v>12515</v>
      </c>
      <c r="C1284" t="s">
        <v>9567</v>
      </c>
      <c r="D1284" t="s">
        <v>9578</v>
      </c>
      <c r="E1284" t="s">
        <v>12516</v>
      </c>
      <c r="F1284" t="s">
        <v>12517</v>
      </c>
      <c r="G1284" t="s">
        <v>19206</v>
      </c>
      <c r="H1284" t="s">
        <v>19637</v>
      </c>
      <c r="I1284" t="s">
        <v>18780</v>
      </c>
      <c r="K1284" t="str">
        <f>HYPERLINK("http://tuberculist.epfl.ch/quicksearch.php?gene+name=Rv1247c&amp;submit=Search")</f>
        <v>http://tuberculist.epfl.ch/quicksearch.php?gene+name=Rv1247c&amp;submit=Search</v>
      </c>
    </row>
    <row r="1285" spans="1:11">
      <c r="A1285" t="s">
        <v>1662</v>
      </c>
      <c r="B1285" t="s">
        <v>1662</v>
      </c>
      <c r="C1285" t="s">
        <v>9567</v>
      </c>
      <c r="D1285" t="s">
        <v>12518</v>
      </c>
      <c r="E1285" t="s">
        <v>12519</v>
      </c>
      <c r="F1285" t="s">
        <v>12520</v>
      </c>
      <c r="G1285" t="s">
        <v>19195</v>
      </c>
      <c r="H1285" t="s">
        <v>19638</v>
      </c>
      <c r="I1285" t="s">
        <v>18952</v>
      </c>
      <c r="K1285" t="str">
        <f>HYPERLINK("http://tuberculist.epfl.ch/quicksearch.php?gene+name=Rv1248c&amp;submit=Search")</f>
        <v>http://tuberculist.epfl.ch/quicksearch.php?gene+name=Rv1248c&amp;submit=Search</v>
      </c>
    </row>
    <row r="1286" spans="1:11">
      <c r="A1286" t="s">
        <v>2446</v>
      </c>
      <c r="B1286" t="s">
        <v>2446</v>
      </c>
      <c r="C1286" t="s">
        <v>9567</v>
      </c>
      <c r="D1286" t="s">
        <v>9587</v>
      </c>
      <c r="E1286" t="s">
        <v>9590</v>
      </c>
      <c r="F1286" t="s">
        <v>12521</v>
      </c>
      <c r="G1286" t="s">
        <v>19188</v>
      </c>
      <c r="H1286" t="s">
        <v>19207</v>
      </c>
      <c r="I1286" t="s">
        <v>18780</v>
      </c>
      <c r="K1286" t="str">
        <f>HYPERLINK("http://tuberculist.epfl.ch/quicksearch.php?gene+name=Rv1249c&amp;submit=Search")</f>
        <v>http://tuberculist.epfl.ch/quicksearch.php?gene+name=Rv1249c&amp;submit=Search</v>
      </c>
    </row>
    <row r="1287" spans="1:11">
      <c r="A1287" t="s">
        <v>3033</v>
      </c>
      <c r="B1287" t="s">
        <v>3033</v>
      </c>
      <c r="C1287" t="s">
        <v>9567</v>
      </c>
      <c r="D1287" t="s">
        <v>12522</v>
      </c>
      <c r="E1287" t="s">
        <v>12523</v>
      </c>
      <c r="F1287" t="s">
        <v>12524</v>
      </c>
      <c r="G1287" t="s">
        <v>19188</v>
      </c>
      <c r="H1287" t="s">
        <v>19207</v>
      </c>
      <c r="I1287" t="s">
        <v>18780</v>
      </c>
      <c r="K1287" t="str">
        <f>HYPERLINK("http://tuberculist.epfl.ch/quicksearch.php?gene+name=Rv1250&amp;submit=Search")</f>
        <v>http://tuberculist.epfl.ch/quicksearch.php?gene+name=Rv1250&amp;submit=Search</v>
      </c>
    </row>
    <row r="1288" spans="1:11">
      <c r="A1288" t="s">
        <v>2503</v>
      </c>
      <c r="B1288" t="s">
        <v>2503</v>
      </c>
      <c r="C1288" t="s">
        <v>9567</v>
      </c>
      <c r="D1288" t="s">
        <v>9578</v>
      </c>
      <c r="E1288" t="s">
        <v>9579</v>
      </c>
      <c r="F1288" t="s">
        <v>12525</v>
      </c>
      <c r="G1288" t="s">
        <v>19212</v>
      </c>
      <c r="H1288" t="s">
        <v>19254</v>
      </c>
      <c r="I1288" t="s">
        <v>18789</v>
      </c>
      <c r="K1288" t="str">
        <f>HYPERLINK("http://tuberculist.epfl.ch/quicksearch.php?gene+name=Rv1251c&amp;submit=Search")</f>
        <v>http://tuberculist.epfl.ch/quicksearch.php?gene+name=Rv1251c&amp;submit=Search</v>
      </c>
    </row>
    <row r="1289" spans="1:11">
      <c r="A1289" t="s">
        <v>8709</v>
      </c>
      <c r="B1289" t="s">
        <v>3095</v>
      </c>
      <c r="C1289" t="s">
        <v>9567</v>
      </c>
      <c r="D1289" t="s">
        <v>9587</v>
      </c>
      <c r="E1289" t="s">
        <v>12526</v>
      </c>
      <c r="F1289" t="s">
        <v>12527</v>
      </c>
      <c r="G1289" t="s">
        <v>19188</v>
      </c>
      <c r="H1289" t="s">
        <v>19639</v>
      </c>
      <c r="I1289" t="s">
        <v>18780</v>
      </c>
      <c r="J1289" t="s">
        <v>18809</v>
      </c>
      <c r="K1289" t="str">
        <f>HYPERLINK("http://tuberculist.epfl.ch/quicksearch.php?gene+name=Rv1252c&amp;submit=Search")</f>
        <v>http://tuberculist.epfl.ch/quicksearch.php?gene+name=Rv1252c&amp;submit=Search</v>
      </c>
    </row>
    <row r="1290" spans="1:11">
      <c r="A1290" t="s">
        <v>4566</v>
      </c>
      <c r="B1290" t="s">
        <v>1043</v>
      </c>
      <c r="C1290" t="s">
        <v>9567</v>
      </c>
      <c r="D1290" t="s">
        <v>12528</v>
      </c>
      <c r="E1290" t="s">
        <v>12529</v>
      </c>
      <c r="F1290" t="s">
        <v>12530</v>
      </c>
      <c r="G1290" t="s">
        <v>19181</v>
      </c>
      <c r="H1290" t="s">
        <v>19215</v>
      </c>
      <c r="I1290" t="s">
        <v>18818</v>
      </c>
      <c r="K1290" t="str">
        <f>HYPERLINK("http://tuberculist.epfl.ch/quicksearch.php?gene+name=Rv1253&amp;submit=Search")</f>
        <v>http://tuberculist.epfl.ch/quicksearch.php?gene+name=Rv1253&amp;submit=Search</v>
      </c>
    </row>
    <row r="1291" spans="1:11">
      <c r="A1291" t="s">
        <v>3250</v>
      </c>
      <c r="B1291" t="s">
        <v>3250</v>
      </c>
      <c r="C1291" t="s">
        <v>9567</v>
      </c>
      <c r="D1291" t="s">
        <v>12531</v>
      </c>
      <c r="E1291" t="s">
        <v>12532</v>
      </c>
      <c r="F1291" t="s">
        <v>12533</v>
      </c>
      <c r="G1291" t="s">
        <v>19195</v>
      </c>
      <c r="H1291" t="s">
        <v>19192</v>
      </c>
      <c r="I1291" t="s">
        <v>18774</v>
      </c>
      <c r="K1291" t="str">
        <f>HYPERLINK("http://tuberculist.epfl.ch/quicksearch.php?gene+name=Rv1254&amp;submit=Search")</f>
        <v>http://tuberculist.epfl.ch/quicksearch.php?gene+name=Rv1254&amp;submit=Search</v>
      </c>
    </row>
    <row r="1292" spans="1:11">
      <c r="A1292" t="s">
        <v>2969</v>
      </c>
      <c r="B1292" t="s">
        <v>2969</v>
      </c>
      <c r="C1292" t="s">
        <v>9567</v>
      </c>
      <c r="D1292" t="s">
        <v>9629</v>
      </c>
      <c r="E1292" t="s">
        <v>9763</v>
      </c>
      <c r="F1292" t="s">
        <v>12534</v>
      </c>
      <c r="G1292" t="s">
        <v>19197</v>
      </c>
      <c r="I1292" t="s">
        <v>18773</v>
      </c>
      <c r="K1292" t="str">
        <f>HYPERLINK("http://tuberculist.epfl.ch/quicksearch.php?gene+name=Rv1255c&amp;submit=Search")</f>
        <v>http://tuberculist.epfl.ch/quicksearch.php?gene+name=Rv1255c&amp;submit=Search</v>
      </c>
    </row>
    <row r="1293" spans="1:11">
      <c r="A1293" t="s">
        <v>12535</v>
      </c>
      <c r="B1293" t="s">
        <v>12536</v>
      </c>
      <c r="C1293" t="s">
        <v>9567</v>
      </c>
      <c r="D1293" t="s">
        <v>9908</v>
      </c>
      <c r="E1293" t="s">
        <v>12537</v>
      </c>
      <c r="F1293" t="s">
        <v>12538</v>
      </c>
      <c r="G1293" t="s">
        <v>19195</v>
      </c>
      <c r="I1293" t="s">
        <v>18792</v>
      </c>
      <c r="K1293" t="str">
        <f>HYPERLINK("http://tuberculist.epfl.ch/quicksearch.php?gene+name=Rv1256c&amp;submit=Search")</f>
        <v>http://tuberculist.epfl.ch/quicksearch.php?gene+name=Rv1256c&amp;submit=Search</v>
      </c>
    </row>
    <row r="1294" spans="1:11">
      <c r="A1294" t="s">
        <v>12539</v>
      </c>
      <c r="B1294" t="s">
        <v>12539</v>
      </c>
      <c r="C1294" t="s">
        <v>9567</v>
      </c>
      <c r="D1294" t="s">
        <v>12032</v>
      </c>
      <c r="E1294" t="s">
        <v>9739</v>
      </c>
      <c r="F1294" t="s">
        <v>12540</v>
      </c>
      <c r="G1294" t="s">
        <v>19195</v>
      </c>
      <c r="H1294" t="s">
        <v>19640</v>
      </c>
      <c r="I1294" t="s">
        <v>18793</v>
      </c>
      <c r="K1294" t="str">
        <f>HYPERLINK("http://tuberculist.epfl.ch/quicksearch.php?gene+name=Rv1257c&amp;submit=Search")</f>
        <v>http://tuberculist.epfl.ch/quicksearch.php?gene+name=Rv1257c&amp;submit=Search</v>
      </c>
    </row>
    <row r="1295" spans="1:11">
      <c r="A1295" t="s">
        <v>3068</v>
      </c>
      <c r="B1295" t="s">
        <v>3068</v>
      </c>
      <c r="C1295" t="s">
        <v>9567</v>
      </c>
      <c r="D1295" t="s">
        <v>12541</v>
      </c>
      <c r="E1295" t="s">
        <v>11579</v>
      </c>
      <c r="F1295" t="s">
        <v>12542</v>
      </c>
      <c r="G1295" t="s">
        <v>19188</v>
      </c>
      <c r="I1295" t="s">
        <v>18780</v>
      </c>
      <c r="K1295" t="str">
        <f>HYPERLINK("http://tuberculist.epfl.ch/quicksearch.php?gene+name=Rv1258c&amp;submit=Search")</f>
        <v>http://tuberculist.epfl.ch/quicksearch.php?gene+name=Rv1258c&amp;submit=Search</v>
      </c>
    </row>
    <row r="1296" spans="1:11">
      <c r="A1296" t="s">
        <v>12543</v>
      </c>
      <c r="B1296" t="s">
        <v>1300</v>
      </c>
      <c r="C1296" t="s">
        <v>9567</v>
      </c>
      <c r="D1296" t="s">
        <v>12544</v>
      </c>
      <c r="E1296" t="s">
        <v>12545</v>
      </c>
      <c r="F1296" t="s">
        <v>12546</v>
      </c>
      <c r="G1296" t="s">
        <v>19181</v>
      </c>
      <c r="H1296" t="s">
        <v>19367</v>
      </c>
      <c r="I1296" t="s">
        <v>18780</v>
      </c>
      <c r="K1296" t="str">
        <f>HYPERLINK("http://tuberculist.epfl.ch/quicksearch.php?gene+name=Rv1259&amp;submit=Search")</f>
        <v>http://tuberculist.epfl.ch/quicksearch.php?gene+name=Rv1259&amp;submit=Search</v>
      </c>
    </row>
    <row r="1297" spans="1:11">
      <c r="A1297" t="s">
        <v>1782</v>
      </c>
      <c r="B1297" t="s">
        <v>1782</v>
      </c>
      <c r="C1297" t="s">
        <v>9567</v>
      </c>
      <c r="D1297" t="s">
        <v>9682</v>
      </c>
      <c r="E1297" t="s">
        <v>9739</v>
      </c>
      <c r="F1297" t="s">
        <v>12547</v>
      </c>
      <c r="G1297" t="s">
        <v>19195</v>
      </c>
      <c r="H1297" t="s">
        <v>19213</v>
      </c>
      <c r="I1297" t="s">
        <v>18773</v>
      </c>
      <c r="K1297" t="str">
        <f>HYPERLINK("http://tuberculist.epfl.ch/quicksearch.php?gene+name=Rv1260&amp;submit=Search")</f>
        <v>http://tuberculist.epfl.ch/quicksearch.php?gene+name=Rv1260&amp;submit=Search</v>
      </c>
    </row>
    <row r="1298" spans="1:11">
      <c r="A1298" t="s">
        <v>2200</v>
      </c>
      <c r="B1298" t="s">
        <v>2200</v>
      </c>
      <c r="C1298" t="s">
        <v>9567</v>
      </c>
      <c r="D1298" t="s">
        <v>9578</v>
      </c>
      <c r="E1298" t="s">
        <v>9665</v>
      </c>
      <c r="F1298" t="s">
        <v>12548</v>
      </c>
      <c r="G1298" t="s">
        <v>19204</v>
      </c>
      <c r="H1298" t="s">
        <v>19330</v>
      </c>
      <c r="I1298" t="s">
        <v>18793</v>
      </c>
      <c r="K1298" t="str">
        <f>HYPERLINK("http://tuberculist.epfl.ch/quicksearch.php?gene+name=Rv1261c&amp;submit=Search")</f>
        <v>http://tuberculist.epfl.ch/quicksearch.php?gene+name=Rv1261c&amp;submit=Search</v>
      </c>
    </row>
    <row r="1299" spans="1:11">
      <c r="A1299" t="s">
        <v>569</v>
      </c>
      <c r="B1299" t="s">
        <v>569</v>
      </c>
      <c r="C1299" t="s">
        <v>9567</v>
      </c>
      <c r="D1299" t="s">
        <v>9587</v>
      </c>
      <c r="E1299" t="s">
        <v>12549</v>
      </c>
      <c r="F1299" t="s">
        <v>12550</v>
      </c>
      <c r="G1299" t="s">
        <v>19204</v>
      </c>
      <c r="I1299" t="s">
        <v>18780</v>
      </c>
      <c r="K1299" t="str">
        <f>HYPERLINK("http://tuberculist.epfl.ch/quicksearch.php?gene+name=Rv1262c&amp;submit=Search")</f>
        <v>http://tuberculist.epfl.ch/quicksearch.php?gene+name=Rv1262c&amp;submit=Search</v>
      </c>
    </row>
    <row r="1300" spans="1:11">
      <c r="A1300" t="s">
        <v>5622</v>
      </c>
      <c r="B1300" t="s">
        <v>1573</v>
      </c>
      <c r="C1300" t="s">
        <v>9567</v>
      </c>
      <c r="D1300" t="s">
        <v>12551</v>
      </c>
      <c r="E1300" t="s">
        <v>12552</v>
      </c>
      <c r="F1300" t="s">
        <v>12553</v>
      </c>
      <c r="G1300" t="s">
        <v>19195</v>
      </c>
      <c r="H1300" t="s">
        <v>19641</v>
      </c>
      <c r="I1300" t="s">
        <v>18780</v>
      </c>
      <c r="K1300" t="str">
        <f>HYPERLINK("http://tuberculist.epfl.ch/quicksearch.php?gene+name=Rv1263&amp;submit=Search")</f>
        <v>http://tuberculist.epfl.ch/quicksearch.php?gene+name=Rv1263&amp;submit=Search</v>
      </c>
    </row>
    <row r="1301" spans="1:11">
      <c r="A1301" t="s">
        <v>2958</v>
      </c>
      <c r="B1301" t="s">
        <v>2958</v>
      </c>
      <c r="C1301" t="s">
        <v>9567</v>
      </c>
      <c r="D1301" t="s">
        <v>9541</v>
      </c>
      <c r="E1301" t="s">
        <v>12554</v>
      </c>
      <c r="F1301" t="s">
        <v>12555</v>
      </c>
      <c r="G1301" t="s">
        <v>19195</v>
      </c>
      <c r="H1301" t="s">
        <v>19309</v>
      </c>
      <c r="I1301" t="s">
        <v>18953</v>
      </c>
      <c r="K1301" t="str">
        <f>HYPERLINK("http://tuberculist.epfl.ch/quicksearch.php?gene+name=Rv1264&amp;submit=Search")</f>
        <v>http://tuberculist.epfl.ch/quicksearch.php?gene+name=Rv1264&amp;submit=Search</v>
      </c>
    </row>
    <row r="1302" spans="1:11">
      <c r="A1302" t="s">
        <v>408</v>
      </c>
      <c r="B1302" t="s">
        <v>408</v>
      </c>
      <c r="C1302" t="s">
        <v>9567</v>
      </c>
      <c r="D1302" t="s">
        <v>12556</v>
      </c>
      <c r="E1302" t="s">
        <v>9768</v>
      </c>
      <c r="F1302" t="s">
        <v>12557</v>
      </c>
      <c r="G1302" t="s">
        <v>19204</v>
      </c>
      <c r="H1302" t="s">
        <v>19225</v>
      </c>
      <c r="I1302" t="s">
        <v>18780</v>
      </c>
      <c r="J1302" t="s">
        <v>18868</v>
      </c>
      <c r="K1302" t="str">
        <f>HYPERLINK("http://tuberculist.epfl.ch/quicksearch.php?gene+name=Rv1265&amp;submit=Search")</f>
        <v>http://tuberculist.epfl.ch/quicksearch.php?gene+name=Rv1265&amp;submit=Search</v>
      </c>
    </row>
    <row r="1303" spans="1:11">
      <c r="A1303" t="s">
        <v>5865</v>
      </c>
      <c r="B1303" t="s">
        <v>1686</v>
      </c>
      <c r="C1303" t="s">
        <v>9567</v>
      </c>
      <c r="D1303" t="s">
        <v>12558</v>
      </c>
      <c r="E1303" t="s">
        <v>12559</v>
      </c>
      <c r="F1303" t="s">
        <v>12560</v>
      </c>
      <c r="G1303" t="s">
        <v>19197</v>
      </c>
      <c r="H1303" t="s">
        <v>19265</v>
      </c>
      <c r="I1303" t="s">
        <v>18954</v>
      </c>
      <c r="K1303" t="str">
        <f>HYPERLINK("http://tuberculist.epfl.ch/quicksearch.php?gene+name=Rv1266c&amp;submit=Search")</f>
        <v>http://tuberculist.epfl.ch/quicksearch.php?gene+name=Rv1266c&amp;submit=Search</v>
      </c>
    </row>
    <row r="1304" spans="1:11">
      <c r="A1304" t="s">
        <v>6140</v>
      </c>
      <c r="B1304" t="s">
        <v>1823</v>
      </c>
      <c r="C1304" t="s">
        <v>9567</v>
      </c>
      <c r="D1304" t="s">
        <v>12561</v>
      </c>
      <c r="E1304" t="s">
        <v>12562</v>
      </c>
      <c r="F1304" t="s">
        <v>12563</v>
      </c>
      <c r="G1304" t="s">
        <v>19197</v>
      </c>
      <c r="H1304" t="s">
        <v>19642</v>
      </c>
      <c r="I1304" t="s">
        <v>18789</v>
      </c>
      <c r="K1304" t="str">
        <f>HYPERLINK("http://tuberculist.epfl.ch/quicksearch.php?gene+name=Rv1267c&amp;submit=Search")</f>
        <v>http://tuberculist.epfl.ch/quicksearch.php?gene+name=Rv1267c&amp;submit=Search</v>
      </c>
    </row>
    <row r="1305" spans="1:11">
      <c r="A1305" t="s">
        <v>12564</v>
      </c>
      <c r="B1305" t="s">
        <v>12564</v>
      </c>
      <c r="C1305" t="s">
        <v>9567</v>
      </c>
      <c r="D1305" t="s">
        <v>9587</v>
      </c>
      <c r="E1305" t="s">
        <v>9713</v>
      </c>
      <c r="F1305" t="s">
        <v>12565</v>
      </c>
      <c r="G1305" t="s">
        <v>19204</v>
      </c>
      <c r="I1305" t="s">
        <v>18789</v>
      </c>
      <c r="K1305" t="str">
        <f>HYPERLINK("http://tuberculist.epfl.ch/quicksearch.php?gene+name=Rv1268c&amp;submit=Search")</f>
        <v>http://tuberculist.epfl.ch/quicksearch.php?gene+name=Rv1268c&amp;submit=Search</v>
      </c>
    </row>
    <row r="1306" spans="1:11">
      <c r="A1306" t="s">
        <v>12566</v>
      </c>
      <c r="B1306" t="s">
        <v>12566</v>
      </c>
      <c r="C1306" t="s">
        <v>9567</v>
      </c>
      <c r="D1306" t="s">
        <v>9587</v>
      </c>
      <c r="E1306" t="s">
        <v>12567</v>
      </c>
      <c r="F1306" t="s">
        <v>12568</v>
      </c>
      <c r="G1306" t="s">
        <v>19188</v>
      </c>
      <c r="H1306" t="s">
        <v>19643</v>
      </c>
      <c r="I1306" t="s">
        <v>18789</v>
      </c>
      <c r="J1306" t="s">
        <v>18775</v>
      </c>
      <c r="K1306" t="str">
        <f>HYPERLINK("http://tuberculist.epfl.ch/quicksearch.php?gene+name=Rv1269c&amp;submit=Search")</f>
        <v>http://tuberculist.epfl.ch/quicksearch.php?gene+name=Rv1269c&amp;submit=Search</v>
      </c>
    </row>
    <row r="1307" spans="1:11">
      <c r="A1307" t="s">
        <v>4817</v>
      </c>
      <c r="B1307" t="s">
        <v>1167</v>
      </c>
      <c r="C1307" t="s">
        <v>9567</v>
      </c>
      <c r="D1307" t="s">
        <v>9587</v>
      </c>
      <c r="E1307" t="s">
        <v>12569</v>
      </c>
      <c r="F1307" t="s">
        <v>12570</v>
      </c>
      <c r="G1307" t="s">
        <v>19188</v>
      </c>
      <c r="H1307" t="s">
        <v>19644</v>
      </c>
      <c r="I1307" t="s">
        <v>18780</v>
      </c>
      <c r="K1307" t="str">
        <f>HYPERLINK("http://tuberculist.epfl.ch/quicksearch.php?gene+name=Rv1270c&amp;submit=Search")</f>
        <v>http://tuberculist.epfl.ch/quicksearch.php?gene+name=Rv1270c&amp;submit=Search</v>
      </c>
    </row>
    <row r="1308" spans="1:11">
      <c r="A1308" t="s">
        <v>1709</v>
      </c>
      <c r="B1308" t="s">
        <v>1709</v>
      </c>
      <c r="C1308" t="s">
        <v>9567</v>
      </c>
      <c r="D1308" t="s">
        <v>9587</v>
      </c>
      <c r="E1308" t="s">
        <v>12571</v>
      </c>
      <c r="F1308" t="s">
        <v>12572</v>
      </c>
      <c r="G1308" t="s">
        <v>19188</v>
      </c>
      <c r="I1308" t="s">
        <v>18793</v>
      </c>
      <c r="K1308" t="str">
        <f>HYPERLINK("http://tuberculist.epfl.ch/quicksearch.php?gene+name=Rv1271c&amp;submit=Search")</f>
        <v>http://tuberculist.epfl.ch/quicksearch.php?gene+name=Rv1271c&amp;submit=Search</v>
      </c>
    </row>
    <row r="1309" spans="1:11">
      <c r="A1309" t="s">
        <v>1601</v>
      </c>
      <c r="B1309" t="s">
        <v>1601</v>
      </c>
      <c r="C1309" t="s">
        <v>9567</v>
      </c>
      <c r="D1309" t="s">
        <v>12573</v>
      </c>
      <c r="E1309" t="s">
        <v>12574</v>
      </c>
      <c r="F1309" t="s">
        <v>12575</v>
      </c>
      <c r="G1309" t="s">
        <v>19188</v>
      </c>
      <c r="H1309" t="s">
        <v>19192</v>
      </c>
      <c r="I1309" t="s">
        <v>18811</v>
      </c>
      <c r="K1309" t="str">
        <f>HYPERLINK("http://tuberculist.epfl.ch/quicksearch.php?gene+name=Rv1272c&amp;submit=Search")</f>
        <v>http://tuberculist.epfl.ch/quicksearch.php?gene+name=Rv1272c&amp;submit=Search</v>
      </c>
    </row>
    <row r="1310" spans="1:11">
      <c r="A1310" t="s">
        <v>1122</v>
      </c>
      <c r="B1310" t="s">
        <v>1122</v>
      </c>
      <c r="C1310" t="s">
        <v>9567</v>
      </c>
      <c r="D1310" t="s">
        <v>12573</v>
      </c>
      <c r="E1310" t="s">
        <v>12574</v>
      </c>
      <c r="F1310" t="s">
        <v>12576</v>
      </c>
      <c r="G1310" t="s">
        <v>19188</v>
      </c>
      <c r="H1310" t="s">
        <v>19192</v>
      </c>
      <c r="I1310" t="s">
        <v>18783</v>
      </c>
      <c r="K1310" t="str">
        <f>HYPERLINK("http://tuberculist.epfl.ch/quicksearch.php?gene+name=Rv1273c&amp;submit=Search")</f>
        <v>http://tuberculist.epfl.ch/quicksearch.php?gene+name=Rv1273c&amp;submit=Search</v>
      </c>
    </row>
    <row r="1311" spans="1:11">
      <c r="A1311" t="s">
        <v>3706</v>
      </c>
      <c r="B1311" t="s">
        <v>616</v>
      </c>
      <c r="C1311" t="s">
        <v>9567</v>
      </c>
      <c r="D1311" t="s">
        <v>9587</v>
      </c>
      <c r="E1311" t="s">
        <v>12577</v>
      </c>
      <c r="F1311" t="s">
        <v>12578</v>
      </c>
      <c r="G1311" t="s">
        <v>19188</v>
      </c>
      <c r="H1311" t="s">
        <v>19233</v>
      </c>
      <c r="I1311" t="s">
        <v>18800</v>
      </c>
      <c r="J1311" t="s">
        <v>18775</v>
      </c>
      <c r="K1311" t="str">
        <f>HYPERLINK("http://tuberculist.epfl.ch/quicksearch.php?gene+name=Rv1274&amp;submit=Search")</f>
        <v>http://tuberculist.epfl.ch/quicksearch.php?gene+name=Rv1274&amp;submit=Search</v>
      </c>
    </row>
    <row r="1312" spans="1:11">
      <c r="A1312" t="s">
        <v>6082</v>
      </c>
      <c r="B1312" t="s">
        <v>1797</v>
      </c>
      <c r="C1312" t="s">
        <v>9567</v>
      </c>
      <c r="D1312" t="s">
        <v>9587</v>
      </c>
      <c r="E1312" t="s">
        <v>12579</v>
      </c>
      <c r="F1312" t="s">
        <v>12580</v>
      </c>
      <c r="G1312" t="s">
        <v>19188</v>
      </c>
      <c r="H1312" t="s">
        <v>19645</v>
      </c>
      <c r="I1312" t="s">
        <v>18773</v>
      </c>
      <c r="J1312" t="s">
        <v>18775</v>
      </c>
      <c r="K1312" t="str">
        <f>HYPERLINK("http://tuberculist.epfl.ch/quicksearch.php?gene+name=Rv1275&amp;submit=Search")</f>
        <v>http://tuberculist.epfl.ch/quicksearch.php?gene+name=Rv1275&amp;submit=Search</v>
      </c>
    </row>
    <row r="1313" spans="1:11">
      <c r="A1313" t="s">
        <v>2058</v>
      </c>
      <c r="B1313" t="s">
        <v>2058</v>
      </c>
      <c r="C1313" t="s">
        <v>9567</v>
      </c>
      <c r="D1313" t="s">
        <v>9578</v>
      </c>
      <c r="E1313" t="s">
        <v>9579</v>
      </c>
      <c r="F1313" t="s">
        <v>12581</v>
      </c>
      <c r="G1313" t="s">
        <v>19204</v>
      </c>
      <c r="H1313" t="s">
        <v>19213</v>
      </c>
      <c r="I1313" t="s">
        <v>18779</v>
      </c>
      <c r="K1313" t="str">
        <f>HYPERLINK("http://tuberculist.epfl.ch/quicksearch.php?gene+name=Rv1276c&amp;submit=Search")</f>
        <v>http://tuberculist.epfl.ch/quicksearch.php?gene+name=Rv1276c&amp;submit=Search</v>
      </c>
    </row>
    <row r="1314" spans="1:11">
      <c r="A1314" t="s">
        <v>596</v>
      </c>
      <c r="B1314" t="s">
        <v>596</v>
      </c>
      <c r="C1314" t="s">
        <v>9567</v>
      </c>
      <c r="D1314" t="s">
        <v>9578</v>
      </c>
      <c r="E1314" t="s">
        <v>9579</v>
      </c>
      <c r="F1314" t="s">
        <v>12582</v>
      </c>
      <c r="G1314" t="s">
        <v>19204</v>
      </c>
      <c r="I1314" t="s">
        <v>18789</v>
      </c>
      <c r="K1314" t="str">
        <f>HYPERLINK("http://tuberculist.epfl.ch/quicksearch.php?gene+name=Rv1277&amp;submit=Search")</f>
        <v>http://tuberculist.epfl.ch/quicksearch.php?gene+name=Rv1277&amp;submit=Search</v>
      </c>
    </row>
    <row r="1315" spans="1:11">
      <c r="A1315" t="s">
        <v>526</v>
      </c>
      <c r="B1315" t="s">
        <v>526</v>
      </c>
      <c r="C1315" t="s">
        <v>9567</v>
      </c>
      <c r="D1315" t="s">
        <v>9587</v>
      </c>
      <c r="E1315" t="s">
        <v>9713</v>
      </c>
      <c r="F1315" t="s">
        <v>12583</v>
      </c>
      <c r="G1315" t="s">
        <v>19204</v>
      </c>
      <c r="H1315" t="s">
        <v>19207</v>
      </c>
      <c r="I1315" t="s">
        <v>18800</v>
      </c>
      <c r="K1315" t="str">
        <f>HYPERLINK("http://tuberculist.epfl.ch/quicksearch.php?gene+name=Rv1278&amp;submit=Search")</f>
        <v>http://tuberculist.epfl.ch/quicksearch.php?gene+name=Rv1278&amp;submit=Search</v>
      </c>
    </row>
    <row r="1316" spans="1:11">
      <c r="A1316" t="s">
        <v>2152</v>
      </c>
      <c r="B1316" t="s">
        <v>2152</v>
      </c>
      <c r="C1316" t="s">
        <v>9567</v>
      </c>
      <c r="D1316" t="s">
        <v>12584</v>
      </c>
      <c r="E1316" t="s">
        <v>12585</v>
      </c>
      <c r="F1316" t="s">
        <v>12586</v>
      </c>
      <c r="G1316" t="s">
        <v>19195</v>
      </c>
      <c r="H1316" t="s">
        <v>19466</v>
      </c>
      <c r="I1316" t="s">
        <v>18779</v>
      </c>
      <c r="K1316" t="str">
        <f>HYPERLINK("http://tuberculist.epfl.ch/quicksearch.php?gene+name=Rv1279&amp;submit=Search")</f>
        <v>http://tuberculist.epfl.ch/quicksearch.php?gene+name=Rv1279&amp;submit=Search</v>
      </c>
    </row>
    <row r="1317" spans="1:11">
      <c r="A1317" t="s">
        <v>5580</v>
      </c>
      <c r="B1317" t="s">
        <v>1555</v>
      </c>
      <c r="C1317" t="s">
        <v>9567</v>
      </c>
      <c r="D1317" t="s">
        <v>12587</v>
      </c>
      <c r="E1317" t="s">
        <v>12588</v>
      </c>
      <c r="F1317" t="s">
        <v>12589</v>
      </c>
      <c r="G1317" t="s">
        <v>19188</v>
      </c>
      <c r="H1317" t="s">
        <v>19646</v>
      </c>
      <c r="I1317" t="s">
        <v>18780</v>
      </c>
      <c r="K1317" t="str">
        <f>HYPERLINK("http://tuberculist.epfl.ch/quicksearch.php?gene+name=Rv1280c&amp;submit=Search")</f>
        <v>http://tuberculist.epfl.ch/quicksearch.php?gene+name=Rv1280c&amp;submit=Search</v>
      </c>
    </row>
    <row r="1318" spans="1:11">
      <c r="A1318" t="s">
        <v>7483</v>
      </c>
      <c r="B1318" t="s">
        <v>2498</v>
      </c>
      <c r="C1318" t="s">
        <v>9567</v>
      </c>
      <c r="D1318" t="s">
        <v>12590</v>
      </c>
      <c r="E1318" t="s">
        <v>12591</v>
      </c>
      <c r="F1318" t="s">
        <v>12592</v>
      </c>
      <c r="G1318" t="s">
        <v>19188</v>
      </c>
      <c r="H1318" t="s">
        <v>19647</v>
      </c>
      <c r="I1318" t="s">
        <v>18793</v>
      </c>
      <c r="K1318" t="str">
        <f>HYPERLINK("http://tuberculist.epfl.ch/quicksearch.php?gene+name=Rv1281c&amp;submit=Search")</f>
        <v>http://tuberculist.epfl.ch/quicksearch.php?gene+name=Rv1281c&amp;submit=Search</v>
      </c>
    </row>
    <row r="1319" spans="1:11">
      <c r="A1319" t="s">
        <v>8215</v>
      </c>
      <c r="B1319" t="s">
        <v>2864</v>
      </c>
      <c r="C1319" t="s">
        <v>9567</v>
      </c>
      <c r="D1319" t="s">
        <v>12593</v>
      </c>
      <c r="E1319" t="s">
        <v>12594</v>
      </c>
      <c r="F1319" t="s">
        <v>12595</v>
      </c>
      <c r="G1319" t="s">
        <v>19188</v>
      </c>
      <c r="I1319" t="s">
        <v>18773</v>
      </c>
      <c r="K1319" t="str">
        <f>HYPERLINK("http://tuberculist.epfl.ch/quicksearch.php?gene+name=Rv1282c&amp;submit=Search")</f>
        <v>http://tuberculist.epfl.ch/quicksearch.php?gene+name=Rv1282c&amp;submit=Search</v>
      </c>
    </row>
    <row r="1320" spans="1:11">
      <c r="A1320" t="s">
        <v>5690</v>
      </c>
      <c r="B1320" t="s">
        <v>1607</v>
      </c>
      <c r="C1320" t="s">
        <v>9567</v>
      </c>
      <c r="D1320" t="s">
        <v>12593</v>
      </c>
      <c r="E1320" t="s">
        <v>12596</v>
      </c>
      <c r="F1320" t="s">
        <v>12597</v>
      </c>
      <c r="G1320" t="s">
        <v>19188</v>
      </c>
      <c r="I1320" t="s">
        <v>18779</v>
      </c>
      <c r="K1320" t="str">
        <f>HYPERLINK("http://tuberculist.epfl.ch/quicksearch.php?gene+name=Rv1283c&amp;submit=Search")</f>
        <v>http://tuberculist.epfl.ch/quicksearch.php?gene+name=Rv1283c&amp;submit=Search</v>
      </c>
    </row>
    <row r="1321" spans="1:11">
      <c r="A1321" t="s">
        <v>12598</v>
      </c>
      <c r="B1321" t="s">
        <v>12599</v>
      </c>
      <c r="C1321" t="s">
        <v>9567</v>
      </c>
      <c r="D1321" t="s">
        <v>12600</v>
      </c>
      <c r="E1321" t="s">
        <v>12601</v>
      </c>
      <c r="F1321" t="s">
        <v>12602</v>
      </c>
      <c r="G1321" t="s">
        <v>19195</v>
      </c>
      <c r="H1321" t="s">
        <v>19648</v>
      </c>
      <c r="I1321" t="s">
        <v>18955</v>
      </c>
      <c r="K1321" t="str">
        <f>HYPERLINK("http://tuberculist.epfl.ch/quicksearch.php?gene+name=Rv1284&amp;submit=Search")</f>
        <v>http://tuberculist.epfl.ch/quicksearch.php?gene+name=Rv1284&amp;submit=Search</v>
      </c>
    </row>
    <row r="1322" spans="1:11">
      <c r="A1322" t="s">
        <v>3802</v>
      </c>
      <c r="B1322" t="s">
        <v>658</v>
      </c>
      <c r="C1322" t="s">
        <v>9567</v>
      </c>
      <c r="D1322" t="s">
        <v>12603</v>
      </c>
      <c r="E1322" t="s">
        <v>12604</v>
      </c>
      <c r="F1322" t="s">
        <v>12605</v>
      </c>
      <c r="G1322" t="s">
        <v>19195</v>
      </c>
      <c r="H1322" t="s">
        <v>19649</v>
      </c>
      <c r="I1322" t="s">
        <v>18774</v>
      </c>
      <c r="K1322" t="str">
        <f>HYPERLINK("http://tuberculist.epfl.ch/quicksearch.php?gene+name=Rv1285&amp;submit=Search")</f>
        <v>http://tuberculist.epfl.ch/quicksearch.php?gene+name=Rv1285&amp;submit=Search</v>
      </c>
    </row>
    <row r="1323" spans="1:11">
      <c r="A1323" t="s">
        <v>7647</v>
      </c>
      <c r="B1323" t="s">
        <v>2578</v>
      </c>
      <c r="C1323" t="s">
        <v>9567</v>
      </c>
      <c r="D1323" t="s">
        <v>12606</v>
      </c>
      <c r="E1323" t="s">
        <v>12607</v>
      </c>
      <c r="F1323" t="s">
        <v>12608</v>
      </c>
      <c r="G1323" t="s">
        <v>19195</v>
      </c>
      <c r="H1323" t="s">
        <v>19650</v>
      </c>
      <c r="I1323" t="s">
        <v>18774</v>
      </c>
      <c r="K1323" t="str">
        <f>HYPERLINK("http://tuberculist.epfl.ch/quicksearch.php?gene+name=Rv1286&amp;submit=Search")</f>
        <v>http://tuberculist.epfl.ch/quicksearch.php?gene+name=Rv1286&amp;submit=Search</v>
      </c>
    </row>
    <row r="1324" spans="1:11">
      <c r="A1324" t="s">
        <v>2019</v>
      </c>
      <c r="B1324" t="s">
        <v>2019</v>
      </c>
      <c r="C1324" t="s">
        <v>9567</v>
      </c>
      <c r="D1324" t="s">
        <v>9578</v>
      </c>
      <c r="E1324" t="s">
        <v>9579</v>
      </c>
      <c r="F1324" t="s">
        <v>12609</v>
      </c>
      <c r="G1324" t="s">
        <v>19204</v>
      </c>
      <c r="H1324" t="s">
        <v>19213</v>
      </c>
      <c r="I1324" t="s">
        <v>18780</v>
      </c>
      <c r="K1324" t="str">
        <f>HYPERLINK("http://tuberculist.epfl.ch/quicksearch.php?gene+name=Rv1287&amp;submit=Search")</f>
        <v>http://tuberculist.epfl.ch/quicksearch.php?gene+name=Rv1287&amp;submit=Search</v>
      </c>
    </row>
    <row r="1325" spans="1:11">
      <c r="A1325" t="s">
        <v>1152</v>
      </c>
      <c r="B1325" t="s">
        <v>1152</v>
      </c>
      <c r="C1325" t="s">
        <v>9567</v>
      </c>
      <c r="D1325" t="s">
        <v>9578</v>
      </c>
      <c r="E1325" t="s">
        <v>9665</v>
      </c>
      <c r="F1325" t="s">
        <v>12610</v>
      </c>
      <c r="G1325" t="s">
        <v>19210</v>
      </c>
      <c r="H1325" t="s">
        <v>19272</v>
      </c>
      <c r="I1325" t="s">
        <v>18780</v>
      </c>
      <c r="K1325" t="str">
        <f>HYPERLINK("http://tuberculist.epfl.ch/quicksearch.php?gene+name=Rv1288&amp;submit=Search")</f>
        <v>http://tuberculist.epfl.ch/quicksearch.php?gene+name=Rv1288&amp;submit=Search</v>
      </c>
    </row>
    <row r="1326" spans="1:11">
      <c r="A1326" t="s">
        <v>1531</v>
      </c>
      <c r="B1326" t="s">
        <v>1531</v>
      </c>
      <c r="C1326" t="s">
        <v>9567</v>
      </c>
      <c r="D1326" t="s">
        <v>9587</v>
      </c>
      <c r="E1326" t="s">
        <v>9768</v>
      </c>
      <c r="F1326" t="s">
        <v>12611</v>
      </c>
      <c r="G1326" t="s">
        <v>19204</v>
      </c>
      <c r="H1326" t="s">
        <v>19371</v>
      </c>
      <c r="I1326" t="s">
        <v>18780</v>
      </c>
      <c r="K1326" t="str">
        <f>HYPERLINK("http://tuberculist.epfl.ch/quicksearch.php?gene+name=Rv1289&amp;submit=Search")</f>
        <v>http://tuberculist.epfl.ch/quicksearch.php?gene+name=Rv1289&amp;submit=Search</v>
      </c>
    </row>
    <row r="1327" spans="1:11">
      <c r="A1327" t="s">
        <v>12612</v>
      </c>
      <c r="B1327" t="s">
        <v>12612</v>
      </c>
      <c r="C1327" t="s">
        <v>9567</v>
      </c>
      <c r="D1327" t="s">
        <v>9587</v>
      </c>
      <c r="E1327" t="s">
        <v>9713</v>
      </c>
      <c r="F1327" t="s">
        <v>12613</v>
      </c>
      <c r="G1327" t="s">
        <v>19212</v>
      </c>
      <c r="I1327" t="s">
        <v>18793</v>
      </c>
      <c r="K1327" t="str">
        <f>HYPERLINK("http://tuberculist.epfl.ch/quicksearch.php?gene+name=Rv1290A&amp;submit=Search")</f>
        <v>http://tuberculist.epfl.ch/quicksearch.php?gene+name=Rv1290A&amp;submit=Search</v>
      </c>
    </row>
    <row r="1328" spans="1:11">
      <c r="A1328" t="s">
        <v>1696</v>
      </c>
      <c r="B1328" t="s">
        <v>1696</v>
      </c>
      <c r="C1328" t="s">
        <v>9567</v>
      </c>
      <c r="D1328" t="s">
        <v>12614</v>
      </c>
      <c r="E1328" t="s">
        <v>9665</v>
      </c>
      <c r="F1328" t="s">
        <v>12615</v>
      </c>
      <c r="G1328" t="s">
        <v>19216</v>
      </c>
      <c r="H1328" t="s">
        <v>19443</v>
      </c>
      <c r="I1328" t="s">
        <v>18924</v>
      </c>
      <c r="K1328" t="str">
        <f>HYPERLINK("http://tuberculist.epfl.ch/quicksearch.php?gene+name=Rv1290c&amp;submit=Search")</f>
        <v>http://tuberculist.epfl.ch/quicksearch.php?gene+name=Rv1290c&amp;submit=Search</v>
      </c>
    </row>
    <row r="1329" spans="1:11">
      <c r="A1329" t="s">
        <v>12616</v>
      </c>
      <c r="B1329" t="s">
        <v>12616</v>
      </c>
      <c r="C1329" t="s">
        <v>9567</v>
      </c>
      <c r="D1329" t="s">
        <v>9587</v>
      </c>
      <c r="E1329" t="s">
        <v>12571</v>
      </c>
      <c r="F1329" t="s">
        <v>12617</v>
      </c>
      <c r="G1329" t="s">
        <v>19188</v>
      </c>
      <c r="I1329" t="s">
        <v>18780</v>
      </c>
      <c r="K1329" t="str">
        <f>HYPERLINK("http://tuberculist.epfl.ch/quicksearch.php?gene+name=Rv1291c&amp;submit=Search")</f>
        <v>http://tuberculist.epfl.ch/quicksearch.php?gene+name=Rv1291c&amp;submit=Search</v>
      </c>
    </row>
    <row r="1330" spans="1:11">
      <c r="A1330" t="s">
        <v>5164</v>
      </c>
      <c r="B1330" t="s">
        <v>1334</v>
      </c>
      <c r="C1330" t="s">
        <v>9567</v>
      </c>
      <c r="D1330" t="s">
        <v>12618</v>
      </c>
      <c r="E1330" t="s">
        <v>12619</v>
      </c>
      <c r="F1330" t="s">
        <v>12620</v>
      </c>
      <c r="G1330" t="s">
        <v>19181</v>
      </c>
      <c r="H1330" t="s">
        <v>19651</v>
      </c>
      <c r="I1330" t="s">
        <v>18774</v>
      </c>
      <c r="K1330" t="str">
        <f>HYPERLINK("http://tuberculist.epfl.ch/quicksearch.php?gene+name=Rv1292&amp;submit=Search")</f>
        <v>http://tuberculist.epfl.ch/quicksearch.php?gene+name=Rv1292&amp;submit=Search</v>
      </c>
    </row>
    <row r="1331" spans="1:11">
      <c r="A1331" t="s">
        <v>9088</v>
      </c>
      <c r="B1331" t="s">
        <v>3272</v>
      </c>
      <c r="C1331" t="s">
        <v>9567</v>
      </c>
      <c r="D1331" t="s">
        <v>12621</v>
      </c>
      <c r="E1331" t="s">
        <v>12622</v>
      </c>
      <c r="F1331" t="s">
        <v>12623</v>
      </c>
      <c r="G1331" t="s">
        <v>19195</v>
      </c>
      <c r="H1331" t="s">
        <v>19652</v>
      </c>
      <c r="I1331" t="s">
        <v>18774</v>
      </c>
      <c r="K1331" t="str">
        <f>HYPERLINK("http://tuberculist.epfl.ch/quicksearch.php?gene+name=Rv1293&amp;submit=Search")</f>
        <v>http://tuberculist.epfl.ch/quicksearch.php?gene+name=Rv1293&amp;submit=Search</v>
      </c>
    </row>
    <row r="1332" spans="1:11">
      <c r="A1332" t="s">
        <v>5192</v>
      </c>
      <c r="B1332" t="s">
        <v>1348</v>
      </c>
      <c r="C1332" t="s">
        <v>9567</v>
      </c>
      <c r="D1332" t="s">
        <v>12624</v>
      </c>
      <c r="E1332" t="s">
        <v>12625</v>
      </c>
      <c r="F1332" t="s">
        <v>12626</v>
      </c>
      <c r="G1332" t="s">
        <v>19195</v>
      </c>
      <c r="H1332" t="s">
        <v>19653</v>
      </c>
      <c r="I1332" t="s">
        <v>18774</v>
      </c>
      <c r="K1332" t="str">
        <f>HYPERLINK("http://tuberculist.epfl.ch/quicksearch.php?gene+name=Rv1294&amp;submit=Search")</f>
        <v>http://tuberculist.epfl.ch/quicksearch.php?gene+name=Rv1294&amp;submit=Search</v>
      </c>
    </row>
    <row r="1333" spans="1:11">
      <c r="A1333" t="s">
        <v>9282</v>
      </c>
      <c r="B1333" t="s">
        <v>3366</v>
      </c>
      <c r="C1333" t="s">
        <v>9567</v>
      </c>
      <c r="D1333" t="s">
        <v>12627</v>
      </c>
      <c r="E1333" t="s">
        <v>12628</v>
      </c>
      <c r="F1333" t="s">
        <v>12629</v>
      </c>
      <c r="G1333" t="s">
        <v>19195</v>
      </c>
      <c r="H1333" t="s">
        <v>19654</v>
      </c>
      <c r="I1333" t="s">
        <v>18956</v>
      </c>
      <c r="K1333" t="str">
        <f>HYPERLINK("http://tuberculist.epfl.ch/quicksearch.php?gene+name=Rv1295&amp;submit=Search")</f>
        <v>http://tuberculist.epfl.ch/quicksearch.php?gene+name=Rv1295&amp;submit=Search</v>
      </c>
    </row>
    <row r="1334" spans="1:11">
      <c r="A1334" t="s">
        <v>8855</v>
      </c>
      <c r="B1334" t="s">
        <v>3160</v>
      </c>
      <c r="C1334" t="s">
        <v>9567</v>
      </c>
      <c r="D1334" t="s">
        <v>12630</v>
      </c>
      <c r="E1334" t="s">
        <v>12631</v>
      </c>
      <c r="F1334" t="s">
        <v>12632</v>
      </c>
      <c r="G1334" t="s">
        <v>19195</v>
      </c>
      <c r="H1334" t="s">
        <v>19213</v>
      </c>
      <c r="I1334" t="s">
        <v>18774</v>
      </c>
      <c r="K1334" t="str">
        <f>HYPERLINK("http://tuberculist.epfl.ch/quicksearch.php?gene+name=Rv1296&amp;submit=Search")</f>
        <v>http://tuberculist.epfl.ch/quicksearch.php?gene+name=Rv1296&amp;submit=Search</v>
      </c>
    </row>
    <row r="1335" spans="1:11">
      <c r="A1335" t="s">
        <v>9464</v>
      </c>
      <c r="B1335" t="s">
        <v>456</v>
      </c>
      <c r="C1335" t="s">
        <v>9567</v>
      </c>
      <c r="D1335" t="s">
        <v>12633</v>
      </c>
      <c r="E1335" t="s">
        <v>12634</v>
      </c>
      <c r="F1335" t="s">
        <v>12635</v>
      </c>
      <c r="G1335" t="s">
        <v>19181</v>
      </c>
      <c r="H1335" t="s">
        <v>19655</v>
      </c>
      <c r="I1335" t="s">
        <v>18774</v>
      </c>
      <c r="K1335" t="str">
        <f>HYPERLINK("http://tuberculist.epfl.ch/quicksearch.php?gene+name=Rv1297&amp;submit=Search")</f>
        <v>http://tuberculist.epfl.ch/quicksearch.php?gene+name=Rv1297&amp;submit=Search</v>
      </c>
    </row>
    <row r="1336" spans="1:11">
      <c r="A1336" t="s">
        <v>7321</v>
      </c>
      <c r="B1336" t="s">
        <v>2420</v>
      </c>
      <c r="C1336" t="s">
        <v>9567</v>
      </c>
      <c r="D1336" t="s">
        <v>12636</v>
      </c>
      <c r="E1336" t="s">
        <v>12637</v>
      </c>
      <c r="F1336" t="s">
        <v>12638</v>
      </c>
      <c r="G1336" t="s">
        <v>19181</v>
      </c>
      <c r="H1336" t="s">
        <v>19209</v>
      </c>
      <c r="I1336" t="s">
        <v>18800</v>
      </c>
      <c r="K1336" t="str">
        <f>HYPERLINK("http://tuberculist.epfl.ch/quicksearch.php?gene+name=Rv1298&amp;submit=Search")</f>
        <v>http://tuberculist.epfl.ch/quicksearch.php?gene+name=Rv1298&amp;submit=Search</v>
      </c>
    </row>
    <row r="1337" spans="1:11">
      <c r="A1337" t="s">
        <v>9334</v>
      </c>
      <c r="B1337" t="s">
        <v>3389</v>
      </c>
      <c r="C1337" t="s">
        <v>9567</v>
      </c>
      <c r="D1337" t="s">
        <v>12639</v>
      </c>
      <c r="E1337" t="s">
        <v>12640</v>
      </c>
      <c r="F1337" t="s">
        <v>12641</v>
      </c>
      <c r="G1337" t="s">
        <v>19181</v>
      </c>
      <c r="H1337" t="s">
        <v>19287</v>
      </c>
      <c r="I1337" t="s">
        <v>18774</v>
      </c>
      <c r="K1337" t="str">
        <f>HYPERLINK("http://tuberculist.epfl.ch/quicksearch.php?gene+name=Rv1299&amp;submit=Search")</f>
        <v>http://tuberculist.epfl.ch/quicksearch.php?gene+name=Rv1299&amp;submit=Search</v>
      </c>
    </row>
    <row r="1338" spans="1:11">
      <c r="A1338" t="s">
        <v>5654</v>
      </c>
      <c r="B1338" t="s">
        <v>1590</v>
      </c>
      <c r="C1338" t="s">
        <v>9567</v>
      </c>
      <c r="D1338" t="s">
        <v>12642</v>
      </c>
      <c r="E1338" t="s">
        <v>12643</v>
      </c>
      <c r="F1338" t="s">
        <v>12644</v>
      </c>
      <c r="G1338" t="s">
        <v>19195</v>
      </c>
      <c r="I1338" t="s">
        <v>18774</v>
      </c>
      <c r="K1338" t="str">
        <f>HYPERLINK("http://tuberculist.epfl.ch/quicksearch.php?gene+name=Rv1300&amp;submit=Search")</f>
        <v>http://tuberculist.epfl.ch/quicksearch.php?gene+name=Rv1300&amp;submit=Search</v>
      </c>
    </row>
    <row r="1339" spans="1:11">
      <c r="A1339" t="s">
        <v>2436</v>
      </c>
      <c r="B1339" t="s">
        <v>2436</v>
      </c>
      <c r="C1339" t="s">
        <v>9567</v>
      </c>
      <c r="D1339" t="s">
        <v>9578</v>
      </c>
      <c r="E1339" t="s">
        <v>9665</v>
      </c>
      <c r="F1339" t="s">
        <v>12645</v>
      </c>
      <c r="G1339" t="s">
        <v>19204</v>
      </c>
      <c r="H1339" t="s">
        <v>19324</v>
      </c>
      <c r="I1339" t="s">
        <v>18774</v>
      </c>
      <c r="K1339" t="str">
        <f>HYPERLINK("http://tuberculist.epfl.ch/quicksearch.php?gene+name=Rv1301&amp;submit=Search")</f>
        <v>http://tuberculist.epfl.ch/quicksearch.php?gene+name=Rv1301&amp;submit=Search</v>
      </c>
    </row>
    <row r="1340" spans="1:11">
      <c r="A1340" t="s">
        <v>5904</v>
      </c>
      <c r="B1340" t="s">
        <v>1704</v>
      </c>
      <c r="C1340" t="s">
        <v>9567</v>
      </c>
      <c r="D1340" t="s">
        <v>12646</v>
      </c>
      <c r="E1340" t="s">
        <v>12647</v>
      </c>
      <c r="F1340" t="s">
        <v>12648</v>
      </c>
      <c r="G1340" t="s">
        <v>19188</v>
      </c>
      <c r="H1340" t="s">
        <v>19252</v>
      </c>
      <c r="I1340" t="s">
        <v>18795</v>
      </c>
      <c r="K1340" t="str">
        <f>HYPERLINK("http://tuberculist.epfl.ch/quicksearch.php?gene+name=Rv1302&amp;submit=Search")</f>
        <v>http://tuberculist.epfl.ch/quicksearch.php?gene+name=Rv1302&amp;submit=Search</v>
      </c>
    </row>
    <row r="1341" spans="1:11">
      <c r="A1341" t="s">
        <v>3026</v>
      </c>
      <c r="B1341" t="s">
        <v>3026</v>
      </c>
      <c r="C1341" t="s">
        <v>9567</v>
      </c>
      <c r="D1341" t="s">
        <v>9578</v>
      </c>
      <c r="E1341" t="s">
        <v>12649</v>
      </c>
      <c r="F1341" t="s">
        <v>12650</v>
      </c>
      <c r="G1341" t="s">
        <v>19188</v>
      </c>
      <c r="H1341" t="s">
        <v>19619</v>
      </c>
      <c r="I1341" t="s">
        <v>18858</v>
      </c>
      <c r="J1341" t="s">
        <v>18957</v>
      </c>
      <c r="K1341" t="str">
        <f>HYPERLINK("http://tuberculist.epfl.ch/quicksearch.php?gene+name=Rv1303&amp;submit=Search")</f>
        <v>http://tuberculist.epfl.ch/quicksearch.php?gene+name=Rv1303&amp;submit=Search</v>
      </c>
    </row>
    <row r="1342" spans="1:11">
      <c r="A1342" t="s">
        <v>8370</v>
      </c>
      <c r="B1342" t="s">
        <v>2936</v>
      </c>
      <c r="C1342" t="s">
        <v>9567</v>
      </c>
      <c r="D1342" t="s">
        <v>12651</v>
      </c>
      <c r="E1342" t="s">
        <v>12652</v>
      </c>
      <c r="F1342" t="s">
        <v>12653</v>
      </c>
      <c r="G1342" t="s">
        <v>19195</v>
      </c>
      <c r="H1342" t="s">
        <v>19244</v>
      </c>
      <c r="I1342" t="s">
        <v>18866</v>
      </c>
      <c r="J1342" t="s">
        <v>18958</v>
      </c>
      <c r="K1342" t="str">
        <f>HYPERLINK("http://tuberculist.epfl.ch/quicksearch.php?gene+name=Rv1304&amp;submit=Search")</f>
        <v>http://tuberculist.epfl.ch/quicksearch.php?gene+name=Rv1304&amp;submit=Search</v>
      </c>
    </row>
    <row r="1343" spans="1:11">
      <c r="A1343" t="s">
        <v>7727</v>
      </c>
      <c r="B1343" t="s">
        <v>2616</v>
      </c>
      <c r="C1343" t="s">
        <v>9567</v>
      </c>
      <c r="D1343" t="s">
        <v>12654</v>
      </c>
      <c r="E1343" t="s">
        <v>12655</v>
      </c>
      <c r="F1343" t="s">
        <v>12656</v>
      </c>
      <c r="G1343" t="s">
        <v>19195</v>
      </c>
      <c r="I1343" t="s">
        <v>18774</v>
      </c>
      <c r="J1343" t="s">
        <v>18958</v>
      </c>
      <c r="K1343" t="str">
        <f>HYPERLINK("http://tuberculist.epfl.ch/quicksearch.php?gene+name=Rv1305&amp;submit=Search")</f>
        <v>http://tuberculist.epfl.ch/quicksearch.php?gene+name=Rv1305&amp;submit=Search</v>
      </c>
    </row>
    <row r="1344" spans="1:11">
      <c r="A1344" t="s">
        <v>4892</v>
      </c>
      <c r="B1344" t="s">
        <v>1203</v>
      </c>
      <c r="C1344" t="s">
        <v>9567</v>
      </c>
      <c r="D1344" t="s">
        <v>12654</v>
      </c>
      <c r="E1344" t="s">
        <v>12657</v>
      </c>
      <c r="F1344" t="s">
        <v>12658</v>
      </c>
      <c r="G1344" t="s">
        <v>19195</v>
      </c>
      <c r="H1344" t="s">
        <v>19244</v>
      </c>
      <c r="I1344" t="s">
        <v>18800</v>
      </c>
      <c r="J1344" t="s">
        <v>18958</v>
      </c>
      <c r="K1344" t="str">
        <f>HYPERLINK("http://tuberculist.epfl.ch/quicksearch.php?gene+name=Rv1306&amp;submit=Search")</f>
        <v>http://tuberculist.epfl.ch/quicksearch.php?gene+name=Rv1306&amp;submit=Search</v>
      </c>
    </row>
    <row r="1345" spans="1:11">
      <c r="A1345" t="s">
        <v>9425</v>
      </c>
      <c r="B1345" t="s">
        <v>458</v>
      </c>
      <c r="C1345" t="s">
        <v>9567</v>
      </c>
      <c r="D1345" t="s">
        <v>12659</v>
      </c>
      <c r="E1345" t="s">
        <v>12660</v>
      </c>
      <c r="F1345" t="s">
        <v>12661</v>
      </c>
      <c r="G1345" t="s">
        <v>19195</v>
      </c>
      <c r="H1345" t="s">
        <v>19656</v>
      </c>
      <c r="I1345" t="s">
        <v>18774</v>
      </c>
      <c r="J1345" t="s">
        <v>18958</v>
      </c>
      <c r="K1345" t="str">
        <f>HYPERLINK("http://tuberculist.epfl.ch/quicksearch.php?gene+name=Rv1307&amp;submit=Search")</f>
        <v>http://tuberculist.epfl.ch/quicksearch.php?gene+name=Rv1307&amp;submit=Search</v>
      </c>
    </row>
    <row r="1346" spans="1:11">
      <c r="A1346" t="s">
        <v>9027</v>
      </c>
      <c r="B1346" t="s">
        <v>3242</v>
      </c>
      <c r="C1346" t="s">
        <v>9567</v>
      </c>
      <c r="D1346" t="s">
        <v>12662</v>
      </c>
      <c r="E1346" t="s">
        <v>12663</v>
      </c>
      <c r="F1346" t="s">
        <v>12664</v>
      </c>
      <c r="G1346" t="s">
        <v>19195</v>
      </c>
      <c r="H1346" t="s">
        <v>19657</v>
      </c>
      <c r="I1346" t="s">
        <v>18774</v>
      </c>
      <c r="J1346" t="s">
        <v>18958</v>
      </c>
      <c r="K1346" t="str">
        <f>HYPERLINK("http://tuberculist.epfl.ch/quicksearch.php?gene+name=Rv1308&amp;submit=Search")</f>
        <v>http://tuberculist.epfl.ch/quicksearch.php?gene+name=Rv1308&amp;submit=Search</v>
      </c>
    </row>
    <row r="1347" spans="1:11">
      <c r="A1347" t="s">
        <v>9448</v>
      </c>
      <c r="B1347" t="s">
        <v>463</v>
      </c>
      <c r="C1347" t="s">
        <v>9567</v>
      </c>
      <c r="D1347" t="s">
        <v>12665</v>
      </c>
      <c r="E1347" t="s">
        <v>12666</v>
      </c>
      <c r="F1347" t="s">
        <v>12667</v>
      </c>
      <c r="G1347" t="s">
        <v>19195</v>
      </c>
      <c r="H1347" t="s">
        <v>19658</v>
      </c>
      <c r="I1347" t="s">
        <v>18774</v>
      </c>
      <c r="J1347" t="s">
        <v>18958</v>
      </c>
      <c r="K1347" t="str">
        <f>HYPERLINK("http://tuberculist.epfl.ch/quicksearch.php?gene+name=Rv1309&amp;submit=Search")</f>
        <v>http://tuberculist.epfl.ch/quicksearch.php?gene+name=Rv1309&amp;submit=Search</v>
      </c>
    </row>
    <row r="1348" spans="1:11">
      <c r="A1348" t="s">
        <v>8920</v>
      </c>
      <c r="B1348" t="s">
        <v>3190</v>
      </c>
      <c r="C1348" t="s">
        <v>9567</v>
      </c>
      <c r="D1348" t="s">
        <v>12668</v>
      </c>
      <c r="E1348" t="s">
        <v>12669</v>
      </c>
      <c r="F1348" t="s">
        <v>12670</v>
      </c>
      <c r="G1348" t="s">
        <v>19195</v>
      </c>
      <c r="H1348" t="s">
        <v>19659</v>
      </c>
      <c r="I1348" t="s">
        <v>18774</v>
      </c>
      <c r="J1348" t="s">
        <v>18958</v>
      </c>
      <c r="K1348" t="str">
        <f>HYPERLINK("http://tuberculist.epfl.ch/quicksearch.php?gene+name=Rv1310&amp;submit=Search")</f>
        <v>http://tuberculist.epfl.ch/quicksearch.php?gene+name=Rv1310&amp;submit=Search</v>
      </c>
    </row>
    <row r="1349" spans="1:11">
      <c r="A1349" t="s">
        <v>8441</v>
      </c>
      <c r="B1349" t="s">
        <v>2970</v>
      </c>
      <c r="C1349" t="s">
        <v>9567</v>
      </c>
      <c r="D1349" t="s">
        <v>12671</v>
      </c>
      <c r="E1349" t="s">
        <v>12672</v>
      </c>
      <c r="F1349" t="s">
        <v>12673</v>
      </c>
      <c r="G1349" t="s">
        <v>19195</v>
      </c>
      <c r="H1349" t="s">
        <v>19660</v>
      </c>
      <c r="I1349" t="s">
        <v>18800</v>
      </c>
      <c r="J1349" t="s">
        <v>18958</v>
      </c>
      <c r="K1349" t="str">
        <f>HYPERLINK("http://tuberculist.epfl.ch/quicksearch.php?gene+name=Rv1311&amp;submit=Search")</f>
        <v>http://tuberculist.epfl.ch/quicksearch.php?gene+name=Rv1311&amp;submit=Search</v>
      </c>
    </row>
    <row r="1350" spans="1:11">
      <c r="A1350" t="s">
        <v>3395</v>
      </c>
      <c r="B1350" t="s">
        <v>3395</v>
      </c>
      <c r="C1350" t="s">
        <v>9567</v>
      </c>
      <c r="D1350" t="s">
        <v>9587</v>
      </c>
      <c r="E1350" t="s">
        <v>12571</v>
      </c>
      <c r="F1350" t="s">
        <v>12674</v>
      </c>
      <c r="G1350" t="s">
        <v>19188</v>
      </c>
      <c r="H1350" t="s">
        <v>19334</v>
      </c>
      <c r="I1350" t="s">
        <v>18773</v>
      </c>
      <c r="J1350" t="s">
        <v>18958</v>
      </c>
      <c r="K1350" t="str">
        <f>HYPERLINK("http://tuberculist.epfl.ch/quicksearch.php?gene+name=Rv1312&amp;submit=Search")</f>
        <v>http://tuberculist.epfl.ch/quicksearch.php?gene+name=Rv1312&amp;submit=Search</v>
      </c>
    </row>
    <row r="1351" spans="1:11">
      <c r="A1351" t="s">
        <v>12675</v>
      </c>
      <c r="B1351" t="s">
        <v>12675</v>
      </c>
      <c r="C1351" t="s">
        <v>9567</v>
      </c>
      <c r="D1351" t="s">
        <v>12676</v>
      </c>
      <c r="E1351" t="s">
        <v>11734</v>
      </c>
      <c r="F1351" t="s">
        <v>12677</v>
      </c>
      <c r="G1351" t="s">
        <v>19217</v>
      </c>
      <c r="H1351" t="s">
        <v>19263</v>
      </c>
      <c r="I1351" t="s">
        <v>18773</v>
      </c>
      <c r="K1351" t="str">
        <f>HYPERLINK("http://tuberculist.epfl.ch/quicksearch.php?gene+name=Rv1313c&amp;submit=Search")</f>
        <v>http://tuberculist.epfl.ch/quicksearch.php?gene+name=Rv1313c&amp;submit=Search</v>
      </c>
    </row>
    <row r="1352" spans="1:11">
      <c r="A1352" t="s">
        <v>2687</v>
      </c>
      <c r="B1352" t="s">
        <v>2687</v>
      </c>
      <c r="C1352" t="s">
        <v>9567</v>
      </c>
      <c r="D1352" t="s">
        <v>9578</v>
      </c>
      <c r="E1352" t="s">
        <v>9665</v>
      </c>
      <c r="F1352" t="s">
        <v>12678</v>
      </c>
      <c r="G1352" t="s">
        <v>19204</v>
      </c>
      <c r="H1352" t="s">
        <v>19229</v>
      </c>
      <c r="I1352" t="s">
        <v>18780</v>
      </c>
      <c r="K1352" t="str">
        <f>HYPERLINK("http://tuberculist.epfl.ch/quicksearch.php?gene+name=Rv1314c&amp;submit=Search")</f>
        <v>http://tuberculist.epfl.ch/quicksearch.php?gene+name=Rv1314c&amp;submit=Search</v>
      </c>
    </row>
    <row r="1353" spans="1:11">
      <c r="A1353" t="s">
        <v>8169</v>
      </c>
      <c r="B1353" t="s">
        <v>2840</v>
      </c>
      <c r="C1353" t="s">
        <v>9567</v>
      </c>
      <c r="D1353" t="s">
        <v>12679</v>
      </c>
      <c r="E1353" t="s">
        <v>12680</v>
      </c>
      <c r="F1353" t="s">
        <v>12681</v>
      </c>
      <c r="G1353" t="s">
        <v>19188</v>
      </c>
      <c r="H1353" t="s">
        <v>19213</v>
      </c>
      <c r="I1353" t="s">
        <v>18774</v>
      </c>
      <c r="K1353" t="str">
        <f>HYPERLINK("http://tuberculist.epfl.ch/quicksearch.php?gene+name=Rv1315&amp;submit=Search")</f>
        <v>http://tuberculist.epfl.ch/quicksearch.php?gene+name=Rv1315&amp;submit=Search</v>
      </c>
    </row>
    <row r="1354" spans="1:11">
      <c r="A1354" t="s">
        <v>4190</v>
      </c>
      <c r="B1354" t="s">
        <v>853</v>
      </c>
      <c r="C1354" t="s">
        <v>9567</v>
      </c>
      <c r="D1354" t="s">
        <v>12682</v>
      </c>
      <c r="E1354" t="s">
        <v>12683</v>
      </c>
      <c r="F1354" t="s">
        <v>12684</v>
      </c>
      <c r="G1354" t="s">
        <v>19181</v>
      </c>
      <c r="H1354" t="s">
        <v>19196</v>
      </c>
      <c r="I1354" t="s">
        <v>18959</v>
      </c>
      <c r="K1354" t="str">
        <f>HYPERLINK("http://tuberculist.epfl.ch/quicksearch.php?gene+name=Rv1316c&amp;submit=Search")</f>
        <v>http://tuberculist.epfl.ch/quicksearch.php?gene+name=Rv1316c&amp;submit=Search</v>
      </c>
    </row>
    <row r="1355" spans="1:11">
      <c r="A1355" t="s">
        <v>4293</v>
      </c>
      <c r="B1355" t="s">
        <v>907</v>
      </c>
      <c r="C1355" t="s">
        <v>9567</v>
      </c>
      <c r="D1355" t="s">
        <v>12685</v>
      </c>
      <c r="E1355" t="s">
        <v>12686</v>
      </c>
      <c r="F1355" t="s">
        <v>12687</v>
      </c>
      <c r="G1355" t="s">
        <v>19181</v>
      </c>
      <c r="H1355" t="s">
        <v>19275</v>
      </c>
      <c r="I1355" t="s">
        <v>18960</v>
      </c>
      <c r="K1355" t="str">
        <f>HYPERLINK("http://tuberculist.epfl.ch/quicksearch.php?gene+name=Rv1317c&amp;submit=Search")</f>
        <v>http://tuberculist.epfl.ch/quicksearch.php?gene+name=Rv1317c&amp;submit=Search</v>
      </c>
    </row>
    <row r="1356" spans="1:11">
      <c r="A1356" t="s">
        <v>920</v>
      </c>
      <c r="B1356" t="s">
        <v>920</v>
      </c>
      <c r="C1356" t="s">
        <v>9567</v>
      </c>
      <c r="D1356" t="s">
        <v>9542</v>
      </c>
      <c r="E1356" t="s">
        <v>12688</v>
      </c>
      <c r="F1356" t="s">
        <v>12689</v>
      </c>
      <c r="G1356" t="s">
        <v>19195</v>
      </c>
      <c r="H1356" t="s">
        <v>19215</v>
      </c>
      <c r="I1356" t="s">
        <v>18780</v>
      </c>
      <c r="K1356" t="str">
        <f>HYPERLINK("http://tuberculist.epfl.ch/quicksearch.php?gene+name=Rv1318c&amp;submit=Search")</f>
        <v>http://tuberculist.epfl.ch/quicksearch.php?gene+name=Rv1318c&amp;submit=Search</v>
      </c>
    </row>
    <row r="1357" spans="1:11">
      <c r="A1357" t="s">
        <v>784</v>
      </c>
      <c r="B1357" t="s">
        <v>784</v>
      </c>
      <c r="C1357" t="s">
        <v>9567</v>
      </c>
      <c r="D1357" t="s">
        <v>9542</v>
      </c>
      <c r="E1357" t="s">
        <v>12688</v>
      </c>
      <c r="F1357" t="s">
        <v>12690</v>
      </c>
      <c r="G1357" t="s">
        <v>19195</v>
      </c>
      <c r="I1357" t="s">
        <v>18789</v>
      </c>
      <c r="K1357" t="str">
        <f>HYPERLINK("http://tuberculist.epfl.ch/quicksearch.php?gene+name=Rv1319c&amp;submit=Search")</f>
        <v>http://tuberculist.epfl.ch/quicksearch.php?gene+name=Rv1319c&amp;submit=Search</v>
      </c>
    </row>
    <row r="1358" spans="1:11">
      <c r="A1358" t="s">
        <v>1028</v>
      </c>
      <c r="B1358" t="s">
        <v>1028</v>
      </c>
      <c r="C1358" t="s">
        <v>9567</v>
      </c>
      <c r="D1358" t="s">
        <v>9543</v>
      </c>
      <c r="E1358" t="s">
        <v>12688</v>
      </c>
      <c r="F1358" t="s">
        <v>12691</v>
      </c>
      <c r="G1358" t="s">
        <v>19195</v>
      </c>
      <c r="H1358" t="s">
        <v>19358</v>
      </c>
      <c r="I1358" t="s">
        <v>18789</v>
      </c>
      <c r="K1358" t="str">
        <f>HYPERLINK("http://tuberculist.epfl.ch/quicksearch.php?gene+name=Rv1320c&amp;submit=Search")</f>
        <v>http://tuberculist.epfl.ch/quicksearch.php?gene+name=Rv1320c&amp;submit=Search</v>
      </c>
    </row>
    <row r="1359" spans="1:11">
      <c r="A1359" t="s">
        <v>1073</v>
      </c>
      <c r="B1359" t="s">
        <v>1073</v>
      </c>
      <c r="C1359" t="s">
        <v>9567</v>
      </c>
      <c r="D1359" t="s">
        <v>9578</v>
      </c>
      <c r="E1359" t="s">
        <v>9579</v>
      </c>
      <c r="F1359" t="s">
        <v>12692</v>
      </c>
      <c r="G1359" t="s">
        <v>19204</v>
      </c>
      <c r="I1359" t="s">
        <v>18780</v>
      </c>
      <c r="K1359" t="str">
        <f>HYPERLINK("http://tuberculist.epfl.ch/quicksearch.php?gene+name=Rv1321&amp;submit=Search")</f>
        <v>http://tuberculist.epfl.ch/quicksearch.php?gene+name=Rv1321&amp;submit=Search</v>
      </c>
    </row>
    <row r="1360" spans="1:11">
      <c r="A1360" t="s">
        <v>2426</v>
      </c>
      <c r="B1360" t="s">
        <v>2426</v>
      </c>
      <c r="C1360" t="s">
        <v>9567</v>
      </c>
      <c r="D1360" t="s">
        <v>9578</v>
      </c>
      <c r="E1360" t="s">
        <v>9579</v>
      </c>
      <c r="F1360" t="s">
        <v>12693</v>
      </c>
      <c r="G1360" t="s">
        <v>19204</v>
      </c>
      <c r="H1360" t="s">
        <v>19213</v>
      </c>
      <c r="I1360" t="s">
        <v>18780</v>
      </c>
      <c r="K1360" t="str">
        <f>HYPERLINK("http://tuberculist.epfl.ch/quicksearch.php?gene+name=Rv1322&amp;submit=Search")</f>
        <v>http://tuberculist.epfl.ch/quicksearch.php?gene+name=Rv1322&amp;submit=Search</v>
      </c>
    </row>
    <row r="1361" spans="1:11">
      <c r="A1361" t="s">
        <v>3290</v>
      </c>
      <c r="B1361" t="s">
        <v>3290</v>
      </c>
      <c r="C1361" t="s">
        <v>9567</v>
      </c>
      <c r="D1361" t="s">
        <v>9578</v>
      </c>
      <c r="E1361" t="s">
        <v>9665</v>
      </c>
      <c r="F1361" t="s">
        <v>12694</v>
      </c>
      <c r="G1361" t="s">
        <v>19220</v>
      </c>
      <c r="H1361" t="s">
        <v>19233</v>
      </c>
      <c r="I1361" t="s">
        <v>18793</v>
      </c>
      <c r="K1361" t="str">
        <f>HYPERLINK("http://tuberculist.epfl.ch/quicksearch.php?gene+name=Rv1322A&amp;submit=Search")</f>
        <v>http://tuberculist.epfl.ch/quicksearch.php?gene+name=Rv1322A&amp;submit=Search</v>
      </c>
    </row>
    <row r="1362" spans="1:11">
      <c r="A1362" t="s">
        <v>7142</v>
      </c>
      <c r="B1362" t="s">
        <v>2334</v>
      </c>
      <c r="C1362" t="s">
        <v>9567</v>
      </c>
      <c r="D1362" t="s">
        <v>12695</v>
      </c>
      <c r="E1362" t="s">
        <v>12696</v>
      </c>
      <c r="F1362" t="s">
        <v>12697</v>
      </c>
      <c r="G1362" t="s">
        <v>19219</v>
      </c>
      <c r="H1362" t="s">
        <v>19661</v>
      </c>
      <c r="I1362" t="s">
        <v>18810</v>
      </c>
      <c r="K1362" t="str">
        <f>HYPERLINK("http://tuberculist.epfl.ch/quicksearch.php?gene+name=Rv1323&amp;submit=Search")</f>
        <v>http://tuberculist.epfl.ch/quicksearch.php?gene+name=Rv1323&amp;submit=Search</v>
      </c>
    </row>
    <row r="1363" spans="1:11">
      <c r="A1363" t="s">
        <v>986</v>
      </c>
      <c r="B1363" t="s">
        <v>986</v>
      </c>
      <c r="C1363" t="s">
        <v>9567</v>
      </c>
      <c r="D1363" t="s">
        <v>12698</v>
      </c>
      <c r="E1363" t="s">
        <v>12699</v>
      </c>
      <c r="F1363" t="s">
        <v>12700</v>
      </c>
      <c r="G1363" t="s">
        <v>19195</v>
      </c>
      <c r="H1363" t="s">
        <v>19662</v>
      </c>
      <c r="I1363" t="s">
        <v>18773</v>
      </c>
      <c r="K1363" t="str">
        <f>HYPERLINK("http://tuberculist.epfl.ch/quicksearch.php?gene+name=Rv1324&amp;submit=Search")</f>
        <v>http://tuberculist.epfl.ch/quicksearch.php?gene+name=Rv1324&amp;submit=Search</v>
      </c>
    </row>
    <row r="1364" spans="1:11">
      <c r="A1364" t="s">
        <v>12701</v>
      </c>
      <c r="B1364" t="s">
        <v>12702</v>
      </c>
      <c r="C1364" t="s">
        <v>9567</v>
      </c>
      <c r="D1364" t="s">
        <v>9578</v>
      </c>
      <c r="E1364" t="s">
        <v>12703</v>
      </c>
      <c r="F1364" t="s">
        <v>12704</v>
      </c>
      <c r="G1364" t="s">
        <v>19262</v>
      </c>
      <c r="H1364" t="s">
        <v>19663</v>
      </c>
      <c r="I1364" t="s">
        <v>18779</v>
      </c>
      <c r="K1364" t="str">
        <f>HYPERLINK("http://tuberculist.epfl.ch/quicksearch.php?gene+name=Rv1325c&amp;submit=Search")</f>
        <v>http://tuberculist.epfl.ch/quicksearch.php?gene+name=Rv1325c&amp;submit=Search</v>
      </c>
    </row>
    <row r="1365" spans="1:11">
      <c r="A1365" t="s">
        <v>8793</v>
      </c>
      <c r="B1365" t="s">
        <v>3135</v>
      </c>
      <c r="C1365" t="s">
        <v>9567</v>
      </c>
      <c r="D1365" t="s">
        <v>12705</v>
      </c>
      <c r="E1365" t="s">
        <v>12706</v>
      </c>
      <c r="F1365" t="s">
        <v>12707</v>
      </c>
      <c r="G1365" t="s">
        <v>19195</v>
      </c>
      <c r="H1365" t="s">
        <v>19664</v>
      </c>
      <c r="I1365" t="s">
        <v>18961</v>
      </c>
      <c r="K1365" t="str">
        <f>HYPERLINK("http://tuberculist.epfl.ch/quicksearch.php?gene+name=Rv1326c&amp;submit=Search")</f>
        <v>http://tuberculist.epfl.ch/quicksearch.php?gene+name=Rv1326c&amp;submit=Search</v>
      </c>
    </row>
    <row r="1366" spans="1:11">
      <c r="A1366" t="s">
        <v>8454</v>
      </c>
      <c r="B1366" t="s">
        <v>2976</v>
      </c>
      <c r="C1366" t="s">
        <v>9567</v>
      </c>
      <c r="D1366" t="s">
        <v>12708</v>
      </c>
      <c r="E1366" t="s">
        <v>12709</v>
      </c>
      <c r="F1366" t="s">
        <v>12710</v>
      </c>
      <c r="G1366" t="s">
        <v>19195</v>
      </c>
      <c r="H1366" t="s">
        <v>19665</v>
      </c>
      <c r="I1366" t="s">
        <v>18774</v>
      </c>
      <c r="K1366" t="str">
        <f>HYPERLINK("http://tuberculist.epfl.ch/quicksearch.php?gene+name=Rv1327c&amp;submit=Search")</f>
        <v>http://tuberculist.epfl.ch/quicksearch.php?gene+name=Rv1327c&amp;submit=Search</v>
      </c>
    </row>
    <row r="1367" spans="1:11">
      <c r="A1367" t="s">
        <v>6866</v>
      </c>
      <c r="B1367" t="s">
        <v>2195</v>
      </c>
      <c r="C1367" t="s">
        <v>9567</v>
      </c>
      <c r="D1367" t="s">
        <v>12711</v>
      </c>
      <c r="E1367" t="s">
        <v>12712</v>
      </c>
      <c r="F1367" t="s">
        <v>12713</v>
      </c>
      <c r="G1367" t="s">
        <v>19195</v>
      </c>
      <c r="H1367" t="s">
        <v>19666</v>
      </c>
      <c r="I1367" t="s">
        <v>18859</v>
      </c>
      <c r="K1367" t="str">
        <f>HYPERLINK("http://tuberculist.epfl.ch/quicksearch.php?gene+name=Rv1328&amp;submit=Search")</f>
        <v>http://tuberculist.epfl.ch/quicksearch.php?gene+name=Rv1328&amp;submit=Search</v>
      </c>
    </row>
    <row r="1368" spans="1:11">
      <c r="A1368" t="s">
        <v>8039</v>
      </c>
      <c r="B1368" t="s">
        <v>2777</v>
      </c>
      <c r="C1368" t="s">
        <v>9567</v>
      </c>
      <c r="D1368" t="s">
        <v>12714</v>
      </c>
      <c r="E1368" t="s">
        <v>12715</v>
      </c>
      <c r="F1368" t="s">
        <v>12716</v>
      </c>
      <c r="G1368" t="s">
        <v>19181</v>
      </c>
      <c r="H1368" t="s">
        <v>19207</v>
      </c>
      <c r="I1368" t="s">
        <v>18780</v>
      </c>
      <c r="K1368" t="str">
        <f>HYPERLINK("http://tuberculist.epfl.ch/quicksearch.php?gene+name=Rv1329c&amp;submit=Search")</f>
        <v>http://tuberculist.epfl.ch/quicksearch.php?gene+name=Rv1329c&amp;submit=Search</v>
      </c>
    </row>
    <row r="1369" spans="1:11">
      <c r="A1369" t="s">
        <v>12717</v>
      </c>
      <c r="B1369" t="s">
        <v>1189</v>
      </c>
      <c r="C1369" t="s">
        <v>9567</v>
      </c>
      <c r="D1369" t="s">
        <v>10885</v>
      </c>
      <c r="E1369" t="s">
        <v>12718</v>
      </c>
      <c r="F1369" t="s">
        <v>12719</v>
      </c>
      <c r="G1369" t="s">
        <v>19195</v>
      </c>
      <c r="H1369" t="s">
        <v>19213</v>
      </c>
      <c r="I1369" t="s">
        <v>18792</v>
      </c>
      <c r="J1369" t="s">
        <v>18809</v>
      </c>
      <c r="K1369" t="str">
        <f>HYPERLINK("http://tuberculist.epfl.ch/quicksearch.php?gene+name=Rv1330c&amp;submit=Search")</f>
        <v>http://tuberculist.epfl.ch/quicksearch.php?gene+name=Rv1330c&amp;submit=Search</v>
      </c>
    </row>
    <row r="1370" spans="1:11">
      <c r="A1370" t="s">
        <v>3317</v>
      </c>
      <c r="B1370" t="s">
        <v>3317</v>
      </c>
      <c r="C1370" t="s">
        <v>9567</v>
      </c>
      <c r="D1370" t="s">
        <v>9578</v>
      </c>
      <c r="E1370" t="s">
        <v>9579</v>
      </c>
      <c r="F1370" t="s">
        <v>12720</v>
      </c>
      <c r="G1370" t="s">
        <v>19204</v>
      </c>
      <c r="H1370" t="s">
        <v>19520</v>
      </c>
      <c r="I1370" t="s">
        <v>18786</v>
      </c>
      <c r="K1370" t="str">
        <f>HYPERLINK("http://tuberculist.epfl.ch/quicksearch.php?gene+name=Rv1331&amp;submit=Search")</f>
        <v>http://tuberculist.epfl.ch/quicksearch.php?gene+name=Rv1331&amp;submit=Search</v>
      </c>
    </row>
    <row r="1371" spans="1:11">
      <c r="A1371" t="s">
        <v>3228</v>
      </c>
      <c r="B1371" t="s">
        <v>3228</v>
      </c>
      <c r="C1371" t="s">
        <v>9567</v>
      </c>
      <c r="D1371" t="s">
        <v>9629</v>
      </c>
      <c r="E1371" t="s">
        <v>9763</v>
      </c>
      <c r="F1371" t="s">
        <v>12721</v>
      </c>
      <c r="G1371" t="s">
        <v>19197</v>
      </c>
      <c r="H1371" t="s">
        <v>19213</v>
      </c>
      <c r="I1371" t="s">
        <v>18827</v>
      </c>
      <c r="K1371" t="str">
        <f>HYPERLINK("http://tuberculist.epfl.ch/quicksearch.php?gene+name=Rv1332&amp;submit=Search")</f>
        <v>http://tuberculist.epfl.ch/quicksearch.php?gene+name=Rv1332&amp;submit=Search</v>
      </c>
    </row>
    <row r="1372" spans="1:11">
      <c r="A1372" t="s">
        <v>644</v>
      </c>
      <c r="B1372" t="s">
        <v>644</v>
      </c>
      <c r="C1372" t="s">
        <v>9567</v>
      </c>
      <c r="D1372" t="s">
        <v>12032</v>
      </c>
      <c r="E1372" t="s">
        <v>12722</v>
      </c>
      <c r="F1372" t="s">
        <v>12723</v>
      </c>
      <c r="G1372" t="s">
        <v>19195</v>
      </c>
      <c r="H1372" t="s">
        <v>19209</v>
      </c>
      <c r="I1372" t="s">
        <v>18810</v>
      </c>
      <c r="K1372" t="str">
        <f>HYPERLINK("http://tuberculist.epfl.ch/quicksearch.php?gene+name=Rv1333&amp;submit=Search")</f>
        <v>http://tuberculist.epfl.ch/quicksearch.php?gene+name=Rv1333&amp;submit=Search</v>
      </c>
    </row>
    <row r="1373" spans="1:11">
      <c r="A1373" t="s">
        <v>12724</v>
      </c>
      <c r="B1373" t="s">
        <v>2730</v>
      </c>
      <c r="C1373" t="s">
        <v>9567</v>
      </c>
      <c r="D1373" t="s">
        <v>12725</v>
      </c>
      <c r="E1373" t="s">
        <v>9686</v>
      </c>
      <c r="F1373" t="s">
        <v>12726</v>
      </c>
      <c r="G1373" t="s">
        <v>19195</v>
      </c>
      <c r="H1373" t="s">
        <v>19213</v>
      </c>
      <c r="I1373" t="s">
        <v>18829</v>
      </c>
      <c r="K1373" t="str">
        <f>HYPERLINK("http://tuberculist.epfl.ch/quicksearch.php?gene+name=Rv1334&amp;submit=Search")</f>
        <v>http://tuberculist.epfl.ch/quicksearch.php?gene+name=Rv1334&amp;submit=Search</v>
      </c>
    </row>
    <row r="1374" spans="1:11">
      <c r="A1374" t="s">
        <v>12727</v>
      </c>
      <c r="B1374" t="s">
        <v>700</v>
      </c>
      <c r="C1374" t="s">
        <v>9567</v>
      </c>
      <c r="D1374" t="s">
        <v>12728</v>
      </c>
      <c r="E1374" t="s">
        <v>12729</v>
      </c>
      <c r="F1374" t="s">
        <v>12730</v>
      </c>
      <c r="G1374" t="s">
        <v>19195</v>
      </c>
      <c r="H1374" t="s">
        <v>19667</v>
      </c>
      <c r="I1374" t="s">
        <v>18780</v>
      </c>
      <c r="K1374" t="str">
        <f>HYPERLINK("http://tuberculist.epfl.ch/quicksearch.php?gene+name=Rv1335&amp;submit=Search")</f>
        <v>http://tuberculist.epfl.ch/quicksearch.php?gene+name=Rv1335&amp;submit=Search</v>
      </c>
    </row>
    <row r="1375" spans="1:11">
      <c r="A1375" t="s">
        <v>9050</v>
      </c>
      <c r="B1375" t="s">
        <v>3252</v>
      </c>
      <c r="C1375" t="s">
        <v>9567</v>
      </c>
      <c r="D1375" t="s">
        <v>12731</v>
      </c>
      <c r="E1375" t="s">
        <v>12732</v>
      </c>
      <c r="F1375" t="s">
        <v>12733</v>
      </c>
      <c r="G1375" t="s">
        <v>19195</v>
      </c>
      <c r="H1375" t="s">
        <v>19272</v>
      </c>
      <c r="I1375" t="s">
        <v>18780</v>
      </c>
      <c r="K1375" t="str">
        <f>HYPERLINK("http://tuberculist.epfl.ch/quicksearch.php?gene+name=Rv1336&amp;submit=Search")</f>
        <v>http://tuberculist.epfl.ch/quicksearch.php?gene+name=Rv1336&amp;submit=Search</v>
      </c>
    </row>
    <row r="1376" spans="1:11">
      <c r="A1376" t="s">
        <v>2346</v>
      </c>
      <c r="B1376" t="s">
        <v>2346</v>
      </c>
      <c r="C1376" t="s">
        <v>9567</v>
      </c>
      <c r="D1376" t="s">
        <v>9587</v>
      </c>
      <c r="E1376" t="s">
        <v>10806</v>
      </c>
      <c r="F1376" t="s">
        <v>12734</v>
      </c>
      <c r="G1376" t="s">
        <v>19188</v>
      </c>
      <c r="H1376" t="s">
        <v>19668</v>
      </c>
      <c r="I1376" t="s">
        <v>18786</v>
      </c>
      <c r="K1376" t="str">
        <f>HYPERLINK("http://tuberculist.epfl.ch/quicksearch.php?gene+name=Rv1337&amp;submit=Search")</f>
        <v>http://tuberculist.epfl.ch/quicksearch.php?gene+name=Rv1337&amp;submit=Search</v>
      </c>
    </row>
    <row r="1377" spans="1:11">
      <c r="A1377" t="s">
        <v>8059</v>
      </c>
      <c r="B1377" t="s">
        <v>2786</v>
      </c>
      <c r="C1377" t="s">
        <v>9567</v>
      </c>
      <c r="D1377" t="s">
        <v>12735</v>
      </c>
      <c r="E1377" t="s">
        <v>12736</v>
      </c>
      <c r="F1377" t="s">
        <v>12737</v>
      </c>
      <c r="G1377" t="s">
        <v>19188</v>
      </c>
      <c r="H1377" t="s">
        <v>19669</v>
      </c>
      <c r="I1377" t="s">
        <v>18866</v>
      </c>
      <c r="K1377" t="str">
        <f>HYPERLINK("http://tuberculist.epfl.ch/quicksearch.php?gene+name=Rv1338&amp;submit=Search")</f>
        <v>http://tuberculist.epfl.ch/quicksearch.php?gene+name=Rv1338&amp;submit=Search</v>
      </c>
    </row>
    <row r="1378" spans="1:11">
      <c r="A1378" t="s">
        <v>1125</v>
      </c>
      <c r="B1378" t="s">
        <v>1125</v>
      </c>
      <c r="C1378" t="s">
        <v>9567</v>
      </c>
      <c r="D1378" t="s">
        <v>9578</v>
      </c>
      <c r="E1378" t="s">
        <v>9665</v>
      </c>
      <c r="F1378" t="s">
        <v>12738</v>
      </c>
      <c r="G1378" t="s">
        <v>19204</v>
      </c>
      <c r="H1378" t="s">
        <v>19508</v>
      </c>
      <c r="I1378" t="s">
        <v>18842</v>
      </c>
      <c r="K1378" t="str">
        <f>HYPERLINK("http://tuberculist.epfl.ch/quicksearch.php?gene+name=Rv1339&amp;submit=Search")</f>
        <v>http://tuberculist.epfl.ch/quicksearch.php?gene+name=Rv1339&amp;submit=Search</v>
      </c>
    </row>
    <row r="1379" spans="1:11">
      <c r="A1379" t="s">
        <v>12739</v>
      </c>
      <c r="B1379" t="s">
        <v>1039</v>
      </c>
      <c r="C1379" t="s">
        <v>9567</v>
      </c>
      <c r="D1379" t="s">
        <v>12740</v>
      </c>
      <c r="E1379" t="s">
        <v>12741</v>
      </c>
      <c r="F1379" t="s">
        <v>12742</v>
      </c>
      <c r="G1379" t="s">
        <v>19181</v>
      </c>
      <c r="H1379" t="s">
        <v>19319</v>
      </c>
      <c r="I1379" t="s">
        <v>18779</v>
      </c>
      <c r="K1379" t="str">
        <f>HYPERLINK("http://tuberculist.epfl.ch/quicksearch.php?gene+name=Rv1340&amp;submit=Search")</f>
        <v>http://tuberculist.epfl.ch/quicksearch.php?gene+name=Rv1340&amp;submit=Search</v>
      </c>
    </row>
    <row r="1380" spans="1:11">
      <c r="A1380" t="s">
        <v>2606</v>
      </c>
      <c r="B1380" t="s">
        <v>2606</v>
      </c>
      <c r="C1380" t="s">
        <v>9567</v>
      </c>
      <c r="D1380" t="s">
        <v>9578</v>
      </c>
      <c r="E1380" t="s">
        <v>9665</v>
      </c>
      <c r="F1380" t="s">
        <v>12743</v>
      </c>
      <c r="G1380" t="s">
        <v>19204</v>
      </c>
      <c r="H1380" t="s">
        <v>19233</v>
      </c>
      <c r="I1380" t="s">
        <v>18780</v>
      </c>
      <c r="K1380" t="str">
        <f>HYPERLINK("http://tuberculist.epfl.ch/quicksearch.php?gene+name=Rv1341&amp;submit=Search")</f>
        <v>http://tuberculist.epfl.ch/quicksearch.php?gene+name=Rv1341&amp;submit=Search</v>
      </c>
    </row>
    <row r="1381" spans="1:11">
      <c r="A1381" t="s">
        <v>12744</v>
      </c>
      <c r="B1381" t="s">
        <v>12744</v>
      </c>
      <c r="C1381" t="s">
        <v>9567</v>
      </c>
      <c r="D1381" t="s">
        <v>9587</v>
      </c>
      <c r="E1381" t="s">
        <v>11913</v>
      </c>
      <c r="F1381" t="s">
        <v>12745</v>
      </c>
      <c r="G1381" t="s">
        <v>19188</v>
      </c>
      <c r="H1381" t="s">
        <v>19189</v>
      </c>
      <c r="I1381" t="s">
        <v>18800</v>
      </c>
      <c r="K1381" t="str">
        <f>HYPERLINK("http://tuberculist.epfl.ch/quicksearch.php?gene+name=Rv1342c&amp;submit=Search")</f>
        <v>http://tuberculist.epfl.ch/quicksearch.php?gene+name=Rv1342c&amp;submit=Search</v>
      </c>
    </row>
    <row r="1382" spans="1:11">
      <c r="A1382" t="s">
        <v>261</v>
      </c>
      <c r="B1382" t="s">
        <v>260</v>
      </c>
      <c r="C1382" t="s">
        <v>9567</v>
      </c>
      <c r="D1382" t="s">
        <v>9587</v>
      </c>
      <c r="E1382" t="s">
        <v>12746</v>
      </c>
      <c r="F1382" t="s">
        <v>12747</v>
      </c>
      <c r="G1382" t="s">
        <v>19188</v>
      </c>
      <c r="H1382" t="s">
        <v>19192</v>
      </c>
      <c r="I1382" t="s">
        <v>18788</v>
      </c>
      <c r="J1382" t="s">
        <v>18856</v>
      </c>
      <c r="K1382" t="str">
        <f>HYPERLINK("http://tuberculist.epfl.ch/quicksearch.php?gene+name=Rv1343c&amp;submit=Search")</f>
        <v>http://tuberculist.epfl.ch/quicksearch.php?gene+name=Rv1343c&amp;submit=Search</v>
      </c>
    </row>
    <row r="1383" spans="1:11">
      <c r="A1383" t="s">
        <v>12748</v>
      </c>
      <c r="B1383" t="s">
        <v>12749</v>
      </c>
      <c r="C1383" t="s">
        <v>9567</v>
      </c>
      <c r="D1383" t="s">
        <v>12750</v>
      </c>
      <c r="E1383" t="s">
        <v>12751</v>
      </c>
      <c r="F1383" t="s">
        <v>12752</v>
      </c>
      <c r="G1383" t="s">
        <v>19219</v>
      </c>
      <c r="I1383" t="s">
        <v>18780</v>
      </c>
      <c r="J1383" t="s">
        <v>18856</v>
      </c>
      <c r="K1383" t="str">
        <f>HYPERLINK("http://tuberculist.epfl.ch/quicksearch.php?gene+name=Rv1344&amp;submit=Search")</f>
        <v>http://tuberculist.epfl.ch/quicksearch.php?gene+name=Rv1344&amp;submit=Search</v>
      </c>
    </row>
    <row r="1384" spans="1:11">
      <c r="A1384" t="s">
        <v>141</v>
      </c>
      <c r="B1384" t="s">
        <v>140</v>
      </c>
      <c r="C1384" t="s">
        <v>9567</v>
      </c>
      <c r="D1384" t="s">
        <v>12750</v>
      </c>
      <c r="E1384" t="s">
        <v>12753</v>
      </c>
      <c r="F1384" t="s">
        <v>12754</v>
      </c>
      <c r="G1384" t="s">
        <v>19219</v>
      </c>
      <c r="I1384" t="s">
        <v>18859</v>
      </c>
      <c r="J1384" t="s">
        <v>18852</v>
      </c>
      <c r="K1384" t="str">
        <f>HYPERLINK("http://tuberculist.epfl.ch/quicksearch.php?gene+name=Rv1345&amp;submit=Search")</f>
        <v>http://tuberculist.epfl.ch/quicksearch.php?gene+name=Rv1345&amp;submit=Search</v>
      </c>
    </row>
    <row r="1385" spans="1:11">
      <c r="A1385" t="s">
        <v>147</v>
      </c>
      <c r="B1385" t="s">
        <v>146</v>
      </c>
      <c r="C1385" t="s">
        <v>9567</v>
      </c>
      <c r="D1385" t="s">
        <v>12750</v>
      </c>
      <c r="E1385" t="s">
        <v>12755</v>
      </c>
      <c r="F1385" t="s">
        <v>12756</v>
      </c>
      <c r="G1385" t="s">
        <v>19219</v>
      </c>
      <c r="H1385" t="s">
        <v>19614</v>
      </c>
      <c r="I1385" t="s">
        <v>18792</v>
      </c>
      <c r="K1385" t="str">
        <f>HYPERLINK("http://tuberculist.epfl.ch/quicksearch.php?gene+name=Rv1346&amp;submit=Search")</f>
        <v>http://tuberculist.epfl.ch/quicksearch.php?gene+name=Rv1346&amp;submit=Search</v>
      </c>
    </row>
    <row r="1386" spans="1:11">
      <c r="A1386" t="s">
        <v>154</v>
      </c>
      <c r="B1386" t="s">
        <v>153</v>
      </c>
      <c r="C1386" t="s">
        <v>9567</v>
      </c>
      <c r="D1386" t="s">
        <v>12757</v>
      </c>
      <c r="E1386" t="s">
        <v>12758</v>
      </c>
      <c r="F1386" t="s">
        <v>12759</v>
      </c>
      <c r="G1386" t="s">
        <v>19219</v>
      </c>
      <c r="I1386" t="s">
        <v>18774</v>
      </c>
      <c r="J1386" t="s">
        <v>18856</v>
      </c>
      <c r="K1386" t="str">
        <f>HYPERLINK("http://tuberculist.epfl.ch/quicksearch.php?gene+name=Rv1347c&amp;submit=Search")</f>
        <v>http://tuberculist.epfl.ch/quicksearch.php?gene+name=Rv1347c&amp;submit=Search</v>
      </c>
    </row>
    <row r="1387" spans="1:11">
      <c r="A1387" t="s">
        <v>162</v>
      </c>
      <c r="B1387" t="s">
        <v>161</v>
      </c>
      <c r="C1387" t="s">
        <v>9567</v>
      </c>
      <c r="D1387" t="s">
        <v>12760</v>
      </c>
      <c r="E1387" t="s">
        <v>12761</v>
      </c>
      <c r="F1387" t="s">
        <v>12762</v>
      </c>
      <c r="G1387" t="s">
        <v>19188</v>
      </c>
      <c r="H1387" t="s">
        <v>19670</v>
      </c>
      <c r="I1387" t="s">
        <v>18962</v>
      </c>
      <c r="J1387" t="s">
        <v>18856</v>
      </c>
      <c r="K1387" t="str">
        <f>HYPERLINK("http://tuberculist.epfl.ch/quicksearch.php?gene+name=Rv1348&amp;submit=Search")</f>
        <v>http://tuberculist.epfl.ch/quicksearch.php?gene+name=Rv1348&amp;submit=Search</v>
      </c>
    </row>
    <row r="1388" spans="1:11">
      <c r="A1388" t="s">
        <v>169</v>
      </c>
      <c r="B1388" t="s">
        <v>168</v>
      </c>
      <c r="C1388" t="s">
        <v>9567</v>
      </c>
      <c r="D1388" t="s">
        <v>12760</v>
      </c>
      <c r="E1388" t="s">
        <v>12763</v>
      </c>
      <c r="F1388" t="s">
        <v>12764</v>
      </c>
      <c r="G1388" t="s">
        <v>19188</v>
      </c>
      <c r="H1388" t="s">
        <v>19671</v>
      </c>
      <c r="I1388" t="s">
        <v>18963</v>
      </c>
      <c r="K1388" t="str">
        <f>HYPERLINK("http://tuberculist.epfl.ch/quicksearch.php?gene+name=Rv1349&amp;submit=Search")</f>
        <v>http://tuberculist.epfl.ch/quicksearch.php?gene+name=Rv1349&amp;submit=Search</v>
      </c>
    </row>
    <row r="1389" spans="1:11">
      <c r="A1389" t="s">
        <v>12765</v>
      </c>
      <c r="B1389" t="s">
        <v>2684</v>
      </c>
      <c r="C1389" t="s">
        <v>9567</v>
      </c>
      <c r="D1389" t="s">
        <v>10143</v>
      </c>
      <c r="E1389" t="s">
        <v>12766</v>
      </c>
      <c r="F1389" t="s">
        <v>12767</v>
      </c>
      <c r="G1389" t="s">
        <v>19219</v>
      </c>
      <c r="H1389" t="s">
        <v>19233</v>
      </c>
      <c r="I1389" t="s">
        <v>18800</v>
      </c>
      <c r="K1389" t="str">
        <f>HYPERLINK("http://tuberculist.epfl.ch/quicksearch.php?gene+name=Rv1350&amp;submit=Search")</f>
        <v>http://tuberculist.epfl.ch/quicksearch.php?gene+name=Rv1350&amp;submit=Search</v>
      </c>
    </row>
    <row r="1390" spans="1:11">
      <c r="A1390" t="s">
        <v>723</v>
      </c>
      <c r="B1390" t="s">
        <v>723</v>
      </c>
      <c r="C1390" t="s">
        <v>9567</v>
      </c>
      <c r="D1390" t="s">
        <v>9587</v>
      </c>
      <c r="E1390" t="s">
        <v>9713</v>
      </c>
      <c r="F1390" t="s">
        <v>12768</v>
      </c>
      <c r="G1390" t="s">
        <v>19210</v>
      </c>
      <c r="H1390" t="s">
        <v>19672</v>
      </c>
      <c r="I1390" t="s">
        <v>18793</v>
      </c>
      <c r="K1390" t="str">
        <f>HYPERLINK("http://tuberculist.epfl.ch/quicksearch.php?gene+name=Rv1351&amp;submit=Search")</f>
        <v>http://tuberculist.epfl.ch/quicksearch.php?gene+name=Rv1351&amp;submit=Search</v>
      </c>
    </row>
    <row r="1391" spans="1:11">
      <c r="A1391" t="s">
        <v>486</v>
      </c>
      <c r="B1391" t="s">
        <v>486</v>
      </c>
      <c r="C1391" t="s">
        <v>9567</v>
      </c>
      <c r="D1391" t="s">
        <v>9578</v>
      </c>
      <c r="E1391" t="s">
        <v>9665</v>
      </c>
      <c r="F1391" t="s">
        <v>12769</v>
      </c>
      <c r="G1391" t="s">
        <v>19220</v>
      </c>
      <c r="H1391" t="s">
        <v>19673</v>
      </c>
      <c r="I1391" t="s">
        <v>18780</v>
      </c>
      <c r="K1391" t="str">
        <f>HYPERLINK("http://tuberculist.epfl.ch/quicksearch.php?gene+name=Rv1352&amp;submit=Search")</f>
        <v>http://tuberculist.epfl.ch/quicksearch.php?gene+name=Rv1352&amp;submit=Search</v>
      </c>
    </row>
    <row r="1392" spans="1:11">
      <c r="A1392" t="s">
        <v>12770</v>
      </c>
      <c r="B1392" t="s">
        <v>12770</v>
      </c>
      <c r="C1392" t="s">
        <v>9567</v>
      </c>
      <c r="D1392" t="s">
        <v>9969</v>
      </c>
      <c r="E1392" t="s">
        <v>9763</v>
      </c>
      <c r="F1392" t="s">
        <v>12771</v>
      </c>
      <c r="G1392" t="s">
        <v>19197</v>
      </c>
      <c r="I1392" t="s">
        <v>18821</v>
      </c>
      <c r="K1392" t="str">
        <f>HYPERLINK("http://tuberculist.epfl.ch/quicksearch.php?gene+name=Rv1353c&amp;submit=Search")</f>
        <v>http://tuberculist.epfl.ch/quicksearch.php?gene+name=Rv1353c&amp;submit=Search</v>
      </c>
    </row>
    <row r="1393" spans="1:11">
      <c r="A1393" t="s">
        <v>2076</v>
      </c>
      <c r="B1393" t="s">
        <v>2076</v>
      </c>
      <c r="C1393" t="s">
        <v>9567</v>
      </c>
      <c r="D1393" t="s">
        <v>9578</v>
      </c>
      <c r="E1393" t="s">
        <v>9579</v>
      </c>
      <c r="F1393" t="s">
        <v>12772</v>
      </c>
      <c r="G1393" t="s">
        <v>19208</v>
      </c>
      <c r="H1393" t="s">
        <v>19674</v>
      </c>
      <c r="I1393" t="s">
        <v>18797</v>
      </c>
      <c r="K1393" t="str">
        <f>HYPERLINK("http://tuberculist.epfl.ch/quicksearch.php?gene+name=Rv1354c&amp;submit=Search")</f>
        <v>http://tuberculist.epfl.ch/quicksearch.php?gene+name=Rv1354c&amp;submit=Search</v>
      </c>
    </row>
    <row r="1394" spans="1:11">
      <c r="A1394" t="s">
        <v>8286</v>
      </c>
      <c r="B1394" t="s">
        <v>2895</v>
      </c>
      <c r="C1394" t="s">
        <v>9567</v>
      </c>
      <c r="D1394" t="s">
        <v>12773</v>
      </c>
      <c r="E1394" t="s">
        <v>12774</v>
      </c>
      <c r="F1394" t="s">
        <v>12775</v>
      </c>
      <c r="G1394" t="s">
        <v>19195</v>
      </c>
      <c r="H1394" t="s">
        <v>19675</v>
      </c>
      <c r="I1394" t="s">
        <v>18803</v>
      </c>
      <c r="J1394" t="s">
        <v>18809</v>
      </c>
      <c r="K1394" t="str">
        <f>HYPERLINK("http://tuberculist.epfl.ch/quicksearch.php?gene+name=Rv1355c&amp;submit=Search")</f>
        <v>http://tuberculist.epfl.ch/quicksearch.php?gene+name=Rv1355c&amp;submit=Search</v>
      </c>
    </row>
    <row r="1395" spans="1:11">
      <c r="A1395" t="s">
        <v>12776</v>
      </c>
      <c r="B1395" t="s">
        <v>12776</v>
      </c>
      <c r="C1395" t="s">
        <v>9567</v>
      </c>
      <c r="D1395" t="s">
        <v>9587</v>
      </c>
      <c r="E1395" t="s">
        <v>9713</v>
      </c>
      <c r="F1395" t="s">
        <v>12777</v>
      </c>
      <c r="G1395" t="s">
        <v>19204</v>
      </c>
      <c r="I1395" t="s">
        <v>18804</v>
      </c>
      <c r="K1395" t="str">
        <f>HYPERLINK("http://tuberculist.epfl.ch/quicksearch.php?gene+name=Rv1356c&amp;submit=Search")</f>
        <v>http://tuberculist.epfl.ch/quicksearch.php?gene+name=Rv1356c&amp;submit=Search</v>
      </c>
    </row>
    <row r="1396" spans="1:11">
      <c r="A1396" t="s">
        <v>12778</v>
      </c>
      <c r="B1396" t="s">
        <v>12778</v>
      </c>
      <c r="C1396" t="s">
        <v>9567</v>
      </c>
      <c r="D1396" t="s">
        <v>9578</v>
      </c>
      <c r="E1396" t="s">
        <v>9579</v>
      </c>
      <c r="F1396" t="s">
        <v>12779</v>
      </c>
      <c r="G1396" t="s">
        <v>19208</v>
      </c>
      <c r="I1396" t="s">
        <v>18789</v>
      </c>
      <c r="K1396" t="str">
        <f>HYPERLINK("http://tuberculist.epfl.ch/quicksearch.php?gene+name=Rv1357c&amp;submit=Search")</f>
        <v>http://tuberculist.epfl.ch/quicksearch.php?gene+name=Rv1357c&amp;submit=Search</v>
      </c>
    </row>
    <row r="1397" spans="1:11">
      <c r="A1397" t="s">
        <v>2271</v>
      </c>
      <c r="B1397" t="s">
        <v>2271</v>
      </c>
      <c r="C1397" t="s">
        <v>9567</v>
      </c>
      <c r="D1397" t="s">
        <v>9969</v>
      </c>
      <c r="E1397" t="s">
        <v>9763</v>
      </c>
      <c r="F1397" t="s">
        <v>12780</v>
      </c>
      <c r="G1397" t="s">
        <v>19197</v>
      </c>
      <c r="H1397" t="s">
        <v>19207</v>
      </c>
      <c r="I1397" t="s">
        <v>18964</v>
      </c>
      <c r="K1397" t="str">
        <f>HYPERLINK("http://tuberculist.epfl.ch/quicksearch.php?gene+name=Rv1358&amp;submit=Search")</f>
        <v>http://tuberculist.epfl.ch/quicksearch.php?gene+name=Rv1358&amp;submit=Search</v>
      </c>
    </row>
    <row r="1398" spans="1:11">
      <c r="A1398" t="s">
        <v>1139</v>
      </c>
      <c r="B1398" t="s">
        <v>1139</v>
      </c>
      <c r="C1398" t="s">
        <v>9567</v>
      </c>
      <c r="D1398" t="s">
        <v>9969</v>
      </c>
      <c r="E1398" t="s">
        <v>9763</v>
      </c>
      <c r="F1398" t="s">
        <v>12781</v>
      </c>
      <c r="G1398" t="s">
        <v>19197</v>
      </c>
      <c r="I1398" t="s">
        <v>18780</v>
      </c>
      <c r="K1398" t="str">
        <f>HYPERLINK("http://tuberculist.epfl.ch/quicksearch.php?gene+name=Rv1359&amp;submit=Search")</f>
        <v>http://tuberculist.epfl.ch/quicksearch.php?gene+name=Rv1359&amp;submit=Search</v>
      </c>
    </row>
    <row r="1399" spans="1:11">
      <c r="A1399" t="s">
        <v>1286</v>
      </c>
      <c r="B1399" t="s">
        <v>1286</v>
      </c>
      <c r="C1399" t="s">
        <v>9567</v>
      </c>
      <c r="D1399" t="s">
        <v>9682</v>
      </c>
      <c r="E1399" t="s">
        <v>9739</v>
      </c>
      <c r="F1399" t="s">
        <v>12782</v>
      </c>
      <c r="G1399" t="s">
        <v>19195</v>
      </c>
      <c r="H1399" t="s">
        <v>19318</v>
      </c>
      <c r="I1399" t="s">
        <v>18780</v>
      </c>
      <c r="K1399" t="str">
        <f>HYPERLINK("http://tuberculist.epfl.ch/quicksearch.php?gene+name=Rv1360&amp;submit=Search")</f>
        <v>http://tuberculist.epfl.ch/quicksearch.php?gene+name=Rv1360&amp;submit=Search</v>
      </c>
    </row>
    <row r="1400" spans="1:11">
      <c r="A1400" t="s">
        <v>5359</v>
      </c>
      <c r="B1400" t="s">
        <v>1435</v>
      </c>
      <c r="C1400" t="s">
        <v>9567</v>
      </c>
      <c r="D1400" t="s">
        <v>9578</v>
      </c>
      <c r="E1400" t="s">
        <v>12783</v>
      </c>
      <c r="F1400" t="s">
        <v>12784</v>
      </c>
      <c r="G1400" t="s">
        <v>19253</v>
      </c>
      <c r="H1400" t="s">
        <v>19254</v>
      </c>
      <c r="I1400" t="s">
        <v>18779</v>
      </c>
      <c r="J1400" t="s">
        <v>18775</v>
      </c>
      <c r="K1400" t="str">
        <f>HYPERLINK("http://tuberculist.epfl.ch/quicksearch.php?gene+name=Rv1361c&amp;submit=Search")</f>
        <v>http://tuberculist.epfl.ch/quicksearch.php?gene+name=Rv1361c&amp;submit=Search</v>
      </c>
    </row>
    <row r="1401" spans="1:11">
      <c r="A1401" t="s">
        <v>775</v>
      </c>
      <c r="B1401" t="s">
        <v>775</v>
      </c>
      <c r="C1401" t="s">
        <v>9567</v>
      </c>
      <c r="D1401" t="s">
        <v>9578</v>
      </c>
      <c r="E1401" t="s">
        <v>9590</v>
      </c>
      <c r="F1401" t="s">
        <v>12785</v>
      </c>
      <c r="G1401" t="s">
        <v>19188</v>
      </c>
      <c r="H1401" t="s">
        <v>19676</v>
      </c>
      <c r="I1401" t="s">
        <v>18789</v>
      </c>
      <c r="K1401" t="str">
        <f>HYPERLINK("http://tuberculist.epfl.ch/quicksearch.php?gene+name=Rv1362c&amp;submit=Search")</f>
        <v>http://tuberculist.epfl.ch/quicksearch.php?gene+name=Rv1362c&amp;submit=Search</v>
      </c>
    </row>
    <row r="1402" spans="1:11">
      <c r="A1402" t="s">
        <v>3319</v>
      </c>
      <c r="B1402" t="s">
        <v>3319</v>
      </c>
      <c r="C1402" t="s">
        <v>9567</v>
      </c>
      <c r="D1402" t="s">
        <v>9578</v>
      </c>
      <c r="E1402" t="s">
        <v>9590</v>
      </c>
      <c r="F1402" t="s">
        <v>12786</v>
      </c>
      <c r="G1402" t="s">
        <v>19188</v>
      </c>
      <c r="H1402" t="s">
        <v>19233</v>
      </c>
      <c r="I1402" t="s">
        <v>18780</v>
      </c>
      <c r="K1402" t="str">
        <f>HYPERLINK("http://tuberculist.epfl.ch/quicksearch.php?gene+name=Rv1363c&amp;submit=Search")</f>
        <v>http://tuberculist.epfl.ch/quicksearch.php?gene+name=Rv1363c&amp;submit=Search</v>
      </c>
    </row>
    <row r="1403" spans="1:11">
      <c r="A1403" t="s">
        <v>1751</v>
      </c>
      <c r="B1403" t="s">
        <v>1751</v>
      </c>
      <c r="C1403" t="s">
        <v>9567</v>
      </c>
      <c r="D1403" t="s">
        <v>12787</v>
      </c>
      <c r="E1403" t="s">
        <v>12788</v>
      </c>
      <c r="F1403" t="s">
        <v>12789</v>
      </c>
      <c r="G1403" t="s">
        <v>19181</v>
      </c>
      <c r="I1403" t="s">
        <v>18777</v>
      </c>
      <c r="K1403" t="str">
        <f>HYPERLINK("http://tuberculist.epfl.ch/quicksearch.php?gene+name=Rv1364c&amp;submit=Search")</f>
        <v>http://tuberculist.epfl.ch/quicksearch.php?gene+name=Rv1364c&amp;submit=Search</v>
      </c>
    </row>
    <row r="1404" spans="1:11">
      <c r="A1404" t="s">
        <v>12790</v>
      </c>
      <c r="B1404" t="s">
        <v>12791</v>
      </c>
      <c r="C1404" t="s">
        <v>9567</v>
      </c>
      <c r="D1404" t="s">
        <v>12792</v>
      </c>
      <c r="E1404" t="s">
        <v>12793</v>
      </c>
      <c r="F1404" t="s">
        <v>12794</v>
      </c>
      <c r="G1404" t="s">
        <v>19181</v>
      </c>
      <c r="I1404" t="s">
        <v>18780</v>
      </c>
      <c r="K1404" t="str">
        <f>HYPERLINK("http://tuberculist.epfl.ch/quicksearch.php?gene+name=Rv1365c&amp;submit=Search")</f>
        <v>http://tuberculist.epfl.ch/quicksearch.php?gene+name=Rv1365c&amp;submit=Search</v>
      </c>
    </row>
    <row r="1405" spans="1:11">
      <c r="A1405" t="s">
        <v>532</v>
      </c>
      <c r="B1405" t="s">
        <v>532</v>
      </c>
      <c r="C1405" t="s">
        <v>9567</v>
      </c>
      <c r="D1405" t="s">
        <v>9587</v>
      </c>
      <c r="E1405" t="s">
        <v>9713</v>
      </c>
      <c r="F1405" t="s">
        <v>12795</v>
      </c>
      <c r="G1405" t="s">
        <v>19204</v>
      </c>
      <c r="H1405" t="s">
        <v>19213</v>
      </c>
      <c r="I1405" t="s">
        <v>18789</v>
      </c>
      <c r="K1405" t="str">
        <f>HYPERLINK("http://tuberculist.epfl.ch/quicksearch.php?gene+name=Rv1366&amp;submit=Search")</f>
        <v>http://tuberculist.epfl.ch/quicksearch.php?gene+name=Rv1366&amp;submit=Search</v>
      </c>
    </row>
    <row r="1406" spans="1:11">
      <c r="A1406" t="s">
        <v>12796</v>
      </c>
      <c r="B1406" t="s">
        <v>12796</v>
      </c>
      <c r="C1406" t="s">
        <v>9567</v>
      </c>
      <c r="D1406" t="s">
        <v>9587</v>
      </c>
      <c r="E1406" t="s">
        <v>9665</v>
      </c>
      <c r="F1406" t="s">
        <v>12797</v>
      </c>
      <c r="G1406" t="s">
        <v>19212</v>
      </c>
      <c r="H1406" t="s">
        <v>19677</v>
      </c>
      <c r="I1406" t="s">
        <v>18773</v>
      </c>
      <c r="K1406" t="str">
        <f>HYPERLINK("http://tuberculist.epfl.ch/quicksearch.php?gene+name=Rv1366A&amp;submit=Search")</f>
        <v>http://tuberculist.epfl.ch/quicksearch.php?gene+name=Rv1366A&amp;submit=Search</v>
      </c>
    </row>
    <row r="1407" spans="1:11">
      <c r="A1407" t="s">
        <v>221</v>
      </c>
      <c r="B1407" t="s">
        <v>221</v>
      </c>
      <c r="C1407" t="s">
        <v>9567</v>
      </c>
      <c r="D1407" t="s">
        <v>12798</v>
      </c>
      <c r="E1407" t="s">
        <v>9665</v>
      </c>
      <c r="F1407" t="s">
        <v>12799</v>
      </c>
      <c r="G1407" t="s">
        <v>19210</v>
      </c>
      <c r="H1407" t="s">
        <v>19250</v>
      </c>
      <c r="I1407" t="s">
        <v>18780</v>
      </c>
      <c r="K1407" t="str">
        <f>HYPERLINK("http://tuberculist.epfl.ch/quicksearch.php?gene+name=Rv1367c&amp;submit=Search")</f>
        <v>http://tuberculist.epfl.ch/quicksearch.php?gene+name=Rv1367c&amp;submit=Search</v>
      </c>
    </row>
    <row r="1408" spans="1:11">
      <c r="A1408" t="s">
        <v>7307</v>
      </c>
      <c r="B1408" t="s">
        <v>2412</v>
      </c>
      <c r="C1408" t="s">
        <v>9567</v>
      </c>
      <c r="D1408" t="s">
        <v>9587</v>
      </c>
      <c r="E1408" t="s">
        <v>12800</v>
      </c>
      <c r="F1408" t="s">
        <v>12801</v>
      </c>
      <c r="G1408" t="s">
        <v>19188</v>
      </c>
      <c r="H1408" t="s">
        <v>19678</v>
      </c>
      <c r="I1408" t="s">
        <v>18780</v>
      </c>
      <c r="J1408" t="s">
        <v>18775</v>
      </c>
      <c r="K1408" t="str">
        <f>HYPERLINK("http://tuberculist.epfl.ch/quicksearch.php?gene+name=Rv1368&amp;submit=Search")</f>
        <v>http://tuberculist.epfl.ch/quicksearch.php?gene+name=Rv1368&amp;submit=Search</v>
      </c>
    </row>
    <row r="1409" spans="1:11">
      <c r="A1409" t="s">
        <v>12802</v>
      </c>
      <c r="B1409" t="s">
        <v>12802</v>
      </c>
      <c r="C1409" t="s">
        <v>9567</v>
      </c>
      <c r="D1409" t="s">
        <v>12803</v>
      </c>
      <c r="E1409" t="s">
        <v>11730</v>
      </c>
      <c r="F1409" t="s">
        <v>12804</v>
      </c>
      <c r="G1409" t="s">
        <v>19217</v>
      </c>
      <c r="I1409" t="s">
        <v>18773</v>
      </c>
      <c r="K1409" t="str">
        <f>HYPERLINK("http://tuberculist.epfl.ch/quicksearch.php?gene+name=Rv1369c&amp;submit=Search")</f>
        <v>http://tuberculist.epfl.ch/quicksearch.php?gene+name=Rv1369c&amp;submit=Search</v>
      </c>
    </row>
    <row r="1410" spans="1:11">
      <c r="A1410" t="s">
        <v>12805</v>
      </c>
      <c r="B1410" t="s">
        <v>12805</v>
      </c>
      <c r="C1410" t="s">
        <v>9567</v>
      </c>
      <c r="D1410" t="s">
        <v>12803</v>
      </c>
      <c r="E1410" t="s">
        <v>11447</v>
      </c>
      <c r="F1410" t="s">
        <v>12806</v>
      </c>
      <c r="G1410" t="s">
        <v>19217</v>
      </c>
      <c r="I1410" t="s">
        <v>18773</v>
      </c>
      <c r="K1410" t="str">
        <f>HYPERLINK("http://tuberculist.epfl.ch/quicksearch.php?gene+name=Rv1370c&amp;submit=Search")</f>
        <v>http://tuberculist.epfl.ch/quicksearch.php?gene+name=Rv1370c&amp;submit=Search</v>
      </c>
    </row>
    <row r="1411" spans="1:11">
      <c r="A1411" t="s">
        <v>2106</v>
      </c>
      <c r="B1411" t="s">
        <v>2106</v>
      </c>
      <c r="C1411" t="s">
        <v>9567</v>
      </c>
      <c r="D1411" t="s">
        <v>9587</v>
      </c>
      <c r="E1411" t="s">
        <v>9595</v>
      </c>
      <c r="F1411" t="s">
        <v>12807</v>
      </c>
      <c r="G1411" t="s">
        <v>19188</v>
      </c>
      <c r="H1411" t="s">
        <v>19539</v>
      </c>
      <c r="I1411" t="s">
        <v>18890</v>
      </c>
      <c r="K1411" t="str">
        <f>HYPERLINK("http://tuberculist.epfl.ch/quicksearch.php?gene+name=Rv1371&amp;submit=Search")</f>
        <v>http://tuberculist.epfl.ch/quicksearch.php?gene+name=Rv1371&amp;submit=Search</v>
      </c>
    </row>
    <row r="1412" spans="1:11">
      <c r="A1412" t="s">
        <v>2562</v>
      </c>
      <c r="B1412" t="s">
        <v>2562</v>
      </c>
      <c r="C1412" t="s">
        <v>9567</v>
      </c>
      <c r="D1412" t="s">
        <v>9578</v>
      </c>
      <c r="E1412" t="s">
        <v>9579</v>
      </c>
      <c r="F1412" t="s">
        <v>12808</v>
      </c>
      <c r="G1412" t="s">
        <v>19220</v>
      </c>
      <c r="H1412" t="s">
        <v>19211</v>
      </c>
      <c r="I1412" t="s">
        <v>18779</v>
      </c>
      <c r="K1412" t="str">
        <f>HYPERLINK("http://tuberculist.epfl.ch/quicksearch.php?gene+name=Rv1372&amp;submit=Search")</f>
        <v>http://tuberculist.epfl.ch/quicksearch.php?gene+name=Rv1372&amp;submit=Search</v>
      </c>
    </row>
    <row r="1413" spans="1:11">
      <c r="A1413" t="s">
        <v>765</v>
      </c>
      <c r="B1413" t="s">
        <v>765</v>
      </c>
      <c r="C1413" t="s">
        <v>9567</v>
      </c>
      <c r="D1413" t="s">
        <v>12809</v>
      </c>
      <c r="E1413" t="s">
        <v>12810</v>
      </c>
      <c r="F1413" t="s">
        <v>12811</v>
      </c>
      <c r="G1413" t="s">
        <v>19195</v>
      </c>
      <c r="I1413" t="s">
        <v>18780</v>
      </c>
      <c r="K1413" t="str">
        <f>HYPERLINK("http://tuberculist.epfl.ch/quicksearch.php?gene+name=Rv1373&amp;submit=Search")</f>
        <v>http://tuberculist.epfl.ch/quicksearch.php?gene+name=Rv1373&amp;submit=Search</v>
      </c>
    </row>
    <row r="1414" spans="1:11">
      <c r="A1414" t="s">
        <v>2705</v>
      </c>
      <c r="B1414" t="s">
        <v>2705</v>
      </c>
      <c r="C1414" t="s">
        <v>9567</v>
      </c>
      <c r="D1414" t="s">
        <v>9587</v>
      </c>
      <c r="E1414" t="s">
        <v>9713</v>
      </c>
      <c r="F1414" t="s">
        <v>12812</v>
      </c>
      <c r="G1414" t="s">
        <v>19212</v>
      </c>
      <c r="I1414" t="s">
        <v>18780</v>
      </c>
      <c r="K1414" t="str">
        <f>HYPERLINK("http://tuberculist.epfl.ch/quicksearch.php?gene+name=Rv1374c&amp;submit=Search")</f>
        <v>http://tuberculist.epfl.ch/quicksearch.php?gene+name=Rv1374c&amp;submit=Search</v>
      </c>
    </row>
    <row r="1415" spans="1:11">
      <c r="A1415" t="s">
        <v>2967</v>
      </c>
      <c r="B1415" t="s">
        <v>2967</v>
      </c>
      <c r="C1415" t="s">
        <v>9567</v>
      </c>
      <c r="D1415" t="s">
        <v>9578</v>
      </c>
      <c r="E1415" t="s">
        <v>9579</v>
      </c>
      <c r="F1415" t="s">
        <v>12813</v>
      </c>
      <c r="G1415" t="s">
        <v>19204</v>
      </c>
      <c r="I1415" t="s">
        <v>18780</v>
      </c>
      <c r="K1415" t="str">
        <f>HYPERLINK("http://tuberculist.epfl.ch/quicksearch.php?gene+name=Rv1375&amp;submit=Search")</f>
        <v>http://tuberculist.epfl.ch/quicksearch.php?gene+name=Rv1375&amp;submit=Search</v>
      </c>
    </row>
    <row r="1416" spans="1:11">
      <c r="A1416" t="s">
        <v>804</v>
      </c>
      <c r="B1416" t="s">
        <v>804</v>
      </c>
      <c r="C1416" t="s">
        <v>9567</v>
      </c>
      <c r="D1416" t="s">
        <v>9578</v>
      </c>
      <c r="E1416" t="s">
        <v>9579</v>
      </c>
      <c r="F1416" t="s">
        <v>12814</v>
      </c>
      <c r="G1416" t="s">
        <v>19204</v>
      </c>
      <c r="I1416" t="s">
        <v>18780</v>
      </c>
      <c r="J1416" t="s">
        <v>18832</v>
      </c>
      <c r="K1416" t="str">
        <f>HYPERLINK("http://tuberculist.epfl.ch/quicksearch.php?gene+name=Rv1376&amp;submit=Search")</f>
        <v>http://tuberculist.epfl.ch/quicksearch.php?gene+name=Rv1376&amp;submit=Search</v>
      </c>
    </row>
    <row r="1417" spans="1:11">
      <c r="A1417" t="s">
        <v>1171</v>
      </c>
      <c r="B1417" t="s">
        <v>1171</v>
      </c>
      <c r="C1417" t="s">
        <v>9567</v>
      </c>
      <c r="D1417" t="s">
        <v>12032</v>
      </c>
      <c r="E1417" t="s">
        <v>12815</v>
      </c>
      <c r="F1417" t="s">
        <v>12816</v>
      </c>
      <c r="G1417" t="s">
        <v>19195</v>
      </c>
      <c r="H1417" t="s">
        <v>19227</v>
      </c>
      <c r="I1417" t="s">
        <v>18780</v>
      </c>
      <c r="J1417" t="s">
        <v>18775</v>
      </c>
      <c r="K1417" t="str">
        <f>HYPERLINK("http://tuberculist.epfl.ch/quicksearch.php?gene+name=Rv1377c&amp;submit=Search")</f>
        <v>http://tuberculist.epfl.ch/quicksearch.php?gene+name=Rv1377c&amp;submit=Search</v>
      </c>
    </row>
    <row r="1418" spans="1:11">
      <c r="A1418" t="s">
        <v>2855</v>
      </c>
      <c r="B1418" t="s">
        <v>2855</v>
      </c>
      <c r="C1418" t="s">
        <v>9567</v>
      </c>
      <c r="D1418" t="s">
        <v>9578</v>
      </c>
      <c r="E1418" t="s">
        <v>9579</v>
      </c>
      <c r="F1418" t="s">
        <v>12817</v>
      </c>
      <c r="G1418" t="s">
        <v>19212</v>
      </c>
      <c r="H1418" t="s">
        <v>19263</v>
      </c>
      <c r="I1418" t="s">
        <v>18780</v>
      </c>
      <c r="J1418" t="s">
        <v>18855</v>
      </c>
      <c r="K1418" t="str">
        <f>HYPERLINK("http://tuberculist.epfl.ch/quicksearch.php?gene+name=Rv1378c&amp;submit=Search")</f>
        <v>http://tuberculist.epfl.ch/quicksearch.php?gene+name=Rv1378c&amp;submit=Search</v>
      </c>
    </row>
    <row r="1419" spans="1:11">
      <c r="A1419" t="s">
        <v>4618</v>
      </c>
      <c r="B1419" t="s">
        <v>1067</v>
      </c>
      <c r="C1419" t="s">
        <v>9567</v>
      </c>
      <c r="D1419" t="s">
        <v>12818</v>
      </c>
      <c r="E1419" t="s">
        <v>12819</v>
      </c>
      <c r="F1419" t="s">
        <v>12820</v>
      </c>
      <c r="G1419" t="s">
        <v>19197</v>
      </c>
      <c r="H1419" t="s">
        <v>19213</v>
      </c>
      <c r="I1419" t="s">
        <v>18773</v>
      </c>
      <c r="K1419" t="str">
        <f>HYPERLINK("http://tuberculist.epfl.ch/quicksearch.php?gene+name=Rv1379&amp;submit=Search")</f>
        <v>http://tuberculist.epfl.ch/quicksearch.php?gene+name=Rv1379&amp;submit=Search</v>
      </c>
    </row>
    <row r="1420" spans="1:11">
      <c r="A1420" t="s">
        <v>5827</v>
      </c>
      <c r="B1420" t="s">
        <v>1668</v>
      </c>
      <c r="C1420" t="s">
        <v>9567</v>
      </c>
      <c r="D1420" t="s">
        <v>12821</v>
      </c>
      <c r="E1420" t="s">
        <v>12822</v>
      </c>
      <c r="F1420" t="s">
        <v>12823</v>
      </c>
      <c r="G1420" t="s">
        <v>19195</v>
      </c>
      <c r="H1420" t="s">
        <v>19679</v>
      </c>
      <c r="I1420" t="s">
        <v>18774</v>
      </c>
      <c r="K1420" t="str">
        <f>HYPERLINK("http://tuberculist.epfl.ch/quicksearch.php?gene+name=Rv1380&amp;submit=Search")</f>
        <v>http://tuberculist.epfl.ch/quicksearch.php?gene+name=Rv1380&amp;submit=Search</v>
      </c>
    </row>
    <row r="1421" spans="1:11">
      <c r="A1421" t="s">
        <v>8614</v>
      </c>
      <c r="B1421" t="s">
        <v>3048</v>
      </c>
      <c r="C1421" t="s">
        <v>9567</v>
      </c>
      <c r="D1421" t="s">
        <v>12824</v>
      </c>
      <c r="E1421" t="s">
        <v>12825</v>
      </c>
      <c r="F1421" t="s">
        <v>12826</v>
      </c>
      <c r="G1421" t="s">
        <v>19195</v>
      </c>
      <c r="H1421" t="s">
        <v>19233</v>
      </c>
      <c r="I1421" t="s">
        <v>18774</v>
      </c>
      <c r="K1421" t="str">
        <f>HYPERLINK("http://tuberculist.epfl.ch/quicksearch.php?gene+name=Rv1381&amp;submit=Search")</f>
        <v>http://tuberculist.epfl.ch/quicksearch.php?gene+name=Rv1381&amp;submit=Search</v>
      </c>
    </row>
    <row r="1422" spans="1:11">
      <c r="A1422" t="s">
        <v>12827</v>
      </c>
      <c r="B1422" t="s">
        <v>12827</v>
      </c>
      <c r="C1422" t="s">
        <v>9567</v>
      </c>
      <c r="D1422" t="s">
        <v>9587</v>
      </c>
      <c r="E1422" t="s">
        <v>12828</v>
      </c>
      <c r="F1422" t="s">
        <v>12829</v>
      </c>
      <c r="G1422" t="s">
        <v>19188</v>
      </c>
      <c r="H1422" t="s">
        <v>19680</v>
      </c>
      <c r="I1422" t="s">
        <v>18774</v>
      </c>
      <c r="K1422" t="str">
        <f>HYPERLINK("http://tuberculist.epfl.ch/quicksearch.php?gene+name=Rv1382&amp;submit=Search")</f>
        <v>http://tuberculist.epfl.ch/quicksearch.php?gene+name=Rv1382&amp;submit=Search</v>
      </c>
    </row>
    <row r="1423" spans="1:11">
      <c r="A1423" t="s">
        <v>5098</v>
      </c>
      <c r="B1423" t="s">
        <v>1301</v>
      </c>
      <c r="C1423" t="s">
        <v>9567</v>
      </c>
      <c r="D1423" t="s">
        <v>12830</v>
      </c>
      <c r="E1423" t="s">
        <v>12831</v>
      </c>
      <c r="F1423" t="s">
        <v>12832</v>
      </c>
      <c r="G1423" t="s">
        <v>19195</v>
      </c>
      <c r="H1423" t="s">
        <v>19233</v>
      </c>
      <c r="I1423" t="s">
        <v>18774</v>
      </c>
      <c r="K1423" t="str">
        <f>HYPERLINK("http://tuberculist.epfl.ch/quicksearch.php?gene+name=Rv1383&amp;submit=Search")</f>
        <v>http://tuberculist.epfl.ch/quicksearch.php?gene+name=Rv1383&amp;submit=Search</v>
      </c>
    </row>
    <row r="1424" spans="1:11">
      <c r="A1424" t="s">
        <v>8896</v>
      </c>
      <c r="B1424" t="s">
        <v>3180</v>
      </c>
      <c r="C1424" t="s">
        <v>9567</v>
      </c>
      <c r="D1424" t="s">
        <v>12833</v>
      </c>
      <c r="E1424" t="s">
        <v>12834</v>
      </c>
      <c r="F1424" t="s">
        <v>12835</v>
      </c>
      <c r="G1424" t="s">
        <v>19195</v>
      </c>
      <c r="H1424" t="s">
        <v>19681</v>
      </c>
      <c r="I1424" t="s">
        <v>18776</v>
      </c>
      <c r="K1424" t="str">
        <f>HYPERLINK("http://tuberculist.epfl.ch/quicksearch.php?gene+name=Rv1384&amp;submit=Search")</f>
        <v>http://tuberculist.epfl.ch/quicksearch.php?gene+name=Rv1384&amp;submit=Search</v>
      </c>
    </row>
    <row r="1425" spans="1:11">
      <c r="A1425" t="s">
        <v>12836</v>
      </c>
      <c r="B1425" t="s">
        <v>12837</v>
      </c>
      <c r="C1425" t="s">
        <v>9567</v>
      </c>
      <c r="D1425" t="s">
        <v>12838</v>
      </c>
      <c r="E1425" t="s">
        <v>12839</v>
      </c>
      <c r="F1425" t="s">
        <v>12840</v>
      </c>
      <c r="G1425" t="s">
        <v>19195</v>
      </c>
      <c r="H1425" t="s">
        <v>19233</v>
      </c>
      <c r="I1425" t="s">
        <v>18773</v>
      </c>
      <c r="K1425" t="str">
        <f>HYPERLINK("http://tuberculist.epfl.ch/quicksearch.php?gene+name=Rv1385&amp;submit=Search")</f>
        <v>http://tuberculist.epfl.ch/quicksearch.php?gene+name=Rv1385&amp;submit=Search</v>
      </c>
    </row>
    <row r="1426" spans="1:11">
      <c r="A1426" t="s">
        <v>12841</v>
      </c>
      <c r="B1426" t="s">
        <v>12842</v>
      </c>
      <c r="C1426" t="s">
        <v>9567</v>
      </c>
      <c r="D1426" t="s">
        <v>9578</v>
      </c>
      <c r="E1426" t="s">
        <v>12843</v>
      </c>
      <c r="F1426" t="s">
        <v>12844</v>
      </c>
      <c r="G1426" t="s">
        <v>19553</v>
      </c>
      <c r="H1426" t="s">
        <v>19682</v>
      </c>
      <c r="I1426" t="s">
        <v>18789</v>
      </c>
      <c r="J1426" t="s">
        <v>18822</v>
      </c>
      <c r="K1426" t="str">
        <f>HYPERLINK("http://tuberculist.epfl.ch/quicksearch.php?gene+name=Rv1386&amp;submit=Search")</f>
        <v>http://tuberculist.epfl.ch/quicksearch.php?gene+name=Rv1386&amp;submit=Search</v>
      </c>
    </row>
    <row r="1427" spans="1:11">
      <c r="A1427" t="s">
        <v>4377</v>
      </c>
      <c r="B1427" t="s">
        <v>424</v>
      </c>
      <c r="C1427" t="s">
        <v>9567</v>
      </c>
      <c r="D1427" t="s">
        <v>9578</v>
      </c>
      <c r="E1427" t="s">
        <v>12845</v>
      </c>
      <c r="F1427" t="s">
        <v>12846</v>
      </c>
      <c r="G1427" t="s">
        <v>19253</v>
      </c>
      <c r="H1427" t="s">
        <v>19233</v>
      </c>
      <c r="I1427" t="s">
        <v>18789</v>
      </c>
      <c r="K1427" t="str">
        <f>HYPERLINK("http://tuberculist.epfl.ch/quicksearch.php?gene+name=Rv1387&amp;submit=Search")</f>
        <v>http://tuberculist.epfl.ch/quicksearch.php?gene+name=Rv1387&amp;submit=Search</v>
      </c>
    </row>
    <row r="1428" spans="1:11">
      <c r="A1428" t="s">
        <v>8534</v>
      </c>
      <c r="B1428" t="s">
        <v>3013</v>
      </c>
      <c r="C1428" t="s">
        <v>9567</v>
      </c>
      <c r="D1428" t="s">
        <v>9587</v>
      </c>
      <c r="E1428" t="s">
        <v>12847</v>
      </c>
      <c r="F1428" t="s">
        <v>12848</v>
      </c>
      <c r="G1428" t="s">
        <v>19181</v>
      </c>
      <c r="H1428" t="s">
        <v>19621</v>
      </c>
      <c r="I1428" t="s">
        <v>18800</v>
      </c>
      <c r="K1428" t="str">
        <f>HYPERLINK("http://tuberculist.epfl.ch/quicksearch.php?gene+name=Rv1388&amp;submit=Search")</f>
        <v>http://tuberculist.epfl.ch/quicksearch.php?gene+name=Rv1388&amp;submit=Search</v>
      </c>
    </row>
    <row r="1429" spans="1:11">
      <c r="A1429" t="s">
        <v>4310</v>
      </c>
      <c r="B1429" t="s">
        <v>914</v>
      </c>
      <c r="C1429" t="s">
        <v>9567</v>
      </c>
      <c r="D1429" t="s">
        <v>12849</v>
      </c>
      <c r="E1429" t="s">
        <v>12850</v>
      </c>
      <c r="F1429" t="s">
        <v>12851</v>
      </c>
      <c r="G1429" t="s">
        <v>19195</v>
      </c>
      <c r="H1429" t="s">
        <v>19287</v>
      </c>
      <c r="I1429" t="s">
        <v>18774</v>
      </c>
      <c r="K1429" t="str">
        <f>HYPERLINK("http://tuberculist.epfl.ch/quicksearch.php?gene+name=Rv1389&amp;submit=Search")</f>
        <v>http://tuberculist.epfl.ch/quicksearch.php?gene+name=Rv1389&amp;submit=Search</v>
      </c>
    </row>
    <row r="1430" spans="1:11">
      <c r="A1430" t="s">
        <v>8258</v>
      </c>
      <c r="B1430" t="s">
        <v>2883</v>
      </c>
      <c r="C1430" t="s">
        <v>9567</v>
      </c>
      <c r="D1430" t="s">
        <v>12852</v>
      </c>
      <c r="E1430" t="s">
        <v>12853</v>
      </c>
      <c r="F1430" t="s">
        <v>12854</v>
      </c>
      <c r="G1430" t="s">
        <v>19181</v>
      </c>
      <c r="H1430" t="s">
        <v>19233</v>
      </c>
      <c r="I1430" t="s">
        <v>18774</v>
      </c>
      <c r="K1430" t="str">
        <f>HYPERLINK("http://tuberculist.epfl.ch/quicksearch.php?gene+name=Rv1390&amp;submit=Search")</f>
        <v>http://tuberculist.epfl.ch/quicksearch.php?gene+name=Rv1390&amp;submit=Search</v>
      </c>
    </row>
    <row r="1431" spans="1:11">
      <c r="A1431" t="s">
        <v>8173</v>
      </c>
      <c r="B1431" t="s">
        <v>2842</v>
      </c>
      <c r="C1431" t="s">
        <v>9567</v>
      </c>
      <c r="D1431" t="s">
        <v>12855</v>
      </c>
      <c r="E1431" t="s">
        <v>12856</v>
      </c>
      <c r="F1431" t="s">
        <v>12857</v>
      </c>
      <c r="G1431" t="s">
        <v>19195</v>
      </c>
      <c r="H1431" t="s">
        <v>19250</v>
      </c>
      <c r="I1431" t="s">
        <v>18774</v>
      </c>
      <c r="K1431" t="str">
        <f>HYPERLINK("http://tuberculist.epfl.ch/quicksearch.php?gene+name=Rv1391&amp;submit=Search")</f>
        <v>http://tuberculist.epfl.ch/quicksearch.php?gene+name=Rv1391&amp;submit=Search</v>
      </c>
    </row>
    <row r="1432" spans="1:11">
      <c r="A1432" t="s">
        <v>8176</v>
      </c>
      <c r="B1432" t="s">
        <v>2843</v>
      </c>
      <c r="C1432" t="s">
        <v>9567</v>
      </c>
      <c r="D1432" t="s">
        <v>12858</v>
      </c>
      <c r="E1432" t="s">
        <v>12859</v>
      </c>
      <c r="F1432" t="s">
        <v>12860</v>
      </c>
      <c r="G1432" t="s">
        <v>19195</v>
      </c>
      <c r="H1432" t="s">
        <v>19683</v>
      </c>
      <c r="I1432" t="s">
        <v>18774</v>
      </c>
      <c r="J1432" t="s">
        <v>18832</v>
      </c>
      <c r="K1432" t="str">
        <f>HYPERLINK("http://tuberculist.epfl.ch/quicksearch.php?gene+name=Rv1392&amp;submit=Search")</f>
        <v>http://tuberculist.epfl.ch/quicksearch.php?gene+name=Rv1392&amp;submit=Search</v>
      </c>
    </row>
    <row r="1433" spans="1:11">
      <c r="A1433" t="s">
        <v>760</v>
      </c>
      <c r="B1433" t="s">
        <v>760</v>
      </c>
      <c r="C1433" t="s">
        <v>9567</v>
      </c>
      <c r="D1433" t="s">
        <v>12032</v>
      </c>
      <c r="E1433" t="s">
        <v>12861</v>
      </c>
      <c r="F1433" t="s">
        <v>12862</v>
      </c>
      <c r="G1433" t="s">
        <v>19195</v>
      </c>
      <c r="I1433" t="s">
        <v>18789</v>
      </c>
      <c r="K1433" t="str">
        <f>HYPERLINK("http://tuberculist.epfl.ch/quicksearch.php?gene+name=Rv1393c&amp;submit=Search")</f>
        <v>http://tuberculist.epfl.ch/quicksearch.php?gene+name=Rv1393c&amp;submit=Search</v>
      </c>
    </row>
    <row r="1434" spans="1:11">
      <c r="A1434" t="s">
        <v>4012</v>
      </c>
      <c r="B1434" t="s">
        <v>766</v>
      </c>
      <c r="C1434" t="s">
        <v>9567</v>
      </c>
      <c r="D1434" t="s">
        <v>12863</v>
      </c>
      <c r="E1434" t="s">
        <v>12864</v>
      </c>
      <c r="F1434" t="s">
        <v>12865</v>
      </c>
      <c r="G1434" t="s">
        <v>19195</v>
      </c>
      <c r="I1434" t="s">
        <v>18789</v>
      </c>
      <c r="K1434" t="str">
        <f>HYPERLINK("http://tuberculist.epfl.ch/quicksearch.php?gene+name=Rv1394c&amp;submit=Search")</f>
        <v>http://tuberculist.epfl.ch/quicksearch.php?gene+name=Rv1394c&amp;submit=Search</v>
      </c>
    </row>
    <row r="1435" spans="1:11">
      <c r="A1435" t="s">
        <v>1927</v>
      </c>
      <c r="B1435" t="s">
        <v>1927</v>
      </c>
      <c r="C1435" t="s">
        <v>9567</v>
      </c>
      <c r="D1435" t="s">
        <v>9969</v>
      </c>
      <c r="E1435" t="s">
        <v>11504</v>
      </c>
      <c r="F1435" t="s">
        <v>12866</v>
      </c>
      <c r="G1435" t="s">
        <v>19197</v>
      </c>
      <c r="I1435" t="s">
        <v>18793</v>
      </c>
      <c r="K1435" t="str">
        <f>HYPERLINK("http://tuberculist.epfl.ch/quicksearch.php?gene+name=Rv1395&amp;submit=Search")</f>
        <v>http://tuberculist.epfl.ch/quicksearch.php?gene+name=Rv1395&amp;submit=Search</v>
      </c>
    </row>
    <row r="1436" spans="1:11">
      <c r="A1436" t="s">
        <v>12867</v>
      </c>
      <c r="B1436" t="s">
        <v>12868</v>
      </c>
      <c r="C1436" t="s">
        <v>9567</v>
      </c>
      <c r="D1436" t="s">
        <v>9578</v>
      </c>
      <c r="E1436" t="s">
        <v>12869</v>
      </c>
      <c r="F1436" t="s">
        <v>12870</v>
      </c>
      <c r="G1436" t="s">
        <v>19262</v>
      </c>
      <c r="I1436" t="s">
        <v>18780</v>
      </c>
      <c r="J1436" t="s">
        <v>18839</v>
      </c>
      <c r="K1436" t="str">
        <f>HYPERLINK("http://tuberculist.epfl.ch/quicksearch.php?gene+name=Rv1396c&amp;submit=Search")</f>
        <v>http://tuberculist.epfl.ch/quicksearch.php?gene+name=Rv1396c&amp;submit=Search</v>
      </c>
    </row>
    <row r="1437" spans="1:11">
      <c r="A1437" t="s">
        <v>12871</v>
      </c>
      <c r="B1437" t="s">
        <v>3230</v>
      </c>
      <c r="C1437" t="s">
        <v>9567</v>
      </c>
      <c r="D1437" t="s">
        <v>9587</v>
      </c>
      <c r="E1437" t="s">
        <v>12872</v>
      </c>
      <c r="F1437" t="s">
        <v>12873</v>
      </c>
      <c r="G1437" t="s">
        <v>19206</v>
      </c>
      <c r="H1437" t="s">
        <v>19684</v>
      </c>
      <c r="I1437" t="s">
        <v>18780</v>
      </c>
      <c r="K1437" t="str">
        <f>HYPERLINK("http://tuberculist.epfl.ch/quicksearch.php?gene+name=Rv1397c&amp;submit=Search")</f>
        <v>http://tuberculist.epfl.ch/quicksearch.php?gene+name=Rv1397c&amp;submit=Search</v>
      </c>
    </row>
    <row r="1438" spans="1:11">
      <c r="A1438" t="s">
        <v>12874</v>
      </c>
      <c r="B1438" t="s">
        <v>462</v>
      </c>
      <c r="C1438" t="s">
        <v>9567</v>
      </c>
      <c r="D1438" t="s">
        <v>9587</v>
      </c>
      <c r="E1438" t="s">
        <v>12875</v>
      </c>
      <c r="F1438" t="s">
        <v>12876</v>
      </c>
      <c r="G1438" t="s">
        <v>19206</v>
      </c>
      <c r="H1438" t="s">
        <v>19196</v>
      </c>
      <c r="I1438" t="s">
        <v>18793</v>
      </c>
      <c r="J1438" t="s">
        <v>18965</v>
      </c>
      <c r="K1438" t="str">
        <f>HYPERLINK("http://tuberculist.epfl.ch/quicksearch.php?gene+name=Rv1398c&amp;submit=Search")</f>
        <v>http://tuberculist.epfl.ch/quicksearch.php?gene+name=Rv1398c&amp;submit=Search</v>
      </c>
    </row>
    <row r="1439" spans="1:11">
      <c r="A1439" t="s">
        <v>12877</v>
      </c>
      <c r="B1439" t="s">
        <v>1618</v>
      </c>
      <c r="C1439" t="s">
        <v>9567</v>
      </c>
      <c r="D1439" t="s">
        <v>12287</v>
      </c>
      <c r="E1439" t="s">
        <v>12878</v>
      </c>
      <c r="F1439" t="s">
        <v>12879</v>
      </c>
      <c r="G1439" t="s">
        <v>19195</v>
      </c>
      <c r="H1439" t="s">
        <v>19334</v>
      </c>
      <c r="I1439" t="s">
        <v>18780</v>
      </c>
      <c r="K1439" t="str">
        <f>HYPERLINK("http://tuberculist.epfl.ch/quicksearch.php?gene+name=Rv1399c&amp;submit=Search")</f>
        <v>http://tuberculist.epfl.ch/quicksearch.php?gene+name=Rv1399c&amp;submit=Search</v>
      </c>
    </row>
    <row r="1440" spans="1:11">
      <c r="A1440" t="s">
        <v>6442</v>
      </c>
      <c r="B1440" t="s">
        <v>1971</v>
      </c>
      <c r="C1440" t="s">
        <v>9567</v>
      </c>
      <c r="D1440" t="s">
        <v>12880</v>
      </c>
      <c r="E1440" t="s">
        <v>12881</v>
      </c>
      <c r="F1440" t="s">
        <v>12882</v>
      </c>
      <c r="G1440" t="s">
        <v>19195</v>
      </c>
      <c r="H1440" t="s">
        <v>19334</v>
      </c>
      <c r="I1440" t="s">
        <v>18788</v>
      </c>
      <c r="J1440" t="s">
        <v>18965</v>
      </c>
      <c r="K1440" t="str">
        <f>HYPERLINK("http://tuberculist.epfl.ch/quicksearch.php?gene+name=Rv1400c&amp;submit=Search")</f>
        <v>http://tuberculist.epfl.ch/quicksearch.php?gene+name=Rv1400c&amp;submit=Search</v>
      </c>
    </row>
    <row r="1441" spans="1:11">
      <c r="A1441" t="s">
        <v>2523</v>
      </c>
      <c r="B1441" t="s">
        <v>2523</v>
      </c>
      <c r="C1441" t="s">
        <v>9567</v>
      </c>
      <c r="D1441" t="s">
        <v>9587</v>
      </c>
      <c r="E1441" t="s">
        <v>9590</v>
      </c>
      <c r="F1441" t="s">
        <v>12883</v>
      </c>
      <c r="G1441" t="s">
        <v>19188</v>
      </c>
      <c r="H1441" t="s">
        <v>19221</v>
      </c>
      <c r="I1441" t="s">
        <v>18773</v>
      </c>
      <c r="K1441" t="str">
        <f>HYPERLINK("http://tuberculist.epfl.ch/quicksearch.php?gene+name=Rv1401&amp;submit=Search")</f>
        <v>http://tuberculist.epfl.ch/quicksearch.php?gene+name=Rv1401&amp;submit=Search</v>
      </c>
    </row>
    <row r="1442" spans="1:11">
      <c r="A1442" t="s">
        <v>7048</v>
      </c>
      <c r="B1442" t="s">
        <v>2283</v>
      </c>
      <c r="C1442" t="s">
        <v>9567</v>
      </c>
      <c r="D1442" t="s">
        <v>12884</v>
      </c>
      <c r="E1442" t="s">
        <v>12885</v>
      </c>
      <c r="F1442" t="s">
        <v>12886</v>
      </c>
      <c r="G1442" t="s">
        <v>19181</v>
      </c>
      <c r="H1442" t="s">
        <v>19207</v>
      </c>
      <c r="I1442" t="s">
        <v>18788</v>
      </c>
      <c r="J1442" t="s">
        <v>18832</v>
      </c>
      <c r="K1442" t="str">
        <f>HYPERLINK("http://tuberculist.epfl.ch/quicksearch.php?gene+name=Rv1402&amp;submit=Search")</f>
        <v>http://tuberculist.epfl.ch/quicksearch.php?gene+name=Rv1402&amp;submit=Search</v>
      </c>
    </row>
    <row r="1443" spans="1:11">
      <c r="A1443" t="s">
        <v>2491</v>
      </c>
      <c r="B1443" t="s">
        <v>2491</v>
      </c>
      <c r="C1443" t="s">
        <v>9567</v>
      </c>
      <c r="D1443" t="s">
        <v>10061</v>
      </c>
      <c r="E1443" t="s">
        <v>12887</v>
      </c>
      <c r="F1443" t="s">
        <v>12888</v>
      </c>
      <c r="G1443" t="s">
        <v>19195</v>
      </c>
      <c r="I1443" t="s">
        <v>18966</v>
      </c>
      <c r="K1443" t="str">
        <f>HYPERLINK("http://tuberculist.epfl.ch/quicksearch.php?gene+name=Rv1403c&amp;submit=Search")</f>
        <v>http://tuberculist.epfl.ch/quicksearch.php?gene+name=Rv1403c&amp;submit=Search</v>
      </c>
    </row>
    <row r="1444" spans="1:11">
      <c r="A1444" t="s">
        <v>3360</v>
      </c>
      <c r="B1444" t="s">
        <v>3360</v>
      </c>
      <c r="C1444" t="s">
        <v>9567</v>
      </c>
      <c r="D1444" t="s">
        <v>9969</v>
      </c>
      <c r="E1444" t="s">
        <v>9763</v>
      </c>
      <c r="F1444" t="s">
        <v>12889</v>
      </c>
      <c r="G1444" t="s">
        <v>19197</v>
      </c>
      <c r="H1444" t="s">
        <v>19225</v>
      </c>
      <c r="I1444" t="s">
        <v>18967</v>
      </c>
      <c r="J1444" t="s">
        <v>18852</v>
      </c>
      <c r="K1444" t="str">
        <f>HYPERLINK("http://tuberculist.epfl.ch/quicksearch.php?gene+name=Rv1404&amp;submit=Search")</f>
        <v>http://tuberculist.epfl.ch/quicksearch.php?gene+name=Rv1404&amp;submit=Search</v>
      </c>
    </row>
    <row r="1445" spans="1:11">
      <c r="A1445" t="s">
        <v>226</v>
      </c>
      <c r="B1445" t="s">
        <v>226</v>
      </c>
      <c r="C1445" t="s">
        <v>9567</v>
      </c>
      <c r="D1445" t="s">
        <v>10061</v>
      </c>
      <c r="E1445" t="s">
        <v>12887</v>
      </c>
      <c r="F1445" t="s">
        <v>12890</v>
      </c>
      <c r="G1445" t="s">
        <v>19195</v>
      </c>
      <c r="H1445" t="s">
        <v>19209</v>
      </c>
      <c r="I1445" t="s">
        <v>18968</v>
      </c>
      <c r="K1445" t="str">
        <f>HYPERLINK("http://tuberculist.epfl.ch/quicksearch.php?gene+name=Rv1405c&amp;submit=Search")</f>
        <v>http://tuberculist.epfl.ch/quicksearch.php?gene+name=Rv1405c&amp;submit=Search</v>
      </c>
    </row>
    <row r="1446" spans="1:11">
      <c r="A1446" t="s">
        <v>4118</v>
      </c>
      <c r="B1446" t="s">
        <v>817</v>
      </c>
      <c r="C1446" t="s">
        <v>9567</v>
      </c>
      <c r="D1446" t="s">
        <v>12891</v>
      </c>
      <c r="E1446" t="s">
        <v>12892</v>
      </c>
      <c r="F1446" t="s">
        <v>12893</v>
      </c>
      <c r="G1446" t="s">
        <v>19181</v>
      </c>
      <c r="H1446" t="s">
        <v>19213</v>
      </c>
      <c r="I1446" t="s">
        <v>18774</v>
      </c>
      <c r="K1446" t="str">
        <f>HYPERLINK("http://tuberculist.epfl.ch/quicksearch.php?gene+name=Rv1406&amp;submit=Search")</f>
        <v>http://tuberculist.epfl.ch/quicksearch.php?gene+name=Rv1406&amp;submit=Search</v>
      </c>
    </row>
    <row r="1447" spans="1:11">
      <c r="A1447" t="s">
        <v>6211</v>
      </c>
      <c r="B1447" t="s">
        <v>1862</v>
      </c>
      <c r="C1447" t="s">
        <v>9567</v>
      </c>
      <c r="D1447" t="s">
        <v>9587</v>
      </c>
      <c r="E1447" t="s">
        <v>12894</v>
      </c>
      <c r="F1447" t="s">
        <v>12895</v>
      </c>
      <c r="G1447" t="s">
        <v>19181</v>
      </c>
      <c r="H1447" t="s">
        <v>19205</v>
      </c>
      <c r="I1447" t="s">
        <v>18780</v>
      </c>
      <c r="K1447" t="str">
        <f>HYPERLINK("http://tuberculist.epfl.ch/quicksearch.php?gene+name=Rv1407&amp;submit=Search")</f>
        <v>http://tuberculist.epfl.ch/quicksearch.php?gene+name=Rv1407&amp;submit=Search</v>
      </c>
    </row>
    <row r="1448" spans="1:11">
      <c r="A1448" t="s">
        <v>8572</v>
      </c>
      <c r="B1448" t="s">
        <v>3028</v>
      </c>
      <c r="C1448" t="s">
        <v>9567</v>
      </c>
      <c r="D1448" t="s">
        <v>12896</v>
      </c>
      <c r="E1448" t="s">
        <v>12897</v>
      </c>
      <c r="F1448" t="s">
        <v>12898</v>
      </c>
      <c r="G1448" t="s">
        <v>19195</v>
      </c>
      <c r="I1448" t="s">
        <v>18776</v>
      </c>
      <c r="K1448" t="str">
        <f>HYPERLINK("http://tuberculist.epfl.ch/quicksearch.php?gene+name=Rv1408&amp;submit=Search")</f>
        <v>http://tuberculist.epfl.ch/quicksearch.php?gene+name=Rv1408&amp;submit=Search</v>
      </c>
    </row>
    <row r="1449" spans="1:11">
      <c r="A1449" t="s">
        <v>6274</v>
      </c>
      <c r="B1449" t="s">
        <v>1890</v>
      </c>
      <c r="C1449" t="s">
        <v>9567</v>
      </c>
      <c r="D1449" t="s">
        <v>12899</v>
      </c>
      <c r="E1449" t="s">
        <v>12900</v>
      </c>
      <c r="F1449" t="s">
        <v>12901</v>
      </c>
      <c r="G1449" t="s">
        <v>19195</v>
      </c>
      <c r="H1449" t="s">
        <v>19685</v>
      </c>
      <c r="I1449" t="s">
        <v>18774</v>
      </c>
      <c r="K1449" t="str">
        <f>HYPERLINK("http://tuberculist.epfl.ch/quicksearch.php?gene+name=Rv1409&amp;submit=Search")</f>
        <v>http://tuberculist.epfl.ch/quicksearch.php?gene+name=Rv1409&amp;submit=Search</v>
      </c>
    </row>
    <row r="1450" spans="1:11">
      <c r="A1450" t="s">
        <v>1855</v>
      </c>
      <c r="B1450" t="s">
        <v>1855</v>
      </c>
      <c r="C1450" t="s">
        <v>9567</v>
      </c>
      <c r="D1450" t="s">
        <v>12902</v>
      </c>
      <c r="E1450" t="s">
        <v>12903</v>
      </c>
      <c r="F1450" t="s">
        <v>12904</v>
      </c>
      <c r="G1450" t="s">
        <v>19188</v>
      </c>
      <c r="H1450" t="s">
        <v>19634</v>
      </c>
      <c r="I1450" t="s">
        <v>18944</v>
      </c>
      <c r="K1450" t="str">
        <f>HYPERLINK("http://tuberculist.epfl.ch/quicksearch.php?gene+name=Rv1410c&amp;submit=Search")</f>
        <v>http://tuberculist.epfl.ch/quicksearch.php?gene+name=Rv1410c&amp;submit=Search</v>
      </c>
    </row>
    <row r="1451" spans="1:11">
      <c r="A1451" t="s">
        <v>8052</v>
      </c>
      <c r="B1451" t="s">
        <v>2783</v>
      </c>
      <c r="C1451" t="s">
        <v>9567</v>
      </c>
      <c r="D1451" t="s">
        <v>9587</v>
      </c>
      <c r="E1451" t="s">
        <v>12905</v>
      </c>
      <c r="F1451" t="s">
        <v>12906</v>
      </c>
      <c r="G1451" t="s">
        <v>19188</v>
      </c>
      <c r="H1451" t="s">
        <v>19686</v>
      </c>
      <c r="I1451" t="s">
        <v>18827</v>
      </c>
      <c r="K1451" t="str">
        <f>HYPERLINK("http://tuberculist.epfl.ch/quicksearch.php?gene+name=Rv1411c&amp;submit=Search")</f>
        <v>http://tuberculist.epfl.ch/quicksearch.php?gene+name=Rv1411c&amp;submit=Search</v>
      </c>
    </row>
    <row r="1452" spans="1:11">
      <c r="A1452" t="s">
        <v>8006</v>
      </c>
      <c r="B1452" t="s">
        <v>2763</v>
      </c>
      <c r="C1452" t="s">
        <v>9567</v>
      </c>
      <c r="D1452" t="s">
        <v>12907</v>
      </c>
      <c r="E1452" t="s">
        <v>12908</v>
      </c>
      <c r="F1452" t="s">
        <v>12909</v>
      </c>
      <c r="G1452" t="s">
        <v>19195</v>
      </c>
      <c r="H1452" t="s">
        <v>19227</v>
      </c>
      <c r="I1452" t="s">
        <v>18779</v>
      </c>
      <c r="K1452" t="str">
        <f>HYPERLINK("http://tuberculist.epfl.ch/quicksearch.php?gene+name=Rv1412&amp;submit=Search")</f>
        <v>http://tuberculist.epfl.ch/quicksearch.php?gene+name=Rv1412&amp;submit=Search</v>
      </c>
    </row>
    <row r="1453" spans="1:11">
      <c r="A1453" t="s">
        <v>533</v>
      </c>
      <c r="B1453" t="s">
        <v>533</v>
      </c>
      <c r="C1453" t="s">
        <v>9567</v>
      </c>
      <c r="D1453" t="s">
        <v>9578</v>
      </c>
      <c r="E1453" t="s">
        <v>9579</v>
      </c>
      <c r="F1453" t="s">
        <v>12910</v>
      </c>
      <c r="G1453" t="s">
        <v>19204</v>
      </c>
      <c r="I1453" t="s">
        <v>18780</v>
      </c>
      <c r="K1453" t="str">
        <f>HYPERLINK("http://tuberculist.epfl.ch/quicksearch.php?gene+name=Rv1413&amp;submit=Search")</f>
        <v>http://tuberculist.epfl.ch/quicksearch.php?gene+name=Rv1413&amp;submit=Search</v>
      </c>
    </row>
    <row r="1454" spans="1:11">
      <c r="A1454" t="s">
        <v>12911</v>
      </c>
      <c r="B1454" t="s">
        <v>12911</v>
      </c>
      <c r="C1454" t="s">
        <v>9567</v>
      </c>
      <c r="D1454" t="s">
        <v>9578</v>
      </c>
      <c r="E1454" t="s">
        <v>9579</v>
      </c>
      <c r="F1454" t="s">
        <v>12912</v>
      </c>
      <c r="G1454" t="s">
        <v>19204</v>
      </c>
      <c r="I1454" t="s">
        <v>18779</v>
      </c>
      <c r="K1454" t="str">
        <f>HYPERLINK("http://tuberculist.epfl.ch/quicksearch.php?gene+name=Rv1414&amp;submit=Search")</f>
        <v>http://tuberculist.epfl.ch/quicksearch.php?gene+name=Rv1414&amp;submit=Search</v>
      </c>
    </row>
    <row r="1455" spans="1:11">
      <c r="A1455" t="s">
        <v>8911</v>
      </c>
      <c r="B1455" t="s">
        <v>3186</v>
      </c>
      <c r="C1455" t="s">
        <v>9567</v>
      </c>
      <c r="D1455" t="s">
        <v>12913</v>
      </c>
      <c r="E1455" t="s">
        <v>12914</v>
      </c>
      <c r="F1455" t="s">
        <v>12915</v>
      </c>
      <c r="G1455" t="s">
        <v>19195</v>
      </c>
      <c r="H1455" t="s">
        <v>19276</v>
      </c>
      <c r="I1455" t="s">
        <v>18774</v>
      </c>
      <c r="K1455" t="str">
        <f>HYPERLINK("http://tuberculist.epfl.ch/quicksearch.php?gene+name=Rv1415&amp;submit=Search")</f>
        <v>http://tuberculist.epfl.ch/quicksearch.php?gene+name=Rv1415&amp;submit=Search</v>
      </c>
    </row>
    <row r="1456" spans="1:11">
      <c r="A1456" t="s">
        <v>5830</v>
      </c>
      <c r="B1456" t="s">
        <v>1669</v>
      </c>
      <c r="C1456" t="s">
        <v>9567</v>
      </c>
      <c r="D1456" t="s">
        <v>12916</v>
      </c>
      <c r="E1456" t="s">
        <v>12917</v>
      </c>
      <c r="F1456" t="s">
        <v>12918</v>
      </c>
      <c r="G1456" t="s">
        <v>19195</v>
      </c>
      <c r="H1456" t="s">
        <v>19324</v>
      </c>
      <c r="I1456" t="s">
        <v>18800</v>
      </c>
      <c r="K1456" t="str">
        <f>HYPERLINK("http://tuberculist.epfl.ch/quicksearch.php?gene+name=Rv1416&amp;submit=Search")</f>
        <v>http://tuberculist.epfl.ch/quicksearch.php?gene+name=Rv1416&amp;submit=Search</v>
      </c>
    </row>
    <row r="1457" spans="1:11">
      <c r="A1457" t="s">
        <v>2764</v>
      </c>
      <c r="B1457" t="s">
        <v>2764</v>
      </c>
      <c r="C1457" t="s">
        <v>9567</v>
      </c>
      <c r="D1457" t="s">
        <v>9587</v>
      </c>
      <c r="E1457" t="s">
        <v>9588</v>
      </c>
      <c r="F1457" t="s">
        <v>12919</v>
      </c>
      <c r="G1457" t="s">
        <v>19188</v>
      </c>
      <c r="H1457" t="s">
        <v>19438</v>
      </c>
      <c r="I1457" t="s">
        <v>18773</v>
      </c>
      <c r="K1457" t="str">
        <f>HYPERLINK("http://tuberculist.epfl.ch/quicksearch.php?gene+name=Rv1417&amp;submit=Search")</f>
        <v>http://tuberculist.epfl.ch/quicksearch.php?gene+name=Rv1417&amp;submit=Search</v>
      </c>
    </row>
    <row r="1458" spans="1:11">
      <c r="A1458" t="s">
        <v>6808</v>
      </c>
      <c r="B1458" t="s">
        <v>2165</v>
      </c>
      <c r="C1458" t="s">
        <v>9567</v>
      </c>
      <c r="D1458" t="s">
        <v>9587</v>
      </c>
      <c r="E1458" t="s">
        <v>12920</v>
      </c>
      <c r="F1458" t="s">
        <v>12921</v>
      </c>
      <c r="G1458" t="s">
        <v>19188</v>
      </c>
      <c r="H1458" t="s">
        <v>19192</v>
      </c>
      <c r="I1458" t="s">
        <v>18780</v>
      </c>
      <c r="K1458" t="str">
        <f>HYPERLINK("http://tuberculist.epfl.ch/quicksearch.php?gene+name=Rv1418&amp;submit=Search")</f>
        <v>http://tuberculist.epfl.ch/quicksearch.php?gene+name=Rv1418&amp;submit=Search</v>
      </c>
    </row>
    <row r="1459" spans="1:11">
      <c r="A1459" t="s">
        <v>1645</v>
      </c>
      <c r="B1459" t="s">
        <v>1645</v>
      </c>
      <c r="C1459" t="s">
        <v>9567</v>
      </c>
      <c r="D1459" t="s">
        <v>9587</v>
      </c>
      <c r="E1459" t="s">
        <v>9768</v>
      </c>
      <c r="F1459" t="s">
        <v>12922</v>
      </c>
      <c r="G1459" t="s">
        <v>19204</v>
      </c>
      <c r="H1459" t="s">
        <v>19264</v>
      </c>
      <c r="I1459" t="s">
        <v>18780</v>
      </c>
      <c r="K1459" t="str">
        <f>HYPERLINK("http://tuberculist.epfl.ch/quicksearch.php?gene+name=Rv1419&amp;submit=Search")</f>
        <v>http://tuberculist.epfl.ch/quicksearch.php?gene+name=Rv1419&amp;submit=Search</v>
      </c>
    </row>
    <row r="1460" spans="1:11">
      <c r="A1460" t="s">
        <v>7524</v>
      </c>
      <c r="B1460" t="s">
        <v>2515</v>
      </c>
      <c r="C1460" t="s">
        <v>9567</v>
      </c>
      <c r="D1460" t="s">
        <v>12923</v>
      </c>
      <c r="E1460" t="s">
        <v>12924</v>
      </c>
      <c r="F1460" t="s">
        <v>12925</v>
      </c>
      <c r="G1460" t="s">
        <v>19181</v>
      </c>
      <c r="H1460" t="s">
        <v>19562</v>
      </c>
      <c r="I1460" t="s">
        <v>18969</v>
      </c>
      <c r="K1460" t="str">
        <f>HYPERLINK("http://tuberculist.epfl.ch/quicksearch.php?gene+name=Rv1420&amp;submit=Search")</f>
        <v>http://tuberculist.epfl.ch/quicksearch.php?gene+name=Rv1420&amp;submit=Search</v>
      </c>
    </row>
    <row r="1461" spans="1:11">
      <c r="A1461" t="s">
        <v>1592</v>
      </c>
      <c r="B1461" t="s">
        <v>1592</v>
      </c>
      <c r="C1461" t="s">
        <v>9567</v>
      </c>
      <c r="D1461" t="s">
        <v>9578</v>
      </c>
      <c r="E1461" t="s">
        <v>9665</v>
      </c>
      <c r="F1461" t="s">
        <v>12926</v>
      </c>
      <c r="G1461" t="s">
        <v>19204</v>
      </c>
      <c r="H1461" t="s">
        <v>19305</v>
      </c>
      <c r="I1461" t="s">
        <v>18779</v>
      </c>
      <c r="K1461" t="str">
        <f>HYPERLINK("http://tuberculist.epfl.ch/quicksearch.php?gene+name=Rv1421&amp;submit=Search")</f>
        <v>http://tuberculist.epfl.ch/quicksearch.php?gene+name=Rv1421&amp;submit=Search</v>
      </c>
    </row>
    <row r="1462" spans="1:11">
      <c r="A1462" t="s">
        <v>3324</v>
      </c>
      <c r="B1462" t="s">
        <v>3324</v>
      </c>
      <c r="C1462" t="s">
        <v>9567</v>
      </c>
      <c r="D1462" t="s">
        <v>9578</v>
      </c>
      <c r="E1462" t="s">
        <v>9579</v>
      </c>
      <c r="F1462" t="s">
        <v>12927</v>
      </c>
      <c r="G1462" t="s">
        <v>19204</v>
      </c>
      <c r="H1462" t="s">
        <v>19214</v>
      </c>
      <c r="I1462" t="s">
        <v>18853</v>
      </c>
      <c r="K1462" t="str">
        <f>HYPERLINK("http://tuberculist.epfl.ch/quicksearch.php?gene+name=Rv1422&amp;submit=Search")</f>
        <v>http://tuberculist.epfl.ch/quicksearch.php?gene+name=Rv1422&amp;submit=Search</v>
      </c>
    </row>
    <row r="1463" spans="1:11">
      <c r="A1463" t="s">
        <v>7541</v>
      </c>
      <c r="B1463" t="s">
        <v>2524</v>
      </c>
      <c r="C1463" t="s">
        <v>9567</v>
      </c>
      <c r="D1463" t="s">
        <v>9969</v>
      </c>
      <c r="E1463" t="s">
        <v>12928</v>
      </c>
      <c r="F1463" t="s">
        <v>12929</v>
      </c>
      <c r="G1463" t="s">
        <v>19197</v>
      </c>
      <c r="H1463" t="s">
        <v>19687</v>
      </c>
      <c r="I1463" t="s">
        <v>18788</v>
      </c>
      <c r="K1463" t="str">
        <f>HYPERLINK("http://tuberculist.epfl.ch/quicksearch.php?gene+name=Rv1423&amp;submit=Search")</f>
        <v>http://tuberculist.epfl.ch/quicksearch.php?gene+name=Rv1423&amp;submit=Search</v>
      </c>
    </row>
    <row r="1464" spans="1:11">
      <c r="A1464" t="s">
        <v>776</v>
      </c>
      <c r="B1464" t="s">
        <v>776</v>
      </c>
      <c r="C1464" t="s">
        <v>9567</v>
      </c>
      <c r="D1464" t="s">
        <v>9587</v>
      </c>
      <c r="E1464" t="s">
        <v>9590</v>
      </c>
      <c r="F1464" t="s">
        <v>12930</v>
      </c>
      <c r="G1464" t="s">
        <v>19188</v>
      </c>
      <c r="H1464" t="s">
        <v>19305</v>
      </c>
      <c r="I1464" t="s">
        <v>18779</v>
      </c>
      <c r="K1464" t="str">
        <f>HYPERLINK("http://tuberculist.epfl.ch/quicksearch.php?gene+name=Rv1424c&amp;submit=Search")</f>
        <v>http://tuberculist.epfl.ch/quicksearch.php?gene+name=Rv1424c&amp;submit=Search</v>
      </c>
    </row>
    <row r="1465" spans="1:11">
      <c r="A1465" t="s">
        <v>1339</v>
      </c>
      <c r="B1465" t="s">
        <v>1339</v>
      </c>
      <c r="C1465" t="s">
        <v>9567</v>
      </c>
      <c r="D1465" t="s">
        <v>10087</v>
      </c>
      <c r="E1465" t="s">
        <v>10088</v>
      </c>
      <c r="F1465" t="s">
        <v>12931</v>
      </c>
      <c r="G1465" t="s">
        <v>19219</v>
      </c>
      <c r="H1465" t="s">
        <v>19250</v>
      </c>
      <c r="I1465" t="s">
        <v>18780</v>
      </c>
      <c r="K1465" t="str">
        <f>HYPERLINK("http://tuberculist.epfl.ch/quicksearch.php?gene+name=Rv1425&amp;submit=Search")</f>
        <v>http://tuberculist.epfl.ch/quicksearch.php?gene+name=Rv1425&amp;submit=Search</v>
      </c>
    </row>
    <row r="1466" spans="1:11">
      <c r="A1466" t="s">
        <v>8852</v>
      </c>
      <c r="B1466" t="s">
        <v>3159</v>
      </c>
      <c r="C1466" t="s">
        <v>9567</v>
      </c>
      <c r="D1466" t="s">
        <v>12287</v>
      </c>
      <c r="E1466" t="s">
        <v>12932</v>
      </c>
      <c r="F1466" t="s">
        <v>12933</v>
      </c>
      <c r="G1466" t="s">
        <v>19195</v>
      </c>
      <c r="H1466" t="s">
        <v>19207</v>
      </c>
      <c r="I1466" t="s">
        <v>18970</v>
      </c>
      <c r="J1466" t="s">
        <v>18820</v>
      </c>
      <c r="K1466" t="str">
        <f>HYPERLINK("http://tuberculist.epfl.ch/quicksearch.php?gene+name=Rv1426c&amp;submit=Search")</f>
        <v>http://tuberculist.epfl.ch/quicksearch.php?gene+name=Rv1426c&amp;submit=Search</v>
      </c>
    </row>
    <row r="1467" spans="1:11">
      <c r="A1467" t="s">
        <v>8776</v>
      </c>
      <c r="B1467" t="s">
        <v>3127</v>
      </c>
      <c r="C1467" t="s">
        <v>9567</v>
      </c>
      <c r="D1467" t="s">
        <v>12417</v>
      </c>
      <c r="E1467" t="s">
        <v>12934</v>
      </c>
      <c r="F1467" t="s">
        <v>12935</v>
      </c>
      <c r="G1467" t="s">
        <v>19219</v>
      </c>
      <c r="H1467" t="s">
        <v>19213</v>
      </c>
      <c r="I1467" t="s">
        <v>18793</v>
      </c>
      <c r="J1467" t="s">
        <v>18820</v>
      </c>
      <c r="K1467" t="str">
        <f>HYPERLINK("http://tuberculist.epfl.ch/quicksearch.php?gene+name=Rv1427c&amp;submit=Search")</f>
        <v>http://tuberculist.epfl.ch/quicksearch.php?gene+name=Rv1427c&amp;submit=Search</v>
      </c>
    </row>
    <row r="1468" spans="1:11">
      <c r="A1468" t="s">
        <v>2169</v>
      </c>
      <c r="B1468" t="s">
        <v>2169</v>
      </c>
      <c r="C1468" t="s">
        <v>9567</v>
      </c>
      <c r="D1468" t="s">
        <v>9578</v>
      </c>
      <c r="E1468" t="s">
        <v>9579</v>
      </c>
      <c r="F1468" t="s">
        <v>12936</v>
      </c>
      <c r="G1468" t="s">
        <v>19204</v>
      </c>
      <c r="H1468" t="s">
        <v>19316</v>
      </c>
      <c r="I1468" t="s">
        <v>18836</v>
      </c>
      <c r="J1468" t="s">
        <v>18820</v>
      </c>
      <c r="K1468" t="str">
        <f>HYPERLINK("http://tuberculist.epfl.ch/quicksearch.php?gene+name=Rv1428c&amp;submit=Search")</f>
        <v>http://tuberculist.epfl.ch/quicksearch.php?gene+name=Rv1428c&amp;submit=Search</v>
      </c>
    </row>
    <row r="1469" spans="1:11">
      <c r="A1469" t="s">
        <v>1824</v>
      </c>
      <c r="B1469" t="s">
        <v>1824</v>
      </c>
      <c r="C1469" t="s">
        <v>9567</v>
      </c>
      <c r="D1469" t="s">
        <v>9578</v>
      </c>
      <c r="E1469" t="s">
        <v>9665</v>
      </c>
      <c r="F1469" t="s">
        <v>12937</v>
      </c>
      <c r="G1469" t="s">
        <v>19212</v>
      </c>
      <c r="H1469" t="s">
        <v>19250</v>
      </c>
      <c r="I1469" t="s">
        <v>18780</v>
      </c>
      <c r="K1469" t="str">
        <f>HYPERLINK("http://tuberculist.epfl.ch/quicksearch.php?gene+name=Rv1429&amp;submit=Search")</f>
        <v>http://tuberculist.epfl.ch/quicksearch.php?gene+name=Rv1429&amp;submit=Search</v>
      </c>
    </row>
    <row r="1470" spans="1:11">
      <c r="A1470" t="s">
        <v>8097</v>
      </c>
      <c r="B1470" t="s">
        <v>2804</v>
      </c>
      <c r="C1470" t="s">
        <v>9567</v>
      </c>
      <c r="D1470" t="s">
        <v>9578</v>
      </c>
      <c r="E1470" t="s">
        <v>12938</v>
      </c>
      <c r="F1470" t="s">
        <v>12939</v>
      </c>
      <c r="G1470" t="s">
        <v>19553</v>
      </c>
      <c r="I1470" t="s">
        <v>18789</v>
      </c>
      <c r="K1470" t="str">
        <f>HYPERLINK("http://tuberculist.epfl.ch/quicksearch.php?gene+name=Rv1430&amp;submit=Search")</f>
        <v>http://tuberculist.epfl.ch/quicksearch.php?gene+name=Rv1430&amp;submit=Search</v>
      </c>
    </row>
    <row r="1471" spans="1:11">
      <c r="A1471" t="s">
        <v>785</v>
      </c>
      <c r="B1471" t="s">
        <v>785</v>
      </c>
      <c r="C1471" t="s">
        <v>9567</v>
      </c>
      <c r="D1471" t="s">
        <v>9587</v>
      </c>
      <c r="E1471" t="s">
        <v>11913</v>
      </c>
      <c r="F1471" t="s">
        <v>12940</v>
      </c>
      <c r="G1471" t="s">
        <v>19188</v>
      </c>
      <c r="H1471" t="s">
        <v>19272</v>
      </c>
      <c r="I1471" t="s">
        <v>18792</v>
      </c>
      <c r="K1471" t="str">
        <f>HYPERLINK("http://tuberculist.epfl.ch/quicksearch.php?gene+name=Rv1431&amp;submit=Search")</f>
        <v>http://tuberculist.epfl.ch/quicksearch.php?gene+name=Rv1431&amp;submit=Search</v>
      </c>
    </row>
    <row r="1472" spans="1:11">
      <c r="A1472" t="s">
        <v>1436</v>
      </c>
      <c r="B1472" t="s">
        <v>1436</v>
      </c>
      <c r="C1472" t="s">
        <v>9567</v>
      </c>
      <c r="D1472" t="s">
        <v>12032</v>
      </c>
      <c r="E1472" t="s">
        <v>11202</v>
      </c>
      <c r="F1472" t="s">
        <v>12941</v>
      </c>
      <c r="G1472" t="s">
        <v>19195</v>
      </c>
      <c r="I1472" t="s">
        <v>18971</v>
      </c>
      <c r="K1472" t="str">
        <f>HYPERLINK("http://tuberculist.epfl.ch/quicksearch.php?gene+name=Rv1432&amp;submit=Search")</f>
        <v>http://tuberculist.epfl.ch/quicksearch.php?gene+name=Rv1432&amp;submit=Search</v>
      </c>
    </row>
    <row r="1473" spans="1:11">
      <c r="A1473" t="s">
        <v>2710</v>
      </c>
      <c r="B1473" t="s">
        <v>2710</v>
      </c>
      <c r="C1473" t="s">
        <v>9567</v>
      </c>
      <c r="D1473" t="s">
        <v>9587</v>
      </c>
      <c r="E1473" t="s">
        <v>10288</v>
      </c>
      <c r="F1473" t="s">
        <v>12942</v>
      </c>
      <c r="G1473" t="s">
        <v>19188</v>
      </c>
      <c r="I1473" t="s">
        <v>18789</v>
      </c>
      <c r="J1473" t="s">
        <v>18809</v>
      </c>
      <c r="K1473" t="str">
        <f>HYPERLINK("http://tuberculist.epfl.ch/quicksearch.php?gene+name=Rv1433&amp;submit=Search")</f>
        <v>http://tuberculist.epfl.ch/quicksearch.php?gene+name=Rv1433&amp;submit=Search</v>
      </c>
    </row>
    <row r="1474" spans="1:11">
      <c r="A1474" t="s">
        <v>12943</v>
      </c>
      <c r="B1474" t="s">
        <v>12943</v>
      </c>
      <c r="C1474" t="s">
        <v>9567</v>
      </c>
      <c r="D1474" t="s">
        <v>9587</v>
      </c>
      <c r="E1474" t="s">
        <v>9713</v>
      </c>
      <c r="F1474" t="s">
        <v>12944</v>
      </c>
      <c r="G1474" t="s">
        <v>19212</v>
      </c>
      <c r="I1474" t="s">
        <v>18779</v>
      </c>
      <c r="K1474" t="str">
        <f>HYPERLINK("http://tuberculist.epfl.ch/quicksearch.php?gene+name=Rv1434&amp;submit=Search")</f>
        <v>http://tuberculist.epfl.ch/quicksearch.php?gene+name=Rv1434&amp;submit=Search</v>
      </c>
    </row>
    <row r="1475" spans="1:11">
      <c r="A1475" t="s">
        <v>659</v>
      </c>
      <c r="B1475" t="s">
        <v>659</v>
      </c>
      <c r="C1475" t="s">
        <v>9567</v>
      </c>
      <c r="D1475" t="s">
        <v>9587</v>
      </c>
      <c r="E1475" t="s">
        <v>12945</v>
      </c>
      <c r="F1475" t="s">
        <v>12946</v>
      </c>
      <c r="G1475" t="s">
        <v>19188</v>
      </c>
      <c r="H1475" t="s">
        <v>19688</v>
      </c>
      <c r="I1475" t="s">
        <v>18779</v>
      </c>
      <c r="J1475" t="s">
        <v>18775</v>
      </c>
      <c r="K1475" t="str">
        <f>HYPERLINK("http://tuberculist.epfl.ch/quicksearch.php?gene+name=Rv1435c&amp;submit=Search")</f>
        <v>http://tuberculist.epfl.ch/quicksearch.php?gene+name=Rv1435c&amp;submit=Search</v>
      </c>
    </row>
    <row r="1476" spans="1:11">
      <c r="A1476" t="s">
        <v>3880</v>
      </c>
      <c r="B1476" t="s">
        <v>694</v>
      </c>
      <c r="C1476" t="s">
        <v>9567</v>
      </c>
      <c r="D1476" t="s">
        <v>12947</v>
      </c>
      <c r="E1476" t="s">
        <v>12948</v>
      </c>
      <c r="F1476" t="s">
        <v>12949</v>
      </c>
      <c r="G1476" t="s">
        <v>19195</v>
      </c>
      <c r="H1476" t="s">
        <v>19689</v>
      </c>
      <c r="I1476" t="s">
        <v>18774</v>
      </c>
      <c r="K1476" t="str">
        <f>HYPERLINK("http://tuberculist.epfl.ch/quicksearch.php?gene+name=Rv1436&amp;submit=Search")</f>
        <v>http://tuberculist.epfl.ch/quicksearch.php?gene+name=Rv1436&amp;submit=Search</v>
      </c>
    </row>
    <row r="1477" spans="1:11">
      <c r="A1477" t="s">
        <v>9172</v>
      </c>
      <c r="B1477" t="s">
        <v>3311</v>
      </c>
      <c r="C1477" t="s">
        <v>9567</v>
      </c>
      <c r="D1477" t="s">
        <v>12950</v>
      </c>
      <c r="E1477" t="s">
        <v>12951</v>
      </c>
      <c r="F1477" t="s">
        <v>12952</v>
      </c>
      <c r="G1477" t="s">
        <v>19195</v>
      </c>
      <c r="H1477" t="s">
        <v>19690</v>
      </c>
      <c r="I1477" t="s">
        <v>18774</v>
      </c>
      <c r="K1477" t="str">
        <f>HYPERLINK("http://tuberculist.epfl.ch/quicksearch.php?gene+name=Rv1437&amp;submit=Search")</f>
        <v>http://tuberculist.epfl.ch/quicksearch.php?gene+name=Rv1437&amp;submit=Search</v>
      </c>
    </row>
    <row r="1478" spans="1:11">
      <c r="A1478" t="s">
        <v>12953</v>
      </c>
      <c r="B1478" t="s">
        <v>2748</v>
      </c>
      <c r="C1478" t="s">
        <v>9567</v>
      </c>
      <c r="D1478" t="s">
        <v>12954</v>
      </c>
      <c r="E1478" t="s">
        <v>12955</v>
      </c>
      <c r="F1478" t="s">
        <v>12956</v>
      </c>
      <c r="G1478" t="s">
        <v>19195</v>
      </c>
      <c r="H1478" t="s">
        <v>19691</v>
      </c>
      <c r="I1478" t="s">
        <v>18774</v>
      </c>
      <c r="K1478" t="str">
        <f>HYPERLINK("http://tuberculist.epfl.ch/quicksearch.php?gene+name=Rv1438&amp;submit=Search")</f>
        <v>http://tuberculist.epfl.ch/quicksearch.php?gene+name=Rv1438&amp;submit=Search</v>
      </c>
    </row>
    <row r="1479" spans="1:11">
      <c r="A1479" t="s">
        <v>2467</v>
      </c>
      <c r="B1479" t="s">
        <v>2467</v>
      </c>
      <c r="C1479" t="s">
        <v>9567</v>
      </c>
      <c r="D1479" t="s">
        <v>9587</v>
      </c>
      <c r="E1479" t="s">
        <v>9768</v>
      </c>
      <c r="F1479" t="s">
        <v>12957</v>
      </c>
      <c r="G1479" t="s">
        <v>19212</v>
      </c>
      <c r="H1479" t="s">
        <v>19233</v>
      </c>
      <c r="I1479" t="s">
        <v>18789</v>
      </c>
      <c r="K1479" t="str">
        <f>HYPERLINK("http://tuberculist.epfl.ch/quicksearch.php?gene+name=Rv1439c&amp;submit=Search")</f>
        <v>http://tuberculist.epfl.ch/quicksearch.php?gene+name=Rv1439c&amp;submit=Search</v>
      </c>
    </row>
    <row r="1480" spans="1:11">
      <c r="A1480" t="s">
        <v>5731</v>
      </c>
      <c r="B1480" t="s">
        <v>1627</v>
      </c>
      <c r="C1480" t="s">
        <v>9567</v>
      </c>
      <c r="D1480" t="s">
        <v>12958</v>
      </c>
      <c r="E1480" t="s">
        <v>12959</v>
      </c>
      <c r="F1480" t="s">
        <v>12960</v>
      </c>
      <c r="G1480" t="s">
        <v>19188</v>
      </c>
      <c r="I1480" t="s">
        <v>18779</v>
      </c>
      <c r="K1480" t="str">
        <f>HYPERLINK("http://tuberculist.epfl.ch/quicksearch.php?gene+name=Rv1440&amp;submit=Search")</f>
        <v>http://tuberculist.epfl.ch/quicksearch.php?gene+name=Rv1440&amp;submit=Search</v>
      </c>
    </row>
    <row r="1481" spans="1:11">
      <c r="A1481" t="s">
        <v>8014</v>
      </c>
      <c r="B1481" t="s">
        <v>2767</v>
      </c>
      <c r="C1481" t="s">
        <v>9567</v>
      </c>
      <c r="D1481" t="s">
        <v>9578</v>
      </c>
      <c r="E1481" t="s">
        <v>12961</v>
      </c>
      <c r="F1481" t="s">
        <v>12962</v>
      </c>
      <c r="G1481" t="s">
        <v>19262</v>
      </c>
      <c r="I1481" t="s">
        <v>18780</v>
      </c>
      <c r="K1481" t="str">
        <f>HYPERLINK("http://tuberculist.epfl.ch/quicksearch.php?gene+name=Rv1441c&amp;submit=Search")</f>
        <v>http://tuberculist.epfl.ch/quicksearch.php?gene+name=Rv1441c&amp;submit=Search</v>
      </c>
    </row>
    <row r="1482" spans="1:11">
      <c r="A1482" t="s">
        <v>7191</v>
      </c>
      <c r="B1482" t="s">
        <v>2357</v>
      </c>
      <c r="C1482" t="s">
        <v>9567</v>
      </c>
      <c r="D1482" t="s">
        <v>12963</v>
      </c>
      <c r="E1482" t="s">
        <v>12964</v>
      </c>
      <c r="F1482" t="s">
        <v>12965</v>
      </c>
      <c r="G1482" t="s">
        <v>19195</v>
      </c>
      <c r="I1482" t="s">
        <v>18789</v>
      </c>
      <c r="K1482" t="str">
        <f>HYPERLINK("http://tuberculist.epfl.ch/quicksearch.php?gene+name=Rv1442&amp;submit=Search")</f>
        <v>http://tuberculist.epfl.ch/quicksearch.php?gene+name=Rv1442&amp;submit=Search</v>
      </c>
    </row>
    <row r="1483" spans="1:11">
      <c r="A1483" t="s">
        <v>786</v>
      </c>
      <c r="B1483" t="s">
        <v>786</v>
      </c>
      <c r="C1483" t="s">
        <v>9567</v>
      </c>
      <c r="D1483" t="s">
        <v>9587</v>
      </c>
      <c r="E1483" t="s">
        <v>9768</v>
      </c>
      <c r="F1483" t="s">
        <v>12966</v>
      </c>
      <c r="G1483" t="s">
        <v>19212</v>
      </c>
      <c r="H1483" t="s">
        <v>19401</v>
      </c>
      <c r="I1483" t="s">
        <v>18779</v>
      </c>
      <c r="K1483" t="str">
        <f>HYPERLINK("http://tuberculist.epfl.ch/quicksearch.php?gene+name=Rv1443c&amp;submit=Search")</f>
        <v>http://tuberculist.epfl.ch/quicksearch.php?gene+name=Rv1443c&amp;submit=Search</v>
      </c>
    </row>
    <row r="1484" spans="1:11">
      <c r="A1484" t="s">
        <v>2765</v>
      </c>
      <c r="B1484" t="s">
        <v>2765</v>
      </c>
      <c r="C1484" t="s">
        <v>9567</v>
      </c>
      <c r="D1484" t="s">
        <v>9587</v>
      </c>
      <c r="E1484" t="s">
        <v>9768</v>
      </c>
      <c r="F1484" t="s">
        <v>12967</v>
      </c>
      <c r="G1484" t="s">
        <v>19204</v>
      </c>
      <c r="H1484" t="s">
        <v>19233</v>
      </c>
      <c r="I1484" t="s">
        <v>18789</v>
      </c>
      <c r="K1484" t="str">
        <f>HYPERLINK("http://tuberculist.epfl.ch/quicksearch.php?gene+name=Rv1444c&amp;submit=Search")</f>
        <v>http://tuberculist.epfl.ch/quicksearch.php?gene+name=Rv1444c&amp;submit=Search</v>
      </c>
    </row>
    <row r="1485" spans="1:11">
      <c r="A1485" t="s">
        <v>8066</v>
      </c>
      <c r="B1485" t="s">
        <v>2790</v>
      </c>
      <c r="C1485" t="s">
        <v>9567</v>
      </c>
      <c r="D1485" t="s">
        <v>12968</v>
      </c>
      <c r="E1485" t="s">
        <v>12969</v>
      </c>
      <c r="F1485" t="s">
        <v>12970</v>
      </c>
      <c r="G1485" t="s">
        <v>19195</v>
      </c>
      <c r="H1485" t="s">
        <v>19459</v>
      </c>
      <c r="I1485" t="s">
        <v>18779</v>
      </c>
      <c r="K1485" t="str">
        <f>HYPERLINK("http://tuberculist.epfl.ch/quicksearch.php?gene+name=Rv1445c&amp;submit=Search")</f>
        <v>http://tuberculist.epfl.ch/quicksearch.php?gene+name=Rv1445c&amp;submit=Search</v>
      </c>
    </row>
    <row r="1486" spans="1:11">
      <c r="A1486" t="s">
        <v>6820</v>
      </c>
      <c r="B1486" t="s">
        <v>2170</v>
      </c>
      <c r="C1486" t="s">
        <v>9567</v>
      </c>
      <c r="D1486" t="s">
        <v>12971</v>
      </c>
      <c r="E1486" t="s">
        <v>12972</v>
      </c>
      <c r="F1486" t="s">
        <v>12973</v>
      </c>
      <c r="G1486" t="s">
        <v>19195</v>
      </c>
      <c r="H1486" t="s">
        <v>19692</v>
      </c>
      <c r="I1486" t="s">
        <v>18858</v>
      </c>
      <c r="K1486" t="str">
        <f>HYPERLINK("http://tuberculist.epfl.ch/quicksearch.php?gene+name=Rv1446c&amp;submit=Search")</f>
        <v>http://tuberculist.epfl.ch/quicksearch.php?gene+name=Rv1446c&amp;submit=Search</v>
      </c>
    </row>
    <row r="1487" spans="1:11">
      <c r="A1487" t="s">
        <v>6173</v>
      </c>
      <c r="B1487" t="s">
        <v>1846</v>
      </c>
      <c r="C1487" t="s">
        <v>9567</v>
      </c>
      <c r="D1487" t="s">
        <v>12974</v>
      </c>
      <c r="E1487" t="s">
        <v>12975</v>
      </c>
      <c r="F1487" t="s">
        <v>12976</v>
      </c>
      <c r="G1487" t="s">
        <v>19195</v>
      </c>
      <c r="H1487" t="s">
        <v>19256</v>
      </c>
      <c r="I1487" t="s">
        <v>18779</v>
      </c>
      <c r="K1487" t="str">
        <f>HYPERLINK("http://tuberculist.epfl.ch/quicksearch.php?gene+name=Rv1447c&amp;submit=Search")</f>
        <v>http://tuberculist.epfl.ch/quicksearch.php?gene+name=Rv1447c&amp;submit=Search</v>
      </c>
    </row>
    <row r="1488" spans="1:11">
      <c r="A1488" t="s">
        <v>5211</v>
      </c>
      <c r="B1488" t="s">
        <v>1355</v>
      </c>
      <c r="C1488" t="s">
        <v>9567</v>
      </c>
      <c r="D1488" t="s">
        <v>12977</v>
      </c>
      <c r="E1488" t="s">
        <v>12978</v>
      </c>
      <c r="F1488" t="s">
        <v>12979</v>
      </c>
      <c r="G1488" t="s">
        <v>19195</v>
      </c>
      <c r="H1488" t="s">
        <v>19693</v>
      </c>
      <c r="I1488" t="s">
        <v>18800</v>
      </c>
      <c r="K1488" t="str">
        <f>HYPERLINK("http://tuberculist.epfl.ch/quicksearch.php?gene+name=Rv1448c&amp;submit=Search")</f>
        <v>http://tuberculist.epfl.ch/quicksearch.php?gene+name=Rv1448c&amp;submit=Search</v>
      </c>
    </row>
    <row r="1489" spans="1:11">
      <c r="A1489" t="s">
        <v>8086</v>
      </c>
      <c r="B1489" t="s">
        <v>2799</v>
      </c>
      <c r="C1489" t="s">
        <v>9567</v>
      </c>
      <c r="D1489" t="s">
        <v>12980</v>
      </c>
      <c r="E1489" t="s">
        <v>12981</v>
      </c>
      <c r="F1489" t="s">
        <v>12982</v>
      </c>
      <c r="G1489" t="s">
        <v>19195</v>
      </c>
      <c r="H1489" t="s">
        <v>19694</v>
      </c>
      <c r="I1489" t="s">
        <v>18774</v>
      </c>
      <c r="J1489" t="s">
        <v>18839</v>
      </c>
      <c r="K1489" t="str">
        <f>HYPERLINK("http://tuberculist.epfl.ch/quicksearch.php?gene+name=Rv1449c&amp;submit=Search")</f>
        <v>http://tuberculist.epfl.ch/quicksearch.php?gene+name=Rv1449c&amp;submit=Search</v>
      </c>
    </row>
    <row r="1490" spans="1:11">
      <c r="A1490" t="s">
        <v>12983</v>
      </c>
      <c r="B1490" t="s">
        <v>12984</v>
      </c>
      <c r="C1490" t="s">
        <v>9567</v>
      </c>
      <c r="D1490" t="s">
        <v>9578</v>
      </c>
      <c r="E1490" t="s">
        <v>12985</v>
      </c>
      <c r="F1490" t="s">
        <v>12986</v>
      </c>
      <c r="G1490" t="s">
        <v>19262</v>
      </c>
      <c r="I1490" t="s">
        <v>18773</v>
      </c>
      <c r="K1490" t="str">
        <f>HYPERLINK("http://tuberculist.epfl.ch/quicksearch.php?gene+name=Rv1450c&amp;submit=Search")</f>
        <v>http://tuberculist.epfl.ch/quicksearch.php?gene+name=Rv1450c&amp;submit=Search</v>
      </c>
    </row>
    <row r="1491" spans="1:11">
      <c r="A1491" t="s">
        <v>7577</v>
      </c>
      <c r="B1491" t="s">
        <v>2542</v>
      </c>
      <c r="C1491" t="s">
        <v>9567</v>
      </c>
      <c r="D1491" t="s">
        <v>12987</v>
      </c>
      <c r="E1491" t="s">
        <v>12988</v>
      </c>
      <c r="F1491" t="s">
        <v>12989</v>
      </c>
      <c r="G1491" t="s">
        <v>19195</v>
      </c>
      <c r="I1491" t="s">
        <v>18788</v>
      </c>
      <c r="K1491" t="str">
        <f>HYPERLINK("http://tuberculist.epfl.ch/quicksearch.php?gene+name=Rv1451&amp;submit=Search")</f>
        <v>http://tuberculist.epfl.ch/quicksearch.php?gene+name=Rv1451&amp;submit=Search</v>
      </c>
    </row>
    <row r="1492" spans="1:11">
      <c r="A1492" t="s">
        <v>12990</v>
      </c>
      <c r="B1492" t="s">
        <v>12991</v>
      </c>
      <c r="C1492" t="s">
        <v>9567</v>
      </c>
      <c r="D1492" t="s">
        <v>9578</v>
      </c>
      <c r="E1492" t="s">
        <v>12992</v>
      </c>
      <c r="F1492" t="s">
        <v>12993</v>
      </c>
      <c r="G1492" t="s">
        <v>19262</v>
      </c>
      <c r="I1492" t="s">
        <v>18793</v>
      </c>
      <c r="K1492" t="str">
        <f>HYPERLINK("http://tuberculist.epfl.ch/quicksearch.php?gene+name=Rv1452c&amp;submit=Search")</f>
        <v>http://tuberculist.epfl.ch/quicksearch.php?gene+name=Rv1452c&amp;submit=Search</v>
      </c>
    </row>
    <row r="1493" spans="1:11">
      <c r="A1493" t="s">
        <v>843</v>
      </c>
      <c r="B1493" t="s">
        <v>843</v>
      </c>
      <c r="C1493" t="s">
        <v>9567</v>
      </c>
      <c r="D1493" t="s">
        <v>9969</v>
      </c>
      <c r="E1493" t="s">
        <v>12994</v>
      </c>
      <c r="F1493" t="s">
        <v>12995</v>
      </c>
      <c r="G1493" t="s">
        <v>19197</v>
      </c>
      <c r="H1493" t="s">
        <v>19263</v>
      </c>
      <c r="I1493" t="s">
        <v>18780</v>
      </c>
      <c r="K1493" t="str">
        <f>HYPERLINK("http://tuberculist.epfl.ch/quicksearch.php?gene+name=Rv1453&amp;submit=Search")</f>
        <v>http://tuberculist.epfl.ch/quicksearch.php?gene+name=Rv1453&amp;submit=Search</v>
      </c>
    </row>
    <row r="1494" spans="1:11">
      <c r="A1494" t="s">
        <v>6525</v>
      </c>
      <c r="B1494" t="s">
        <v>2011</v>
      </c>
      <c r="C1494" t="s">
        <v>9567</v>
      </c>
      <c r="D1494" t="s">
        <v>12996</v>
      </c>
      <c r="E1494" t="s">
        <v>12997</v>
      </c>
      <c r="F1494" t="s">
        <v>12998</v>
      </c>
      <c r="G1494" t="s">
        <v>19195</v>
      </c>
      <c r="H1494" t="s">
        <v>19695</v>
      </c>
      <c r="I1494" t="s">
        <v>18789</v>
      </c>
      <c r="K1494" t="str">
        <f>HYPERLINK("http://tuberculist.epfl.ch/quicksearch.php?gene+name=Rv1454c&amp;submit=Search")</f>
        <v>http://tuberculist.epfl.ch/quicksearch.php?gene+name=Rv1454c&amp;submit=Search</v>
      </c>
    </row>
    <row r="1495" spans="1:11">
      <c r="A1495" t="s">
        <v>1756</v>
      </c>
      <c r="B1495" t="s">
        <v>1756</v>
      </c>
      <c r="C1495" t="s">
        <v>9567</v>
      </c>
      <c r="D1495" t="s">
        <v>9578</v>
      </c>
      <c r="E1495" t="s">
        <v>9665</v>
      </c>
      <c r="F1495" t="s">
        <v>12999</v>
      </c>
      <c r="G1495" t="s">
        <v>19212</v>
      </c>
      <c r="H1495" t="s">
        <v>19233</v>
      </c>
      <c r="I1495" t="s">
        <v>18780</v>
      </c>
      <c r="K1495" t="str">
        <f>HYPERLINK("http://tuberculist.epfl.ch/quicksearch.php?gene+name=Rv1455&amp;submit=Search")</f>
        <v>http://tuberculist.epfl.ch/quicksearch.php?gene+name=Rv1455&amp;submit=Search</v>
      </c>
    </row>
    <row r="1496" spans="1:11">
      <c r="A1496" t="s">
        <v>2563</v>
      </c>
      <c r="B1496" t="s">
        <v>2563</v>
      </c>
      <c r="C1496" t="s">
        <v>9567</v>
      </c>
      <c r="D1496" t="s">
        <v>13000</v>
      </c>
      <c r="E1496" t="s">
        <v>13001</v>
      </c>
      <c r="F1496" t="s">
        <v>13002</v>
      </c>
      <c r="G1496" t="s">
        <v>19188</v>
      </c>
      <c r="I1496" t="s">
        <v>18774</v>
      </c>
      <c r="J1496" t="s">
        <v>18958</v>
      </c>
      <c r="K1496" t="str">
        <f>HYPERLINK("http://tuberculist.epfl.ch/quicksearch.php?gene+name=Rv1456c&amp;submit=Search")</f>
        <v>http://tuberculist.epfl.ch/quicksearch.php?gene+name=Rv1456c&amp;submit=Search</v>
      </c>
    </row>
    <row r="1497" spans="1:11">
      <c r="A1497" t="s">
        <v>1619</v>
      </c>
      <c r="B1497" t="s">
        <v>1619</v>
      </c>
      <c r="C1497" t="s">
        <v>9567</v>
      </c>
      <c r="D1497" t="s">
        <v>13000</v>
      </c>
      <c r="E1497" t="s">
        <v>13001</v>
      </c>
      <c r="F1497" t="s">
        <v>13003</v>
      </c>
      <c r="G1497" t="s">
        <v>19188</v>
      </c>
      <c r="I1497" t="s">
        <v>18774</v>
      </c>
      <c r="K1497" t="str">
        <f>HYPERLINK("http://tuberculist.epfl.ch/quicksearch.php?gene+name=Rv1457c&amp;submit=Search")</f>
        <v>http://tuberculist.epfl.ch/quicksearch.php?gene+name=Rv1457c&amp;submit=Search</v>
      </c>
    </row>
    <row r="1498" spans="1:11">
      <c r="A1498" t="s">
        <v>3269</v>
      </c>
      <c r="B1498" t="s">
        <v>3269</v>
      </c>
      <c r="C1498" t="s">
        <v>9567</v>
      </c>
      <c r="D1498" t="s">
        <v>13004</v>
      </c>
      <c r="E1498" t="s">
        <v>13005</v>
      </c>
      <c r="F1498" t="s">
        <v>13006</v>
      </c>
      <c r="G1498" t="s">
        <v>19188</v>
      </c>
      <c r="H1498" t="s">
        <v>19225</v>
      </c>
      <c r="I1498" t="s">
        <v>18773</v>
      </c>
      <c r="K1498" t="str">
        <f>HYPERLINK("http://tuberculist.epfl.ch/quicksearch.php?gene+name=Rv1458c&amp;submit=Search")</f>
        <v>http://tuberculist.epfl.ch/quicksearch.php?gene+name=Rv1458c&amp;submit=Search</v>
      </c>
    </row>
    <row r="1499" spans="1:11">
      <c r="A1499" t="s">
        <v>1013</v>
      </c>
      <c r="B1499" t="s">
        <v>1013</v>
      </c>
      <c r="C1499" t="s">
        <v>9567</v>
      </c>
      <c r="D1499" t="s">
        <v>9587</v>
      </c>
      <c r="E1499" t="s">
        <v>11631</v>
      </c>
      <c r="F1499" t="s">
        <v>13007</v>
      </c>
      <c r="G1499" t="s">
        <v>19188</v>
      </c>
      <c r="H1499" t="s">
        <v>19546</v>
      </c>
      <c r="I1499" t="s">
        <v>18774</v>
      </c>
      <c r="K1499" t="str">
        <f>HYPERLINK("http://tuberculist.epfl.ch/quicksearch.php?gene+name=Rv1459c&amp;submit=Search")</f>
        <v>http://tuberculist.epfl.ch/quicksearch.php?gene+name=Rv1459c&amp;submit=Search</v>
      </c>
    </row>
    <row r="1500" spans="1:11">
      <c r="A1500" t="s">
        <v>312</v>
      </c>
      <c r="B1500" t="s">
        <v>312</v>
      </c>
      <c r="C1500" t="s">
        <v>9567</v>
      </c>
      <c r="D1500" t="s">
        <v>9969</v>
      </c>
      <c r="E1500" t="s">
        <v>9763</v>
      </c>
      <c r="F1500" t="s">
        <v>13008</v>
      </c>
      <c r="G1500" t="s">
        <v>19197</v>
      </c>
      <c r="H1500" t="s">
        <v>19207</v>
      </c>
      <c r="I1500" t="s">
        <v>18853</v>
      </c>
      <c r="K1500" t="str">
        <f>HYPERLINK("http://tuberculist.epfl.ch/quicksearch.php?gene+name=Rv1460&amp;submit=Search")</f>
        <v>http://tuberculist.epfl.ch/quicksearch.php?gene+name=Rv1460&amp;submit=Search</v>
      </c>
    </row>
    <row r="1501" spans="1:11">
      <c r="A1501" t="s">
        <v>317</v>
      </c>
      <c r="B1501" t="s">
        <v>317</v>
      </c>
      <c r="C1501" t="s">
        <v>9567</v>
      </c>
      <c r="D1501" t="s">
        <v>9578</v>
      </c>
      <c r="E1501" t="s">
        <v>9665</v>
      </c>
      <c r="F1501" t="s">
        <v>13009</v>
      </c>
      <c r="G1501" t="s">
        <v>19204</v>
      </c>
      <c r="H1501" t="s">
        <v>19443</v>
      </c>
      <c r="I1501" t="s">
        <v>18774</v>
      </c>
      <c r="J1501" t="s">
        <v>18775</v>
      </c>
      <c r="K1501" t="str">
        <f>HYPERLINK("http://tuberculist.epfl.ch/quicksearch.php?gene+name=Rv1461&amp;submit=Search")</f>
        <v>http://tuberculist.epfl.ch/quicksearch.php?gene+name=Rv1461&amp;submit=Search</v>
      </c>
    </row>
    <row r="1502" spans="1:11">
      <c r="A1502" t="s">
        <v>322</v>
      </c>
      <c r="B1502" t="s">
        <v>322</v>
      </c>
      <c r="C1502" t="s">
        <v>9567</v>
      </c>
      <c r="D1502" t="s">
        <v>9578</v>
      </c>
      <c r="E1502" t="s">
        <v>9579</v>
      </c>
      <c r="F1502" t="s">
        <v>13010</v>
      </c>
      <c r="G1502" t="s">
        <v>19204</v>
      </c>
      <c r="H1502" t="s">
        <v>19334</v>
      </c>
      <c r="I1502" t="s">
        <v>18774</v>
      </c>
      <c r="K1502" t="str">
        <f>HYPERLINK("http://tuberculist.epfl.ch/quicksearch.php?gene+name=Rv1462&amp;submit=Search")</f>
        <v>http://tuberculist.epfl.ch/quicksearch.php?gene+name=Rv1462&amp;submit=Search</v>
      </c>
    </row>
    <row r="1503" spans="1:11">
      <c r="A1503" t="s">
        <v>326</v>
      </c>
      <c r="B1503" t="s">
        <v>326</v>
      </c>
      <c r="C1503" t="s">
        <v>9567</v>
      </c>
      <c r="D1503" t="s">
        <v>13011</v>
      </c>
      <c r="E1503" t="s">
        <v>13012</v>
      </c>
      <c r="F1503" t="s">
        <v>13013</v>
      </c>
      <c r="G1503" t="s">
        <v>19188</v>
      </c>
      <c r="H1503" t="s">
        <v>19696</v>
      </c>
      <c r="I1503" t="s">
        <v>18774</v>
      </c>
      <c r="J1503" t="s">
        <v>18775</v>
      </c>
      <c r="K1503" t="str">
        <f>HYPERLINK("http://tuberculist.epfl.ch/quicksearch.php?gene+name=Rv1463&amp;submit=Search")</f>
        <v>http://tuberculist.epfl.ch/quicksearch.php?gene+name=Rv1463&amp;submit=Search</v>
      </c>
    </row>
    <row r="1504" spans="1:11">
      <c r="A1504" t="s">
        <v>7249</v>
      </c>
      <c r="B1504" t="s">
        <v>329</v>
      </c>
      <c r="C1504" t="s">
        <v>9567</v>
      </c>
      <c r="D1504" t="s">
        <v>13014</v>
      </c>
      <c r="E1504" t="s">
        <v>13015</v>
      </c>
      <c r="F1504" t="s">
        <v>13016</v>
      </c>
      <c r="G1504" t="s">
        <v>19195</v>
      </c>
      <c r="H1504" t="s">
        <v>19480</v>
      </c>
      <c r="I1504" t="s">
        <v>18774</v>
      </c>
      <c r="K1504" t="str">
        <f>HYPERLINK("http://tuberculist.epfl.ch/quicksearch.php?gene+name=Rv1464&amp;submit=Search")</f>
        <v>http://tuberculist.epfl.ch/quicksearch.php?gene+name=Rv1464&amp;submit=Search</v>
      </c>
    </row>
    <row r="1505" spans="1:11">
      <c r="A1505" t="s">
        <v>331</v>
      </c>
      <c r="B1505" t="s">
        <v>331</v>
      </c>
      <c r="C1505" t="s">
        <v>9567</v>
      </c>
      <c r="D1505" t="s">
        <v>9682</v>
      </c>
      <c r="E1505" t="s">
        <v>13017</v>
      </c>
      <c r="F1505" t="s">
        <v>13018</v>
      </c>
      <c r="G1505" t="s">
        <v>19195</v>
      </c>
      <c r="H1505" t="s">
        <v>19233</v>
      </c>
      <c r="I1505" t="s">
        <v>18885</v>
      </c>
      <c r="K1505" t="str">
        <f>HYPERLINK("http://tuberculist.epfl.ch/quicksearch.php?gene+name=Rv1465&amp;submit=Search")</f>
        <v>http://tuberculist.epfl.ch/quicksearch.php?gene+name=Rv1465&amp;submit=Search</v>
      </c>
    </row>
    <row r="1506" spans="1:11">
      <c r="A1506" t="s">
        <v>336</v>
      </c>
      <c r="B1506" t="s">
        <v>336</v>
      </c>
      <c r="C1506" t="s">
        <v>9567</v>
      </c>
      <c r="D1506" t="s">
        <v>9578</v>
      </c>
      <c r="E1506" t="s">
        <v>9665</v>
      </c>
      <c r="F1506" t="s">
        <v>13019</v>
      </c>
      <c r="G1506" t="s">
        <v>19204</v>
      </c>
      <c r="H1506" t="s">
        <v>19274</v>
      </c>
      <c r="I1506" t="s">
        <v>18800</v>
      </c>
      <c r="K1506" t="str">
        <f>HYPERLINK("http://tuberculist.epfl.ch/quicksearch.php?gene+name=Rv1466&amp;submit=Search")</f>
        <v>http://tuberculist.epfl.ch/quicksearch.php?gene+name=Rv1466&amp;submit=Search</v>
      </c>
    </row>
    <row r="1507" spans="1:11">
      <c r="A1507" t="s">
        <v>7198</v>
      </c>
      <c r="B1507" t="s">
        <v>2360</v>
      </c>
      <c r="C1507" t="s">
        <v>9567</v>
      </c>
      <c r="D1507" t="s">
        <v>9812</v>
      </c>
      <c r="E1507" t="s">
        <v>13020</v>
      </c>
      <c r="F1507" t="s">
        <v>13021</v>
      </c>
      <c r="G1507" t="s">
        <v>19219</v>
      </c>
      <c r="H1507" t="s">
        <v>19697</v>
      </c>
      <c r="I1507" t="s">
        <v>18780</v>
      </c>
      <c r="K1507" t="str">
        <f>HYPERLINK("http://tuberculist.epfl.ch/quicksearch.php?gene+name=Rv1467c&amp;submit=Search")</f>
        <v>http://tuberculist.epfl.ch/quicksearch.php?gene+name=Rv1467c&amp;submit=Search</v>
      </c>
    </row>
    <row r="1508" spans="1:11">
      <c r="A1508" t="s">
        <v>3686</v>
      </c>
      <c r="B1508" t="s">
        <v>606</v>
      </c>
      <c r="C1508" t="s">
        <v>9567</v>
      </c>
      <c r="D1508" t="s">
        <v>9578</v>
      </c>
      <c r="E1508" t="s">
        <v>13022</v>
      </c>
      <c r="F1508" t="s">
        <v>13023</v>
      </c>
      <c r="G1508" t="s">
        <v>19262</v>
      </c>
      <c r="H1508" t="s">
        <v>19698</v>
      </c>
      <c r="I1508" t="s">
        <v>18779</v>
      </c>
      <c r="K1508" t="str">
        <f>HYPERLINK("http://tuberculist.epfl.ch/quicksearch.php?gene+name=Rv1468c&amp;submit=Search")</f>
        <v>http://tuberculist.epfl.ch/quicksearch.php?gene+name=Rv1468c&amp;submit=Search</v>
      </c>
    </row>
    <row r="1509" spans="1:11">
      <c r="A1509" t="s">
        <v>6342</v>
      </c>
      <c r="B1509" t="s">
        <v>1918</v>
      </c>
      <c r="C1509" t="s">
        <v>9567</v>
      </c>
      <c r="D1509" t="s">
        <v>13024</v>
      </c>
      <c r="E1509" t="s">
        <v>13025</v>
      </c>
      <c r="F1509" t="s">
        <v>13026</v>
      </c>
      <c r="G1509" t="s">
        <v>19188</v>
      </c>
      <c r="H1509" t="s">
        <v>19342</v>
      </c>
      <c r="I1509" t="s">
        <v>18811</v>
      </c>
      <c r="K1509" t="str">
        <f>HYPERLINK("http://tuberculist.epfl.ch/quicksearch.php?gene+name=Rv1469&amp;submit=Search")</f>
        <v>http://tuberculist.epfl.ch/quicksearch.php?gene+name=Rv1469&amp;submit=Search</v>
      </c>
    </row>
    <row r="1510" spans="1:11">
      <c r="A1510" t="s">
        <v>7788</v>
      </c>
      <c r="B1510" t="s">
        <v>2648</v>
      </c>
      <c r="C1510" t="s">
        <v>9567</v>
      </c>
      <c r="D1510" t="s">
        <v>12698</v>
      </c>
      <c r="E1510" t="s">
        <v>13027</v>
      </c>
      <c r="F1510" t="s">
        <v>13028</v>
      </c>
      <c r="G1510" t="s">
        <v>19195</v>
      </c>
      <c r="H1510" t="s">
        <v>19250</v>
      </c>
      <c r="I1510" t="s">
        <v>18780</v>
      </c>
      <c r="K1510" t="str">
        <f>HYPERLINK("http://tuberculist.epfl.ch/quicksearch.php?gene+name=Rv1470&amp;submit=Search")</f>
        <v>http://tuberculist.epfl.ch/quicksearch.php?gene+name=Rv1470&amp;submit=Search</v>
      </c>
    </row>
    <row r="1511" spans="1:11">
      <c r="A1511" t="s">
        <v>8428</v>
      </c>
      <c r="B1511" t="s">
        <v>2963</v>
      </c>
      <c r="C1511" t="s">
        <v>9567</v>
      </c>
      <c r="D1511" t="s">
        <v>11500</v>
      </c>
      <c r="E1511" t="s">
        <v>13029</v>
      </c>
      <c r="F1511" t="s">
        <v>13030</v>
      </c>
      <c r="G1511" t="s">
        <v>19195</v>
      </c>
      <c r="H1511" t="s">
        <v>19213</v>
      </c>
      <c r="I1511" t="s">
        <v>18780</v>
      </c>
      <c r="K1511" t="str">
        <f>HYPERLINK("http://tuberculist.epfl.ch/quicksearch.php?gene+name=Rv1471&amp;submit=Search")</f>
        <v>http://tuberculist.epfl.ch/quicksearch.php?gene+name=Rv1471&amp;submit=Search</v>
      </c>
    </row>
    <row r="1512" spans="1:11">
      <c r="A1512" t="s">
        <v>6632</v>
      </c>
      <c r="B1512" t="s">
        <v>2077</v>
      </c>
      <c r="C1512" t="s">
        <v>9567</v>
      </c>
      <c r="D1512" t="s">
        <v>10092</v>
      </c>
      <c r="E1512" t="s">
        <v>13031</v>
      </c>
      <c r="F1512" t="s">
        <v>13032</v>
      </c>
      <c r="G1512" t="s">
        <v>19219</v>
      </c>
      <c r="H1512" t="s">
        <v>19207</v>
      </c>
      <c r="I1512" t="s">
        <v>18780</v>
      </c>
      <c r="K1512" t="str">
        <f>HYPERLINK("http://tuberculist.epfl.ch/quicksearch.php?gene+name=Rv1472&amp;submit=Search")</f>
        <v>http://tuberculist.epfl.ch/quicksearch.php?gene+name=Rv1472&amp;submit=Search</v>
      </c>
    </row>
    <row r="1513" spans="1:11">
      <c r="A1513" t="s">
        <v>2860</v>
      </c>
      <c r="B1513" t="s">
        <v>2860</v>
      </c>
      <c r="C1513" t="s">
        <v>9567</v>
      </c>
      <c r="D1513" t="s">
        <v>13033</v>
      </c>
      <c r="E1513" t="s">
        <v>13034</v>
      </c>
      <c r="F1513" t="s">
        <v>13035</v>
      </c>
      <c r="G1513" t="s">
        <v>19188</v>
      </c>
      <c r="H1513" t="s">
        <v>19302</v>
      </c>
      <c r="I1513" t="s">
        <v>18780</v>
      </c>
      <c r="K1513" t="str">
        <f>HYPERLINK("http://tuberculist.epfl.ch/quicksearch.php?gene+name=Rv1473&amp;submit=Search")</f>
        <v>http://tuberculist.epfl.ch/quicksearch.php?gene+name=Rv1473&amp;submit=Search</v>
      </c>
    </row>
    <row r="1514" spans="1:11">
      <c r="A1514" t="s">
        <v>13036</v>
      </c>
      <c r="B1514" t="s">
        <v>13036</v>
      </c>
      <c r="C1514" t="s">
        <v>9567</v>
      </c>
      <c r="D1514" t="s">
        <v>13037</v>
      </c>
      <c r="E1514" t="s">
        <v>9633</v>
      </c>
      <c r="F1514" t="s">
        <v>13038</v>
      </c>
      <c r="G1514" t="s">
        <v>19197</v>
      </c>
      <c r="I1514" t="s">
        <v>18773</v>
      </c>
      <c r="K1514" t="str">
        <f>HYPERLINK("http://tuberculist.epfl.ch/quicksearch.php?gene+name=Rv1473A&amp;submit=Search")</f>
        <v>http://tuberculist.epfl.ch/quicksearch.php?gene+name=Rv1473A&amp;submit=Search</v>
      </c>
    </row>
    <row r="1515" spans="1:11">
      <c r="A1515" t="s">
        <v>1676</v>
      </c>
      <c r="B1515" t="s">
        <v>1676</v>
      </c>
      <c r="C1515" t="s">
        <v>9567</v>
      </c>
      <c r="D1515" t="s">
        <v>9969</v>
      </c>
      <c r="E1515" t="s">
        <v>9763</v>
      </c>
      <c r="F1515" t="s">
        <v>13039</v>
      </c>
      <c r="G1515" t="s">
        <v>19197</v>
      </c>
      <c r="H1515" t="s">
        <v>19361</v>
      </c>
      <c r="I1515" t="s">
        <v>18780</v>
      </c>
      <c r="K1515" t="str">
        <f>HYPERLINK("http://tuberculist.epfl.ch/quicksearch.php?gene+name=Rv1474c&amp;submit=Search")</f>
        <v>http://tuberculist.epfl.ch/quicksearch.php?gene+name=Rv1474c&amp;submit=Search</v>
      </c>
    </row>
    <row r="1516" spans="1:11">
      <c r="A1516" t="s">
        <v>7346</v>
      </c>
      <c r="B1516" t="s">
        <v>2435</v>
      </c>
      <c r="C1516" t="s">
        <v>9567</v>
      </c>
      <c r="D1516" t="s">
        <v>13040</v>
      </c>
      <c r="E1516" t="s">
        <v>13041</v>
      </c>
      <c r="F1516" t="s">
        <v>13042</v>
      </c>
      <c r="G1516" t="s">
        <v>19195</v>
      </c>
      <c r="H1516" t="s">
        <v>19699</v>
      </c>
      <c r="I1516" t="s">
        <v>18774</v>
      </c>
      <c r="K1516" t="str">
        <f>HYPERLINK("http://tuberculist.epfl.ch/quicksearch.php?gene+name=Rv1475c&amp;submit=Search")</f>
        <v>http://tuberculist.epfl.ch/quicksearch.php?gene+name=Rv1475c&amp;submit=Search</v>
      </c>
    </row>
    <row r="1517" spans="1:11">
      <c r="A1517" t="s">
        <v>13043</v>
      </c>
      <c r="B1517" t="s">
        <v>13043</v>
      </c>
      <c r="C1517" t="s">
        <v>9567</v>
      </c>
      <c r="D1517" t="s">
        <v>9587</v>
      </c>
      <c r="E1517" t="s">
        <v>9590</v>
      </c>
      <c r="F1517" t="s">
        <v>13044</v>
      </c>
      <c r="G1517" t="s">
        <v>19188</v>
      </c>
      <c r="H1517" t="s">
        <v>19438</v>
      </c>
      <c r="I1517" t="s">
        <v>18774</v>
      </c>
      <c r="K1517" t="str">
        <f>HYPERLINK("http://tuberculist.epfl.ch/quicksearch.php?gene+name=Rv1476&amp;submit=Search")</f>
        <v>http://tuberculist.epfl.ch/quicksearch.php?gene+name=Rv1476&amp;submit=Search</v>
      </c>
    </row>
    <row r="1518" spans="1:11">
      <c r="A1518" t="s">
        <v>13045</v>
      </c>
      <c r="B1518" t="s">
        <v>2505</v>
      </c>
      <c r="C1518" t="s">
        <v>9567</v>
      </c>
      <c r="D1518" t="s">
        <v>13046</v>
      </c>
      <c r="E1518" t="s">
        <v>13047</v>
      </c>
      <c r="F1518" t="s">
        <v>13048</v>
      </c>
      <c r="G1518" t="s">
        <v>19206</v>
      </c>
      <c r="H1518" t="s">
        <v>19700</v>
      </c>
      <c r="I1518" t="s">
        <v>18774</v>
      </c>
      <c r="J1518" t="s">
        <v>18775</v>
      </c>
      <c r="K1518" t="str">
        <f>HYPERLINK("http://tuberculist.epfl.ch/quicksearch.php?gene+name=Rv1477&amp;submit=Search")</f>
        <v>http://tuberculist.epfl.ch/quicksearch.php?gene+name=Rv1477&amp;submit=Search</v>
      </c>
    </row>
    <row r="1519" spans="1:11">
      <c r="A1519" t="s">
        <v>777</v>
      </c>
      <c r="B1519" t="s">
        <v>777</v>
      </c>
      <c r="C1519" t="s">
        <v>9567</v>
      </c>
      <c r="D1519" t="s">
        <v>12103</v>
      </c>
      <c r="E1519" t="s">
        <v>13049</v>
      </c>
      <c r="F1519" t="s">
        <v>13050</v>
      </c>
      <c r="G1519" t="s">
        <v>19206</v>
      </c>
      <c r="H1519" t="s">
        <v>19371</v>
      </c>
      <c r="I1519" t="s">
        <v>18780</v>
      </c>
      <c r="K1519" t="str">
        <f>HYPERLINK("http://tuberculist.epfl.ch/quicksearch.php?gene+name=Rv1478&amp;submit=Search")</f>
        <v>http://tuberculist.epfl.ch/quicksearch.php?gene+name=Rv1478&amp;submit=Search</v>
      </c>
    </row>
    <row r="1520" spans="1:11">
      <c r="A1520" t="s">
        <v>3761</v>
      </c>
      <c r="B1520" t="s">
        <v>641</v>
      </c>
      <c r="C1520" t="s">
        <v>9567</v>
      </c>
      <c r="D1520" t="s">
        <v>9969</v>
      </c>
      <c r="E1520" t="s">
        <v>13051</v>
      </c>
      <c r="F1520" t="s">
        <v>13052</v>
      </c>
      <c r="G1520" t="s">
        <v>19197</v>
      </c>
      <c r="H1520" t="s">
        <v>19701</v>
      </c>
      <c r="I1520" t="s">
        <v>18774</v>
      </c>
      <c r="K1520" t="str">
        <f>HYPERLINK("http://tuberculist.epfl.ch/quicksearch.php?gene+name=Rv1479&amp;submit=Search")</f>
        <v>http://tuberculist.epfl.ch/quicksearch.php?gene+name=Rv1479&amp;submit=Search</v>
      </c>
    </row>
    <row r="1521" spans="1:11">
      <c r="A1521" t="s">
        <v>2811</v>
      </c>
      <c r="B1521" t="s">
        <v>2811</v>
      </c>
      <c r="C1521" t="s">
        <v>9567</v>
      </c>
      <c r="D1521" t="s">
        <v>9578</v>
      </c>
      <c r="E1521" t="s">
        <v>9665</v>
      </c>
      <c r="F1521" t="s">
        <v>13053</v>
      </c>
      <c r="G1521" t="s">
        <v>19204</v>
      </c>
      <c r="H1521" t="s">
        <v>19280</v>
      </c>
      <c r="I1521" t="s">
        <v>18800</v>
      </c>
      <c r="K1521" t="str">
        <f>HYPERLINK("http://tuberculist.epfl.ch/quicksearch.php?gene+name=Rv1480&amp;submit=Search")</f>
        <v>http://tuberculist.epfl.ch/quicksearch.php?gene+name=Rv1480&amp;submit=Search</v>
      </c>
    </row>
    <row r="1522" spans="1:11">
      <c r="A1522" t="s">
        <v>3165</v>
      </c>
      <c r="B1522" t="s">
        <v>3165</v>
      </c>
      <c r="C1522" t="s">
        <v>9567</v>
      </c>
      <c r="D1522" t="s">
        <v>9587</v>
      </c>
      <c r="E1522" t="s">
        <v>9758</v>
      </c>
      <c r="F1522" t="s">
        <v>13054</v>
      </c>
      <c r="G1522" t="s">
        <v>19188</v>
      </c>
      <c r="H1522" t="s">
        <v>19244</v>
      </c>
      <c r="I1522" t="s">
        <v>18788</v>
      </c>
      <c r="K1522" t="str">
        <f>HYPERLINK("http://tuberculist.epfl.ch/quicksearch.php?gene+name=Rv1481&amp;submit=Search")</f>
        <v>http://tuberculist.epfl.ch/quicksearch.php?gene+name=Rv1481&amp;submit=Search</v>
      </c>
    </row>
    <row r="1523" spans="1:11">
      <c r="A1523" t="s">
        <v>1437</v>
      </c>
      <c r="B1523" t="s">
        <v>1437</v>
      </c>
      <c r="C1523" t="s">
        <v>9567</v>
      </c>
      <c r="D1523" t="s">
        <v>9578</v>
      </c>
      <c r="E1523" t="s">
        <v>9579</v>
      </c>
      <c r="F1523" t="s">
        <v>13055</v>
      </c>
      <c r="G1523" t="s">
        <v>19212</v>
      </c>
      <c r="I1523" t="s">
        <v>18779</v>
      </c>
      <c r="K1523" t="str">
        <f>HYPERLINK("http://tuberculist.epfl.ch/quicksearch.php?gene+name=Rv1482c&amp;submit=Search")</f>
        <v>http://tuberculist.epfl.ch/quicksearch.php?gene+name=Rv1482c&amp;submit=Search</v>
      </c>
    </row>
    <row r="1524" spans="1:11">
      <c r="A1524" t="s">
        <v>5525</v>
      </c>
      <c r="B1524" t="s">
        <v>1526</v>
      </c>
      <c r="C1524" t="s">
        <v>9567</v>
      </c>
      <c r="D1524" t="s">
        <v>13056</v>
      </c>
      <c r="E1524" t="s">
        <v>13057</v>
      </c>
      <c r="F1524" t="s">
        <v>13058</v>
      </c>
      <c r="G1524" t="s">
        <v>19219</v>
      </c>
      <c r="H1524" t="s">
        <v>19459</v>
      </c>
      <c r="I1524" t="s">
        <v>18972</v>
      </c>
      <c r="J1524" t="s">
        <v>18775</v>
      </c>
      <c r="K1524" t="str">
        <f>HYPERLINK("http://tuberculist.epfl.ch/quicksearch.php?gene+name=Rv1483&amp;submit=Search")</f>
        <v>http://tuberculist.epfl.ch/quicksearch.php?gene+name=Rv1483&amp;submit=Search</v>
      </c>
    </row>
    <row r="1525" spans="1:11">
      <c r="A1525" t="s">
        <v>8843</v>
      </c>
      <c r="B1525" t="s">
        <v>3155</v>
      </c>
      <c r="C1525" t="s">
        <v>9567</v>
      </c>
      <c r="D1525" t="s">
        <v>13059</v>
      </c>
      <c r="E1525" t="s">
        <v>13060</v>
      </c>
      <c r="F1525" t="s">
        <v>13061</v>
      </c>
      <c r="G1525" t="s">
        <v>19219</v>
      </c>
      <c r="H1525" t="s">
        <v>19702</v>
      </c>
      <c r="I1525" t="s">
        <v>18788</v>
      </c>
      <c r="K1525" t="str">
        <f>HYPERLINK("http://tuberculist.epfl.ch/quicksearch.php?gene+name=Rv1484&amp;submit=Search")</f>
        <v>http://tuberculist.epfl.ch/quicksearch.php?gene+name=Rv1484&amp;submit=Search</v>
      </c>
    </row>
    <row r="1526" spans="1:11">
      <c r="A1526" t="s">
        <v>13062</v>
      </c>
      <c r="B1526" t="s">
        <v>2291</v>
      </c>
      <c r="C1526" t="s">
        <v>9567</v>
      </c>
      <c r="D1526" t="s">
        <v>13063</v>
      </c>
      <c r="E1526" t="s">
        <v>13064</v>
      </c>
      <c r="F1526" t="s">
        <v>13065</v>
      </c>
      <c r="G1526" t="s">
        <v>19195</v>
      </c>
      <c r="H1526" t="s">
        <v>19428</v>
      </c>
      <c r="I1526" t="s">
        <v>18774</v>
      </c>
      <c r="K1526" t="str">
        <f>HYPERLINK("http://tuberculist.epfl.ch/quicksearch.php?gene+name=Rv1485&amp;submit=Search")</f>
        <v>http://tuberculist.epfl.ch/quicksearch.php?gene+name=Rv1485&amp;submit=Search</v>
      </c>
    </row>
    <row r="1527" spans="1:11">
      <c r="A1527" t="s">
        <v>1001</v>
      </c>
      <c r="B1527" t="s">
        <v>1001</v>
      </c>
      <c r="C1527" t="s">
        <v>9567</v>
      </c>
      <c r="D1527" t="s">
        <v>9578</v>
      </c>
      <c r="E1527" t="s">
        <v>9579</v>
      </c>
      <c r="F1527" t="s">
        <v>13066</v>
      </c>
      <c r="G1527" t="s">
        <v>19210</v>
      </c>
      <c r="I1527" t="s">
        <v>18780</v>
      </c>
      <c r="K1527" t="str">
        <f>HYPERLINK("http://tuberculist.epfl.ch/quicksearch.php?gene+name=Rv1486c&amp;submit=Search")</f>
        <v>http://tuberculist.epfl.ch/quicksearch.php?gene+name=Rv1486c&amp;submit=Search</v>
      </c>
    </row>
    <row r="1528" spans="1:11">
      <c r="A1528" t="s">
        <v>1302</v>
      </c>
      <c r="B1528" t="s">
        <v>1302</v>
      </c>
      <c r="C1528" t="s">
        <v>9567</v>
      </c>
      <c r="D1528" t="s">
        <v>9587</v>
      </c>
      <c r="E1528" t="s">
        <v>11913</v>
      </c>
      <c r="F1528" t="s">
        <v>13067</v>
      </c>
      <c r="G1528" t="s">
        <v>19188</v>
      </c>
      <c r="H1528" t="s">
        <v>19233</v>
      </c>
      <c r="I1528" t="s">
        <v>18779</v>
      </c>
      <c r="K1528" t="str">
        <f>HYPERLINK("http://tuberculist.epfl.ch/quicksearch.php?gene+name=Rv1487&amp;submit=Search")</f>
        <v>http://tuberculist.epfl.ch/quicksearch.php?gene+name=Rv1487&amp;submit=Search</v>
      </c>
    </row>
    <row r="1529" spans="1:11">
      <c r="A1529" t="s">
        <v>668</v>
      </c>
      <c r="B1529" t="s">
        <v>668</v>
      </c>
      <c r="C1529" t="s">
        <v>9567</v>
      </c>
      <c r="D1529" t="s">
        <v>9578</v>
      </c>
      <c r="E1529" t="s">
        <v>13068</v>
      </c>
      <c r="F1529" t="s">
        <v>13069</v>
      </c>
      <c r="G1529" t="s">
        <v>19188</v>
      </c>
      <c r="H1529" t="s">
        <v>19703</v>
      </c>
      <c r="I1529" t="s">
        <v>18789</v>
      </c>
      <c r="K1529" t="str">
        <f>HYPERLINK("http://tuberculist.epfl.ch/quicksearch.php?gene+name=Rv1488&amp;submit=Search")</f>
        <v>http://tuberculist.epfl.ch/quicksearch.php?gene+name=Rv1488&amp;submit=Search</v>
      </c>
    </row>
    <row r="1530" spans="1:11">
      <c r="A1530" t="s">
        <v>844</v>
      </c>
      <c r="B1530" t="s">
        <v>844</v>
      </c>
      <c r="C1530" t="s">
        <v>9567</v>
      </c>
      <c r="D1530" t="s">
        <v>9578</v>
      </c>
      <c r="E1530" t="s">
        <v>9665</v>
      </c>
      <c r="F1530" t="s">
        <v>13070</v>
      </c>
      <c r="G1530" t="s">
        <v>19210</v>
      </c>
      <c r="H1530" t="s">
        <v>19634</v>
      </c>
      <c r="I1530" t="s">
        <v>18789</v>
      </c>
      <c r="K1530" t="str">
        <f>HYPERLINK("http://tuberculist.epfl.ch/quicksearch.php?gene+name=Rv1489&amp;submit=Search")</f>
        <v>http://tuberculist.epfl.ch/quicksearch.php?gene+name=Rv1489&amp;submit=Search</v>
      </c>
    </row>
    <row r="1531" spans="1:11">
      <c r="A1531" t="s">
        <v>13071</v>
      </c>
      <c r="B1531" t="s">
        <v>13071</v>
      </c>
      <c r="C1531" t="s">
        <v>9567</v>
      </c>
      <c r="D1531" t="s">
        <v>9578</v>
      </c>
      <c r="E1531" t="s">
        <v>9665</v>
      </c>
      <c r="F1531" t="s">
        <v>13072</v>
      </c>
      <c r="G1531" t="s">
        <v>19210</v>
      </c>
      <c r="I1531" t="s">
        <v>18793</v>
      </c>
      <c r="K1531" t="str">
        <f>HYPERLINK("http://tuberculist.epfl.ch/quicksearch.php?gene+name=Rv1489A&amp;submit=Search")</f>
        <v>http://tuberculist.epfl.ch/quicksearch.php?gene+name=Rv1489A&amp;submit=Search</v>
      </c>
    </row>
    <row r="1532" spans="1:11">
      <c r="A1532" t="s">
        <v>27</v>
      </c>
      <c r="B1532" t="s">
        <v>27</v>
      </c>
      <c r="C1532" t="s">
        <v>9567</v>
      </c>
      <c r="D1532" t="s">
        <v>9587</v>
      </c>
      <c r="E1532" t="s">
        <v>9758</v>
      </c>
      <c r="F1532" t="s">
        <v>13073</v>
      </c>
      <c r="G1532" t="s">
        <v>19188</v>
      </c>
      <c r="H1532" t="s">
        <v>19211</v>
      </c>
      <c r="I1532" t="s">
        <v>18774</v>
      </c>
      <c r="K1532" t="str">
        <f>HYPERLINK("http://tuberculist.epfl.ch/quicksearch.php?gene+name=Rv1490&amp;submit=Search")</f>
        <v>http://tuberculist.epfl.ch/quicksearch.php?gene+name=Rv1490&amp;submit=Search</v>
      </c>
    </row>
    <row r="1533" spans="1:11">
      <c r="A1533" t="s">
        <v>997</v>
      </c>
      <c r="B1533" t="s">
        <v>997</v>
      </c>
      <c r="C1533" t="s">
        <v>9567</v>
      </c>
      <c r="D1533" t="s">
        <v>9587</v>
      </c>
      <c r="E1533" t="s">
        <v>11913</v>
      </c>
      <c r="F1533" t="s">
        <v>13074</v>
      </c>
      <c r="G1533" t="s">
        <v>19188</v>
      </c>
      <c r="I1533" t="s">
        <v>18780</v>
      </c>
      <c r="K1533" t="str">
        <f>HYPERLINK("http://tuberculist.epfl.ch/quicksearch.php?gene+name=Rv1491c&amp;submit=Search")</f>
        <v>http://tuberculist.epfl.ch/quicksearch.php?gene+name=Rv1491c&amp;submit=Search</v>
      </c>
    </row>
    <row r="1534" spans="1:11">
      <c r="A1534" t="s">
        <v>6762</v>
      </c>
      <c r="B1534" t="s">
        <v>2142</v>
      </c>
      <c r="C1534" t="s">
        <v>9567</v>
      </c>
      <c r="D1534" t="s">
        <v>13075</v>
      </c>
      <c r="E1534" t="s">
        <v>13076</v>
      </c>
      <c r="F1534" t="s">
        <v>13077</v>
      </c>
      <c r="G1534" t="s">
        <v>19219</v>
      </c>
      <c r="H1534" t="s">
        <v>19704</v>
      </c>
      <c r="I1534" t="s">
        <v>18973</v>
      </c>
      <c r="K1534" t="str">
        <f>HYPERLINK("http://tuberculist.epfl.ch/quicksearch.php?gene+name=Rv1492&amp;submit=Search")</f>
        <v>http://tuberculist.epfl.ch/quicksearch.php?gene+name=Rv1492&amp;submit=Search</v>
      </c>
    </row>
    <row r="1535" spans="1:11">
      <c r="A1535" t="s">
        <v>6853</v>
      </c>
      <c r="B1535" t="s">
        <v>2188</v>
      </c>
      <c r="C1535" t="s">
        <v>9567</v>
      </c>
      <c r="D1535" t="s">
        <v>13078</v>
      </c>
      <c r="E1535" t="s">
        <v>13079</v>
      </c>
      <c r="F1535" t="s">
        <v>13080</v>
      </c>
      <c r="G1535" t="s">
        <v>19219</v>
      </c>
      <c r="H1535" t="s">
        <v>19705</v>
      </c>
      <c r="I1535" t="s">
        <v>18974</v>
      </c>
      <c r="K1535" t="str">
        <f>HYPERLINK("http://tuberculist.epfl.ch/quicksearch.php?gene+name=Rv1493&amp;submit=Search")</f>
        <v>http://tuberculist.epfl.ch/quicksearch.php?gene+name=Rv1493&amp;submit=Search</v>
      </c>
    </row>
    <row r="1536" spans="1:11">
      <c r="A1536" t="s">
        <v>13081</v>
      </c>
      <c r="B1536" t="s">
        <v>738</v>
      </c>
      <c r="C1536" t="s">
        <v>9567</v>
      </c>
      <c r="D1536" t="s">
        <v>9587</v>
      </c>
      <c r="E1536" t="s">
        <v>13082</v>
      </c>
      <c r="F1536" t="s">
        <v>13083</v>
      </c>
      <c r="G1536" t="s">
        <v>19206</v>
      </c>
      <c r="I1536" t="s">
        <v>18779</v>
      </c>
      <c r="K1536" t="str">
        <f>HYPERLINK("http://tuberculist.epfl.ch/quicksearch.php?gene+name=Rv1494&amp;submit=Search")</f>
        <v>http://tuberculist.epfl.ch/quicksearch.php?gene+name=Rv1494&amp;submit=Search</v>
      </c>
    </row>
    <row r="1537" spans="1:11">
      <c r="A1537" t="s">
        <v>13084</v>
      </c>
      <c r="B1537" t="s">
        <v>13085</v>
      </c>
      <c r="C1537" t="s">
        <v>9567</v>
      </c>
      <c r="D1537" t="s">
        <v>12161</v>
      </c>
      <c r="E1537" t="s">
        <v>13086</v>
      </c>
      <c r="F1537" t="s">
        <v>13087</v>
      </c>
      <c r="G1537" t="s">
        <v>19206</v>
      </c>
      <c r="H1537" t="s">
        <v>19192</v>
      </c>
      <c r="I1537" t="s">
        <v>18780</v>
      </c>
      <c r="K1537" t="str">
        <f>HYPERLINK("http://tuberculist.epfl.ch/quicksearch.php?gene+name=Rv1495&amp;submit=Search")</f>
        <v>http://tuberculist.epfl.ch/quicksearch.php?gene+name=Rv1495&amp;submit=Search</v>
      </c>
    </row>
    <row r="1538" spans="1:11">
      <c r="A1538" t="s">
        <v>2150</v>
      </c>
      <c r="B1538" t="s">
        <v>2150</v>
      </c>
      <c r="C1538" t="s">
        <v>9567</v>
      </c>
      <c r="D1538" t="s">
        <v>13088</v>
      </c>
      <c r="E1538" t="s">
        <v>13089</v>
      </c>
      <c r="F1538" t="s">
        <v>13090</v>
      </c>
      <c r="G1538" t="s">
        <v>19188</v>
      </c>
      <c r="H1538" t="s">
        <v>19334</v>
      </c>
      <c r="I1538" t="s">
        <v>18780</v>
      </c>
      <c r="K1538" t="str">
        <f>HYPERLINK("http://tuberculist.epfl.ch/quicksearch.php?gene+name=Rv1496&amp;submit=Search")</f>
        <v>http://tuberculist.epfl.ch/quicksearch.php?gene+name=Rv1496&amp;submit=Search</v>
      </c>
    </row>
    <row r="1539" spans="1:11">
      <c r="A1539" t="s">
        <v>8152</v>
      </c>
      <c r="B1539" t="s">
        <v>2830</v>
      </c>
      <c r="C1539" t="s">
        <v>9567</v>
      </c>
      <c r="D1539" t="s">
        <v>13091</v>
      </c>
      <c r="E1539" t="s">
        <v>13092</v>
      </c>
      <c r="F1539" t="s">
        <v>13093</v>
      </c>
      <c r="G1539" t="s">
        <v>19195</v>
      </c>
      <c r="I1539" t="s">
        <v>18780</v>
      </c>
      <c r="K1539" t="str">
        <f>HYPERLINK("http://tuberculist.epfl.ch/quicksearch.php?gene+name=Rv1497&amp;submit=Search")</f>
        <v>http://tuberculist.epfl.ch/quicksearch.php?gene+name=Rv1497&amp;submit=Search</v>
      </c>
    </row>
    <row r="1540" spans="1:11">
      <c r="A1540" t="s">
        <v>13094</v>
      </c>
      <c r="B1540" t="s">
        <v>13094</v>
      </c>
      <c r="C1540" t="s">
        <v>9567</v>
      </c>
      <c r="D1540" t="s">
        <v>9578</v>
      </c>
      <c r="E1540" t="s">
        <v>9665</v>
      </c>
      <c r="F1540" t="s">
        <v>13095</v>
      </c>
      <c r="G1540" t="s">
        <v>19204</v>
      </c>
      <c r="H1540" t="s">
        <v>19706</v>
      </c>
      <c r="I1540" t="s">
        <v>18793</v>
      </c>
      <c r="K1540" t="str">
        <f>HYPERLINK("http://tuberculist.epfl.ch/quicksearch.php?gene+name=Rv1498A&amp;submit=Search")</f>
        <v>http://tuberculist.epfl.ch/quicksearch.php?gene+name=Rv1498A&amp;submit=Search</v>
      </c>
    </row>
    <row r="1541" spans="1:11">
      <c r="A1541" t="s">
        <v>1182</v>
      </c>
      <c r="B1541" t="s">
        <v>1182</v>
      </c>
      <c r="C1541" t="s">
        <v>9567</v>
      </c>
      <c r="D1541" t="s">
        <v>10061</v>
      </c>
      <c r="E1541" t="s">
        <v>12450</v>
      </c>
      <c r="F1541" t="s">
        <v>13096</v>
      </c>
      <c r="G1541" t="s">
        <v>19195</v>
      </c>
      <c r="H1541" t="s">
        <v>19411</v>
      </c>
      <c r="I1541" t="s">
        <v>18780</v>
      </c>
      <c r="K1541" t="str">
        <f>HYPERLINK("http://tuberculist.epfl.ch/quicksearch.php?gene+name=Rv1498c&amp;submit=Search")</f>
        <v>http://tuberculist.epfl.ch/quicksearch.php?gene+name=Rv1498c&amp;submit=Search</v>
      </c>
    </row>
    <row r="1542" spans="1:11">
      <c r="A1542" t="s">
        <v>13097</v>
      </c>
      <c r="B1542" t="s">
        <v>13097</v>
      </c>
      <c r="C1542" t="s">
        <v>9567</v>
      </c>
      <c r="D1542" t="s">
        <v>9587</v>
      </c>
      <c r="E1542" t="s">
        <v>9713</v>
      </c>
      <c r="F1542" t="s">
        <v>13098</v>
      </c>
      <c r="G1542" t="s">
        <v>19212</v>
      </c>
      <c r="I1542" t="s">
        <v>18789</v>
      </c>
      <c r="K1542" t="str">
        <f>HYPERLINK("http://tuberculist.epfl.ch/quicksearch.php?gene+name=Rv1499&amp;submit=Search")</f>
        <v>http://tuberculist.epfl.ch/quicksearch.php?gene+name=Rv1499&amp;submit=Search</v>
      </c>
    </row>
    <row r="1543" spans="1:11">
      <c r="A1543" t="s">
        <v>1351</v>
      </c>
      <c r="B1543" t="s">
        <v>1351</v>
      </c>
      <c r="C1543" t="s">
        <v>9567</v>
      </c>
      <c r="D1543" t="s">
        <v>9578</v>
      </c>
      <c r="E1543" t="s">
        <v>13099</v>
      </c>
      <c r="F1543" t="s">
        <v>13100</v>
      </c>
      <c r="G1543" t="s">
        <v>19195</v>
      </c>
      <c r="I1543" t="s">
        <v>18975</v>
      </c>
      <c r="K1543" t="str">
        <f>HYPERLINK("http://tuberculist.epfl.ch/quicksearch.php?gene+name=Rv1500&amp;submit=Search")</f>
        <v>http://tuberculist.epfl.ch/quicksearch.php?gene+name=Rv1500&amp;submit=Search</v>
      </c>
    </row>
    <row r="1544" spans="1:11">
      <c r="A1544" t="s">
        <v>1987</v>
      </c>
      <c r="B1544" t="s">
        <v>1987</v>
      </c>
      <c r="C1544" t="s">
        <v>9567</v>
      </c>
      <c r="D1544" t="s">
        <v>9578</v>
      </c>
      <c r="E1544" t="s">
        <v>9579</v>
      </c>
      <c r="F1544" t="s">
        <v>13101</v>
      </c>
      <c r="G1544" t="s">
        <v>19204</v>
      </c>
      <c r="I1544" t="s">
        <v>18976</v>
      </c>
      <c r="K1544" t="str">
        <f>HYPERLINK("http://tuberculist.epfl.ch/quicksearch.php?gene+name=Rv1501&amp;submit=Search")</f>
        <v>http://tuberculist.epfl.ch/quicksearch.php?gene+name=Rv1501&amp;submit=Search</v>
      </c>
    </row>
    <row r="1545" spans="1:11">
      <c r="A1545" t="s">
        <v>470</v>
      </c>
      <c r="B1545" t="s">
        <v>470</v>
      </c>
      <c r="C1545" t="s">
        <v>9567</v>
      </c>
      <c r="D1545" t="s">
        <v>9587</v>
      </c>
      <c r="E1545" t="s">
        <v>9713</v>
      </c>
      <c r="F1545" t="s">
        <v>13102</v>
      </c>
      <c r="G1545" t="s">
        <v>19363</v>
      </c>
      <c r="I1545" t="s">
        <v>18977</v>
      </c>
      <c r="J1545" t="s">
        <v>18844</v>
      </c>
      <c r="K1545" t="str">
        <f>HYPERLINK("http://tuberculist.epfl.ch/quicksearch.php?gene+name=Rv1502&amp;submit=Search")</f>
        <v>http://tuberculist.epfl.ch/quicksearch.php?gene+name=Rv1502&amp;submit=Search</v>
      </c>
    </row>
    <row r="1546" spans="1:11">
      <c r="A1546" t="s">
        <v>13103</v>
      </c>
      <c r="B1546" t="s">
        <v>13103</v>
      </c>
      <c r="C1546" t="s">
        <v>9567</v>
      </c>
      <c r="D1546" t="s">
        <v>9578</v>
      </c>
      <c r="E1546" t="s">
        <v>9579</v>
      </c>
      <c r="F1546" t="s">
        <v>13104</v>
      </c>
      <c r="G1546" t="s">
        <v>19212</v>
      </c>
      <c r="H1546" t="s">
        <v>19263</v>
      </c>
      <c r="I1546" t="s">
        <v>18821</v>
      </c>
      <c r="K1546" t="str">
        <f>HYPERLINK("http://tuberculist.epfl.ch/quicksearch.php?gene+name=Rv1503c&amp;submit=Search")</f>
        <v>http://tuberculist.epfl.ch/quicksearch.php?gene+name=Rv1503c&amp;submit=Search</v>
      </c>
    </row>
    <row r="1547" spans="1:11">
      <c r="A1547" t="s">
        <v>1218</v>
      </c>
      <c r="B1547" t="s">
        <v>1218</v>
      </c>
      <c r="C1547" t="s">
        <v>9567</v>
      </c>
      <c r="D1547" t="s">
        <v>9578</v>
      </c>
      <c r="E1547" t="s">
        <v>9579</v>
      </c>
      <c r="F1547" t="s">
        <v>13105</v>
      </c>
      <c r="G1547" t="s">
        <v>19212</v>
      </c>
      <c r="I1547" t="s">
        <v>18821</v>
      </c>
      <c r="K1547" t="str">
        <f>HYPERLINK("http://tuberculist.epfl.ch/quicksearch.php?gene+name=Rv1504c&amp;submit=Search")</f>
        <v>http://tuberculist.epfl.ch/quicksearch.php?gene+name=Rv1504c&amp;submit=Search</v>
      </c>
    </row>
    <row r="1548" spans="1:11">
      <c r="A1548" t="s">
        <v>711</v>
      </c>
      <c r="B1548" t="s">
        <v>711</v>
      </c>
      <c r="C1548" t="s">
        <v>9567</v>
      </c>
      <c r="D1548" t="s">
        <v>9578</v>
      </c>
      <c r="E1548" t="s">
        <v>9579</v>
      </c>
      <c r="F1548" t="s">
        <v>13106</v>
      </c>
      <c r="G1548" t="s">
        <v>19212</v>
      </c>
      <c r="H1548" t="s">
        <v>19214</v>
      </c>
      <c r="I1548" t="s">
        <v>18776</v>
      </c>
      <c r="K1548" t="str">
        <f>HYPERLINK("http://tuberculist.epfl.ch/quicksearch.php?gene+name=Rv1505c&amp;submit=Search")</f>
        <v>http://tuberculist.epfl.ch/quicksearch.php?gene+name=Rv1505c&amp;submit=Search</v>
      </c>
    </row>
    <row r="1549" spans="1:11">
      <c r="A1549" t="s">
        <v>13107</v>
      </c>
      <c r="B1549" t="s">
        <v>13107</v>
      </c>
      <c r="C1549" t="s">
        <v>9567</v>
      </c>
      <c r="D1549" t="s">
        <v>9587</v>
      </c>
      <c r="E1549" t="s">
        <v>9713</v>
      </c>
      <c r="F1549" t="s">
        <v>13108</v>
      </c>
      <c r="G1549" t="s">
        <v>19363</v>
      </c>
      <c r="I1549" t="s">
        <v>18773</v>
      </c>
      <c r="K1549" t="str">
        <f>HYPERLINK("http://tuberculist.epfl.ch/quicksearch.php?gene+name=Rv1506c&amp;submit=Search")</f>
        <v>http://tuberculist.epfl.ch/quicksearch.php?gene+name=Rv1506c&amp;submit=Search</v>
      </c>
    </row>
    <row r="1550" spans="1:11">
      <c r="A1550" t="s">
        <v>13109</v>
      </c>
      <c r="B1550" t="s">
        <v>13109</v>
      </c>
      <c r="C1550" t="s">
        <v>9567</v>
      </c>
      <c r="D1550" t="s">
        <v>9587</v>
      </c>
      <c r="E1550" t="s">
        <v>9713</v>
      </c>
      <c r="F1550" t="s">
        <v>13110</v>
      </c>
      <c r="G1550" t="s">
        <v>19363</v>
      </c>
      <c r="I1550" t="s">
        <v>18773</v>
      </c>
      <c r="K1550" t="str">
        <f>HYPERLINK("http://tuberculist.epfl.ch/quicksearch.php?gene+name=Rv1507A&amp;submit=Search")</f>
        <v>http://tuberculist.epfl.ch/quicksearch.php?gene+name=Rv1507A&amp;submit=Search</v>
      </c>
    </row>
    <row r="1551" spans="1:11">
      <c r="A1551" t="s">
        <v>13111</v>
      </c>
      <c r="B1551" t="s">
        <v>13111</v>
      </c>
      <c r="C1551" t="s">
        <v>9567</v>
      </c>
      <c r="D1551" t="s">
        <v>9578</v>
      </c>
      <c r="E1551" t="s">
        <v>9665</v>
      </c>
      <c r="F1551" t="s">
        <v>13112</v>
      </c>
      <c r="G1551" t="s">
        <v>19204</v>
      </c>
      <c r="H1551" t="s">
        <v>19196</v>
      </c>
      <c r="I1551" t="s">
        <v>18776</v>
      </c>
      <c r="K1551" t="str">
        <f>HYPERLINK("http://tuberculist.epfl.ch/quicksearch.php?gene+name=Rv1507c&amp;submit=Search")</f>
        <v>http://tuberculist.epfl.ch/quicksearch.php?gene+name=Rv1507c&amp;submit=Search</v>
      </c>
    </row>
    <row r="1552" spans="1:11">
      <c r="A1552" t="s">
        <v>13113</v>
      </c>
      <c r="B1552" t="s">
        <v>13113</v>
      </c>
      <c r="C1552" t="s">
        <v>9567</v>
      </c>
      <c r="D1552" t="s">
        <v>9578</v>
      </c>
      <c r="E1552" t="s">
        <v>9579</v>
      </c>
      <c r="F1552" t="s">
        <v>13114</v>
      </c>
      <c r="G1552" t="s">
        <v>19212</v>
      </c>
      <c r="I1552" t="s">
        <v>18773</v>
      </c>
      <c r="K1552" t="str">
        <f>HYPERLINK("http://tuberculist.epfl.ch/quicksearch.php?gene+name=Rv1508A&amp;submit=Search")</f>
        <v>http://tuberculist.epfl.ch/quicksearch.php?gene+name=Rv1508A&amp;submit=Search</v>
      </c>
    </row>
    <row r="1553" spans="1:11">
      <c r="A1553" t="s">
        <v>13115</v>
      </c>
      <c r="B1553" t="s">
        <v>13115</v>
      </c>
      <c r="C1553" t="s">
        <v>9567</v>
      </c>
      <c r="D1553" t="s">
        <v>9587</v>
      </c>
      <c r="E1553" t="s">
        <v>9758</v>
      </c>
      <c r="F1553" t="s">
        <v>13116</v>
      </c>
      <c r="G1553" t="s">
        <v>19188</v>
      </c>
      <c r="H1553" t="s">
        <v>19707</v>
      </c>
      <c r="I1553" t="s">
        <v>18792</v>
      </c>
      <c r="K1553" t="str">
        <f>HYPERLINK("http://tuberculist.epfl.ch/quicksearch.php?gene+name=Rv1508c&amp;submit=Search")</f>
        <v>http://tuberculist.epfl.ch/quicksearch.php?gene+name=Rv1508c&amp;submit=Search</v>
      </c>
    </row>
    <row r="1554" spans="1:11">
      <c r="A1554" t="s">
        <v>13117</v>
      </c>
      <c r="B1554" t="s">
        <v>13117</v>
      </c>
      <c r="C1554" t="s">
        <v>9567</v>
      </c>
      <c r="D1554" t="s">
        <v>9587</v>
      </c>
      <c r="E1554" t="s">
        <v>9713</v>
      </c>
      <c r="F1554" t="s">
        <v>13118</v>
      </c>
      <c r="G1554" t="s">
        <v>19363</v>
      </c>
      <c r="I1554" t="s">
        <v>18776</v>
      </c>
      <c r="K1554" t="str">
        <f>HYPERLINK("http://tuberculist.epfl.ch/quicksearch.php?gene+name=Rv1509&amp;submit=Search")</f>
        <v>http://tuberculist.epfl.ch/quicksearch.php?gene+name=Rv1509&amp;submit=Search</v>
      </c>
    </row>
    <row r="1555" spans="1:11">
      <c r="A1555" t="s">
        <v>13119</v>
      </c>
      <c r="B1555" t="s">
        <v>13119</v>
      </c>
      <c r="C1555" t="s">
        <v>9567</v>
      </c>
      <c r="D1555" t="s">
        <v>9587</v>
      </c>
      <c r="E1555" t="s">
        <v>13120</v>
      </c>
      <c r="F1555" t="s">
        <v>13121</v>
      </c>
      <c r="G1555" t="s">
        <v>19188</v>
      </c>
      <c r="H1555" t="s">
        <v>19211</v>
      </c>
      <c r="I1555" t="s">
        <v>18792</v>
      </c>
      <c r="K1555" t="str">
        <f>HYPERLINK("http://tuberculist.epfl.ch/quicksearch.php?gene+name=Rv1510&amp;submit=Search")</f>
        <v>http://tuberculist.epfl.ch/quicksearch.php?gene+name=Rv1510&amp;submit=Search</v>
      </c>
    </row>
    <row r="1556" spans="1:11">
      <c r="A1556" t="s">
        <v>13122</v>
      </c>
      <c r="B1556" t="s">
        <v>13123</v>
      </c>
      <c r="C1556" t="s">
        <v>9567</v>
      </c>
      <c r="D1556" t="s">
        <v>13124</v>
      </c>
      <c r="E1556" t="s">
        <v>13125</v>
      </c>
      <c r="F1556" t="s">
        <v>13126</v>
      </c>
      <c r="G1556" t="s">
        <v>19195</v>
      </c>
      <c r="H1556" t="s">
        <v>19708</v>
      </c>
      <c r="I1556" t="s">
        <v>18792</v>
      </c>
      <c r="K1556" t="str">
        <f>HYPERLINK("http://tuberculist.epfl.ch/quicksearch.php?gene+name=Rv1511&amp;submit=Search")</f>
        <v>http://tuberculist.epfl.ch/quicksearch.php?gene+name=Rv1511&amp;submit=Search</v>
      </c>
    </row>
    <row r="1557" spans="1:11">
      <c r="A1557" t="s">
        <v>13127</v>
      </c>
      <c r="B1557" t="s">
        <v>13128</v>
      </c>
      <c r="C1557" t="s">
        <v>9567</v>
      </c>
      <c r="D1557" t="s">
        <v>13124</v>
      </c>
      <c r="E1557" t="s">
        <v>13129</v>
      </c>
      <c r="F1557" t="s">
        <v>13130</v>
      </c>
      <c r="G1557" t="s">
        <v>19195</v>
      </c>
      <c r="H1557" t="s">
        <v>19709</v>
      </c>
      <c r="I1557" t="s">
        <v>18776</v>
      </c>
      <c r="K1557" t="str">
        <f>HYPERLINK("http://tuberculist.epfl.ch/quicksearch.php?gene+name=Rv1512&amp;submit=Search")</f>
        <v>http://tuberculist.epfl.ch/quicksearch.php?gene+name=Rv1512&amp;submit=Search</v>
      </c>
    </row>
    <row r="1558" spans="1:11">
      <c r="A1558" t="s">
        <v>13131</v>
      </c>
      <c r="B1558" t="s">
        <v>13131</v>
      </c>
      <c r="C1558" t="s">
        <v>9567</v>
      </c>
      <c r="D1558" t="s">
        <v>9578</v>
      </c>
      <c r="E1558" t="s">
        <v>9665</v>
      </c>
      <c r="F1558" t="s">
        <v>13132</v>
      </c>
      <c r="G1558" t="s">
        <v>19204</v>
      </c>
      <c r="H1558" t="s">
        <v>19401</v>
      </c>
      <c r="I1558" t="s">
        <v>18773</v>
      </c>
      <c r="K1558" t="str">
        <f>HYPERLINK("http://tuberculist.epfl.ch/quicksearch.php?gene+name=Rv1513&amp;submit=Search")</f>
        <v>http://tuberculist.epfl.ch/quicksearch.php?gene+name=Rv1513&amp;submit=Search</v>
      </c>
    </row>
    <row r="1559" spans="1:11">
      <c r="A1559" t="s">
        <v>13133</v>
      </c>
      <c r="B1559" t="s">
        <v>13133</v>
      </c>
      <c r="C1559" t="s">
        <v>9567</v>
      </c>
      <c r="D1559" t="s">
        <v>9587</v>
      </c>
      <c r="E1559" t="s">
        <v>9579</v>
      </c>
      <c r="F1559" t="s">
        <v>13134</v>
      </c>
      <c r="G1559" t="s">
        <v>19204</v>
      </c>
      <c r="H1559" t="s">
        <v>19265</v>
      </c>
      <c r="I1559" t="s">
        <v>18835</v>
      </c>
      <c r="K1559" t="str">
        <f>HYPERLINK("http://tuberculist.epfl.ch/quicksearch.php?gene+name=Rv1514c&amp;submit=Search")</f>
        <v>http://tuberculist.epfl.ch/quicksearch.php?gene+name=Rv1514c&amp;submit=Search</v>
      </c>
    </row>
    <row r="1560" spans="1:11">
      <c r="A1560" t="s">
        <v>13135</v>
      </c>
      <c r="B1560" t="s">
        <v>13135</v>
      </c>
      <c r="C1560" t="s">
        <v>9567</v>
      </c>
      <c r="D1560" t="s">
        <v>9578</v>
      </c>
      <c r="E1560" t="s">
        <v>9579</v>
      </c>
      <c r="F1560" t="s">
        <v>13136</v>
      </c>
      <c r="G1560" t="s">
        <v>19212</v>
      </c>
      <c r="H1560" t="s">
        <v>19205</v>
      </c>
      <c r="I1560" t="s">
        <v>18793</v>
      </c>
      <c r="K1560" t="str">
        <f>HYPERLINK("http://tuberculist.epfl.ch/quicksearch.php?gene+name=Rv1515c&amp;submit=Search")</f>
        <v>http://tuberculist.epfl.ch/quicksearch.php?gene+name=Rv1515c&amp;submit=Search</v>
      </c>
    </row>
    <row r="1561" spans="1:11">
      <c r="A1561" t="s">
        <v>13137</v>
      </c>
      <c r="B1561" t="s">
        <v>13137</v>
      </c>
      <c r="C1561" t="s">
        <v>9567</v>
      </c>
      <c r="D1561" t="s">
        <v>13138</v>
      </c>
      <c r="E1561" t="s">
        <v>13139</v>
      </c>
      <c r="F1561" t="s">
        <v>13140</v>
      </c>
      <c r="G1561" t="s">
        <v>19195</v>
      </c>
      <c r="H1561" t="s">
        <v>19213</v>
      </c>
      <c r="I1561" t="s">
        <v>18792</v>
      </c>
      <c r="K1561" t="str">
        <f>HYPERLINK("http://tuberculist.epfl.ch/quicksearch.php?gene+name=Rv1516c&amp;submit=Search")</f>
        <v>http://tuberculist.epfl.ch/quicksearch.php?gene+name=Rv1516c&amp;submit=Search</v>
      </c>
    </row>
    <row r="1562" spans="1:11">
      <c r="A1562" t="s">
        <v>1757</v>
      </c>
      <c r="B1562" t="s">
        <v>1757</v>
      </c>
      <c r="C1562" t="s">
        <v>9567</v>
      </c>
      <c r="D1562" t="s">
        <v>9587</v>
      </c>
      <c r="E1562" t="s">
        <v>12649</v>
      </c>
      <c r="F1562" t="s">
        <v>13141</v>
      </c>
      <c r="G1562" t="s">
        <v>19188</v>
      </c>
      <c r="I1562" t="s">
        <v>18779</v>
      </c>
      <c r="K1562" t="str">
        <f>HYPERLINK("http://tuberculist.epfl.ch/quicksearch.php?gene+name=Rv1517&amp;submit=Search")</f>
        <v>http://tuberculist.epfl.ch/quicksearch.php?gene+name=Rv1517&amp;submit=Search</v>
      </c>
    </row>
    <row r="1563" spans="1:11">
      <c r="A1563" t="s">
        <v>3144</v>
      </c>
      <c r="B1563" t="s">
        <v>3144</v>
      </c>
      <c r="C1563" t="s">
        <v>9567</v>
      </c>
      <c r="D1563" t="s">
        <v>13142</v>
      </c>
      <c r="E1563" t="s">
        <v>9579</v>
      </c>
      <c r="F1563" t="s">
        <v>13143</v>
      </c>
      <c r="G1563" t="s">
        <v>19204</v>
      </c>
      <c r="H1563" t="s">
        <v>19342</v>
      </c>
      <c r="I1563" t="s">
        <v>18793</v>
      </c>
      <c r="J1563" t="s">
        <v>18809</v>
      </c>
      <c r="K1563" t="str">
        <f>HYPERLINK("http://tuberculist.epfl.ch/quicksearch.php?gene+name=Rv1518&amp;submit=Search")</f>
        <v>http://tuberculist.epfl.ch/quicksearch.php?gene+name=Rv1518&amp;submit=Search</v>
      </c>
    </row>
    <row r="1564" spans="1:11">
      <c r="A1564" t="s">
        <v>267</v>
      </c>
      <c r="B1564" t="s">
        <v>267</v>
      </c>
      <c r="C1564" t="s">
        <v>9567</v>
      </c>
      <c r="D1564" t="s">
        <v>9578</v>
      </c>
      <c r="E1564" t="s">
        <v>9579</v>
      </c>
      <c r="F1564" t="s">
        <v>13144</v>
      </c>
      <c r="G1564" t="s">
        <v>19204</v>
      </c>
      <c r="I1564" t="s">
        <v>18780</v>
      </c>
      <c r="J1564" t="s">
        <v>18978</v>
      </c>
      <c r="K1564" t="str">
        <f>HYPERLINK("http://tuberculist.epfl.ch/quicksearch.php?gene+name=Rv1519&amp;submit=Search")</f>
        <v>http://tuberculist.epfl.ch/quicksearch.php?gene+name=Rv1519&amp;submit=Search</v>
      </c>
    </row>
    <row r="1565" spans="1:11">
      <c r="A1565" t="s">
        <v>2607</v>
      </c>
      <c r="B1565" t="s">
        <v>2607</v>
      </c>
      <c r="C1565" t="s">
        <v>9567</v>
      </c>
      <c r="D1565" t="s">
        <v>13145</v>
      </c>
      <c r="E1565" t="s">
        <v>13139</v>
      </c>
      <c r="F1565" t="s">
        <v>13146</v>
      </c>
      <c r="G1565" t="s">
        <v>19195</v>
      </c>
      <c r="H1565" t="s">
        <v>19263</v>
      </c>
      <c r="I1565" t="s">
        <v>18789</v>
      </c>
      <c r="J1565" t="s">
        <v>18852</v>
      </c>
      <c r="K1565" t="str">
        <f>HYPERLINK("http://tuberculist.epfl.ch/quicksearch.php?gene+name=Rv1520&amp;submit=Search")</f>
        <v>http://tuberculist.epfl.ch/quicksearch.php?gene+name=Rv1520&amp;submit=Search</v>
      </c>
    </row>
    <row r="1566" spans="1:11">
      <c r="A1566" t="s">
        <v>6313</v>
      </c>
      <c r="B1566" t="s">
        <v>1904</v>
      </c>
      <c r="C1566" t="s">
        <v>9567</v>
      </c>
      <c r="D1566" t="s">
        <v>9812</v>
      </c>
      <c r="E1566" t="s">
        <v>13147</v>
      </c>
      <c r="F1566" t="s">
        <v>13148</v>
      </c>
      <c r="G1566" t="s">
        <v>19219</v>
      </c>
      <c r="H1566" t="s">
        <v>19207</v>
      </c>
      <c r="I1566" t="s">
        <v>18777</v>
      </c>
      <c r="K1566" t="str">
        <f>HYPERLINK("http://tuberculist.epfl.ch/quicksearch.php?gene+name=Rv1521&amp;submit=Search")</f>
        <v>http://tuberculist.epfl.ch/quicksearch.php?gene+name=Rv1521&amp;submit=Search</v>
      </c>
    </row>
    <row r="1567" spans="1:11">
      <c r="A1567" t="s">
        <v>4464</v>
      </c>
      <c r="B1567" t="s">
        <v>998</v>
      </c>
      <c r="C1567" t="s">
        <v>9567</v>
      </c>
      <c r="D1567" t="s">
        <v>10051</v>
      </c>
      <c r="E1567" t="s">
        <v>13149</v>
      </c>
      <c r="F1567" t="s">
        <v>13150</v>
      </c>
      <c r="G1567" t="s">
        <v>19188</v>
      </c>
      <c r="H1567" t="s">
        <v>19710</v>
      </c>
      <c r="I1567" t="s">
        <v>18845</v>
      </c>
      <c r="K1567" t="str">
        <f>HYPERLINK("http://tuberculist.epfl.ch/quicksearch.php?gene+name=Rv1522c&amp;submit=Search")</f>
        <v>http://tuberculist.epfl.ch/quicksearch.php?gene+name=Rv1522c&amp;submit=Search</v>
      </c>
    </row>
    <row r="1568" spans="1:11">
      <c r="A1568" t="s">
        <v>1516</v>
      </c>
      <c r="B1568" t="s">
        <v>1516</v>
      </c>
      <c r="C1568" t="s">
        <v>9567</v>
      </c>
      <c r="D1568" t="s">
        <v>10061</v>
      </c>
      <c r="E1568" t="s">
        <v>12450</v>
      </c>
      <c r="F1568" t="s">
        <v>13151</v>
      </c>
      <c r="G1568" t="s">
        <v>19195</v>
      </c>
      <c r="H1568" t="s">
        <v>19254</v>
      </c>
      <c r="I1568" t="s">
        <v>18780</v>
      </c>
      <c r="K1568" t="str">
        <f>HYPERLINK("http://tuberculist.epfl.ch/quicksearch.php?gene+name=Rv1523&amp;submit=Search")</f>
        <v>http://tuberculist.epfl.ch/quicksearch.php?gene+name=Rv1523&amp;submit=Search</v>
      </c>
    </row>
    <row r="1569" spans="1:11">
      <c r="A1569" t="s">
        <v>2030</v>
      </c>
      <c r="B1569" t="s">
        <v>2030</v>
      </c>
      <c r="C1569" t="s">
        <v>9567</v>
      </c>
      <c r="D1569" t="s">
        <v>9587</v>
      </c>
      <c r="E1569" t="s">
        <v>13099</v>
      </c>
      <c r="F1569" t="s">
        <v>13152</v>
      </c>
      <c r="G1569" t="s">
        <v>19195</v>
      </c>
      <c r="H1569" t="s">
        <v>19254</v>
      </c>
      <c r="I1569" t="s">
        <v>18979</v>
      </c>
      <c r="K1569" t="str">
        <f>HYPERLINK("http://tuberculist.epfl.ch/quicksearch.php?gene+name=Rv1524&amp;submit=Search")</f>
        <v>http://tuberculist.epfl.ch/quicksearch.php?gene+name=Rv1524&amp;submit=Search</v>
      </c>
    </row>
    <row r="1570" spans="1:11">
      <c r="A1570" t="s">
        <v>4925</v>
      </c>
      <c r="B1570" t="s">
        <v>1219</v>
      </c>
      <c r="C1570" t="s">
        <v>9567</v>
      </c>
      <c r="D1570" t="s">
        <v>13153</v>
      </c>
      <c r="E1570" t="s">
        <v>13154</v>
      </c>
      <c r="F1570" t="s">
        <v>13155</v>
      </c>
      <c r="G1570" t="s">
        <v>19204</v>
      </c>
      <c r="I1570" t="s">
        <v>18803</v>
      </c>
      <c r="K1570" t="str">
        <f>HYPERLINK("http://tuberculist.epfl.ch/quicksearch.php?gene+name=Rv1525&amp;submit=Search")</f>
        <v>http://tuberculist.epfl.ch/quicksearch.php?gene+name=Rv1525&amp;submit=Search</v>
      </c>
    </row>
    <row r="1571" spans="1:11">
      <c r="A1571" t="s">
        <v>2617</v>
      </c>
      <c r="B1571" t="s">
        <v>2617</v>
      </c>
      <c r="C1571" t="s">
        <v>9567</v>
      </c>
      <c r="D1571" t="s">
        <v>13145</v>
      </c>
      <c r="E1571" t="s">
        <v>13099</v>
      </c>
      <c r="F1571" t="s">
        <v>13156</v>
      </c>
      <c r="G1571" t="s">
        <v>19195</v>
      </c>
      <c r="I1571" t="s">
        <v>18860</v>
      </c>
      <c r="K1571" t="str">
        <f>HYPERLINK("http://tuberculist.epfl.ch/quicksearch.php?gene+name=Rv1526c&amp;submit=Search")</f>
        <v>http://tuberculist.epfl.ch/quicksearch.php?gene+name=Rv1526c&amp;submit=Search</v>
      </c>
    </row>
    <row r="1572" spans="1:11">
      <c r="A1572" t="s">
        <v>3869</v>
      </c>
      <c r="B1572" t="s">
        <v>690</v>
      </c>
      <c r="C1572" t="s">
        <v>9567</v>
      </c>
      <c r="D1572" t="s">
        <v>13157</v>
      </c>
      <c r="E1572" t="s">
        <v>13158</v>
      </c>
      <c r="F1572" t="s">
        <v>13159</v>
      </c>
      <c r="G1572" t="s">
        <v>19219</v>
      </c>
      <c r="H1572" t="s">
        <v>19337</v>
      </c>
      <c r="I1572" t="s">
        <v>18789</v>
      </c>
      <c r="K1572" t="str">
        <f>HYPERLINK("http://tuberculist.epfl.ch/quicksearch.php?gene+name=Rv1527c&amp;submit=Search")</f>
        <v>http://tuberculist.epfl.ch/quicksearch.php?gene+name=Rv1527c&amp;submit=Search</v>
      </c>
    </row>
    <row r="1573" spans="1:11">
      <c r="A1573" t="s">
        <v>13160</v>
      </c>
      <c r="B1573" t="s">
        <v>13161</v>
      </c>
      <c r="C1573" t="s">
        <v>9567</v>
      </c>
      <c r="D1573" t="s">
        <v>12362</v>
      </c>
      <c r="E1573" t="s">
        <v>13162</v>
      </c>
      <c r="F1573" t="s">
        <v>13163</v>
      </c>
      <c r="G1573" t="s">
        <v>19219</v>
      </c>
      <c r="H1573" t="s">
        <v>19211</v>
      </c>
      <c r="I1573" t="s">
        <v>18780</v>
      </c>
      <c r="K1573" t="str">
        <f>HYPERLINK("http://tuberculist.epfl.ch/quicksearch.php?gene+name=Rv1528c&amp;submit=Search")</f>
        <v>http://tuberculist.epfl.ch/quicksearch.php?gene+name=Rv1528c&amp;submit=Search</v>
      </c>
    </row>
    <row r="1574" spans="1:11">
      <c r="A1574" t="s">
        <v>8373</v>
      </c>
      <c r="B1574" t="s">
        <v>2937</v>
      </c>
      <c r="C1574" t="s">
        <v>9567</v>
      </c>
      <c r="D1574" t="s">
        <v>9812</v>
      </c>
      <c r="E1574" t="s">
        <v>13164</v>
      </c>
      <c r="F1574" t="s">
        <v>13165</v>
      </c>
      <c r="G1574" t="s">
        <v>19219</v>
      </c>
      <c r="H1574" t="s">
        <v>19214</v>
      </c>
      <c r="I1574" t="s">
        <v>18779</v>
      </c>
      <c r="K1574" t="str">
        <f>HYPERLINK("http://tuberculist.epfl.ch/quicksearch.php?gene+name=Rv1529&amp;submit=Search")</f>
        <v>http://tuberculist.epfl.ch/quicksearch.php?gene+name=Rv1529&amp;submit=Search</v>
      </c>
    </row>
    <row r="1575" spans="1:11">
      <c r="A1575" t="s">
        <v>5833</v>
      </c>
      <c r="B1575" t="s">
        <v>1670</v>
      </c>
      <c r="C1575" t="s">
        <v>9567</v>
      </c>
      <c r="D1575" t="s">
        <v>13166</v>
      </c>
      <c r="E1575" t="s">
        <v>13167</v>
      </c>
      <c r="F1575" t="s">
        <v>13168</v>
      </c>
      <c r="G1575" t="s">
        <v>19195</v>
      </c>
      <c r="H1575" t="s">
        <v>19233</v>
      </c>
      <c r="I1575" t="s">
        <v>18793</v>
      </c>
      <c r="K1575" t="str">
        <f>HYPERLINK("http://tuberculist.epfl.ch/quicksearch.php?gene+name=Rv1530&amp;submit=Search")</f>
        <v>http://tuberculist.epfl.ch/quicksearch.php?gene+name=Rv1530&amp;submit=Search</v>
      </c>
    </row>
    <row r="1576" spans="1:11">
      <c r="A1576" t="s">
        <v>2313</v>
      </c>
      <c r="B1576" t="s">
        <v>2313</v>
      </c>
      <c r="C1576" t="s">
        <v>9567</v>
      </c>
      <c r="D1576" t="s">
        <v>9587</v>
      </c>
      <c r="E1576" t="s">
        <v>9665</v>
      </c>
      <c r="F1576" t="s">
        <v>13169</v>
      </c>
      <c r="G1576" t="s">
        <v>19204</v>
      </c>
      <c r="H1576" t="s">
        <v>19229</v>
      </c>
      <c r="I1576" t="s">
        <v>18779</v>
      </c>
      <c r="K1576" t="str">
        <f>HYPERLINK("http://tuberculist.epfl.ch/quicksearch.php?gene+name=Rv1531&amp;submit=Search")</f>
        <v>http://tuberculist.epfl.ch/quicksearch.php?gene+name=Rv1531&amp;submit=Search</v>
      </c>
    </row>
    <row r="1577" spans="1:11">
      <c r="A1577" t="s">
        <v>3093</v>
      </c>
      <c r="B1577" t="s">
        <v>3093</v>
      </c>
      <c r="C1577" t="s">
        <v>9567</v>
      </c>
      <c r="D1577" t="s">
        <v>9578</v>
      </c>
      <c r="E1577" t="s">
        <v>9579</v>
      </c>
      <c r="F1577" t="s">
        <v>13170</v>
      </c>
      <c r="G1577" t="s">
        <v>19208</v>
      </c>
      <c r="H1577" t="s">
        <v>19213</v>
      </c>
      <c r="I1577" t="s">
        <v>18780</v>
      </c>
      <c r="K1577" t="str">
        <f>HYPERLINK("http://tuberculist.epfl.ch/quicksearch.php?gene+name=Rv1532c&amp;submit=Search")</f>
        <v>http://tuberculist.epfl.ch/quicksearch.php?gene+name=Rv1532c&amp;submit=Search</v>
      </c>
    </row>
    <row r="1578" spans="1:11">
      <c r="A1578" t="s">
        <v>1507</v>
      </c>
      <c r="B1578" t="s">
        <v>1507</v>
      </c>
      <c r="C1578" t="s">
        <v>9567</v>
      </c>
      <c r="D1578" t="s">
        <v>9587</v>
      </c>
      <c r="E1578" t="s">
        <v>9665</v>
      </c>
      <c r="F1578" t="s">
        <v>13171</v>
      </c>
      <c r="G1578" t="s">
        <v>19212</v>
      </c>
      <c r="H1578" t="s">
        <v>19233</v>
      </c>
      <c r="I1578" t="s">
        <v>18780</v>
      </c>
      <c r="K1578" t="str">
        <f>HYPERLINK("http://tuberculist.epfl.ch/quicksearch.php?gene+name=Rv1533&amp;submit=Search")</f>
        <v>http://tuberculist.epfl.ch/quicksearch.php?gene+name=Rv1533&amp;submit=Search</v>
      </c>
    </row>
    <row r="1579" spans="1:11">
      <c r="A1579" t="s">
        <v>2547</v>
      </c>
      <c r="B1579" t="s">
        <v>2547</v>
      </c>
      <c r="C1579" t="s">
        <v>9567</v>
      </c>
      <c r="D1579" t="s">
        <v>13172</v>
      </c>
      <c r="E1579" t="s">
        <v>13173</v>
      </c>
      <c r="F1579" t="s">
        <v>13174</v>
      </c>
      <c r="G1579" t="s">
        <v>19197</v>
      </c>
      <c r="I1579" t="s">
        <v>18780</v>
      </c>
      <c r="K1579" t="str">
        <f>HYPERLINK("http://tuberculist.epfl.ch/quicksearch.php?gene+name=Rv1534&amp;submit=Search")</f>
        <v>http://tuberculist.epfl.ch/quicksearch.php?gene+name=Rv1534&amp;submit=Search</v>
      </c>
    </row>
    <row r="1580" spans="1:11">
      <c r="A1580" t="s">
        <v>3256</v>
      </c>
      <c r="B1580" t="s">
        <v>3256</v>
      </c>
      <c r="C1580" t="s">
        <v>9567</v>
      </c>
      <c r="D1580" t="s">
        <v>9587</v>
      </c>
      <c r="E1580" t="s">
        <v>9768</v>
      </c>
      <c r="F1580" t="s">
        <v>13175</v>
      </c>
      <c r="G1580" t="s">
        <v>19185</v>
      </c>
      <c r="H1580" t="s">
        <v>19272</v>
      </c>
      <c r="I1580" t="s">
        <v>18780</v>
      </c>
      <c r="J1580" t="s">
        <v>18980</v>
      </c>
      <c r="K1580" t="str">
        <f>HYPERLINK("http://tuberculist.epfl.ch/quicksearch.php?gene+name=Rv1535&amp;submit=Search")</f>
        <v>http://tuberculist.epfl.ch/quicksearch.php?gene+name=Rv1535&amp;submit=Search</v>
      </c>
    </row>
    <row r="1581" spans="1:11">
      <c r="A1581" t="s">
        <v>5878</v>
      </c>
      <c r="B1581" t="s">
        <v>1692</v>
      </c>
      <c r="C1581" t="s">
        <v>9567</v>
      </c>
      <c r="D1581" t="s">
        <v>13176</v>
      </c>
      <c r="E1581" t="s">
        <v>13177</v>
      </c>
      <c r="F1581" t="s">
        <v>13178</v>
      </c>
      <c r="G1581" t="s">
        <v>19181</v>
      </c>
      <c r="H1581" t="s">
        <v>19711</v>
      </c>
      <c r="I1581" t="s">
        <v>18981</v>
      </c>
      <c r="K1581" t="str">
        <f>HYPERLINK("http://tuberculist.epfl.ch/quicksearch.php?gene+name=Rv1536&amp;submit=Search")</f>
        <v>http://tuberculist.epfl.ch/quicksearch.php?gene+name=Rv1536&amp;submit=Search</v>
      </c>
    </row>
    <row r="1582" spans="1:11">
      <c r="A1582" t="s">
        <v>5253</v>
      </c>
      <c r="B1582" t="s">
        <v>1378</v>
      </c>
      <c r="C1582" t="s">
        <v>9567</v>
      </c>
      <c r="D1582" t="s">
        <v>13179</v>
      </c>
      <c r="E1582" t="s">
        <v>13180</v>
      </c>
      <c r="F1582" t="s">
        <v>13181</v>
      </c>
      <c r="G1582" t="s">
        <v>19181</v>
      </c>
      <c r="H1582" t="s">
        <v>19302</v>
      </c>
      <c r="I1582" t="s">
        <v>18780</v>
      </c>
      <c r="K1582" t="str">
        <f>HYPERLINK("http://tuberculist.epfl.ch/quicksearch.php?gene+name=Rv1537&amp;submit=Search")</f>
        <v>http://tuberculist.epfl.ch/quicksearch.php?gene+name=Rv1537&amp;submit=Search</v>
      </c>
    </row>
    <row r="1583" spans="1:11">
      <c r="A1583" t="s">
        <v>8549</v>
      </c>
      <c r="B1583" t="s">
        <v>3018</v>
      </c>
      <c r="C1583" t="s">
        <v>9567</v>
      </c>
      <c r="D1583" t="s">
        <v>13182</v>
      </c>
      <c r="E1583" t="s">
        <v>13183</v>
      </c>
      <c r="F1583" t="s">
        <v>13184</v>
      </c>
      <c r="G1583" t="s">
        <v>19195</v>
      </c>
      <c r="H1583" t="s">
        <v>19233</v>
      </c>
      <c r="I1583" t="s">
        <v>18788</v>
      </c>
      <c r="K1583" t="str">
        <f>HYPERLINK("http://tuberculist.epfl.ch/quicksearch.php?gene+name=Rv1538c&amp;submit=Search")</f>
        <v>http://tuberculist.epfl.ch/quicksearch.php?gene+name=Rv1538c&amp;submit=Search</v>
      </c>
    </row>
    <row r="1584" spans="1:11">
      <c r="A1584" t="s">
        <v>6622</v>
      </c>
      <c r="B1584" t="s">
        <v>2072</v>
      </c>
      <c r="C1584" t="s">
        <v>9567</v>
      </c>
      <c r="D1584" t="s">
        <v>13185</v>
      </c>
      <c r="E1584" t="s">
        <v>13186</v>
      </c>
      <c r="F1584" t="s">
        <v>13187</v>
      </c>
      <c r="G1584" t="s">
        <v>19188</v>
      </c>
      <c r="H1584" t="s">
        <v>19214</v>
      </c>
      <c r="I1584" t="s">
        <v>18774</v>
      </c>
      <c r="K1584" t="str">
        <f>HYPERLINK("http://tuberculist.epfl.ch/quicksearch.php?gene+name=Rv1539&amp;submit=Search")</f>
        <v>http://tuberculist.epfl.ch/quicksearch.php?gene+name=Rv1539&amp;submit=Search</v>
      </c>
    </row>
    <row r="1585" spans="1:11">
      <c r="A1585" t="s">
        <v>3041</v>
      </c>
      <c r="B1585" t="s">
        <v>3041</v>
      </c>
      <c r="C1585" t="s">
        <v>9567</v>
      </c>
      <c r="D1585" t="s">
        <v>9578</v>
      </c>
      <c r="E1585" t="s">
        <v>13188</v>
      </c>
      <c r="F1585" t="s">
        <v>13189</v>
      </c>
      <c r="G1585" t="s">
        <v>19185</v>
      </c>
      <c r="H1585" t="s">
        <v>19214</v>
      </c>
      <c r="I1585" t="s">
        <v>18776</v>
      </c>
      <c r="K1585" t="str">
        <f>HYPERLINK("http://tuberculist.epfl.ch/quicksearch.php?gene+name=Rv1540&amp;submit=Search")</f>
        <v>http://tuberculist.epfl.ch/quicksearch.php?gene+name=Rv1540&amp;submit=Search</v>
      </c>
    </row>
    <row r="1586" spans="1:11">
      <c r="A1586" t="s">
        <v>4167</v>
      </c>
      <c r="B1586" t="s">
        <v>845</v>
      </c>
      <c r="C1586" t="s">
        <v>9567</v>
      </c>
      <c r="D1586" t="s">
        <v>9587</v>
      </c>
      <c r="E1586" t="s">
        <v>13190</v>
      </c>
      <c r="F1586" t="s">
        <v>13191</v>
      </c>
      <c r="G1586" t="s">
        <v>19188</v>
      </c>
      <c r="H1586" t="s">
        <v>19712</v>
      </c>
      <c r="I1586" t="s">
        <v>18780</v>
      </c>
      <c r="K1586" t="str">
        <f>HYPERLINK("http://tuberculist.epfl.ch/quicksearch.php?gene+name=Rv1541c&amp;submit=Search")</f>
        <v>http://tuberculist.epfl.ch/quicksearch.php?gene+name=Rv1541c&amp;submit=Search</v>
      </c>
    </row>
    <row r="1587" spans="1:11">
      <c r="A1587" t="s">
        <v>13192</v>
      </c>
      <c r="B1587" t="s">
        <v>13193</v>
      </c>
      <c r="C1587" t="s">
        <v>9567</v>
      </c>
      <c r="D1587" t="s">
        <v>13194</v>
      </c>
      <c r="E1587" t="s">
        <v>13195</v>
      </c>
      <c r="F1587" t="s">
        <v>13196</v>
      </c>
      <c r="G1587" t="s">
        <v>19195</v>
      </c>
      <c r="H1587" t="s">
        <v>19233</v>
      </c>
      <c r="I1587" t="s">
        <v>18789</v>
      </c>
      <c r="K1587" t="str">
        <f>HYPERLINK("http://tuberculist.epfl.ch/quicksearch.php?gene+name=Rv1542c&amp;submit=Search")</f>
        <v>http://tuberculist.epfl.ch/quicksearch.php?gene+name=Rv1542c&amp;submit=Search</v>
      </c>
    </row>
    <row r="1588" spans="1:11">
      <c r="A1588" t="s">
        <v>1968</v>
      </c>
      <c r="B1588" t="s">
        <v>1968</v>
      </c>
      <c r="C1588" t="s">
        <v>9567</v>
      </c>
      <c r="D1588" t="s">
        <v>13197</v>
      </c>
      <c r="E1588" t="s">
        <v>13198</v>
      </c>
      <c r="F1588" t="s">
        <v>13199</v>
      </c>
      <c r="G1588" t="s">
        <v>19219</v>
      </c>
      <c r="H1588" t="s">
        <v>19713</v>
      </c>
      <c r="I1588" t="s">
        <v>18780</v>
      </c>
      <c r="K1588" t="str">
        <f>HYPERLINK("http://tuberculist.epfl.ch/quicksearch.php?gene+name=Rv1543&amp;submit=Search")</f>
        <v>http://tuberculist.epfl.ch/quicksearch.php?gene+name=Rv1543&amp;submit=Search</v>
      </c>
    </row>
    <row r="1589" spans="1:11">
      <c r="A1589" t="s">
        <v>2406</v>
      </c>
      <c r="B1589" t="s">
        <v>2406</v>
      </c>
      <c r="C1589" t="s">
        <v>9567</v>
      </c>
      <c r="D1589" t="s">
        <v>13200</v>
      </c>
      <c r="E1589" t="s">
        <v>13201</v>
      </c>
      <c r="F1589" t="s">
        <v>13202</v>
      </c>
      <c r="G1589" t="s">
        <v>19219</v>
      </c>
      <c r="H1589" t="s">
        <v>19714</v>
      </c>
      <c r="I1589" t="s">
        <v>18780</v>
      </c>
      <c r="K1589" t="str">
        <f>HYPERLINK("http://tuberculist.epfl.ch/quicksearch.php?gene+name=Rv1544&amp;submit=Search")</f>
        <v>http://tuberculist.epfl.ch/quicksearch.php?gene+name=Rv1544&amp;submit=Search</v>
      </c>
    </row>
    <row r="1590" spans="1:11">
      <c r="A1590" t="s">
        <v>13203</v>
      </c>
      <c r="B1590" t="s">
        <v>13203</v>
      </c>
      <c r="C1590" t="s">
        <v>9567</v>
      </c>
      <c r="D1590" t="s">
        <v>9587</v>
      </c>
      <c r="E1590" t="s">
        <v>9713</v>
      </c>
      <c r="F1590" t="s">
        <v>13204</v>
      </c>
      <c r="G1590" t="s">
        <v>19220</v>
      </c>
      <c r="I1590" t="s">
        <v>18780</v>
      </c>
      <c r="K1590" t="str">
        <f>HYPERLINK("http://tuberculist.epfl.ch/quicksearch.php?gene+name=Rv1545&amp;submit=Search")</f>
        <v>http://tuberculist.epfl.ch/quicksearch.php?gene+name=Rv1545&amp;submit=Search</v>
      </c>
    </row>
    <row r="1591" spans="1:11">
      <c r="A1591" t="s">
        <v>1745</v>
      </c>
      <c r="B1591" t="s">
        <v>1745</v>
      </c>
      <c r="C1591" t="s">
        <v>9567</v>
      </c>
      <c r="D1591" t="s">
        <v>9578</v>
      </c>
      <c r="E1591" t="s">
        <v>9665</v>
      </c>
      <c r="F1591" t="s">
        <v>13205</v>
      </c>
      <c r="G1591" t="s">
        <v>19220</v>
      </c>
      <c r="H1591" t="s">
        <v>19225</v>
      </c>
      <c r="I1591" t="s">
        <v>18789</v>
      </c>
      <c r="K1591" t="str">
        <f>HYPERLINK("http://tuberculist.epfl.ch/quicksearch.php?gene+name=Rv1546&amp;submit=Search")</f>
        <v>http://tuberculist.epfl.ch/quicksearch.php?gene+name=Rv1546&amp;submit=Search</v>
      </c>
    </row>
    <row r="1592" spans="1:11">
      <c r="A1592" t="s">
        <v>13206</v>
      </c>
      <c r="B1592" t="s">
        <v>2143</v>
      </c>
      <c r="C1592" t="s">
        <v>9567</v>
      </c>
      <c r="D1592" t="s">
        <v>13207</v>
      </c>
      <c r="E1592" t="s">
        <v>13208</v>
      </c>
      <c r="F1592" t="s">
        <v>13209</v>
      </c>
      <c r="G1592" t="s">
        <v>19181</v>
      </c>
      <c r="H1592" t="s">
        <v>19669</v>
      </c>
      <c r="I1592" t="s">
        <v>18774</v>
      </c>
      <c r="K1592" t="str">
        <f>HYPERLINK("http://tuberculist.epfl.ch/quicksearch.php?gene+name=Rv1547&amp;submit=Search")</f>
        <v>http://tuberculist.epfl.ch/quicksearch.php?gene+name=Rv1547&amp;submit=Search</v>
      </c>
    </row>
    <row r="1593" spans="1:11">
      <c r="A1593" t="s">
        <v>7278</v>
      </c>
      <c r="B1593" t="s">
        <v>2396</v>
      </c>
      <c r="C1593" t="s">
        <v>9567</v>
      </c>
      <c r="D1593" t="s">
        <v>9578</v>
      </c>
      <c r="E1593" t="s">
        <v>13210</v>
      </c>
      <c r="F1593" t="s">
        <v>13211</v>
      </c>
      <c r="G1593" t="s">
        <v>19509</v>
      </c>
      <c r="H1593" t="s">
        <v>19211</v>
      </c>
      <c r="I1593" t="s">
        <v>18818</v>
      </c>
      <c r="K1593" t="str">
        <f>HYPERLINK("http://tuberculist.epfl.ch/quicksearch.php?gene+name=Rv1548c&amp;submit=Search")</f>
        <v>http://tuberculist.epfl.ch/quicksearch.php?gene+name=Rv1548c&amp;submit=Search</v>
      </c>
    </row>
    <row r="1594" spans="1:11">
      <c r="A1594" t="s">
        <v>13212</v>
      </c>
      <c r="B1594" t="s">
        <v>13213</v>
      </c>
      <c r="C1594" t="s">
        <v>9567</v>
      </c>
      <c r="D1594" t="s">
        <v>9812</v>
      </c>
      <c r="E1594" t="s">
        <v>13214</v>
      </c>
      <c r="F1594" t="s">
        <v>13215</v>
      </c>
      <c r="G1594" t="s">
        <v>19219</v>
      </c>
      <c r="I1594" t="s">
        <v>18793</v>
      </c>
      <c r="K1594" t="str">
        <f>HYPERLINK("http://tuberculist.epfl.ch/quicksearch.php?gene+name=Rv1549&amp;submit=Search")</f>
        <v>http://tuberculist.epfl.ch/quicksearch.php?gene+name=Rv1549&amp;submit=Search</v>
      </c>
    </row>
    <row r="1595" spans="1:11">
      <c r="A1595" t="s">
        <v>4982</v>
      </c>
      <c r="B1595" t="s">
        <v>1248</v>
      </c>
      <c r="C1595" t="s">
        <v>9567</v>
      </c>
      <c r="D1595" t="s">
        <v>9812</v>
      </c>
      <c r="E1595" t="s">
        <v>13216</v>
      </c>
      <c r="F1595" t="s">
        <v>13217</v>
      </c>
      <c r="G1595" t="s">
        <v>19219</v>
      </c>
      <c r="H1595" t="s">
        <v>19263</v>
      </c>
      <c r="I1595" t="s">
        <v>18789</v>
      </c>
      <c r="K1595" t="str">
        <f>HYPERLINK("http://tuberculist.epfl.ch/quicksearch.php?gene+name=Rv1550&amp;submit=Search")</f>
        <v>http://tuberculist.epfl.ch/quicksearch.php?gene+name=Rv1550&amp;submit=Search</v>
      </c>
    </row>
    <row r="1596" spans="1:11">
      <c r="A1596" t="s">
        <v>7558</v>
      </c>
      <c r="B1596" t="s">
        <v>2533</v>
      </c>
      <c r="C1596" t="s">
        <v>9567</v>
      </c>
      <c r="D1596" t="s">
        <v>13218</v>
      </c>
      <c r="E1596" t="s">
        <v>13219</v>
      </c>
      <c r="F1596" t="s">
        <v>13220</v>
      </c>
      <c r="G1596" t="s">
        <v>19219</v>
      </c>
      <c r="H1596" t="s">
        <v>19379</v>
      </c>
      <c r="I1596" t="s">
        <v>18779</v>
      </c>
      <c r="K1596" t="str">
        <f>HYPERLINK("http://tuberculist.epfl.ch/quicksearch.php?gene+name=Rv1551&amp;submit=Search")</f>
        <v>http://tuberculist.epfl.ch/quicksearch.php?gene+name=Rv1551&amp;submit=Search</v>
      </c>
    </row>
    <row r="1597" spans="1:11">
      <c r="A1597" t="s">
        <v>13221</v>
      </c>
      <c r="B1597" t="s">
        <v>13222</v>
      </c>
      <c r="C1597" t="s">
        <v>9567</v>
      </c>
      <c r="D1597" t="s">
        <v>13223</v>
      </c>
      <c r="E1597" t="s">
        <v>13224</v>
      </c>
      <c r="F1597" t="s">
        <v>13225</v>
      </c>
      <c r="G1597" t="s">
        <v>19195</v>
      </c>
      <c r="H1597" t="s">
        <v>19252</v>
      </c>
      <c r="I1597" t="s">
        <v>18773</v>
      </c>
      <c r="J1597" t="s">
        <v>18822</v>
      </c>
      <c r="K1597" t="str">
        <f>HYPERLINK("http://tuberculist.epfl.ch/quicksearch.php?gene+name=Rv1552&amp;submit=Search")</f>
        <v>http://tuberculist.epfl.ch/quicksearch.php?gene+name=Rv1552&amp;submit=Search</v>
      </c>
    </row>
    <row r="1598" spans="1:11">
      <c r="A1598" t="s">
        <v>13226</v>
      </c>
      <c r="B1598" t="s">
        <v>13227</v>
      </c>
      <c r="C1598" t="s">
        <v>9567</v>
      </c>
      <c r="D1598" t="s">
        <v>13223</v>
      </c>
      <c r="E1598" t="s">
        <v>13228</v>
      </c>
      <c r="F1598" t="s">
        <v>13229</v>
      </c>
      <c r="G1598" t="s">
        <v>19195</v>
      </c>
      <c r="H1598" t="s">
        <v>19274</v>
      </c>
      <c r="I1598" t="s">
        <v>18789</v>
      </c>
      <c r="K1598" t="str">
        <f>HYPERLINK("http://tuberculist.epfl.ch/quicksearch.php?gene+name=Rv1553&amp;submit=Search")</f>
        <v>http://tuberculist.epfl.ch/quicksearch.php?gene+name=Rv1553&amp;submit=Search</v>
      </c>
    </row>
    <row r="1599" spans="1:11">
      <c r="A1599" t="s">
        <v>13230</v>
      </c>
      <c r="B1599" t="s">
        <v>13231</v>
      </c>
      <c r="C1599" t="s">
        <v>9567</v>
      </c>
      <c r="D1599" t="s">
        <v>13232</v>
      </c>
      <c r="E1599" t="s">
        <v>13233</v>
      </c>
      <c r="F1599" t="s">
        <v>13234</v>
      </c>
      <c r="G1599" t="s">
        <v>19195</v>
      </c>
      <c r="I1599" t="s">
        <v>18780</v>
      </c>
      <c r="K1599" t="str">
        <f>HYPERLINK("http://tuberculist.epfl.ch/quicksearch.php?gene+name=Rv1554&amp;submit=Search")</f>
        <v>http://tuberculist.epfl.ch/quicksearch.php?gene+name=Rv1554&amp;submit=Search</v>
      </c>
    </row>
    <row r="1600" spans="1:11">
      <c r="A1600" t="s">
        <v>13235</v>
      </c>
      <c r="B1600" t="s">
        <v>13236</v>
      </c>
      <c r="C1600" t="s">
        <v>9567</v>
      </c>
      <c r="D1600" t="s">
        <v>13232</v>
      </c>
      <c r="E1600" t="s">
        <v>13237</v>
      </c>
      <c r="F1600" t="s">
        <v>13238</v>
      </c>
      <c r="G1600" t="s">
        <v>19195</v>
      </c>
      <c r="I1600" t="s">
        <v>18780</v>
      </c>
      <c r="K1600" t="str">
        <f>HYPERLINK("http://tuberculist.epfl.ch/quicksearch.php?gene+name=Rv1555&amp;submit=Search")</f>
        <v>http://tuberculist.epfl.ch/quicksearch.php?gene+name=Rv1555&amp;submit=Search</v>
      </c>
    </row>
    <row r="1601" spans="1:11">
      <c r="A1601" t="s">
        <v>13239</v>
      </c>
      <c r="B1601" t="s">
        <v>13239</v>
      </c>
      <c r="C1601" t="s">
        <v>9567</v>
      </c>
      <c r="D1601" t="s">
        <v>13172</v>
      </c>
      <c r="E1601" t="s">
        <v>13240</v>
      </c>
      <c r="F1601" t="s">
        <v>13241</v>
      </c>
      <c r="G1601" t="s">
        <v>19197</v>
      </c>
      <c r="H1601" t="s">
        <v>19213</v>
      </c>
      <c r="I1601" t="s">
        <v>18780</v>
      </c>
      <c r="K1601" t="str">
        <f>HYPERLINK("http://tuberculist.epfl.ch/quicksearch.php?gene+name=Rv1556&amp;submit=Search")</f>
        <v>http://tuberculist.epfl.ch/quicksearch.php?gene+name=Rv1556&amp;submit=Search</v>
      </c>
    </row>
    <row r="1602" spans="1:11">
      <c r="A1602" t="s">
        <v>5874</v>
      </c>
      <c r="B1602" t="s">
        <v>1690</v>
      </c>
      <c r="C1602" t="s">
        <v>9567</v>
      </c>
      <c r="D1602" t="s">
        <v>10051</v>
      </c>
      <c r="E1602" t="s">
        <v>13242</v>
      </c>
      <c r="F1602" t="s">
        <v>13243</v>
      </c>
      <c r="G1602" t="s">
        <v>19188</v>
      </c>
      <c r="H1602" t="s">
        <v>19211</v>
      </c>
      <c r="I1602" t="s">
        <v>18789</v>
      </c>
      <c r="K1602" t="str">
        <f>HYPERLINK("http://tuberculist.epfl.ch/quicksearch.php?gene+name=Rv1557&amp;submit=Search")</f>
        <v>http://tuberculist.epfl.ch/quicksearch.php?gene+name=Rv1557&amp;submit=Search</v>
      </c>
    </row>
    <row r="1603" spans="1:11">
      <c r="A1603" t="s">
        <v>570</v>
      </c>
      <c r="B1603" t="s">
        <v>570</v>
      </c>
      <c r="C1603" t="s">
        <v>9567</v>
      </c>
      <c r="D1603" t="s">
        <v>9578</v>
      </c>
      <c r="E1603" t="s">
        <v>9665</v>
      </c>
      <c r="F1603" t="s">
        <v>13244</v>
      </c>
      <c r="G1603" t="s">
        <v>19298</v>
      </c>
      <c r="H1603" t="s">
        <v>19715</v>
      </c>
      <c r="I1603" t="s">
        <v>18780</v>
      </c>
      <c r="K1603" t="str">
        <f>HYPERLINK("http://tuberculist.epfl.ch/quicksearch.php?gene+name=Rv1558&amp;submit=Search")</f>
        <v>http://tuberculist.epfl.ch/quicksearch.php?gene+name=Rv1558&amp;submit=Search</v>
      </c>
    </row>
    <row r="1604" spans="1:11">
      <c r="A1604" t="s">
        <v>8598</v>
      </c>
      <c r="B1604" t="s">
        <v>3039</v>
      </c>
      <c r="C1604" t="s">
        <v>9567</v>
      </c>
      <c r="D1604" t="s">
        <v>13245</v>
      </c>
      <c r="E1604" t="s">
        <v>13246</v>
      </c>
      <c r="F1604" t="s">
        <v>13247</v>
      </c>
      <c r="G1604" t="s">
        <v>19195</v>
      </c>
      <c r="H1604" t="s">
        <v>19716</v>
      </c>
      <c r="I1604" t="s">
        <v>18776</v>
      </c>
      <c r="K1604" t="str">
        <f>HYPERLINK("http://tuberculist.epfl.ch/quicksearch.php?gene+name=Rv1559&amp;submit=Search")</f>
        <v>http://tuberculist.epfl.ch/quicksearch.php?gene+name=Rv1559&amp;submit=Search</v>
      </c>
    </row>
    <row r="1605" spans="1:11">
      <c r="A1605" t="s">
        <v>13248</v>
      </c>
      <c r="B1605" t="s">
        <v>1379</v>
      </c>
      <c r="C1605" t="s">
        <v>9567</v>
      </c>
      <c r="D1605" t="s">
        <v>9587</v>
      </c>
      <c r="E1605" t="s">
        <v>13249</v>
      </c>
      <c r="F1605" t="s">
        <v>13250</v>
      </c>
      <c r="G1605" t="s">
        <v>19206</v>
      </c>
      <c r="I1605" t="s">
        <v>18853</v>
      </c>
      <c r="K1605" t="str">
        <f>HYPERLINK("http://tuberculist.epfl.ch/quicksearch.php?gene+name=Rv1560&amp;submit=Search")</f>
        <v>http://tuberculist.epfl.ch/quicksearch.php?gene+name=Rv1560&amp;submit=Search</v>
      </c>
    </row>
    <row r="1606" spans="1:11">
      <c r="A1606" t="s">
        <v>13251</v>
      </c>
      <c r="B1606" t="s">
        <v>13252</v>
      </c>
      <c r="C1606" t="s">
        <v>9567</v>
      </c>
      <c r="D1606" t="s">
        <v>9587</v>
      </c>
      <c r="E1606" t="s">
        <v>13253</v>
      </c>
      <c r="F1606" t="s">
        <v>13254</v>
      </c>
      <c r="G1606" t="s">
        <v>19206</v>
      </c>
      <c r="H1606" t="s">
        <v>19233</v>
      </c>
      <c r="I1606" t="s">
        <v>18779</v>
      </c>
      <c r="K1606" t="str">
        <f>HYPERLINK("http://tuberculist.epfl.ch/quicksearch.php?gene+name=Rv1561&amp;submit=Search")</f>
        <v>http://tuberculist.epfl.ch/quicksearch.php?gene+name=Rv1561&amp;submit=Search</v>
      </c>
    </row>
    <row r="1607" spans="1:11">
      <c r="A1607" t="s">
        <v>13255</v>
      </c>
      <c r="B1607" t="s">
        <v>1808</v>
      </c>
      <c r="C1607" t="s">
        <v>9567</v>
      </c>
      <c r="D1607" t="s">
        <v>13256</v>
      </c>
      <c r="E1607" t="s">
        <v>13257</v>
      </c>
      <c r="F1607" t="s">
        <v>13258</v>
      </c>
      <c r="G1607" t="s">
        <v>19206</v>
      </c>
      <c r="H1607" t="s">
        <v>19211</v>
      </c>
      <c r="I1607" t="s">
        <v>18982</v>
      </c>
      <c r="K1607" t="str">
        <f>HYPERLINK("http://tuberculist.epfl.ch/quicksearch.php?gene+name=Rv1562c&amp;submit=Search")</f>
        <v>http://tuberculist.epfl.ch/quicksearch.php?gene+name=Rv1562c&amp;submit=Search</v>
      </c>
    </row>
    <row r="1608" spans="1:11">
      <c r="A1608" t="s">
        <v>4716</v>
      </c>
      <c r="B1608" t="s">
        <v>1116</v>
      </c>
      <c r="C1608" t="s">
        <v>9567</v>
      </c>
      <c r="D1608" t="s">
        <v>13259</v>
      </c>
      <c r="E1608" t="s">
        <v>13260</v>
      </c>
      <c r="F1608" t="s">
        <v>13261</v>
      </c>
      <c r="G1608" t="s">
        <v>19206</v>
      </c>
      <c r="H1608" t="s">
        <v>19277</v>
      </c>
      <c r="I1608" t="s">
        <v>18773</v>
      </c>
      <c r="K1608" t="str">
        <f>HYPERLINK("http://tuberculist.epfl.ch/quicksearch.php?gene+name=Rv1563c&amp;submit=Search")</f>
        <v>http://tuberculist.epfl.ch/quicksearch.php?gene+name=Rv1563c&amp;submit=Search</v>
      </c>
    </row>
    <row r="1609" spans="1:11">
      <c r="A1609" t="s">
        <v>8694</v>
      </c>
      <c r="B1609" t="s">
        <v>3086</v>
      </c>
      <c r="C1609" t="s">
        <v>9567</v>
      </c>
      <c r="D1609" t="s">
        <v>13262</v>
      </c>
      <c r="E1609" t="s">
        <v>13263</v>
      </c>
      <c r="F1609" t="s">
        <v>13264</v>
      </c>
      <c r="G1609" t="s">
        <v>19206</v>
      </c>
      <c r="H1609" t="s">
        <v>19247</v>
      </c>
      <c r="I1609" t="s">
        <v>18776</v>
      </c>
      <c r="K1609" t="str">
        <f>HYPERLINK("http://tuberculist.epfl.ch/quicksearch.php?gene+name=Rv1564c&amp;submit=Search")</f>
        <v>http://tuberculist.epfl.ch/quicksearch.php?gene+name=Rv1564c&amp;submit=Search</v>
      </c>
    </row>
    <row r="1610" spans="1:11">
      <c r="A1610" t="s">
        <v>1281</v>
      </c>
      <c r="B1610" t="s">
        <v>1281</v>
      </c>
      <c r="C1610" t="s">
        <v>9567</v>
      </c>
      <c r="D1610" t="s">
        <v>9587</v>
      </c>
      <c r="E1610" t="s">
        <v>12258</v>
      </c>
      <c r="F1610" t="s">
        <v>13265</v>
      </c>
      <c r="G1610" t="s">
        <v>19188</v>
      </c>
      <c r="H1610" t="s">
        <v>19260</v>
      </c>
      <c r="I1610" t="s">
        <v>18845</v>
      </c>
      <c r="K1610" t="str">
        <f>HYPERLINK("http://tuberculist.epfl.ch/quicksearch.php?gene+name=Rv1565c&amp;submit=Search")</f>
        <v>http://tuberculist.epfl.ch/quicksearch.php?gene+name=Rv1565c&amp;submit=Search</v>
      </c>
    </row>
    <row r="1611" spans="1:11">
      <c r="A1611" t="s">
        <v>630</v>
      </c>
      <c r="B1611" t="s">
        <v>630</v>
      </c>
      <c r="C1611" t="s">
        <v>9567</v>
      </c>
      <c r="D1611" t="s">
        <v>9587</v>
      </c>
      <c r="E1611" t="s">
        <v>13266</v>
      </c>
      <c r="F1611" t="s">
        <v>13267</v>
      </c>
      <c r="G1611" t="s">
        <v>19206</v>
      </c>
      <c r="H1611" t="s">
        <v>19233</v>
      </c>
      <c r="I1611" t="s">
        <v>18780</v>
      </c>
      <c r="K1611" t="str">
        <f>HYPERLINK("http://tuberculist.epfl.ch/quicksearch.php?gene+name=Rv1566c&amp;submit=Search")</f>
        <v>http://tuberculist.epfl.ch/quicksearch.php?gene+name=Rv1566c&amp;submit=Search</v>
      </c>
    </row>
    <row r="1612" spans="1:11">
      <c r="A1612" t="s">
        <v>2649</v>
      </c>
      <c r="B1612" t="s">
        <v>2649</v>
      </c>
      <c r="C1612" t="s">
        <v>9567</v>
      </c>
      <c r="D1612" t="s">
        <v>9587</v>
      </c>
      <c r="E1612" t="s">
        <v>13268</v>
      </c>
      <c r="F1612" t="s">
        <v>13269</v>
      </c>
      <c r="G1612" t="s">
        <v>19188</v>
      </c>
      <c r="H1612" t="s">
        <v>19668</v>
      </c>
      <c r="I1612" t="s">
        <v>18789</v>
      </c>
      <c r="K1612" t="str">
        <f>HYPERLINK("http://tuberculist.epfl.ch/quicksearch.php?gene+name=Rv1567c&amp;submit=Search")</f>
        <v>http://tuberculist.epfl.ch/quicksearch.php?gene+name=Rv1567c&amp;submit=Search</v>
      </c>
    </row>
    <row r="1613" spans="1:11">
      <c r="A1613" t="s">
        <v>6988</v>
      </c>
      <c r="B1613" t="s">
        <v>2253</v>
      </c>
      <c r="C1613" t="s">
        <v>9567</v>
      </c>
      <c r="D1613" t="s">
        <v>13270</v>
      </c>
      <c r="E1613" t="s">
        <v>13271</v>
      </c>
      <c r="F1613" t="s">
        <v>13272</v>
      </c>
      <c r="G1613" t="s">
        <v>19195</v>
      </c>
      <c r="H1613" t="s">
        <v>19516</v>
      </c>
      <c r="I1613" t="s">
        <v>18846</v>
      </c>
      <c r="K1613" t="str">
        <f>HYPERLINK("http://tuberculist.epfl.ch/quicksearch.php?gene+name=Rv1568&amp;submit=Search")</f>
        <v>http://tuberculist.epfl.ch/quicksearch.php?gene+name=Rv1568&amp;submit=Search</v>
      </c>
    </row>
    <row r="1614" spans="1:11">
      <c r="A1614" t="s">
        <v>7051</v>
      </c>
      <c r="B1614" t="s">
        <v>2284</v>
      </c>
      <c r="C1614" t="s">
        <v>9567</v>
      </c>
      <c r="D1614" t="s">
        <v>13273</v>
      </c>
      <c r="E1614" t="s">
        <v>13274</v>
      </c>
      <c r="F1614" t="s">
        <v>13275</v>
      </c>
      <c r="G1614" t="s">
        <v>19195</v>
      </c>
      <c r="H1614" t="s">
        <v>19207</v>
      </c>
      <c r="I1614" t="s">
        <v>18944</v>
      </c>
      <c r="K1614" t="str">
        <f>HYPERLINK("http://tuberculist.epfl.ch/quicksearch.php?gene+name=Rv1569&amp;submit=Search")</f>
        <v>http://tuberculist.epfl.ch/quicksearch.php?gene+name=Rv1569&amp;submit=Search</v>
      </c>
    </row>
    <row r="1615" spans="1:11">
      <c r="A1615" t="s">
        <v>13276</v>
      </c>
      <c r="B1615" t="s">
        <v>13277</v>
      </c>
      <c r="C1615" t="s">
        <v>9567</v>
      </c>
      <c r="D1615" t="s">
        <v>13278</v>
      </c>
      <c r="E1615" t="s">
        <v>13279</v>
      </c>
      <c r="F1615" t="s">
        <v>13280</v>
      </c>
      <c r="G1615" t="s">
        <v>19195</v>
      </c>
      <c r="H1615" t="s">
        <v>19367</v>
      </c>
      <c r="I1615" t="s">
        <v>18779</v>
      </c>
      <c r="K1615" t="str">
        <f>HYPERLINK("http://tuberculist.epfl.ch/quicksearch.php?gene+name=Rv1570&amp;submit=Search")</f>
        <v>http://tuberculist.epfl.ch/quicksearch.php?gene+name=Rv1570&amp;submit=Search</v>
      </c>
    </row>
    <row r="1616" spans="1:11">
      <c r="A1616" t="s">
        <v>13281</v>
      </c>
      <c r="B1616" t="s">
        <v>13281</v>
      </c>
      <c r="C1616" t="s">
        <v>9567</v>
      </c>
      <c r="D1616" t="s">
        <v>9578</v>
      </c>
      <c r="E1616" t="s">
        <v>9665</v>
      </c>
      <c r="F1616" t="s">
        <v>13282</v>
      </c>
      <c r="G1616" t="s">
        <v>19204</v>
      </c>
      <c r="H1616" t="s">
        <v>19233</v>
      </c>
      <c r="I1616" t="s">
        <v>18773</v>
      </c>
      <c r="K1616" t="str">
        <f>HYPERLINK("http://tuberculist.epfl.ch/quicksearch.php?gene+name=Rv1571&amp;submit=Search")</f>
        <v>http://tuberculist.epfl.ch/quicksearch.php?gene+name=Rv1571&amp;submit=Search</v>
      </c>
    </row>
    <row r="1617" spans="1:11">
      <c r="A1617" t="s">
        <v>13283</v>
      </c>
      <c r="B1617" t="s">
        <v>13283</v>
      </c>
      <c r="C1617" t="s">
        <v>9567</v>
      </c>
      <c r="D1617" t="s">
        <v>9587</v>
      </c>
      <c r="E1617" t="s">
        <v>9579</v>
      </c>
      <c r="F1617" t="s">
        <v>13284</v>
      </c>
      <c r="G1617" t="s">
        <v>19217</v>
      </c>
      <c r="I1617" t="s">
        <v>18802</v>
      </c>
      <c r="K1617" t="str">
        <f>HYPERLINK("http://tuberculist.epfl.ch/quicksearch.php?gene+name=Rv1572c&amp;submit=Search")</f>
        <v>http://tuberculist.epfl.ch/quicksearch.php?gene+name=Rv1572c&amp;submit=Search</v>
      </c>
    </row>
    <row r="1618" spans="1:11">
      <c r="A1618" t="s">
        <v>13285</v>
      </c>
      <c r="B1618" t="s">
        <v>13285</v>
      </c>
      <c r="C1618" t="s">
        <v>9567</v>
      </c>
      <c r="D1618" t="s">
        <v>9587</v>
      </c>
      <c r="E1618" t="s">
        <v>13286</v>
      </c>
      <c r="F1618" t="s">
        <v>13287</v>
      </c>
      <c r="G1618" t="s">
        <v>19217</v>
      </c>
      <c r="I1618" t="s">
        <v>18802</v>
      </c>
      <c r="K1618" t="str">
        <f>HYPERLINK("http://tuberculist.epfl.ch/quicksearch.php?gene+name=Rv1573&amp;submit=Search")</f>
        <v>http://tuberculist.epfl.ch/quicksearch.php?gene+name=Rv1573&amp;submit=Search</v>
      </c>
    </row>
    <row r="1619" spans="1:11">
      <c r="A1619" t="s">
        <v>13288</v>
      </c>
      <c r="B1619" t="s">
        <v>13288</v>
      </c>
      <c r="C1619" t="s">
        <v>9567</v>
      </c>
      <c r="D1619" t="s">
        <v>9587</v>
      </c>
      <c r="E1619" t="s">
        <v>13289</v>
      </c>
      <c r="F1619" t="s">
        <v>13290</v>
      </c>
      <c r="G1619" t="s">
        <v>19217</v>
      </c>
      <c r="I1619" t="s">
        <v>18802</v>
      </c>
      <c r="K1619" t="str">
        <f>HYPERLINK("http://tuberculist.epfl.ch/quicksearch.php?gene+name=Rv1574&amp;submit=Search")</f>
        <v>http://tuberculist.epfl.ch/quicksearch.php?gene+name=Rv1574&amp;submit=Search</v>
      </c>
    </row>
    <row r="1620" spans="1:11">
      <c r="A1620" t="s">
        <v>13291</v>
      </c>
      <c r="B1620" t="s">
        <v>13291</v>
      </c>
      <c r="C1620" t="s">
        <v>9567</v>
      </c>
      <c r="D1620" t="s">
        <v>9587</v>
      </c>
      <c r="E1620" t="s">
        <v>13286</v>
      </c>
      <c r="F1620" t="s">
        <v>13292</v>
      </c>
      <c r="G1620" t="s">
        <v>19217</v>
      </c>
      <c r="H1620" t="s">
        <v>19215</v>
      </c>
      <c r="I1620" t="s">
        <v>18802</v>
      </c>
      <c r="K1620" t="str">
        <f>HYPERLINK("http://tuberculist.epfl.ch/quicksearch.php?gene+name=Rv1575&amp;submit=Search")</f>
        <v>http://tuberculist.epfl.ch/quicksearch.php?gene+name=Rv1575&amp;submit=Search</v>
      </c>
    </row>
    <row r="1621" spans="1:11">
      <c r="A1621" t="s">
        <v>13293</v>
      </c>
      <c r="B1621" t="s">
        <v>13293</v>
      </c>
      <c r="C1621" t="s">
        <v>9567</v>
      </c>
      <c r="D1621" t="s">
        <v>9587</v>
      </c>
      <c r="E1621" t="s">
        <v>13286</v>
      </c>
      <c r="F1621" t="s">
        <v>13294</v>
      </c>
      <c r="G1621" t="s">
        <v>19217</v>
      </c>
      <c r="H1621" t="s">
        <v>19215</v>
      </c>
      <c r="I1621" t="s">
        <v>18803</v>
      </c>
      <c r="K1621" t="str">
        <f>HYPERLINK("http://tuberculist.epfl.ch/quicksearch.php?gene+name=Rv1576c&amp;submit=Search")</f>
        <v>http://tuberculist.epfl.ch/quicksearch.php?gene+name=Rv1576c&amp;submit=Search</v>
      </c>
    </row>
    <row r="1622" spans="1:11">
      <c r="A1622" t="s">
        <v>13295</v>
      </c>
      <c r="B1622" t="s">
        <v>13295</v>
      </c>
      <c r="C1622" t="s">
        <v>9567</v>
      </c>
      <c r="D1622" t="s">
        <v>9587</v>
      </c>
      <c r="E1622" t="s">
        <v>13286</v>
      </c>
      <c r="F1622" t="s">
        <v>13296</v>
      </c>
      <c r="G1622" t="s">
        <v>19217</v>
      </c>
      <c r="I1622" t="s">
        <v>18802</v>
      </c>
      <c r="K1622" t="str">
        <f>HYPERLINK("http://tuberculist.epfl.ch/quicksearch.php?gene+name=Rv1577c&amp;submit=Search")</f>
        <v>http://tuberculist.epfl.ch/quicksearch.php?gene+name=Rv1577c&amp;submit=Search</v>
      </c>
    </row>
    <row r="1623" spans="1:11">
      <c r="A1623" t="s">
        <v>13297</v>
      </c>
      <c r="B1623" t="s">
        <v>13297</v>
      </c>
      <c r="C1623" t="s">
        <v>9567</v>
      </c>
      <c r="D1623" t="s">
        <v>9587</v>
      </c>
      <c r="E1623" t="s">
        <v>13286</v>
      </c>
      <c r="F1623" t="s">
        <v>13298</v>
      </c>
      <c r="G1623" t="s">
        <v>19217</v>
      </c>
      <c r="I1623" t="s">
        <v>18802</v>
      </c>
      <c r="K1623" t="str">
        <f>HYPERLINK("http://tuberculist.epfl.ch/quicksearch.php?gene+name=Rv1578c&amp;submit=Search")</f>
        <v>http://tuberculist.epfl.ch/quicksearch.php?gene+name=Rv1578c&amp;submit=Search</v>
      </c>
    </row>
    <row r="1624" spans="1:11">
      <c r="A1624" t="s">
        <v>13299</v>
      </c>
      <c r="B1624" t="s">
        <v>13299</v>
      </c>
      <c r="C1624" t="s">
        <v>9567</v>
      </c>
      <c r="D1624" t="s">
        <v>9587</v>
      </c>
      <c r="E1624" t="s">
        <v>13286</v>
      </c>
      <c r="F1624" t="s">
        <v>13300</v>
      </c>
      <c r="G1624" t="s">
        <v>19217</v>
      </c>
      <c r="I1624" t="s">
        <v>18802</v>
      </c>
      <c r="K1624" t="str">
        <f>HYPERLINK("http://tuberculist.epfl.ch/quicksearch.php?gene+name=Rv1579c&amp;submit=Search")</f>
        <v>http://tuberculist.epfl.ch/quicksearch.php?gene+name=Rv1579c&amp;submit=Search</v>
      </c>
    </row>
    <row r="1625" spans="1:11">
      <c r="A1625" t="s">
        <v>13301</v>
      </c>
      <c r="B1625" t="s">
        <v>13301</v>
      </c>
      <c r="C1625" t="s">
        <v>9567</v>
      </c>
      <c r="D1625" t="s">
        <v>9587</v>
      </c>
      <c r="E1625" t="s">
        <v>13286</v>
      </c>
      <c r="F1625" t="s">
        <v>13302</v>
      </c>
      <c r="G1625" t="s">
        <v>19217</v>
      </c>
      <c r="I1625" t="s">
        <v>18804</v>
      </c>
      <c r="K1625" t="str">
        <f>HYPERLINK("http://tuberculist.epfl.ch/quicksearch.php?gene+name=Rv1580c&amp;submit=Search")</f>
        <v>http://tuberculist.epfl.ch/quicksearch.php?gene+name=Rv1580c&amp;submit=Search</v>
      </c>
    </row>
    <row r="1626" spans="1:11">
      <c r="A1626" t="s">
        <v>13303</v>
      </c>
      <c r="B1626" t="s">
        <v>13303</v>
      </c>
      <c r="C1626" t="s">
        <v>9567</v>
      </c>
      <c r="D1626" t="s">
        <v>9587</v>
      </c>
      <c r="E1626" t="s">
        <v>13286</v>
      </c>
      <c r="F1626" t="s">
        <v>13304</v>
      </c>
      <c r="G1626" t="s">
        <v>19217</v>
      </c>
      <c r="I1626" t="s">
        <v>18804</v>
      </c>
      <c r="K1626" t="str">
        <f>HYPERLINK("http://tuberculist.epfl.ch/quicksearch.php?gene+name=Rv1581c&amp;submit=Search")</f>
        <v>http://tuberculist.epfl.ch/quicksearch.php?gene+name=Rv1581c&amp;submit=Search</v>
      </c>
    </row>
    <row r="1627" spans="1:11">
      <c r="A1627" t="s">
        <v>13305</v>
      </c>
      <c r="B1627" t="s">
        <v>13305</v>
      </c>
      <c r="C1627" t="s">
        <v>9567</v>
      </c>
      <c r="D1627" t="s">
        <v>9587</v>
      </c>
      <c r="E1627" t="s">
        <v>13286</v>
      </c>
      <c r="F1627" t="s">
        <v>13306</v>
      </c>
      <c r="G1627" t="s">
        <v>19217</v>
      </c>
      <c r="H1627" t="s">
        <v>19342</v>
      </c>
      <c r="I1627" t="s">
        <v>18803</v>
      </c>
      <c r="K1627" t="str">
        <f>HYPERLINK("http://tuberculist.epfl.ch/quicksearch.php?gene+name=Rv1582c&amp;submit=Search")</f>
        <v>http://tuberculist.epfl.ch/quicksearch.php?gene+name=Rv1582c&amp;submit=Search</v>
      </c>
    </row>
    <row r="1628" spans="1:11">
      <c r="A1628" t="s">
        <v>13307</v>
      </c>
      <c r="B1628" t="s">
        <v>13307</v>
      </c>
      <c r="C1628" t="s">
        <v>9567</v>
      </c>
      <c r="D1628" t="s">
        <v>9587</v>
      </c>
      <c r="E1628" t="s">
        <v>13286</v>
      </c>
      <c r="F1628" t="s">
        <v>13308</v>
      </c>
      <c r="G1628" t="s">
        <v>19217</v>
      </c>
      <c r="I1628" t="s">
        <v>18804</v>
      </c>
      <c r="K1628" t="str">
        <f>HYPERLINK("http://tuberculist.epfl.ch/quicksearch.php?gene+name=Rv1583c&amp;submit=Search")</f>
        <v>http://tuberculist.epfl.ch/quicksearch.php?gene+name=Rv1583c&amp;submit=Search</v>
      </c>
    </row>
    <row r="1629" spans="1:11">
      <c r="A1629" t="s">
        <v>13309</v>
      </c>
      <c r="B1629" t="s">
        <v>13309</v>
      </c>
      <c r="C1629" t="s">
        <v>9567</v>
      </c>
      <c r="D1629" t="s">
        <v>9587</v>
      </c>
      <c r="E1629" t="s">
        <v>13310</v>
      </c>
      <c r="F1629" t="s">
        <v>13311</v>
      </c>
      <c r="G1629" t="s">
        <v>19217</v>
      </c>
      <c r="I1629" t="s">
        <v>18804</v>
      </c>
      <c r="K1629" t="str">
        <f>HYPERLINK("http://tuberculist.epfl.ch/quicksearch.php?gene+name=Rv1584c&amp;submit=Search")</f>
        <v>http://tuberculist.epfl.ch/quicksearch.php?gene+name=Rv1584c&amp;submit=Search</v>
      </c>
    </row>
    <row r="1630" spans="1:11">
      <c r="A1630" t="s">
        <v>13312</v>
      </c>
      <c r="B1630" t="s">
        <v>13312</v>
      </c>
      <c r="C1630" t="s">
        <v>9567</v>
      </c>
      <c r="D1630" t="s">
        <v>9587</v>
      </c>
      <c r="E1630" t="s">
        <v>13313</v>
      </c>
      <c r="F1630" t="s">
        <v>13314</v>
      </c>
      <c r="G1630" t="s">
        <v>19217</v>
      </c>
      <c r="I1630" t="s">
        <v>18803</v>
      </c>
      <c r="K1630" t="str">
        <f>HYPERLINK("http://tuberculist.epfl.ch/quicksearch.php?gene+name=Rv1585c&amp;submit=Search")</f>
        <v>http://tuberculist.epfl.ch/quicksearch.php?gene+name=Rv1585c&amp;submit=Search</v>
      </c>
    </row>
    <row r="1631" spans="1:11">
      <c r="A1631" t="s">
        <v>13315</v>
      </c>
      <c r="B1631" t="s">
        <v>13315</v>
      </c>
      <c r="C1631" t="s">
        <v>9567</v>
      </c>
      <c r="D1631" t="s">
        <v>13316</v>
      </c>
      <c r="E1631" t="s">
        <v>13317</v>
      </c>
      <c r="F1631" t="s">
        <v>13318</v>
      </c>
      <c r="G1631" t="s">
        <v>19217</v>
      </c>
      <c r="H1631" t="s">
        <v>19214</v>
      </c>
      <c r="I1631" t="s">
        <v>18802</v>
      </c>
      <c r="K1631" t="str">
        <f>HYPERLINK("http://tuberculist.epfl.ch/quicksearch.php?gene+name=Rv1586c&amp;submit=Search")</f>
        <v>http://tuberculist.epfl.ch/quicksearch.php?gene+name=Rv1586c&amp;submit=Search</v>
      </c>
    </row>
    <row r="1632" spans="1:11">
      <c r="A1632" t="s">
        <v>13319</v>
      </c>
      <c r="B1632" t="s">
        <v>13319</v>
      </c>
      <c r="C1632" t="s">
        <v>9567</v>
      </c>
      <c r="D1632" t="s">
        <v>9587</v>
      </c>
      <c r="E1632" t="s">
        <v>13320</v>
      </c>
      <c r="F1632" t="s">
        <v>13321</v>
      </c>
      <c r="G1632" t="s">
        <v>19217</v>
      </c>
      <c r="I1632" t="s">
        <v>18805</v>
      </c>
      <c r="K1632" t="str">
        <f>HYPERLINK("http://tuberculist.epfl.ch/quicksearch.php?gene+name=Rv1587c&amp;submit=Search")</f>
        <v>http://tuberculist.epfl.ch/quicksearch.php?gene+name=Rv1587c&amp;submit=Search</v>
      </c>
    </row>
    <row r="1633" spans="1:11">
      <c r="A1633" t="s">
        <v>2376</v>
      </c>
      <c r="B1633" t="s">
        <v>2376</v>
      </c>
      <c r="C1633" t="s">
        <v>9567</v>
      </c>
      <c r="D1633" t="s">
        <v>9587</v>
      </c>
      <c r="E1633" t="s">
        <v>13320</v>
      </c>
      <c r="F1633" t="s">
        <v>13322</v>
      </c>
      <c r="G1633" t="s">
        <v>19217</v>
      </c>
      <c r="H1633" t="s">
        <v>19207</v>
      </c>
      <c r="I1633" t="s">
        <v>18779</v>
      </c>
      <c r="K1633" t="str">
        <f>HYPERLINK("http://tuberculist.epfl.ch/quicksearch.php?gene+name=Rv1588c&amp;submit=Search")</f>
        <v>http://tuberculist.epfl.ch/quicksearch.php?gene+name=Rv1588c&amp;submit=Search</v>
      </c>
    </row>
    <row r="1634" spans="1:11">
      <c r="A1634" t="s">
        <v>4661</v>
      </c>
      <c r="B1634" t="s">
        <v>1088</v>
      </c>
      <c r="C1634" t="s">
        <v>9567</v>
      </c>
      <c r="D1634" t="s">
        <v>13323</v>
      </c>
      <c r="E1634" t="s">
        <v>13324</v>
      </c>
      <c r="F1634" t="s">
        <v>13325</v>
      </c>
      <c r="G1634" t="s">
        <v>19195</v>
      </c>
      <c r="H1634" t="s">
        <v>19379</v>
      </c>
      <c r="I1634" t="s">
        <v>18837</v>
      </c>
      <c r="K1634" t="str">
        <f>HYPERLINK("http://tuberculist.epfl.ch/quicksearch.php?gene+name=Rv1589&amp;submit=Search")</f>
        <v>http://tuberculist.epfl.ch/quicksearch.php?gene+name=Rv1589&amp;submit=Search</v>
      </c>
    </row>
    <row r="1635" spans="1:11">
      <c r="A1635" t="s">
        <v>854</v>
      </c>
      <c r="B1635" t="s">
        <v>854</v>
      </c>
      <c r="C1635" t="s">
        <v>9567</v>
      </c>
      <c r="D1635" t="s">
        <v>9578</v>
      </c>
      <c r="E1635" t="s">
        <v>9579</v>
      </c>
      <c r="F1635" t="s">
        <v>13326</v>
      </c>
      <c r="G1635" t="s">
        <v>19204</v>
      </c>
      <c r="I1635" t="s">
        <v>18811</v>
      </c>
      <c r="K1635" t="str">
        <f>HYPERLINK("http://tuberculist.epfl.ch/quicksearch.php?gene+name=Rv1590&amp;submit=Search")</f>
        <v>http://tuberculist.epfl.ch/quicksearch.php?gene+name=Rv1590&amp;submit=Search</v>
      </c>
    </row>
    <row r="1636" spans="1:11">
      <c r="A1636" t="s">
        <v>1157</v>
      </c>
      <c r="B1636" t="s">
        <v>1157</v>
      </c>
      <c r="C1636" t="s">
        <v>9567</v>
      </c>
      <c r="D1636" t="s">
        <v>9578</v>
      </c>
      <c r="E1636" t="s">
        <v>10632</v>
      </c>
      <c r="F1636" t="s">
        <v>13327</v>
      </c>
      <c r="G1636" t="s">
        <v>19188</v>
      </c>
      <c r="H1636" t="s">
        <v>19300</v>
      </c>
      <c r="I1636" t="s">
        <v>18780</v>
      </c>
      <c r="K1636" t="str">
        <f>HYPERLINK("http://tuberculist.epfl.ch/quicksearch.php?gene+name=Rv1591&amp;submit=Search")</f>
        <v>http://tuberculist.epfl.ch/quicksearch.php?gene+name=Rv1591&amp;submit=Search</v>
      </c>
    </row>
    <row r="1637" spans="1:11">
      <c r="A1637" t="s">
        <v>425</v>
      </c>
      <c r="B1637" t="s">
        <v>425</v>
      </c>
      <c r="C1637" t="s">
        <v>9567</v>
      </c>
      <c r="D1637" t="s">
        <v>9578</v>
      </c>
      <c r="E1637" t="s">
        <v>9579</v>
      </c>
      <c r="F1637" t="s">
        <v>13328</v>
      </c>
      <c r="G1637" t="s">
        <v>19212</v>
      </c>
      <c r="I1637" t="s">
        <v>18937</v>
      </c>
      <c r="K1637" t="str">
        <f>HYPERLINK("http://tuberculist.epfl.ch/quicksearch.php?gene+name=Rv1592c&amp;submit=Search")</f>
        <v>http://tuberculist.epfl.ch/quicksearch.php?gene+name=Rv1592c&amp;submit=Search</v>
      </c>
    </row>
    <row r="1638" spans="1:11">
      <c r="A1638" t="s">
        <v>2990</v>
      </c>
      <c r="B1638" t="s">
        <v>2990</v>
      </c>
      <c r="C1638" t="s">
        <v>9567</v>
      </c>
      <c r="D1638" t="s">
        <v>9578</v>
      </c>
      <c r="E1638" t="s">
        <v>9665</v>
      </c>
      <c r="F1638" t="s">
        <v>13329</v>
      </c>
      <c r="G1638" t="s">
        <v>19212</v>
      </c>
      <c r="H1638" t="s">
        <v>19459</v>
      </c>
      <c r="I1638" t="s">
        <v>18793</v>
      </c>
      <c r="K1638" t="str">
        <f>HYPERLINK("http://tuberculist.epfl.ch/quicksearch.php?gene+name=Rv1593c&amp;submit=Search")</f>
        <v>http://tuberculist.epfl.ch/quicksearch.php?gene+name=Rv1593c&amp;submit=Search</v>
      </c>
    </row>
    <row r="1639" spans="1:11">
      <c r="A1639" t="s">
        <v>6048</v>
      </c>
      <c r="B1639" t="s">
        <v>1778</v>
      </c>
      <c r="C1639" t="s">
        <v>9567</v>
      </c>
      <c r="D1639" t="s">
        <v>13330</v>
      </c>
      <c r="E1639" t="s">
        <v>13331</v>
      </c>
      <c r="F1639" t="s">
        <v>13332</v>
      </c>
      <c r="G1639" t="s">
        <v>19195</v>
      </c>
      <c r="H1639" t="s">
        <v>19274</v>
      </c>
      <c r="I1639" t="s">
        <v>18774</v>
      </c>
      <c r="K1639" t="str">
        <f>HYPERLINK("http://tuberculist.epfl.ch/quicksearch.php?gene+name=Rv1594&amp;submit=Search")</f>
        <v>http://tuberculist.epfl.ch/quicksearch.php?gene+name=Rv1594&amp;submit=Search</v>
      </c>
    </row>
    <row r="1640" spans="1:11">
      <c r="A1640" t="s">
        <v>9208</v>
      </c>
      <c r="B1640" t="s">
        <v>3329</v>
      </c>
      <c r="C1640" t="s">
        <v>9567</v>
      </c>
      <c r="D1640" t="s">
        <v>13333</v>
      </c>
      <c r="E1640" t="s">
        <v>13334</v>
      </c>
      <c r="F1640" t="s">
        <v>13335</v>
      </c>
      <c r="G1640" t="s">
        <v>19195</v>
      </c>
      <c r="I1640" t="s">
        <v>18774</v>
      </c>
      <c r="K1640" t="str">
        <f>HYPERLINK("http://tuberculist.epfl.ch/quicksearch.php?gene+name=Rv1595&amp;submit=Search")</f>
        <v>http://tuberculist.epfl.ch/quicksearch.php?gene+name=Rv1595&amp;submit=Search</v>
      </c>
    </row>
    <row r="1641" spans="1:11">
      <c r="A1641" t="s">
        <v>9337</v>
      </c>
      <c r="B1641" t="s">
        <v>3390</v>
      </c>
      <c r="C1641" t="s">
        <v>9567</v>
      </c>
      <c r="D1641" t="s">
        <v>13336</v>
      </c>
      <c r="E1641" t="s">
        <v>13337</v>
      </c>
      <c r="F1641" t="s">
        <v>13338</v>
      </c>
      <c r="G1641" t="s">
        <v>19195</v>
      </c>
      <c r="H1641" t="s">
        <v>19717</v>
      </c>
      <c r="I1641" t="s">
        <v>18845</v>
      </c>
      <c r="K1641" t="str">
        <f>HYPERLINK("http://tuberculist.epfl.ch/quicksearch.php?gene+name=Rv1596&amp;submit=Search")</f>
        <v>http://tuberculist.epfl.ch/quicksearch.php?gene+name=Rv1596&amp;submit=Search</v>
      </c>
    </row>
    <row r="1642" spans="1:11">
      <c r="A1642" t="s">
        <v>935</v>
      </c>
      <c r="B1642" t="s">
        <v>935</v>
      </c>
      <c r="C1642" t="s">
        <v>9567</v>
      </c>
      <c r="D1642" t="s">
        <v>9587</v>
      </c>
      <c r="E1642" t="s">
        <v>9713</v>
      </c>
      <c r="F1642" t="s">
        <v>13339</v>
      </c>
      <c r="G1642" t="s">
        <v>19212</v>
      </c>
      <c r="H1642" t="s">
        <v>19215</v>
      </c>
      <c r="I1642" t="s">
        <v>18789</v>
      </c>
      <c r="K1642" t="str">
        <f>HYPERLINK("http://tuberculist.epfl.ch/quicksearch.php?gene+name=Rv1597&amp;submit=Search")</f>
        <v>http://tuberculist.epfl.ch/quicksearch.php?gene+name=Rv1597&amp;submit=Search</v>
      </c>
    </row>
    <row r="1643" spans="1:11">
      <c r="A1643" t="s">
        <v>2427</v>
      </c>
      <c r="B1643" t="s">
        <v>2427</v>
      </c>
      <c r="C1643" t="s">
        <v>9567</v>
      </c>
      <c r="D1643" t="s">
        <v>9578</v>
      </c>
      <c r="E1643" t="s">
        <v>9665</v>
      </c>
      <c r="F1643" t="s">
        <v>13340</v>
      </c>
      <c r="G1643" t="s">
        <v>19204</v>
      </c>
      <c r="H1643" t="s">
        <v>19718</v>
      </c>
      <c r="I1643" t="s">
        <v>18780</v>
      </c>
      <c r="K1643" t="str">
        <f>HYPERLINK("http://tuberculist.epfl.ch/quicksearch.php?gene+name=Rv1598c&amp;submit=Search")</f>
        <v>http://tuberculist.epfl.ch/quicksearch.php?gene+name=Rv1598c&amp;submit=Search</v>
      </c>
    </row>
    <row r="1644" spans="1:11">
      <c r="A1644" t="s">
        <v>7164</v>
      </c>
      <c r="B1644" t="s">
        <v>2345</v>
      </c>
      <c r="C1644" t="s">
        <v>9567</v>
      </c>
      <c r="D1644" t="s">
        <v>13341</v>
      </c>
      <c r="E1644" t="s">
        <v>13342</v>
      </c>
      <c r="F1644" t="s">
        <v>13343</v>
      </c>
      <c r="G1644" t="s">
        <v>19195</v>
      </c>
      <c r="H1644" t="s">
        <v>19247</v>
      </c>
      <c r="I1644" t="s">
        <v>18876</v>
      </c>
      <c r="K1644" t="str">
        <f>HYPERLINK("http://tuberculist.epfl.ch/quicksearch.php?gene+name=Rv1599&amp;submit=Search")</f>
        <v>http://tuberculist.epfl.ch/quicksearch.php?gene+name=Rv1599&amp;submit=Search</v>
      </c>
    </row>
    <row r="1645" spans="1:11">
      <c r="A1645" t="s">
        <v>9047</v>
      </c>
      <c r="B1645" t="s">
        <v>3251</v>
      </c>
      <c r="C1645" t="s">
        <v>9567</v>
      </c>
      <c r="D1645" t="s">
        <v>13344</v>
      </c>
      <c r="E1645" t="s">
        <v>13345</v>
      </c>
      <c r="F1645" t="s">
        <v>13346</v>
      </c>
      <c r="G1645" t="s">
        <v>19195</v>
      </c>
      <c r="H1645" t="s">
        <v>19374</v>
      </c>
      <c r="I1645" t="s">
        <v>18774</v>
      </c>
      <c r="K1645" t="str">
        <f>HYPERLINK("http://tuberculist.epfl.ch/quicksearch.php?gene+name=Rv1600&amp;submit=Search")</f>
        <v>http://tuberculist.epfl.ch/quicksearch.php?gene+name=Rv1600&amp;submit=Search</v>
      </c>
    </row>
    <row r="1646" spans="1:11">
      <c r="A1646" t="s">
        <v>7486</v>
      </c>
      <c r="B1646" t="s">
        <v>2499</v>
      </c>
      <c r="C1646" t="s">
        <v>9567</v>
      </c>
      <c r="D1646" t="s">
        <v>13347</v>
      </c>
      <c r="E1646" t="s">
        <v>13348</v>
      </c>
      <c r="F1646" t="s">
        <v>13349</v>
      </c>
      <c r="G1646" t="s">
        <v>19195</v>
      </c>
      <c r="H1646" t="s">
        <v>19213</v>
      </c>
      <c r="I1646" t="s">
        <v>18774</v>
      </c>
      <c r="K1646" t="str">
        <f>HYPERLINK("http://tuberculist.epfl.ch/quicksearch.php?gene+name=Rv1601&amp;submit=Search")</f>
        <v>http://tuberculist.epfl.ch/quicksearch.php?gene+name=Rv1601&amp;submit=Search</v>
      </c>
    </row>
    <row r="1647" spans="1:11">
      <c r="A1647" t="s">
        <v>7982</v>
      </c>
      <c r="B1647" t="s">
        <v>2749</v>
      </c>
      <c r="C1647" t="s">
        <v>9567</v>
      </c>
      <c r="D1647" t="s">
        <v>13350</v>
      </c>
      <c r="E1647" t="s">
        <v>13351</v>
      </c>
      <c r="F1647" t="s">
        <v>13352</v>
      </c>
      <c r="G1647" t="s">
        <v>19195</v>
      </c>
      <c r="H1647" t="s">
        <v>19213</v>
      </c>
      <c r="I1647" t="s">
        <v>18774</v>
      </c>
      <c r="K1647" t="str">
        <f>HYPERLINK("http://tuberculist.epfl.ch/quicksearch.php?gene+name=Rv1602&amp;submit=Search")</f>
        <v>http://tuberculist.epfl.ch/quicksearch.php?gene+name=Rv1602&amp;submit=Search</v>
      </c>
    </row>
    <row r="1648" spans="1:11">
      <c r="A1648" t="s">
        <v>9105</v>
      </c>
      <c r="B1648" t="s">
        <v>3281</v>
      </c>
      <c r="C1648" t="s">
        <v>9567</v>
      </c>
      <c r="D1648" t="s">
        <v>13353</v>
      </c>
      <c r="E1648" t="s">
        <v>13354</v>
      </c>
      <c r="F1648" t="s">
        <v>13355</v>
      </c>
      <c r="G1648" t="s">
        <v>19195</v>
      </c>
      <c r="H1648" t="s">
        <v>19233</v>
      </c>
      <c r="I1648" t="s">
        <v>18774</v>
      </c>
      <c r="K1648" t="str">
        <f>HYPERLINK("http://tuberculist.epfl.ch/quicksearch.php?gene+name=Rv1603&amp;submit=Search")</f>
        <v>http://tuberculist.epfl.ch/quicksearch.php?gene+name=Rv1603&amp;submit=Search</v>
      </c>
    </row>
    <row r="1649" spans="1:11">
      <c r="A1649" t="s">
        <v>9509</v>
      </c>
      <c r="B1649" t="s">
        <v>471</v>
      </c>
      <c r="C1649" t="s">
        <v>9567</v>
      </c>
      <c r="D1649" t="s">
        <v>13356</v>
      </c>
      <c r="E1649" t="s">
        <v>13357</v>
      </c>
      <c r="F1649" t="s">
        <v>13358</v>
      </c>
      <c r="G1649" t="s">
        <v>19195</v>
      </c>
      <c r="H1649" t="s">
        <v>19207</v>
      </c>
      <c r="I1649" t="s">
        <v>18983</v>
      </c>
      <c r="K1649" t="str">
        <f>HYPERLINK("http://tuberculist.epfl.ch/quicksearch.php?gene+name=Rv1604&amp;submit=Search")</f>
        <v>http://tuberculist.epfl.ch/quicksearch.php?gene+name=Rv1604&amp;submit=Search</v>
      </c>
    </row>
    <row r="1650" spans="1:11">
      <c r="A1650" t="s">
        <v>8858</v>
      </c>
      <c r="B1650" t="s">
        <v>3161</v>
      </c>
      <c r="C1650" t="s">
        <v>9567</v>
      </c>
      <c r="D1650" t="s">
        <v>13359</v>
      </c>
      <c r="E1650" t="s">
        <v>13360</v>
      </c>
      <c r="F1650" t="s">
        <v>13361</v>
      </c>
      <c r="G1650" t="s">
        <v>19195</v>
      </c>
      <c r="H1650" t="s">
        <v>19213</v>
      </c>
      <c r="I1650" t="s">
        <v>18774</v>
      </c>
      <c r="K1650" t="str">
        <f>HYPERLINK("http://tuberculist.epfl.ch/quicksearch.php?gene+name=Rv1605&amp;submit=Search")</f>
        <v>http://tuberculist.epfl.ch/quicksearch.php?gene+name=Rv1605&amp;submit=Search</v>
      </c>
    </row>
    <row r="1651" spans="1:11">
      <c r="A1651" t="s">
        <v>7107</v>
      </c>
      <c r="B1651" t="s">
        <v>2314</v>
      </c>
      <c r="C1651" t="s">
        <v>9567</v>
      </c>
      <c r="D1651" t="s">
        <v>13362</v>
      </c>
      <c r="E1651" t="s">
        <v>13363</v>
      </c>
      <c r="F1651" t="s">
        <v>13364</v>
      </c>
      <c r="G1651" t="s">
        <v>19195</v>
      </c>
      <c r="H1651" t="s">
        <v>19233</v>
      </c>
      <c r="I1651" t="s">
        <v>18774</v>
      </c>
      <c r="K1651" t="str">
        <f>HYPERLINK("http://tuberculist.epfl.ch/quicksearch.php?gene+name=Rv1606&amp;submit=Search")</f>
        <v>http://tuberculist.epfl.ch/quicksearch.php?gene+name=Rv1606&amp;submit=Search</v>
      </c>
    </row>
    <row r="1652" spans="1:11">
      <c r="A1652" t="s">
        <v>5078</v>
      </c>
      <c r="B1652" t="s">
        <v>1292</v>
      </c>
      <c r="C1652" t="s">
        <v>9567</v>
      </c>
      <c r="D1652" t="s">
        <v>13365</v>
      </c>
      <c r="E1652" t="s">
        <v>13366</v>
      </c>
      <c r="F1652" t="s">
        <v>13367</v>
      </c>
      <c r="G1652" t="s">
        <v>19188</v>
      </c>
      <c r="I1652" t="s">
        <v>18780</v>
      </c>
      <c r="K1652" t="str">
        <f>HYPERLINK("http://tuberculist.epfl.ch/quicksearch.php?gene+name=Rv1607&amp;submit=Search")</f>
        <v>http://tuberculist.epfl.ch/quicksearch.php?gene+name=Rv1607&amp;submit=Search</v>
      </c>
    </row>
    <row r="1653" spans="1:11">
      <c r="A1653" t="s">
        <v>3584</v>
      </c>
      <c r="B1653" t="s">
        <v>552</v>
      </c>
      <c r="C1653" t="s">
        <v>9567</v>
      </c>
      <c r="D1653" t="s">
        <v>13368</v>
      </c>
      <c r="E1653" t="s">
        <v>13369</v>
      </c>
      <c r="F1653" t="s">
        <v>13370</v>
      </c>
      <c r="G1653" t="s">
        <v>19206</v>
      </c>
      <c r="H1653" t="s">
        <v>19272</v>
      </c>
      <c r="I1653" t="s">
        <v>18781</v>
      </c>
      <c r="K1653" t="str">
        <f>HYPERLINK("http://tuberculist.epfl.ch/quicksearch.php?gene+name=Rv1608c&amp;submit=Search")</f>
        <v>http://tuberculist.epfl.ch/quicksearch.php?gene+name=Rv1608c&amp;submit=Search</v>
      </c>
    </row>
    <row r="1654" spans="1:11">
      <c r="A1654" t="s">
        <v>5393</v>
      </c>
      <c r="B1654" t="s">
        <v>1459</v>
      </c>
      <c r="C1654" t="s">
        <v>9567</v>
      </c>
      <c r="D1654" t="s">
        <v>13371</v>
      </c>
      <c r="E1654" t="s">
        <v>13372</v>
      </c>
      <c r="F1654" t="s">
        <v>13373</v>
      </c>
      <c r="G1654" t="s">
        <v>19195</v>
      </c>
      <c r="H1654" t="s">
        <v>19719</v>
      </c>
      <c r="I1654" t="s">
        <v>18774</v>
      </c>
      <c r="K1654" t="str">
        <f>HYPERLINK("http://tuberculist.epfl.ch/quicksearch.php?gene+name=Rv1609&amp;submit=Search")</f>
        <v>http://tuberculist.epfl.ch/quicksearch.php?gene+name=Rv1609&amp;submit=Search</v>
      </c>
    </row>
    <row r="1655" spans="1:11">
      <c r="A1655" t="s">
        <v>2845</v>
      </c>
      <c r="B1655" t="s">
        <v>2845</v>
      </c>
      <c r="C1655" t="s">
        <v>9567</v>
      </c>
      <c r="D1655" t="s">
        <v>9587</v>
      </c>
      <c r="E1655" t="s">
        <v>9588</v>
      </c>
      <c r="F1655" t="s">
        <v>13374</v>
      </c>
      <c r="G1655" t="s">
        <v>19188</v>
      </c>
      <c r="H1655" t="s">
        <v>19546</v>
      </c>
      <c r="I1655" t="s">
        <v>18800</v>
      </c>
      <c r="K1655" t="str">
        <f>HYPERLINK("http://tuberculist.epfl.ch/quicksearch.php?gene+name=Rv1610&amp;submit=Search")</f>
        <v>http://tuberculist.epfl.ch/quicksearch.php?gene+name=Rv1610&amp;submit=Search</v>
      </c>
    </row>
    <row r="1656" spans="1:11">
      <c r="A1656" t="s">
        <v>9500</v>
      </c>
      <c r="B1656" t="s">
        <v>464</v>
      </c>
      <c r="C1656" t="s">
        <v>9567</v>
      </c>
      <c r="D1656" t="s">
        <v>13375</v>
      </c>
      <c r="E1656" t="s">
        <v>13376</v>
      </c>
      <c r="F1656" t="s">
        <v>13377</v>
      </c>
      <c r="G1656" t="s">
        <v>19195</v>
      </c>
      <c r="H1656" t="s">
        <v>19720</v>
      </c>
      <c r="I1656" t="s">
        <v>18774</v>
      </c>
      <c r="J1656" t="s">
        <v>18965</v>
      </c>
      <c r="K1656" t="str">
        <f>HYPERLINK("http://tuberculist.epfl.ch/quicksearch.php?gene+name=Rv1611&amp;submit=Search")</f>
        <v>http://tuberculist.epfl.ch/quicksearch.php?gene+name=Rv1611&amp;submit=Search</v>
      </c>
    </row>
    <row r="1657" spans="1:11">
      <c r="A1657" t="s">
        <v>6518</v>
      </c>
      <c r="B1657" t="s">
        <v>2008</v>
      </c>
      <c r="C1657" t="s">
        <v>9567</v>
      </c>
      <c r="D1657" t="s">
        <v>13378</v>
      </c>
      <c r="E1657" t="s">
        <v>13379</v>
      </c>
      <c r="F1657" t="s">
        <v>13380</v>
      </c>
      <c r="G1657" t="s">
        <v>19195</v>
      </c>
      <c r="H1657" t="s">
        <v>19227</v>
      </c>
      <c r="I1657" t="s">
        <v>18774</v>
      </c>
      <c r="K1657" t="str">
        <f>HYPERLINK("http://tuberculist.epfl.ch/quicksearch.php?gene+name=Rv1612&amp;submit=Search")</f>
        <v>http://tuberculist.epfl.ch/quicksearch.php?gene+name=Rv1612&amp;submit=Search</v>
      </c>
    </row>
    <row r="1658" spans="1:11">
      <c r="A1658" t="s">
        <v>8474</v>
      </c>
      <c r="B1658" t="s">
        <v>2984</v>
      </c>
      <c r="C1658" t="s">
        <v>9567</v>
      </c>
      <c r="D1658" t="s">
        <v>13381</v>
      </c>
      <c r="E1658" t="s">
        <v>13382</v>
      </c>
      <c r="F1658" t="s">
        <v>13383</v>
      </c>
      <c r="G1658" t="s">
        <v>19195</v>
      </c>
      <c r="H1658" t="s">
        <v>19721</v>
      </c>
      <c r="I1658" t="s">
        <v>18774</v>
      </c>
      <c r="K1658" t="str">
        <f>HYPERLINK("http://tuberculist.epfl.ch/quicksearch.php?gene+name=Rv1613&amp;submit=Search")</f>
        <v>http://tuberculist.epfl.ch/quicksearch.php?gene+name=Rv1613&amp;submit=Search</v>
      </c>
    </row>
    <row r="1659" spans="1:11">
      <c r="A1659" t="s">
        <v>6804</v>
      </c>
      <c r="B1659" t="s">
        <v>2163</v>
      </c>
      <c r="C1659" t="s">
        <v>9567</v>
      </c>
      <c r="D1659" t="s">
        <v>13384</v>
      </c>
      <c r="E1659" t="s">
        <v>13385</v>
      </c>
      <c r="F1659" t="s">
        <v>13386</v>
      </c>
      <c r="G1659" t="s">
        <v>19188</v>
      </c>
      <c r="H1659" t="s">
        <v>19634</v>
      </c>
      <c r="I1659" t="s">
        <v>18842</v>
      </c>
      <c r="K1659" t="str">
        <f>HYPERLINK("http://tuberculist.epfl.ch/quicksearch.php?gene+name=Rv1614&amp;submit=Search")</f>
        <v>http://tuberculist.epfl.ch/quicksearch.php?gene+name=Rv1614&amp;submit=Search</v>
      </c>
    </row>
    <row r="1660" spans="1:11">
      <c r="A1660" t="s">
        <v>2114</v>
      </c>
      <c r="B1660" t="s">
        <v>2114</v>
      </c>
      <c r="C1660" t="s">
        <v>9567</v>
      </c>
      <c r="D1660" t="s">
        <v>9587</v>
      </c>
      <c r="E1660" t="s">
        <v>9758</v>
      </c>
      <c r="F1660" t="s">
        <v>13387</v>
      </c>
      <c r="G1660" t="s">
        <v>19188</v>
      </c>
      <c r="H1660" t="s">
        <v>19192</v>
      </c>
      <c r="I1660" t="s">
        <v>18780</v>
      </c>
      <c r="K1660" t="str">
        <f>HYPERLINK("http://tuberculist.epfl.ch/quicksearch.php?gene+name=Rv1615&amp;submit=Search")</f>
        <v>http://tuberculist.epfl.ch/quicksearch.php?gene+name=Rv1615&amp;submit=Search</v>
      </c>
    </row>
    <row r="1661" spans="1:11">
      <c r="A1661" t="s">
        <v>534</v>
      </c>
      <c r="B1661" t="s">
        <v>534</v>
      </c>
      <c r="C1661" t="s">
        <v>9567</v>
      </c>
      <c r="D1661" t="s">
        <v>9578</v>
      </c>
      <c r="E1661" t="s">
        <v>11913</v>
      </c>
      <c r="F1661" t="s">
        <v>13388</v>
      </c>
      <c r="G1661" t="s">
        <v>19188</v>
      </c>
      <c r="I1661" t="s">
        <v>18779</v>
      </c>
      <c r="K1661" t="str">
        <f>HYPERLINK("http://tuberculist.epfl.ch/quicksearch.php?gene+name=Rv1616&amp;submit=Search")</f>
        <v>http://tuberculist.epfl.ch/quicksearch.php?gene+name=Rv1616&amp;submit=Search</v>
      </c>
    </row>
    <row r="1662" spans="1:11">
      <c r="A1662" t="s">
        <v>8409</v>
      </c>
      <c r="B1662" t="s">
        <v>2953</v>
      </c>
      <c r="C1662" t="s">
        <v>9567</v>
      </c>
      <c r="D1662" t="s">
        <v>13389</v>
      </c>
      <c r="E1662" t="s">
        <v>13390</v>
      </c>
      <c r="F1662" t="s">
        <v>13391</v>
      </c>
      <c r="G1662" t="s">
        <v>19195</v>
      </c>
      <c r="H1662" t="s">
        <v>19270</v>
      </c>
      <c r="I1662" t="s">
        <v>18774</v>
      </c>
      <c r="K1662" t="str">
        <f>HYPERLINK("http://tuberculist.epfl.ch/quicksearch.php?gene+name=Rv1617&amp;submit=Search")</f>
        <v>http://tuberculist.epfl.ch/quicksearch.php?gene+name=Rv1617&amp;submit=Search</v>
      </c>
    </row>
    <row r="1663" spans="1:11">
      <c r="A1663" t="s">
        <v>7969</v>
      </c>
      <c r="B1663" t="s">
        <v>2744</v>
      </c>
      <c r="C1663" t="s">
        <v>9567</v>
      </c>
      <c r="D1663" t="s">
        <v>11847</v>
      </c>
      <c r="E1663" t="s">
        <v>13392</v>
      </c>
      <c r="F1663" t="s">
        <v>13393</v>
      </c>
      <c r="G1663" t="s">
        <v>19219</v>
      </c>
      <c r="I1663" t="s">
        <v>18780</v>
      </c>
      <c r="K1663" t="str">
        <f>HYPERLINK("http://tuberculist.epfl.ch/quicksearch.php?gene+name=Rv1618&amp;submit=Search")</f>
        <v>http://tuberculist.epfl.ch/quicksearch.php?gene+name=Rv1618&amp;submit=Search</v>
      </c>
    </row>
    <row r="1664" spans="1:11">
      <c r="A1664" t="s">
        <v>3042</v>
      </c>
      <c r="B1664" t="s">
        <v>3042</v>
      </c>
      <c r="C1664" t="s">
        <v>9567</v>
      </c>
      <c r="D1664" t="s">
        <v>9578</v>
      </c>
      <c r="E1664" t="s">
        <v>11913</v>
      </c>
      <c r="F1664" t="s">
        <v>13394</v>
      </c>
      <c r="G1664" t="s">
        <v>19188</v>
      </c>
      <c r="H1664" t="s">
        <v>19207</v>
      </c>
      <c r="I1664" t="s">
        <v>18779</v>
      </c>
      <c r="K1664" t="str">
        <f>HYPERLINK("http://tuberculist.epfl.ch/quicksearch.php?gene+name=Rv1619&amp;submit=Search")</f>
        <v>http://tuberculist.epfl.ch/quicksearch.php?gene+name=Rv1619&amp;submit=Search</v>
      </c>
    </row>
    <row r="1665" spans="1:11">
      <c r="A1665" t="s">
        <v>7298</v>
      </c>
      <c r="B1665" t="s">
        <v>2407</v>
      </c>
      <c r="C1665" t="s">
        <v>9567</v>
      </c>
      <c r="D1665" t="s">
        <v>13395</v>
      </c>
      <c r="E1665" t="s">
        <v>13396</v>
      </c>
      <c r="F1665" t="s">
        <v>13397</v>
      </c>
      <c r="G1665" t="s">
        <v>19195</v>
      </c>
      <c r="H1665" t="s">
        <v>19371</v>
      </c>
      <c r="I1665" t="s">
        <v>18776</v>
      </c>
      <c r="J1665" t="s">
        <v>18832</v>
      </c>
      <c r="K1665" t="str">
        <f>HYPERLINK("http://tuberculist.epfl.ch/quicksearch.php?gene+name=Rv1620c&amp;submit=Search")</f>
        <v>http://tuberculist.epfl.ch/quicksearch.php?gene+name=Rv1620c&amp;submit=Search</v>
      </c>
    </row>
    <row r="1666" spans="1:11">
      <c r="A1666" t="s">
        <v>7507</v>
      </c>
      <c r="B1666" t="s">
        <v>2508</v>
      </c>
      <c r="C1666" t="s">
        <v>9567</v>
      </c>
      <c r="D1666" t="s">
        <v>13395</v>
      </c>
      <c r="E1666" t="s">
        <v>13398</v>
      </c>
      <c r="F1666" t="s">
        <v>13399</v>
      </c>
      <c r="G1666" t="s">
        <v>19195</v>
      </c>
      <c r="H1666" t="s">
        <v>19379</v>
      </c>
      <c r="I1666" t="s">
        <v>18788</v>
      </c>
      <c r="K1666" t="str">
        <f>HYPERLINK("http://tuberculist.epfl.ch/quicksearch.php?gene+name=Rv1621c&amp;submit=Search")</f>
        <v>http://tuberculist.epfl.ch/quicksearch.php?gene+name=Rv1621c&amp;submit=Search</v>
      </c>
    </row>
    <row r="1667" spans="1:11">
      <c r="A1667" t="s">
        <v>3504</v>
      </c>
      <c r="B1667" t="s">
        <v>511</v>
      </c>
      <c r="C1667" t="s">
        <v>9567</v>
      </c>
      <c r="D1667" t="s">
        <v>13400</v>
      </c>
      <c r="E1667" t="s">
        <v>13401</v>
      </c>
      <c r="F1667" t="s">
        <v>13402</v>
      </c>
      <c r="G1667" t="s">
        <v>19195</v>
      </c>
      <c r="H1667" t="s">
        <v>19192</v>
      </c>
      <c r="I1667" t="s">
        <v>18774</v>
      </c>
      <c r="J1667" t="s">
        <v>18809</v>
      </c>
      <c r="K1667" t="str">
        <f>HYPERLINK("http://tuberculist.epfl.ch/quicksearch.php?gene+name=Rv1622c&amp;submit=Search")</f>
        <v>http://tuberculist.epfl.ch/quicksearch.php?gene+name=Rv1622c&amp;submit=Search</v>
      </c>
    </row>
    <row r="1668" spans="1:11">
      <c r="A1668" t="s">
        <v>416</v>
      </c>
      <c r="B1668" t="s">
        <v>415</v>
      </c>
      <c r="C1668" t="s">
        <v>9567</v>
      </c>
      <c r="D1668" t="s">
        <v>13400</v>
      </c>
      <c r="E1668" t="s">
        <v>13403</v>
      </c>
      <c r="F1668" t="s">
        <v>13404</v>
      </c>
      <c r="G1668" t="s">
        <v>19195</v>
      </c>
      <c r="H1668" t="s">
        <v>19324</v>
      </c>
      <c r="I1668" t="s">
        <v>18795</v>
      </c>
      <c r="J1668" t="s">
        <v>18832</v>
      </c>
      <c r="K1668" t="str">
        <f>HYPERLINK("http://tuberculist.epfl.ch/quicksearch.php?gene+name=Rv1623c&amp;submit=Search")</f>
        <v>http://tuberculist.epfl.ch/quicksearch.php?gene+name=Rv1623c&amp;submit=Search</v>
      </c>
    </row>
    <row r="1669" spans="1:11">
      <c r="A1669" t="s">
        <v>2320</v>
      </c>
      <c r="B1669" t="s">
        <v>2320</v>
      </c>
      <c r="C1669" t="s">
        <v>9567</v>
      </c>
      <c r="D1669" t="s">
        <v>9587</v>
      </c>
      <c r="E1669" t="s">
        <v>9595</v>
      </c>
      <c r="F1669" t="s">
        <v>13405</v>
      </c>
      <c r="G1669" t="s">
        <v>19188</v>
      </c>
      <c r="H1669" t="s">
        <v>19192</v>
      </c>
      <c r="I1669" t="s">
        <v>18780</v>
      </c>
      <c r="K1669" t="str">
        <f>HYPERLINK("http://tuberculist.epfl.ch/quicksearch.php?gene+name=Rv1624c&amp;submit=Search")</f>
        <v>http://tuberculist.epfl.ch/quicksearch.php?gene+name=Rv1624c&amp;submit=Search</v>
      </c>
    </row>
    <row r="1670" spans="1:11">
      <c r="A1670" t="s">
        <v>4833</v>
      </c>
      <c r="B1670" t="s">
        <v>1176</v>
      </c>
      <c r="C1670" t="s">
        <v>9567</v>
      </c>
      <c r="D1670" t="s">
        <v>9545</v>
      </c>
      <c r="E1670" t="s">
        <v>13406</v>
      </c>
      <c r="F1670" t="s">
        <v>13407</v>
      </c>
      <c r="G1670" t="s">
        <v>19195</v>
      </c>
      <c r="H1670" t="s">
        <v>19254</v>
      </c>
      <c r="I1670" t="s">
        <v>18984</v>
      </c>
      <c r="K1670" t="str">
        <f>HYPERLINK("http://tuberculist.epfl.ch/quicksearch.php?gene+name=Rv1625c&amp;submit=Search")</f>
        <v>http://tuberculist.epfl.ch/quicksearch.php?gene+name=Rv1625c&amp;submit=Search</v>
      </c>
    </row>
    <row r="1671" spans="1:11">
      <c r="A1671" t="s">
        <v>923</v>
      </c>
      <c r="B1671" t="s">
        <v>923</v>
      </c>
      <c r="C1671" t="s">
        <v>9567</v>
      </c>
      <c r="D1671" t="s">
        <v>13408</v>
      </c>
      <c r="E1671" t="s">
        <v>13409</v>
      </c>
      <c r="F1671" t="s">
        <v>13410</v>
      </c>
      <c r="G1671" t="s">
        <v>19197</v>
      </c>
      <c r="H1671" t="s">
        <v>19722</v>
      </c>
      <c r="I1671" t="s">
        <v>18985</v>
      </c>
      <c r="K1671" t="str">
        <f>HYPERLINK("http://tuberculist.epfl.ch/quicksearch.php?gene+name=Rv1626&amp;submit=Search")</f>
        <v>http://tuberculist.epfl.ch/quicksearch.php?gene+name=Rv1626&amp;submit=Search</v>
      </c>
    </row>
    <row r="1672" spans="1:11">
      <c r="A1672" t="s">
        <v>3315</v>
      </c>
      <c r="B1672" t="s">
        <v>3315</v>
      </c>
      <c r="C1672" t="s">
        <v>9567</v>
      </c>
      <c r="D1672" t="s">
        <v>13218</v>
      </c>
      <c r="E1672" t="s">
        <v>13411</v>
      </c>
      <c r="F1672" t="s">
        <v>13412</v>
      </c>
      <c r="G1672" t="s">
        <v>19219</v>
      </c>
      <c r="H1672" t="s">
        <v>19723</v>
      </c>
      <c r="I1672" t="s">
        <v>18861</v>
      </c>
      <c r="J1672" t="s">
        <v>18820</v>
      </c>
      <c r="K1672" t="str">
        <f>HYPERLINK("http://tuberculist.epfl.ch/quicksearch.php?gene+name=Rv1627c&amp;submit=Search")</f>
        <v>http://tuberculist.epfl.ch/quicksearch.php?gene+name=Rv1627c&amp;submit=Search</v>
      </c>
    </row>
    <row r="1673" spans="1:11">
      <c r="A1673" t="s">
        <v>3284</v>
      </c>
      <c r="B1673" t="s">
        <v>3284</v>
      </c>
      <c r="C1673" t="s">
        <v>9567</v>
      </c>
      <c r="D1673" t="s">
        <v>9578</v>
      </c>
      <c r="E1673" t="s">
        <v>9665</v>
      </c>
      <c r="F1673" t="s">
        <v>13413</v>
      </c>
      <c r="G1673" t="s">
        <v>19220</v>
      </c>
      <c r="H1673" t="s">
        <v>19274</v>
      </c>
      <c r="I1673" t="s">
        <v>18779</v>
      </c>
      <c r="J1673" t="s">
        <v>18820</v>
      </c>
      <c r="K1673" t="str">
        <f>HYPERLINK("http://tuberculist.epfl.ch/quicksearch.php?gene+name=Rv1628c&amp;submit=Search")</f>
        <v>http://tuberculist.epfl.ch/quicksearch.php?gene+name=Rv1628c&amp;submit=Search</v>
      </c>
    </row>
    <row r="1674" spans="1:11">
      <c r="A1674" t="s">
        <v>8990</v>
      </c>
      <c r="B1674" t="s">
        <v>3225</v>
      </c>
      <c r="C1674" t="s">
        <v>9567</v>
      </c>
      <c r="D1674" t="s">
        <v>13414</v>
      </c>
      <c r="E1674" t="s">
        <v>13415</v>
      </c>
      <c r="F1674" t="s">
        <v>13416</v>
      </c>
      <c r="G1674" t="s">
        <v>19181</v>
      </c>
      <c r="H1674" t="s">
        <v>19344</v>
      </c>
      <c r="I1674" t="s">
        <v>18842</v>
      </c>
      <c r="K1674" t="str">
        <f>HYPERLINK("http://tuberculist.epfl.ch/quicksearch.php?gene+name=Rv1629&amp;submit=Search")</f>
        <v>http://tuberculist.epfl.ch/quicksearch.php?gene+name=Rv1629&amp;submit=Search</v>
      </c>
    </row>
    <row r="1675" spans="1:11">
      <c r="A1675" t="s">
        <v>8402</v>
      </c>
      <c r="B1675" t="s">
        <v>2950</v>
      </c>
      <c r="C1675" t="s">
        <v>9567</v>
      </c>
      <c r="D1675" t="s">
        <v>13417</v>
      </c>
      <c r="E1675" t="s">
        <v>13418</v>
      </c>
      <c r="F1675" t="s">
        <v>13419</v>
      </c>
      <c r="G1675" t="s">
        <v>19181</v>
      </c>
      <c r="H1675" t="s">
        <v>19724</v>
      </c>
      <c r="I1675" t="s">
        <v>18774</v>
      </c>
      <c r="J1675" t="s">
        <v>18873</v>
      </c>
      <c r="K1675" t="str">
        <f>HYPERLINK("http://tuberculist.epfl.ch/quicksearch.php?gene+name=Rv1630&amp;submit=Search")</f>
        <v>http://tuberculist.epfl.ch/quicksearch.php?gene+name=Rv1630&amp;submit=Search</v>
      </c>
    </row>
    <row r="1676" spans="1:11">
      <c r="A1676" t="s">
        <v>7042</v>
      </c>
      <c r="B1676" t="s">
        <v>2279</v>
      </c>
      <c r="C1676" t="s">
        <v>9567</v>
      </c>
      <c r="D1676" t="s">
        <v>13420</v>
      </c>
      <c r="E1676" t="s">
        <v>13421</v>
      </c>
      <c r="F1676" t="s">
        <v>13422</v>
      </c>
      <c r="G1676" t="s">
        <v>19195</v>
      </c>
      <c r="H1676" t="s">
        <v>19443</v>
      </c>
      <c r="I1676" t="s">
        <v>18774</v>
      </c>
      <c r="K1676" t="str">
        <f>HYPERLINK("http://tuberculist.epfl.ch/quicksearch.php?gene+name=Rv1631&amp;submit=Search")</f>
        <v>http://tuberculist.epfl.ch/quicksearch.php?gene+name=Rv1631&amp;submit=Search</v>
      </c>
    </row>
    <row r="1677" spans="1:11">
      <c r="A1677" t="s">
        <v>3369</v>
      </c>
      <c r="B1677" t="s">
        <v>3369</v>
      </c>
      <c r="C1677" t="s">
        <v>9567</v>
      </c>
      <c r="D1677" t="s">
        <v>9587</v>
      </c>
      <c r="E1677" t="s">
        <v>9713</v>
      </c>
      <c r="F1677" t="s">
        <v>13423</v>
      </c>
      <c r="G1677" t="s">
        <v>19185</v>
      </c>
      <c r="H1677" t="s">
        <v>19213</v>
      </c>
      <c r="I1677" t="s">
        <v>18780</v>
      </c>
      <c r="K1677" t="str">
        <f>HYPERLINK("http://tuberculist.epfl.ch/quicksearch.php?gene+name=Rv1632c&amp;submit=Search")</f>
        <v>http://tuberculist.epfl.ch/quicksearch.php?gene+name=Rv1632c&amp;submit=Search</v>
      </c>
    </row>
    <row r="1678" spans="1:11">
      <c r="A1678" t="s">
        <v>6997</v>
      </c>
      <c r="B1678" t="s">
        <v>2258</v>
      </c>
      <c r="C1678" t="s">
        <v>9567</v>
      </c>
      <c r="D1678" t="s">
        <v>13424</v>
      </c>
      <c r="E1678" t="s">
        <v>13425</v>
      </c>
      <c r="F1678" t="s">
        <v>13426</v>
      </c>
      <c r="G1678" t="s">
        <v>19181</v>
      </c>
      <c r="H1678" t="s">
        <v>19250</v>
      </c>
      <c r="I1678" t="s">
        <v>18986</v>
      </c>
      <c r="K1678" t="str">
        <f>HYPERLINK("http://tuberculist.epfl.ch/quicksearch.php?gene+name=Rv1633&amp;submit=Search")</f>
        <v>http://tuberculist.epfl.ch/quicksearch.php?gene+name=Rv1633&amp;submit=Search</v>
      </c>
    </row>
    <row r="1679" spans="1:11">
      <c r="A1679" t="s">
        <v>2378</v>
      </c>
      <c r="B1679" t="s">
        <v>2378</v>
      </c>
      <c r="C1679" t="s">
        <v>9567</v>
      </c>
      <c r="D1679" t="s">
        <v>13427</v>
      </c>
      <c r="E1679" t="s">
        <v>13428</v>
      </c>
      <c r="F1679" t="s">
        <v>13429</v>
      </c>
      <c r="G1679" t="s">
        <v>19188</v>
      </c>
      <c r="I1679" t="s">
        <v>18789</v>
      </c>
      <c r="K1679" t="str">
        <f>HYPERLINK("http://tuberculist.epfl.ch/quicksearch.php?gene+name=Rv1634&amp;submit=Search")</f>
        <v>http://tuberculist.epfl.ch/quicksearch.php?gene+name=Rv1634&amp;submit=Search</v>
      </c>
    </row>
    <row r="1680" spans="1:11">
      <c r="A1680" t="s">
        <v>2418</v>
      </c>
      <c r="B1680" t="s">
        <v>2418</v>
      </c>
      <c r="C1680" t="s">
        <v>9567</v>
      </c>
      <c r="D1680" t="s">
        <v>13430</v>
      </c>
      <c r="E1680" t="s">
        <v>13431</v>
      </c>
      <c r="F1680" t="s">
        <v>13432</v>
      </c>
      <c r="G1680" t="s">
        <v>19188</v>
      </c>
      <c r="I1680" t="s">
        <v>18789</v>
      </c>
      <c r="K1680" t="str">
        <f>HYPERLINK("http://tuberculist.epfl.ch/quicksearch.php?gene+name=Rv1635c&amp;submit=Search")</f>
        <v>http://tuberculist.epfl.ch/quicksearch.php?gene+name=Rv1635c&amp;submit=Search</v>
      </c>
    </row>
    <row r="1681" spans="1:11">
      <c r="A1681" t="s">
        <v>6214</v>
      </c>
      <c r="B1681" t="s">
        <v>1863</v>
      </c>
      <c r="C1681" t="s">
        <v>9567</v>
      </c>
      <c r="D1681" t="s">
        <v>9578</v>
      </c>
      <c r="E1681" t="s">
        <v>13433</v>
      </c>
      <c r="F1681" t="s">
        <v>13434</v>
      </c>
      <c r="G1681" t="s">
        <v>19206</v>
      </c>
      <c r="H1681" t="s">
        <v>19725</v>
      </c>
      <c r="I1681" t="s">
        <v>18788</v>
      </c>
      <c r="K1681" t="str">
        <f>HYPERLINK("http://tuberculist.epfl.ch/quicksearch.php?gene+name=Rv1636&amp;submit=Search")</f>
        <v>http://tuberculist.epfl.ch/quicksearch.php?gene+name=Rv1636&amp;submit=Search</v>
      </c>
    </row>
    <row r="1682" spans="1:11">
      <c r="A1682" t="s">
        <v>607</v>
      </c>
      <c r="B1682" t="s">
        <v>607</v>
      </c>
      <c r="C1682" t="s">
        <v>9567</v>
      </c>
      <c r="D1682" t="s">
        <v>9578</v>
      </c>
      <c r="E1682" t="s">
        <v>9665</v>
      </c>
      <c r="F1682" t="s">
        <v>13435</v>
      </c>
      <c r="G1682" t="s">
        <v>19204</v>
      </c>
      <c r="H1682" t="s">
        <v>19229</v>
      </c>
      <c r="I1682" t="s">
        <v>18780</v>
      </c>
      <c r="K1682" t="str">
        <f>HYPERLINK("http://tuberculist.epfl.ch/quicksearch.php?gene+name=Rv1637c&amp;submit=Search")</f>
        <v>http://tuberculist.epfl.ch/quicksearch.php?gene+name=Rv1637c&amp;submit=Search</v>
      </c>
    </row>
    <row r="1683" spans="1:11">
      <c r="A1683" t="s">
        <v>6975</v>
      </c>
      <c r="B1683" t="s">
        <v>2248</v>
      </c>
      <c r="C1683" t="s">
        <v>9567</v>
      </c>
      <c r="D1683" t="s">
        <v>13436</v>
      </c>
      <c r="E1683" t="s">
        <v>13437</v>
      </c>
      <c r="F1683" t="s">
        <v>13438</v>
      </c>
      <c r="G1683" t="s">
        <v>19181</v>
      </c>
      <c r="H1683" t="s">
        <v>19726</v>
      </c>
      <c r="I1683" t="s">
        <v>18773</v>
      </c>
      <c r="K1683" t="str">
        <f>HYPERLINK("http://tuberculist.epfl.ch/quicksearch.php?gene+name=Rv1638&amp;submit=Search")</f>
        <v>http://tuberculist.epfl.ch/quicksearch.php?gene+name=Rv1638&amp;submit=Search</v>
      </c>
    </row>
    <row r="1684" spans="1:11">
      <c r="A1684" t="s">
        <v>13439</v>
      </c>
      <c r="B1684" t="s">
        <v>13439</v>
      </c>
      <c r="C1684" t="s">
        <v>9567</v>
      </c>
      <c r="D1684" t="s">
        <v>9578</v>
      </c>
      <c r="E1684" t="s">
        <v>9579</v>
      </c>
      <c r="F1684" t="s">
        <v>13440</v>
      </c>
      <c r="G1684" t="s">
        <v>19210</v>
      </c>
      <c r="H1684" t="s">
        <v>19209</v>
      </c>
      <c r="I1684" t="s">
        <v>18773</v>
      </c>
      <c r="K1684" t="str">
        <f>HYPERLINK("http://tuberculist.epfl.ch/quicksearch.php?gene+name=Rv1638A&amp;submit=Search")</f>
        <v>http://tuberculist.epfl.ch/quicksearch.php?gene+name=Rv1638A&amp;submit=Search</v>
      </c>
    </row>
    <row r="1685" spans="1:11">
      <c r="A1685" t="s">
        <v>159</v>
      </c>
      <c r="B1685" t="s">
        <v>159</v>
      </c>
      <c r="C1685" t="s">
        <v>9567</v>
      </c>
      <c r="D1685" t="s">
        <v>9578</v>
      </c>
      <c r="E1685" t="s">
        <v>12258</v>
      </c>
      <c r="F1685" t="s">
        <v>13441</v>
      </c>
      <c r="G1685" t="s">
        <v>19188</v>
      </c>
      <c r="H1685" t="s">
        <v>19254</v>
      </c>
      <c r="I1685" t="s">
        <v>18780</v>
      </c>
      <c r="J1685" t="s">
        <v>18775</v>
      </c>
      <c r="K1685" t="str">
        <f>HYPERLINK("http://tuberculist.epfl.ch/quicksearch.php?gene+name=Rv1639c&amp;submit=Search")</f>
        <v>http://tuberculist.epfl.ch/quicksearch.php?gene+name=Rv1639c&amp;submit=Search</v>
      </c>
    </row>
    <row r="1686" spans="1:11">
      <c r="A1686" t="s">
        <v>13442</v>
      </c>
      <c r="B1686" t="s">
        <v>988</v>
      </c>
      <c r="C1686" t="s">
        <v>9567</v>
      </c>
      <c r="D1686" t="s">
        <v>13443</v>
      </c>
      <c r="E1686" t="s">
        <v>13444</v>
      </c>
      <c r="F1686" t="s">
        <v>13445</v>
      </c>
      <c r="G1686" t="s">
        <v>19181</v>
      </c>
      <c r="H1686" t="s">
        <v>19184</v>
      </c>
      <c r="I1686" t="s">
        <v>18987</v>
      </c>
      <c r="K1686" t="str">
        <f>HYPERLINK("http://tuberculist.epfl.ch/quicksearch.php?gene+name=Rv1640c&amp;submit=Search")</f>
        <v>http://tuberculist.epfl.ch/quicksearch.php?gene+name=Rv1640c&amp;submit=Search</v>
      </c>
    </row>
    <row r="1687" spans="1:11">
      <c r="A1687" t="s">
        <v>5802</v>
      </c>
      <c r="B1687" t="s">
        <v>1656</v>
      </c>
      <c r="C1687" t="s">
        <v>9567</v>
      </c>
      <c r="D1687" t="s">
        <v>13446</v>
      </c>
      <c r="E1687" t="s">
        <v>13447</v>
      </c>
      <c r="F1687" t="s">
        <v>13448</v>
      </c>
      <c r="G1687" t="s">
        <v>19181</v>
      </c>
      <c r="H1687" t="s">
        <v>19727</v>
      </c>
      <c r="I1687" t="s">
        <v>18774</v>
      </c>
      <c r="K1687" t="str">
        <f>HYPERLINK("http://tuberculist.epfl.ch/quicksearch.php?gene+name=Rv1641&amp;submit=Search")</f>
        <v>http://tuberculist.epfl.ch/quicksearch.php?gene+name=Rv1641&amp;submit=Search</v>
      </c>
    </row>
    <row r="1688" spans="1:11">
      <c r="A1688" t="s">
        <v>9059</v>
      </c>
      <c r="B1688" t="s">
        <v>3257</v>
      </c>
      <c r="C1688" t="s">
        <v>9567</v>
      </c>
      <c r="D1688" t="s">
        <v>13449</v>
      </c>
      <c r="E1688" t="s">
        <v>13450</v>
      </c>
      <c r="F1688" t="s">
        <v>13451</v>
      </c>
      <c r="G1688" t="s">
        <v>19181</v>
      </c>
      <c r="I1688" t="s">
        <v>18773</v>
      </c>
      <c r="K1688" t="str">
        <f>HYPERLINK("http://tuberculist.epfl.ch/quicksearch.php?gene+name=Rv1642&amp;submit=Search")</f>
        <v>http://tuberculist.epfl.ch/quicksearch.php?gene+name=Rv1642&amp;submit=Search</v>
      </c>
    </row>
    <row r="1689" spans="1:11">
      <c r="A1689" t="s">
        <v>6109</v>
      </c>
      <c r="B1689" t="s">
        <v>1809</v>
      </c>
      <c r="C1689" t="s">
        <v>9567</v>
      </c>
      <c r="D1689" t="s">
        <v>13452</v>
      </c>
      <c r="E1689" t="s">
        <v>13453</v>
      </c>
      <c r="F1689" t="s">
        <v>13454</v>
      </c>
      <c r="G1689" t="s">
        <v>19181</v>
      </c>
      <c r="H1689" t="s">
        <v>19728</v>
      </c>
      <c r="I1689" t="s">
        <v>18776</v>
      </c>
      <c r="K1689" t="str">
        <f>HYPERLINK("http://tuberculist.epfl.ch/quicksearch.php?gene+name=Rv1643&amp;submit=Search")</f>
        <v>http://tuberculist.epfl.ch/quicksearch.php?gene+name=Rv1643&amp;submit=Search</v>
      </c>
    </row>
    <row r="1690" spans="1:11">
      <c r="A1690" t="s">
        <v>5697</v>
      </c>
      <c r="B1690" t="s">
        <v>1610</v>
      </c>
      <c r="C1690" t="s">
        <v>9567</v>
      </c>
      <c r="D1690" t="s">
        <v>13455</v>
      </c>
      <c r="E1690" t="s">
        <v>13456</v>
      </c>
      <c r="F1690" t="s">
        <v>13457</v>
      </c>
      <c r="G1690" t="s">
        <v>19181</v>
      </c>
      <c r="H1690" t="s">
        <v>19207</v>
      </c>
      <c r="I1690" t="s">
        <v>18780</v>
      </c>
      <c r="K1690" t="str">
        <f>HYPERLINK("http://tuberculist.epfl.ch/quicksearch.php?gene+name=Rv1644&amp;submit=Search")</f>
        <v>http://tuberculist.epfl.ch/quicksearch.php?gene+name=Rv1644&amp;submit=Search</v>
      </c>
    </row>
    <row r="1691" spans="1:11">
      <c r="A1691" t="s">
        <v>1532</v>
      </c>
      <c r="B1691" t="s">
        <v>1532</v>
      </c>
      <c r="C1691" t="s">
        <v>9567</v>
      </c>
      <c r="D1691" t="s">
        <v>9578</v>
      </c>
      <c r="E1691" t="s">
        <v>9579</v>
      </c>
      <c r="F1691" t="s">
        <v>13458</v>
      </c>
      <c r="G1691" t="s">
        <v>19210</v>
      </c>
      <c r="I1691" t="s">
        <v>18780</v>
      </c>
      <c r="K1691" t="str">
        <f>HYPERLINK("http://tuberculist.epfl.ch/quicksearch.php?gene+name=Rv1645c&amp;submit=Search")</f>
        <v>http://tuberculist.epfl.ch/quicksearch.php?gene+name=Rv1645c&amp;submit=Search</v>
      </c>
    </row>
    <row r="1692" spans="1:11">
      <c r="A1692" t="s">
        <v>4665</v>
      </c>
      <c r="B1692" t="s">
        <v>1090</v>
      </c>
      <c r="C1692" t="s">
        <v>9567</v>
      </c>
      <c r="D1692" t="s">
        <v>9578</v>
      </c>
      <c r="E1692" t="s">
        <v>13459</v>
      </c>
      <c r="F1692" t="s">
        <v>13460</v>
      </c>
      <c r="G1692" t="s">
        <v>19553</v>
      </c>
      <c r="H1692" t="s">
        <v>19334</v>
      </c>
      <c r="I1692" t="s">
        <v>18780</v>
      </c>
      <c r="K1692" t="str">
        <f>HYPERLINK("http://tuberculist.epfl.ch/quicksearch.php?gene+name=Rv1646&amp;submit=Search")</f>
        <v>http://tuberculist.epfl.ch/quicksearch.php?gene+name=Rv1646&amp;submit=Search</v>
      </c>
    </row>
    <row r="1693" spans="1:11">
      <c r="A1693" t="s">
        <v>2480</v>
      </c>
      <c r="B1693" t="s">
        <v>2480</v>
      </c>
      <c r="C1693" t="s">
        <v>9567</v>
      </c>
      <c r="D1693" t="s">
        <v>9542</v>
      </c>
      <c r="E1693" t="s">
        <v>13461</v>
      </c>
      <c r="F1693" t="s">
        <v>13462</v>
      </c>
      <c r="G1693" t="s">
        <v>19195</v>
      </c>
      <c r="H1693" t="s">
        <v>19729</v>
      </c>
      <c r="I1693" t="s">
        <v>18780</v>
      </c>
      <c r="K1693" t="str">
        <f>HYPERLINK("http://tuberculist.epfl.ch/quicksearch.php?gene+name=Rv1647&amp;submit=Search")</f>
        <v>http://tuberculist.epfl.ch/quicksearch.php?gene+name=Rv1647&amp;submit=Search</v>
      </c>
    </row>
    <row r="1694" spans="1:11">
      <c r="A1694" t="s">
        <v>1190</v>
      </c>
      <c r="B1694" t="s">
        <v>1190</v>
      </c>
      <c r="C1694" t="s">
        <v>9567</v>
      </c>
      <c r="D1694" t="s">
        <v>9587</v>
      </c>
      <c r="E1694" t="s">
        <v>10632</v>
      </c>
      <c r="F1694" t="s">
        <v>13463</v>
      </c>
      <c r="G1694" t="s">
        <v>19188</v>
      </c>
      <c r="I1694" t="s">
        <v>18780</v>
      </c>
      <c r="K1694" t="str">
        <f>HYPERLINK("http://tuberculist.epfl.ch/quicksearch.php?gene+name=Rv1648&amp;submit=Search")</f>
        <v>http://tuberculist.epfl.ch/quicksearch.php?gene+name=Rv1648&amp;submit=Search</v>
      </c>
    </row>
    <row r="1695" spans="1:11">
      <c r="A1695" t="s">
        <v>5069</v>
      </c>
      <c r="B1695" t="s">
        <v>1288</v>
      </c>
      <c r="C1695" t="s">
        <v>9567</v>
      </c>
      <c r="D1695" t="s">
        <v>13464</v>
      </c>
      <c r="E1695" t="s">
        <v>13465</v>
      </c>
      <c r="F1695" t="s">
        <v>13466</v>
      </c>
      <c r="G1695" t="s">
        <v>19181</v>
      </c>
      <c r="H1695" t="s">
        <v>19196</v>
      </c>
      <c r="I1695" t="s">
        <v>18774</v>
      </c>
      <c r="K1695" t="str">
        <f>HYPERLINK("http://tuberculist.epfl.ch/quicksearch.php?gene+name=Rv1649&amp;submit=Search")</f>
        <v>http://tuberculist.epfl.ch/quicksearch.php?gene+name=Rv1649&amp;submit=Search</v>
      </c>
    </row>
    <row r="1696" spans="1:11">
      <c r="A1696" t="s">
        <v>3843</v>
      </c>
      <c r="B1696" t="s">
        <v>679</v>
      </c>
      <c r="C1696" t="s">
        <v>9567</v>
      </c>
      <c r="D1696" t="s">
        <v>13467</v>
      </c>
      <c r="E1696" t="s">
        <v>13468</v>
      </c>
      <c r="F1696" t="s">
        <v>13469</v>
      </c>
      <c r="G1696" t="s">
        <v>19181</v>
      </c>
      <c r="H1696" t="s">
        <v>19687</v>
      </c>
      <c r="I1696" t="s">
        <v>18774</v>
      </c>
      <c r="K1696" t="str">
        <f>HYPERLINK("http://tuberculist.epfl.ch/quicksearch.php?gene+name=Rv1650&amp;submit=Search")</f>
        <v>http://tuberculist.epfl.ch/quicksearch.php?gene+name=Rv1650&amp;submit=Search</v>
      </c>
    </row>
    <row r="1697" spans="1:11">
      <c r="A1697" t="s">
        <v>6770</v>
      </c>
      <c r="B1697" t="s">
        <v>2146</v>
      </c>
      <c r="C1697" t="s">
        <v>9567</v>
      </c>
      <c r="D1697" t="s">
        <v>12614</v>
      </c>
      <c r="E1697" t="s">
        <v>13470</v>
      </c>
      <c r="F1697" t="s">
        <v>13471</v>
      </c>
      <c r="G1697" t="s">
        <v>19262</v>
      </c>
      <c r="H1697" t="s">
        <v>19267</v>
      </c>
      <c r="I1697" t="s">
        <v>18780</v>
      </c>
      <c r="K1697" t="str">
        <f>HYPERLINK("http://tuberculist.epfl.ch/quicksearch.php?gene+name=Rv1651c&amp;submit=Search")</f>
        <v>http://tuberculist.epfl.ch/quicksearch.php?gene+name=Rv1651c&amp;submit=Search</v>
      </c>
    </row>
    <row r="1698" spans="1:11">
      <c r="A1698" t="s">
        <v>9492</v>
      </c>
      <c r="B1698" t="s">
        <v>436</v>
      </c>
      <c r="C1698" t="s">
        <v>9567</v>
      </c>
      <c r="D1698" t="s">
        <v>13472</v>
      </c>
      <c r="E1698" t="s">
        <v>13473</v>
      </c>
      <c r="F1698" t="s">
        <v>13474</v>
      </c>
      <c r="G1698" t="s">
        <v>19195</v>
      </c>
      <c r="H1698" t="s">
        <v>19730</v>
      </c>
      <c r="I1698" t="s">
        <v>18774</v>
      </c>
      <c r="K1698" t="str">
        <f>HYPERLINK("http://tuberculist.epfl.ch/quicksearch.php?gene+name=Rv1652&amp;submit=Search")</f>
        <v>http://tuberculist.epfl.ch/quicksearch.php?gene+name=Rv1652&amp;submit=Search</v>
      </c>
    </row>
    <row r="1699" spans="1:11">
      <c r="A1699" t="s">
        <v>9331</v>
      </c>
      <c r="B1699" t="s">
        <v>3388</v>
      </c>
      <c r="C1699" t="s">
        <v>9567</v>
      </c>
      <c r="D1699" t="s">
        <v>13475</v>
      </c>
      <c r="E1699" t="s">
        <v>13476</v>
      </c>
      <c r="F1699" t="s">
        <v>13477</v>
      </c>
      <c r="G1699" t="s">
        <v>19195</v>
      </c>
      <c r="H1699" t="s">
        <v>19233</v>
      </c>
      <c r="I1699" t="s">
        <v>18930</v>
      </c>
      <c r="K1699" t="str">
        <f>HYPERLINK("http://tuberculist.epfl.ch/quicksearch.php?gene+name=Rv1653&amp;submit=Search")</f>
        <v>http://tuberculist.epfl.ch/quicksearch.php?gene+name=Rv1653&amp;submit=Search</v>
      </c>
    </row>
    <row r="1700" spans="1:11">
      <c r="A1700" t="s">
        <v>9451</v>
      </c>
      <c r="B1700" t="s">
        <v>447</v>
      </c>
      <c r="C1700" t="s">
        <v>9567</v>
      </c>
      <c r="D1700" t="s">
        <v>13478</v>
      </c>
      <c r="E1700" t="s">
        <v>13479</v>
      </c>
      <c r="F1700" t="s">
        <v>13480</v>
      </c>
      <c r="G1700" t="s">
        <v>19195</v>
      </c>
      <c r="H1700" t="s">
        <v>19537</v>
      </c>
      <c r="I1700" t="s">
        <v>18800</v>
      </c>
      <c r="K1700" t="str">
        <f>HYPERLINK("http://tuberculist.epfl.ch/quicksearch.php?gene+name=Rv1654&amp;submit=Search")</f>
        <v>http://tuberculist.epfl.ch/quicksearch.php?gene+name=Rv1654&amp;submit=Search</v>
      </c>
    </row>
    <row r="1701" spans="1:11">
      <c r="A1701" t="s">
        <v>8552</v>
      </c>
      <c r="B1701" t="s">
        <v>3019</v>
      </c>
      <c r="C1701" t="s">
        <v>9567</v>
      </c>
      <c r="D1701" t="s">
        <v>13481</v>
      </c>
      <c r="E1701" t="s">
        <v>13482</v>
      </c>
      <c r="F1701" t="s">
        <v>13483</v>
      </c>
      <c r="G1701" t="s">
        <v>19195</v>
      </c>
      <c r="H1701" t="s">
        <v>19731</v>
      </c>
      <c r="I1701" t="s">
        <v>18774</v>
      </c>
      <c r="K1701" t="str">
        <f>HYPERLINK("http://tuberculist.epfl.ch/quicksearch.php?gene+name=Rv1655&amp;submit=Search")</f>
        <v>http://tuberculist.epfl.ch/quicksearch.php?gene+name=Rv1655&amp;submit=Search</v>
      </c>
    </row>
    <row r="1702" spans="1:11">
      <c r="A1702" t="s">
        <v>8697</v>
      </c>
      <c r="B1702" t="s">
        <v>3087</v>
      </c>
      <c r="C1702" t="s">
        <v>9567</v>
      </c>
      <c r="D1702" t="s">
        <v>13484</v>
      </c>
      <c r="E1702" t="s">
        <v>13485</v>
      </c>
      <c r="F1702" t="s">
        <v>13486</v>
      </c>
      <c r="G1702" t="s">
        <v>19195</v>
      </c>
      <c r="H1702" t="s">
        <v>19229</v>
      </c>
      <c r="I1702" t="s">
        <v>18800</v>
      </c>
      <c r="K1702" t="str">
        <f>HYPERLINK("http://tuberculist.epfl.ch/quicksearch.php?gene+name=Rv1656&amp;submit=Search")</f>
        <v>http://tuberculist.epfl.ch/quicksearch.php?gene+name=Rv1656&amp;submit=Search</v>
      </c>
    </row>
    <row r="1703" spans="1:11">
      <c r="A1703" t="s">
        <v>7806</v>
      </c>
      <c r="B1703" t="s">
        <v>2662</v>
      </c>
      <c r="C1703" t="s">
        <v>9567</v>
      </c>
      <c r="D1703" t="s">
        <v>13487</v>
      </c>
      <c r="E1703" t="s">
        <v>13488</v>
      </c>
      <c r="F1703" t="s">
        <v>13489</v>
      </c>
      <c r="G1703" t="s">
        <v>19197</v>
      </c>
      <c r="I1703" t="s">
        <v>18780</v>
      </c>
      <c r="K1703" t="str">
        <f>HYPERLINK("http://tuberculist.epfl.ch/quicksearch.php?gene+name=Rv1657&amp;submit=Search")</f>
        <v>http://tuberculist.epfl.ch/quicksearch.php?gene+name=Rv1657&amp;submit=Search</v>
      </c>
    </row>
    <row r="1704" spans="1:11">
      <c r="A1704" t="s">
        <v>5271</v>
      </c>
      <c r="B1704" t="s">
        <v>1388</v>
      </c>
      <c r="C1704" t="s">
        <v>9567</v>
      </c>
      <c r="D1704" t="s">
        <v>13490</v>
      </c>
      <c r="E1704" t="s">
        <v>13491</v>
      </c>
      <c r="F1704" t="s">
        <v>13492</v>
      </c>
      <c r="G1704" t="s">
        <v>19195</v>
      </c>
      <c r="H1704" t="s">
        <v>19732</v>
      </c>
      <c r="I1704" t="s">
        <v>18774</v>
      </c>
      <c r="K1704" t="str">
        <f>HYPERLINK("http://tuberculist.epfl.ch/quicksearch.php?gene+name=Rv1658&amp;submit=Search")</f>
        <v>http://tuberculist.epfl.ch/quicksearch.php?gene+name=Rv1658&amp;submit=Search</v>
      </c>
    </row>
    <row r="1705" spans="1:11">
      <c r="A1705" t="s">
        <v>4904</v>
      </c>
      <c r="B1705" t="s">
        <v>1207</v>
      </c>
      <c r="C1705" t="s">
        <v>9567</v>
      </c>
      <c r="D1705" t="s">
        <v>13493</v>
      </c>
      <c r="E1705" t="s">
        <v>13494</v>
      </c>
      <c r="F1705" t="s">
        <v>13495</v>
      </c>
      <c r="G1705" t="s">
        <v>19195</v>
      </c>
      <c r="H1705" t="s">
        <v>19233</v>
      </c>
      <c r="I1705" t="s">
        <v>18774</v>
      </c>
      <c r="K1705" t="str">
        <f>HYPERLINK("http://tuberculist.epfl.ch/quicksearch.php?gene+name=Rv1659&amp;submit=Search")</f>
        <v>http://tuberculist.epfl.ch/quicksearch.php?gene+name=Rv1659&amp;submit=Search</v>
      </c>
    </row>
    <row r="1706" spans="1:11">
      <c r="A1706" t="s">
        <v>4701</v>
      </c>
      <c r="B1706" t="s">
        <v>1107</v>
      </c>
      <c r="C1706" t="s">
        <v>9567</v>
      </c>
      <c r="D1706" t="s">
        <v>13496</v>
      </c>
      <c r="E1706" t="s">
        <v>13497</v>
      </c>
      <c r="F1706" t="s">
        <v>13498</v>
      </c>
      <c r="G1706" t="s">
        <v>19219</v>
      </c>
      <c r="H1706" t="s">
        <v>19733</v>
      </c>
      <c r="I1706" t="s">
        <v>18780</v>
      </c>
      <c r="K1706" t="str">
        <f>HYPERLINK("http://tuberculist.epfl.ch/quicksearch.php?gene+name=Rv1660&amp;submit=Search")</f>
        <v>http://tuberculist.epfl.ch/quicksearch.php?gene+name=Rv1660&amp;submit=Search</v>
      </c>
    </row>
    <row r="1707" spans="1:11">
      <c r="A1707" t="s">
        <v>7201</v>
      </c>
      <c r="B1707" t="s">
        <v>2361</v>
      </c>
      <c r="C1707" t="s">
        <v>9567</v>
      </c>
      <c r="D1707" t="s">
        <v>13499</v>
      </c>
      <c r="E1707" t="s">
        <v>13500</v>
      </c>
      <c r="F1707" t="s">
        <v>13501</v>
      </c>
      <c r="G1707" t="s">
        <v>19219</v>
      </c>
      <c r="H1707" t="s">
        <v>19734</v>
      </c>
      <c r="I1707" t="s">
        <v>18791</v>
      </c>
      <c r="K1707" t="str">
        <f>HYPERLINK("http://tuberculist.epfl.ch/quicksearch.php?gene+name=Rv1661&amp;submit=Search")</f>
        <v>http://tuberculist.epfl.ch/quicksearch.php?gene+name=Rv1661&amp;submit=Search</v>
      </c>
    </row>
    <row r="1708" spans="1:11">
      <c r="A1708" t="s">
        <v>8849</v>
      </c>
      <c r="B1708" t="s">
        <v>3157</v>
      </c>
      <c r="C1708" t="s">
        <v>9567</v>
      </c>
      <c r="D1708" t="s">
        <v>13499</v>
      </c>
      <c r="E1708" t="s">
        <v>13502</v>
      </c>
      <c r="F1708" t="s">
        <v>13503</v>
      </c>
      <c r="G1708" t="s">
        <v>19219</v>
      </c>
      <c r="H1708" t="s">
        <v>19211</v>
      </c>
      <c r="I1708" t="s">
        <v>18791</v>
      </c>
      <c r="K1708" t="str">
        <f>HYPERLINK("http://tuberculist.epfl.ch/quicksearch.php?gene+name=Rv1662&amp;submit=Search")</f>
        <v>http://tuberculist.epfl.ch/quicksearch.php?gene+name=Rv1662&amp;submit=Search</v>
      </c>
    </row>
    <row r="1709" spans="1:11">
      <c r="A1709" t="s">
        <v>4296</v>
      </c>
      <c r="B1709" t="s">
        <v>908</v>
      </c>
      <c r="C1709" t="s">
        <v>9567</v>
      </c>
      <c r="D1709" t="s">
        <v>13499</v>
      </c>
      <c r="E1709" t="s">
        <v>13504</v>
      </c>
      <c r="F1709" t="s">
        <v>13505</v>
      </c>
      <c r="G1709" t="s">
        <v>19219</v>
      </c>
      <c r="H1709" t="s">
        <v>19257</v>
      </c>
      <c r="I1709" t="s">
        <v>18774</v>
      </c>
      <c r="K1709" t="str">
        <f>HYPERLINK("http://tuberculist.epfl.ch/quicksearch.php?gene+name=Rv1663&amp;submit=Search")</f>
        <v>http://tuberculist.epfl.ch/quicksearch.php?gene+name=Rv1663&amp;submit=Search</v>
      </c>
    </row>
    <row r="1710" spans="1:11">
      <c r="A1710" t="s">
        <v>4097</v>
      </c>
      <c r="B1710" t="s">
        <v>805</v>
      </c>
      <c r="C1710" t="s">
        <v>9567</v>
      </c>
      <c r="D1710" t="s">
        <v>13499</v>
      </c>
      <c r="E1710" t="s">
        <v>13506</v>
      </c>
      <c r="F1710" t="s">
        <v>13507</v>
      </c>
      <c r="G1710" t="s">
        <v>19219</v>
      </c>
      <c r="H1710" t="s">
        <v>19211</v>
      </c>
      <c r="I1710" t="s">
        <v>18779</v>
      </c>
      <c r="K1710" t="str">
        <f>HYPERLINK("http://tuberculist.epfl.ch/quicksearch.php?gene+name=Rv1664&amp;submit=Search")</f>
        <v>http://tuberculist.epfl.ch/quicksearch.php?gene+name=Rv1664&amp;submit=Search</v>
      </c>
    </row>
    <row r="1711" spans="1:11">
      <c r="A1711" t="s">
        <v>6625</v>
      </c>
      <c r="B1711" t="s">
        <v>2073</v>
      </c>
      <c r="C1711" t="s">
        <v>9567</v>
      </c>
      <c r="D1711" t="s">
        <v>13496</v>
      </c>
      <c r="E1711" t="s">
        <v>13508</v>
      </c>
      <c r="F1711" t="s">
        <v>13509</v>
      </c>
      <c r="G1711" t="s">
        <v>19219</v>
      </c>
      <c r="H1711" t="s">
        <v>19735</v>
      </c>
      <c r="I1711" t="s">
        <v>18988</v>
      </c>
      <c r="K1711" t="str">
        <f>HYPERLINK("http://tuberculist.epfl.ch/quicksearch.php?gene+name=Rv1665&amp;submit=Search")</f>
        <v>http://tuberculist.epfl.ch/quicksearch.php?gene+name=Rv1665&amp;submit=Search</v>
      </c>
    </row>
    <row r="1712" spans="1:11">
      <c r="A1712" t="s">
        <v>4494</v>
      </c>
      <c r="B1712" t="s">
        <v>1010</v>
      </c>
      <c r="C1712" t="s">
        <v>9567</v>
      </c>
      <c r="D1712" t="s">
        <v>9908</v>
      </c>
      <c r="E1712" t="s">
        <v>13510</v>
      </c>
      <c r="F1712" t="s">
        <v>13511</v>
      </c>
      <c r="G1712" t="s">
        <v>19195</v>
      </c>
      <c r="I1712" t="s">
        <v>18780</v>
      </c>
      <c r="K1712" t="str">
        <f>HYPERLINK("http://tuberculist.epfl.ch/quicksearch.php?gene+name=Rv1666c&amp;submit=Search")</f>
        <v>http://tuberculist.epfl.ch/quicksearch.php?gene+name=Rv1666c&amp;submit=Search</v>
      </c>
    </row>
    <row r="1713" spans="1:11">
      <c r="A1713" t="s">
        <v>13512</v>
      </c>
      <c r="B1713" t="s">
        <v>13512</v>
      </c>
      <c r="C1713" t="s">
        <v>9567</v>
      </c>
      <c r="D1713" t="s">
        <v>13033</v>
      </c>
      <c r="E1713" t="s">
        <v>13513</v>
      </c>
      <c r="F1713" t="s">
        <v>13514</v>
      </c>
      <c r="G1713" t="s">
        <v>19188</v>
      </c>
      <c r="I1713" t="s">
        <v>18780</v>
      </c>
      <c r="K1713" t="str">
        <f>HYPERLINK("http://tuberculist.epfl.ch/quicksearch.php?gene+name=Rv1667c&amp;submit=Search")</f>
        <v>http://tuberculist.epfl.ch/quicksearch.php?gene+name=Rv1667c&amp;submit=Search</v>
      </c>
    </row>
    <row r="1714" spans="1:11">
      <c r="A1714" t="s">
        <v>608</v>
      </c>
      <c r="B1714" t="s">
        <v>608</v>
      </c>
      <c r="C1714" t="s">
        <v>9567</v>
      </c>
      <c r="D1714" t="s">
        <v>13033</v>
      </c>
      <c r="E1714" t="s">
        <v>13515</v>
      </c>
      <c r="F1714" t="s">
        <v>13516</v>
      </c>
      <c r="G1714" t="s">
        <v>19188</v>
      </c>
      <c r="I1714" t="s">
        <v>18789</v>
      </c>
      <c r="K1714" t="str">
        <f>HYPERLINK("http://tuberculist.epfl.ch/quicksearch.php?gene+name=Rv1668c&amp;submit=Search")</f>
        <v>http://tuberculist.epfl.ch/quicksearch.php?gene+name=Rv1668c&amp;submit=Search</v>
      </c>
    </row>
    <row r="1715" spans="1:11">
      <c r="A1715" t="s">
        <v>1438</v>
      </c>
      <c r="B1715" t="s">
        <v>1438</v>
      </c>
      <c r="C1715" t="s">
        <v>9567</v>
      </c>
      <c r="D1715" t="s">
        <v>9587</v>
      </c>
      <c r="E1715" t="s">
        <v>9713</v>
      </c>
      <c r="F1715" t="s">
        <v>13517</v>
      </c>
      <c r="G1715" t="s">
        <v>19212</v>
      </c>
      <c r="I1715" t="s">
        <v>18780</v>
      </c>
      <c r="K1715" t="str">
        <f>HYPERLINK("http://tuberculist.epfl.ch/quicksearch.php?gene+name=Rv1669&amp;submit=Search")</f>
        <v>http://tuberculist.epfl.ch/quicksearch.php?gene+name=Rv1669&amp;submit=Search</v>
      </c>
    </row>
    <row r="1716" spans="1:11">
      <c r="A1716" t="s">
        <v>13518</v>
      </c>
      <c r="B1716" t="s">
        <v>13518</v>
      </c>
      <c r="C1716" t="s">
        <v>9567</v>
      </c>
      <c r="D1716" t="s">
        <v>9578</v>
      </c>
      <c r="E1716" t="s">
        <v>9579</v>
      </c>
      <c r="F1716" t="s">
        <v>13519</v>
      </c>
      <c r="G1716" t="s">
        <v>19212</v>
      </c>
      <c r="H1716" t="s">
        <v>19214</v>
      </c>
      <c r="I1716" t="s">
        <v>18780</v>
      </c>
      <c r="K1716" t="str">
        <f>HYPERLINK("http://tuberculist.epfl.ch/quicksearch.php?gene+name=Rv1670&amp;submit=Search")</f>
        <v>http://tuberculist.epfl.ch/quicksearch.php?gene+name=Rv1670&amp;submit=Search</v>
      </c>
    </row>
    <row r="1717" spans="1:11">
      <c r="A1717" t="s">
        <v>13520</v>
      </c>
      <c r="B1717" t="s">
        <v>13520</v>
      </c>
      <c r="C1717" t="s">
        <v>9567</v>
      </c>
      <c r="D1717" t="s">
        <v>9587</v>
      </c>
      <c r="E1717" t="s">
        <v>9758</v>
      </c>
      <c r="F1717" t="s">
        <v>13521</v>
      </c>
      <c r="G1717" t="s">
        <v>19188</v>
      </c>
      <c r="I1717" t="s">
        <v>18860</v>
      </c>
      <c r="K1717" t="str">
        <f>HYPERLINK("http://tuberculist.epfl.ch/quicksearch.php?gene+name=Rv1671&amp;submit=Search")</f>
        <v>http://tuberculist.epfl.ch/quicksearch.php?gene+name=Rv1671&amp;submit=Search</v>
      </c>
    </row>
    <row r="1718" spans="1:11">
      <c r="A1718" t="s">
        <v>2000</v>
      </c>
      <c r="B1718" t="s">
        <v>2000</v>
      </c>
      <c r="C1718" t="s">
        <v>9567</v>
      </c>
      <c r="D1718" t="s">
        <v>13522</v>
      </c>
      <c r="E1718" t="s">
        <v>11579</v>
      </c>
      <c r="F1718" t="s">
        <v>13523</v>
      </c>
      <c r="G1718" t="s">
        <v>19188</v>
      </c>
      <c r="H1718" t="s">
        <v>19540</v>
      </c>
      <c r="I1718" t="s">
        <v>18821</v>
      </c>
      <c r="K1718" t="str">
        <f>HYPERLINK("http://tuberculist.epfl.ch/quicksearch.php?gene+name=Rv1672c&amp;submit=Search")</f>
        <v>http://tuberculist.epfl.ch/quicksearch.php?gene+name=Rv1672c&amp;submit=Search</v>
      </c>
    </row>
    <row r="1719" spans="1:11">
      <c r="A1719" t="s">
        <v>13524</v>
      </c>
      <c r="B1719" t="s">
        <v>13524</v>
      </c>
      <c r="C1719" t="s">
        <v>9567</v>
      </c>
      <c r="D1719" t="s">
        <v>9578</v>
      </c>
      <c r="E1719" t="s">
        <v>9579</v>
      </c>
      <c r="F1719" t="s">
        <v>13525</v>
      </c>
      <c r="G1719" t="s">
        <v>19204</v>
      </c>
      <c r="I1719" t="s">
        <v>18821</v>
      </c>
      <c r="K1719" t="str">
        <f>HYPERLINK("http://tuberculist.epfl.ch/quicksearch.php?gene+name=Rv1673c&amp;submit=Search")</f>
        <v>http://tuberculist.epfl.ch/quicksearch.php?gene+name=Rv1673c&amp;submit=Search</v>
      </c>
    </row>
    <row r="1720" spans="1:11">
      <c r="A1720" t="s">
        <v>13526</v>
      </c>
      <c r="B1720" t="s">
        <v>13526</v>
      </c>
      <c r="C1720" t="s">
        <v>9567</v>
      </c>
      <c r="D1720" t="s">
        <v>9629</v>
      </c>
      <c r="E1720" t="s">
        <v>9763</v>
      </c>
      <c r="F1720" t="s">
        <v>13527</v>
      </c>
      <c r="G1720" t="s">
        <v>19197</v>
      </c>
      <c r="H1720" t="s">
        <v>19207</v>
      </c>
      <c r="I1720" t="s">
        <v>18821</v>
      </c>
      <c r="K1720" t="str">
        <f>HYPERLINK("http://tuberculist.epfl.ch/quicksearch.php?gene+name=Rv1674c&amp;submit=Search")</f>
        <v>http://tuberculist.epfl.ch/quicksearch.php?gene+name=Rv1674c&amp;submit=Search</v>
      </c>
    </row>
    <row r="1721" spans="1:11">
      <c r="A1721" t="s">
        <v>13528</v>
      </c>
      <c r="B1721" t="s">
        <v>13529</v>
      </c>
      <c r="C1721" t="s">
        <v>9567</v>
      </c>
      <c r="D1721" t="s">
        <v>9969</v>
      </c>
      <c r="E1721" t="s">
        <v>13530</v>
      </c>
      <c r="F1721" t="s">
        <v>13531</v>
      </c>
      <c r="G1721" t="s">
        <v>19197</v>
      </c>
      <c r="H1721" t="s">
        <v>19213</v>
      </c>
      <c r="I1721" t="s">
        <v>18989</v>
      </c>
      <c r="K1721" t="str">
        <f>HYPERLINK("http://tuberculist.epfl.ch/quicksearch.php?gene+name=Rv1675c&amp;submit=Search")</f>
        <v>http://tuberculist.epfl.ch/quicksearch.php?gene+name=Rv1675c&amp;submit=Search</v>
      </c>
    </row>
    <row r="1722" spans="1:11">
      <c r="A1722" t="s">
        <v>2872</v>
      </c>
      <c r="B1722" t="s">
        <v>2872</v>
      </c>
      <c r="C1722" t="s">
        <v>9567</v>
      </c>
      <c r="D1722" t="s">
        <v>9587</v>
      </c>
      <c r="E1722" t="s">
        <v>9768</v>
      </c>
      <c r="F1722" t="s">
        <v>13532</v>
      </c>
      <c r="G1722" t="s">
        <v>19212</v>
      </c>
      <c r="H1722" t="s">
        <v>19225</v>
      </c>
      <c r="I1722" t="s">
        <v>18773</v>
      </c>
      <c r="K1722" t="str">
        <f>HYPERLINK("http://tuberculist.epfl.ch/quicksearch.php?gene+name=Rv1676&amp;submit=Search")</f>
        <v>http://tuberculist.epfl.ch/quicksearch.php?gene+name=Rv1676&amp;submit=Search</v>
      </c>
    </row>
    <row r="1723" spans="1:11">
      <c r="A1723" t="s">
        <v>5808</v>
      </c>
      <c r="B1723" t="s">
        <v>1659</v>
      </c>
      <c r="C1723" t="s">
        <v>9567</v>
      </c>
      <c r="D1723" t="s">
        <v>13533</v>
      </c>
      <c r="E1723" t="s">
        <v>13534</v>
      </c>
      <c r="F1723" t="s">
        <v>13535</v>
      </c>
      <c r="G1723" t="s">
        <v>19188</v>
      </c>
      <c r="I1723" t="s">
        <v>18780</v>
      </c>
      <c r="K1723" t="str">
        <f>HYPERLINK("http://tuberculist.epfl.ch/quicksearch.php?gene+name=Rv1677&amp;submit=Search")</f>
        <v>http://tuberculist.epfl.ch/quicksearch.php?gene+name=Rv1677&amp;submit=Search</v>
      </c>
    </row>
    <row r="1724" spans="1:11">
      <c r="A1724" t="s">
        <v>2447</v>
      </c>
      <c r="B1724" t="s">
        <v>2447</v>
      </c>
      <c r="C1724" t="s">
        <v>9567</v>
      </c>
      <c r="D1724" t="s">
        <v>9587</v>
      </c>
      <c r="E1724" t="s">
        <v>10806</v>
      </c>
      <c r="F1724" t="s">
        <v>13536</v>
      </c>
      <c r="G1724" t="s">
        <v>19188</v>
      </c>
      <c r="I1724" t="s">
        <v>18779</v>
      </c>
      <c r="K1724" t="str">
        <f>HYPERLINK("http://tuberculist.epfl.ch/quicksearch.php?gene+name=Rv1678&amp;submit=Search")</f>
        <v>http://tuberculist.epfl.ch/quicksearch.php?gene+name=Rv1678&amp;submit=Search</v>
      </c>
    </row>
    <row r="1725" spans="1:11">
      <c r="A1725" t="s">
        <v>5776</v>
      </c>
      <c r="B1725" t="s">
        <v>1646</v>
      </c>
      <c r="C1725" t="s">
        <v>9567</v>
      </c>
      <c r="D1725" t="s">
        <v>9812</v>
      </c>
      <c r="E1725" t="s">
        <v>13537</v>
      </c>
      <c r="F1725" t="s">
        <v>13538</v>
      </c>
      <c r="G1725" t="s">
        <v>19219</v>
      </c>
      <c r="H1725" t="s">
        <v>19736</v>
      </c>
      <c r="I1725" t="s">
        <v>18773</v>
      </c>
      <c r="K1725" t="str">
        <f>HYPERLINK("http://tuberculist.epfl.ch/quicksearch.php?gene+name=Rv1679&amp;submit=Search")</f>
        <v>http://tuberculist.epfl.ch/quicksearch.php?gene+name=Rv1679&amp;submit=Search</v>
      </c>
    </row>
    <row r="1726" spans="1:11">
      <c r="A1726" t="s">
        <v>2223</v>
      </c>
      <c r="B1726" t="s">
        <v>2223</v>
      </c>
      <c r="C1726" t="s">
        <v>9567</v>
      </c>
      <c r="D1726" t="s">
        <v>9587</v>
      </c>
      <c r="E1726" t="s">
        <v>9713</v>
      </c>
      <c r="F1726" t="s">
        <v>13539</v>
      </c>
      <c r="G1726" t="s">
        <v>19210</v>
      </c>
      <c r="H1726" t="s">
        <v>19209</v>
      </c>
      <c r="I1726" t="s">
        <v>18780</v>
      </c>
      <c r="K1726" t="str">
        <f>HYPERLINK("http://tuberculist.epfl.ch/quicksearch.php?gene+name=Rv1680&amp;submit=Search")</f>
        <v>http://tuberculist.epfl.ch/quicksearch.php?gene+name=Rv1680&amp;submit=Search</v>
      </c>
    </row>
    <row r="1727" spans="1:11">
      <c r="A1727" t="s">
        <v>4143</v>
      </c>
      <c r="B1727" t="s">
        <v>832</v>
      </c>
      <c r="C1727" t="s">
        <v>9567</v>
      </c>
      <c r="D1727" t="s">
        <v>13540</v>
      </c>
      <c r="E1727" t="s">
        <v>13541</v>
      </c>
      <c r="F1727" t="s">
        <v>13542</v>
      </c>
      <c r="G1727" t="s">
        <v>19195</v>
      </c>
      <c r="I1727" t="s">
        <v>18786</v>
      </c>
      <c r="K1727" t="str">
        <f>HYPERLINK("http://tuberculist.epfl.ch/quicksearch.php?gene+name=Rv1681&amp;submit=Search")</f>
        <v>http://tuberculist.epfl.ch/quicksearch.php?gene+name=Rv1681&amp;submit=Search</v>
      </c>
    </row>
    <row r="1728" spans="1:11">
      <c r="A1728" t="s">
        <v>3196</v>
      </c>
      <c r="B1728" t="s">
        <v>3196</v>
      </c>
      <c r="C1728" t="s">
        <v>9567</v>
      </c>
      <c r="D1728" t="s">
        <v>9578</v>
      </c>
      <c r="E1728" t="s">
        <v>13543</v>
      </c>
      <c r="F1728" t="s">
        <v>13544</v>
      </c>
      <c r="G1728" t="s">
        <v>19212</v>
      </c>
      <c r="I1728" t="s">
        <v>18780</v>
      </c>
      <c r="J1728" t="s">
        <v>18832</v>
      </c>
      <c r="K1728" t="str">
        <f>HYPERLINK("http://tuberculist.epfl.ch/quicksearch.php?gene+name=Rv1682&amp;submit=Search")</f>
        <v>http://tuberculist.epfl.ch/quicksearch.php?gene+name=Rv1682&amp;submit=Search</v>
      </c>
    </row>
    <row r="1729" spans="1:11">
      <c r="A1729" t="s">
        <v>2154</v>
      </c>
      <c r="B1729" t="s">
        <v>2154</v>
      </c>
      <c r="C1729" t="s">
        <v>9567</v>
      </c>
      <c r="D1729" t="s">
        <v>13545</v>
      </c>
      <c r="E1729" t="s">
        <v>13546</v>
      </c>
      <c r="F1729" t="s">
        <v>13547</v>
      </c>
      <c r="G1729" t="s">
        <v>19219</v>
      </c>
      <c r="H1729" t="s">
        <v>19283</v>
      </c>
      <c r="I1729" t="s">
        <v>18774</v>
      </c>
      <c r="K1729" t="str">
        <f>HYPERLINK("http://tuberculist.epfl.ch/quicksearch.php?gene+name=Rv1683&amp;submit=Search")</f>
        <v>http://tuberculist.epfl.ch/quicksearch.php?gene+name=Rv1683&amp;submit=Search</v>
      </c>
    </row>
    <row r="1730" spans="1:11">
      <c r="A1730" t="s">
        <v>13548</v>
      </c>
      <c r="B1730" t="s">
        <v>13548</v>
      </c>
      <c r="C1730" t="s">
        <v>9567</v>
      </c>
      <c r="D1730" t="s">
        <v>9578</v>
      </c>
      <c r="E1730" t="s">
        <v>9579</v>
      </c>
      <c r="F1730" t="s">
        <v>13549</v>
      </c>
      <c r="G1730" t="s">
        <v>19210</v>
      </c>
      <c r="H1730" t="s">
        <v>19672</v>
      </c>
      <c r="I1730" t="s">
        <v>18773</v>
      </c>
      <c r="K1730" t="str">
        <f>HYPERLINK("http://tuberculist.epfl.ch/quicksearch.php?gene+name=Rv1684&amp;submit=Search")</f>
        <v>http://tuberculist.epfl.ch/quicksearch.php?gene+name=Rv1684&amp;submit=Search</v>
      </c>
    </row>
    <row r="1731" spans="1:11">
      <c r="A1731" t="s">
        <v>1586</v>
      </c>
      <c r="B1731" t="s">
        <v>1586</v>
      </c>
      <c r="C1731" t="s">
        <v>9567</v>
      </c>
      <c r="D1731" t="s">
        <v>9578</v>
      </c>
      <c r="E1731" t="s">
        <v>9579</v>
      </c>
      <c r="F1731" t="s">
        <v>13550</v>
      </c>
      <c r="G1731" t="s">
        <v>19208</v>
      </c>
      <c r="I1731" t="s">
        <v>18788</v>
      </c>
      <c r="K1731" t="str">
        <f>HYPERLINK("http://tuberculist.epfl.ch/quicksearch.php?gene+name=Rv1685c&amp;submit=Search")</f>
        <v>http://tuberculist.epfl.ch/quicksearch.php?gene+name=Rv1685c&amp;submit=Search</v>
      </c>
    </row>
    <row r="1732" spans="1:11">
      <c r="A1732" t="s">
        <v>13551</v>
      </c>
      <c r="B1732" t="s">
        <v>13551</v>
      </c>
      <c r="C1732" t="s">
        <v>9567</v>
      </c>
      <c r="D1732" t="s">
        <v>13552</v>
      </c>
      <c r="E1732" t="s">
        <v>13553</v>
      </c>
      <c r="F1732" t="s">
        <v>13554</v>
      </c>
      <c r="G1732" t="s">
        <v>19188</v>
      </c>
      <c r="H1732" t="s">
        <v>19619</v>
      </c>
      <c r="I1732" t="s">
        <v>18773</v>
      </c>
      <c r="K1732" t="str">
        <f>HYPERLINK("http://tuberculist.epfl.ch/quicksearch.php?gene+name=Rv1686c&amp;submit=Search")</f>
        <v>http://tuberculist.epfl.ch/quicksearch.php?gene+name=Rv1686c&amp;submit=Search</v>
      </c>
    </row>
    <row r="1733" spans="1:11">
      <c r="A1733" t="s">
        <v>165</v>
      </c>
      <c r="B1733" t="s">
        <v>165</v>
      </c>
      <c r="C1733" t="s">
        <v>9567</v>
      </c>
      <c r="D1733" t="s">
        <v>13555</v>
      </c>
      <c r="E1733" t="s">
        <v>13012</v>
      </c>
      <c r="F1733" t="s">
        <v>13556</v>
      </c>
      <c r="G1733" t="s">
        <v>19188</v>
      </c>
      <c r="H1733" t="s">
        <v>19213</v>
      </c>
      <c r="I1733" t="s">
        <v>18780</v>
      </c>
      <c r="K1733" t="str">
        <f>HYPERLINK("http://tuberculist.epfl.ch/quicksearch.php?gene+name=Rv1687c&amp;submit=Search")</f>
        <v>http://tuberculist.epfl.ch/quicksearch.php?gene+name=Rv1687c&amp;submit=Search</v>
      </c>
    </row>
    <row r="1734" spans="1:11">
      <c r="A1734" t="s">
        <v>13557</v>
      </c>
      <c r="B1734" t="s">
        <v>13558</v>
      </c>
      <c r="C1734" t="s">
        <v>9567</v>
      </c>
      <c r="D1734" t="s">
        <v>13559</v>
      </c>
      <c r="E1734" t="s">
        <v>13560</v>
      </c>
      <c r="F1734" t="s">
        <v>13561</v>
      </c>
      <c r="G1734" t="s">
        <v>19181</v>
      </c>
      <c r="H1734" t="s">
        <v>19334</v>
      </c>
      <c r="I1734" t="s">
        <v>18780</v>
      </c>
      <c r="K1734" t="str">
        <f>HYPERLINK("http://tuberculist.epfl.ch/quicksearch.php?gene+name=Rv1688&amp;submit=Search")</f>
        <v>http://tuberculist.epfl.ch/quicksearch.php?gene+name=Rv1688&amp;submit=Search</v>
      </c>
    </row>
    <row r="1735" spans="1:11">
      <c r="A1735" t="s">
        <v>5011</v>
      </c>
      <c r="B1735" t="s">
        <v>1258</v>
      </c>
      <c r="C1735" t="s">
        <v>9567</v>
      </c>
      <c r="D1735" t="s">
        <v>13562</v>
      </c>
      <c r="E1735" t="s">
        <v>13563</v>
      </c>
      <c r="F1735" t="s">
        <v>13564</v>
      </c>
      <c r="G1735" t="s">
        <v>19181</v>
      </c>
      <c r="H1735" t="s">
        <v>19737</v>
      </c>
      <c r="I1735" t="s">
        <v>18774</v>
      </c>
      <c r="K1735" t="str">
        <f>HYPERLINK("http://tuberculist.epfl.ch/quicksearch.php?gene+name=Rv1689&amp;submit=Search")</f>
        <v>http://tuberculist.epfl.ch/quicksearch.php?gene+name=Rv1689&amp;submit=Search</v>
      </c>
    </row>
    <row r="1736" spans="1:11">
      <c r="A1736" t="s">
        <v>13565</v>
      </c>
      <c r="B1736" t="s">
        <v>13566</v>
      </c>
      <c r="C1736" t="s">
        <v>9567</v>
      </c>
      <c r="D1736" t="s">
        <v>9587</v>
      </c>
      <c r="E1736" t="s">
        <v>13567</v>
      </c>
      <c r="F1736" t="s">
        <v>13568</v>
      </c>
      <c r="G1736" t="s">
        <v>19188</v>
      </c>
      <c r="H1736" t="s">
        <v>19213</v>
      </c>
      <c r="I1736" t="s">
        <v>18780</v>
      </c>
      <c r="K1736" t="str">
        <f>HYPERLINK("http://tuberculist.epfl.ch/quicksearch.php?gene+name=Rv1690&amp;submit=Search")</f>
        <v>http://tuberculist.epfl.ch/quicksearch.php?gene+name=Rv1690&amp;submit=Search</v>
      </c>
    </row>
    <row r="1737" spans="1:11">
      <c r="A1737" t="s">
        <v>2826</v>
      </c>
      <c r="B1737" t="s">
        <v>2826</v>
      </c>
      <c r="C1737" t="s">
        <v>9567</v>
      </c>
      <c r="D1737" t="s">
        <v>9578</v>
      </c>
      <c r="E1737" t="s">
        <v>9579</v>
      </c>
      <c r="F1737" t="s">
        <v>13569</v>
      </c>
      <c r="G1737" t="s">
        <v>19204</v>
      </c>
      <c r="H1737" t="s">
        <v>19205</v>
      </c>
      <c r="I1737" t="s">
        <v>18818</v>
      </c>
      <c r="K1737" t="str">
        <f>HYPERLINK("http://tuberculist.epfl.ch/quicksearch.php?gene+name=Rv1691&amp;submit=Search")</f>
        <v>http://tuberculist.epfl.ch/quicksearch.php?gene+name=Rv1691&amp;submit=Search</v>
      </c>
    </row>
    <row r="1738" spans="1:11">
      <c r="A1738" t="s">
        <v>855</v>
      </c>
      <c r="B1738" t="s">
        <v>855</v>
      </c>
      <c r="C1738" t="s">
        <v>9567</v>
      </c>
      <c r="D1738" t="s">
        <v>12032</v>
      </c>
      <c r="E1738" t="s">
        <v>13570</v>
      </c>
      <c r="F1738" t="s">
        <v>13571</v>
      </c>
      <c r="G1738" t="s">
        <v>19195</v>
      </c>
      <c r="H1738" t="s">
        <v>19619</v>
      </c>
      <c r="I1738" t="s">
        <v>18780</v>
      </c>
      <c r="K1738" t="str">
        <f>HYPERLINK("http://tuberculist.epfl.ch/quicksearch.php?gene+name=Rv1692&amp;submit=Search")</f>
        <v>http://tuberculist.epfl.ch/quicksearch.php?gene+name=Rv1692&amp;submit=Search</v>
      </c>
    </row>
    <row r="1739" spans="1:11">
      <c r="A1739" t="s">
        <v>13572</v>
      </c>
      <c r="B1739" t="s">
        <v>13572</v>
      </c>
      <c r="C1739" t="s">
        <v>9567</v>
      </c>
      <c r="D1739" t="s">
        <v>9587</v>
      </c>
      <c r="E1739" t="s">
        <v>9579</v>
      </c>
      <c r="F1739" t="s">
        <v>13573</v>
      </c>
      <c r="G1739" t="s">
        <v>19204</v>
      </c>
      <c r="I1739" t="s">
        <v>18779</v>
      </c>
      <c r="K1739" t="str">
        <f>HYPERLINK("http://tuberculist.epfl.ch/quicksearch.php?gene+name=Rv1693&amp;submit=Search")</f>
        <v>http://tuberculist.epfl.ch/quicksearch.php?gene+name=Rv1693&amp;submit=Search</v>
      </c>
    </row>
    <row r="1740" spans="1:11">
      <c r="A1740" t="s">
        <v>3620</v>
      </c>
      <c r="B1740" t="s">
        <v>571</v>
      </c>
      <c r="C1740" t="s">
        <v>9567</v>
      </c>
      <c r="D1740" t="s">
        <v>13574</v>
      </c>
      <c r="E1740" t="s">
        <v>13575</v>
      </c>
      <c r="F1740" t="s">
        <v>13576</v>
      </c>
      <c r="G1740" t="s">
        <v>19206</v>
      </c>
      <c r="I1740" t="s">
        <v>18990</v>
      </c>
      <c r="K1740" t="str">
        <f>HYPERLINK("http://tuberculist.epfl.ch/quicksearch.php?gene+name=Rv1694&amp;submit=Search")</f>
        <v>http://tuberculist.epfl.ch/quicksearch.php?gene+name=Rv1694&amp;submit=Search</v>
      </c>
    </row>
    <row r="1741" spans="1:11">
      <c r="A1741" t="s">
        <v>3973</v>
      </c>
      <c r="B1741" t="s">
        <v>747</v>
      </c>
      <c r="C1741" t="s">
        <v>9567</v>
      </c>
      <c r="D1741" t="s">
        <v>13577</v>
      </c>
      <c r="E1741" t="s">
        <v>13578</v>
      </c>
      <c r="F1741" t="s">
        <v>13579</v>
      </c>
      <c r="G1741" t="s">
        <v>19195</v>
      </c>
      <c r="H1741" t="s">
        <v>19213</v>
      </c>
      <c r="I1741" t="s">
        <v>18774</v>
      </c>
      <c r="K1741" t="str">
        <f>HYPERLINK("http://tuberculist.epfl.ch/quicksearch.php?gene+name=Rv1695&amp;submit=Search")</f>
        <v>http://tuberculist.epfl.ch/quicksearch.php?gene+name=Rv1695&amp;submit=Search</v>
      </c>
    </row>
    <row r="1742" spans="1:11">
      <c r="A1742" t="s">
        <v>5679</v>
      </c>
      <c r="B1742" t="s">
        <v>1602</v>
      </c>
      <c r="C1742" t="s">
        <v>9567</v>
      </c>
      <c r="D1742" t="s">
        <v>13580</v>
      </c>
      <c r="E1742" t="s">
        <v>13581</v>
      </c>
      <c r="F1742" t="s">
        <v>13582</v>
      </c>
      <c r="G1742" t="s">
        <v>19181</v>
      </c>
      <c r="H1742" t="s">
        <v>19205</v>
      </c>
      <c r="I1742" t="s">
        <v>18853</v>
      </c>
      <c r="K1742" t="str">
        <f>HYPERLINK("http://tuberculist.epfl.ch/quicksearch.php?gene+name=Rv1696&amp;submit=Search")</f>
        <v>http://tuberculist.epfl.ch/quicksearch.php?gene+name=Rv1696&amp;submit=Search</v>
      </c>
    </row>
    <row r="1743" spans="1:11">
      <c r="A1743" t="s">
        <v>2078</v>
      </c>
      <c r="B1743" t="s">
        <v>2078</v>
      </c>
      <c r="C1743" t="s">
        <v>9567</v>
      </c>
      <c r="D1743" t="s">
        <v>9578</v>
      </c>
      <c r="E1743" t="s">
        <v>9579</v>
      </c>
      <c r="F1743" t="s">
        <v>13583</v>
      </c>
      <c r="G1743" t="s">
        <v>19204</v>
      </c>
      <c r="I1743" t="s">
        <v>18774</v>
      </c>
      <c r="K1743" t="str">
        <f>HYPERLINK("http://tuberculist.epfl.ch/quicksearch.php?gene+name=Rv1697&amp;submit=Search")</f>
        <v>http://tuberculist.epfl.ch/quicksearch.php?gene+name=Rv1697&amp;submit=Search</v>
      </c>
    </row>
    <row r="1744" spans="1:11">
      <c r="A1744" t="s">
        <v>13584</v>
      </c>
      <c r="B1744" t="s">
        <v>1393</v>
      </c>
      <c r="C1744" t="s">
        <v>9567</v>
      </c>
      <c r="D1744" t="s">
        <v>13585</v>
      </c>
      <c r="E1744" t="s">
        <v>13586</v>
      </c>
      <c r="F1744" t="s">
        <v>13587</v>
      </c>
      <c r="G1744" t="s">
        <v>19188</v>
      </c>
      <c r="I1744" t="s">
        <v>18773</v>
      </c>
      <c r="K1744" t="str">
        <f>HYPERLINK("http://tuberculist.epfl.ch/quicksearch.php?gene+name=Rv1698&amp;submit=Search")</f>
        <v>http://tuberculist.epfl.ch/quicksearch.php?gene+name=Rv1698&amp;submit=Search</v>
      </c>
    </row>
    <row r="1745" spans="1:11">
      <c r="A1745" t="s">
        <v>9096</v>
      </c>
      <c r="B1745" t="s">
        <v>3276</v>
      </c>
      <c r="C1745" t="s">
        <v>9567</v>
      </c>
      <c r="D1745" t="s">
        <v>13588</v>
      </c>
      <c r="E1745" t="s">
        <v>13589</v>
      </c>
      <c r="F1745" t="s">
        <v>13590</v>
      </c>
      <c r="G1745" t="s">
        <v>19195</v>
      </c>
      <c r="H1745" t="s">
        <v>19246</v>
      </c>
      <c r="I1745" t="s">
        <v>18774</v>
      </c>
      <c r="K1745" t="str">
        <f>HYPERLINK("http://tuberculist.epfl.ch/quicksearch.php?gene+name=Rv1699&amp;submit=Search")</f>
        <v>http://tuberculist.epfl.ch/quicksearch.php?gene+name=Rv1699&amp;submit=Search</v>
      </c>
    </row>
    <row r="1746" spans="1:11">
      <c r="A1746" t="s">
        <v>2272</v>
      </c>
      <c r="B1746" t="s">
        <v>2272</v>
      </c>
      <c r="C1746" t="s">
        <v>9567</v>
      </c>
      <c r="D1746" t="s">
        <v>13591</v>
      </c>
      <c r="E1746" t="s">
        <v>13592</v>
      </c>
      <c r="F1746" t="s">
        <v>13593</v>
      </c>
      <c r="G1746" t="s">
        <v>19181</v>
      </c>
      <c r="H1746" t="s">
        <v>19738</v>
      </c>
      <c r="I1746" t="s">
        <v>18773</v>
      </c>
      <c r="K1746" t="str">
        <f>HYPERLINK("http://tuberculist.epfl.ch/quicksearch.php?gene+name=Rv1700&amp;submit=Search")</f>
        <v>http://tuberculist.epfl.ch/quicksearch.php?gene+name=Rv1700&amp;submit=Search</v>
      </c>
    </row>
    <row r="1747" spans="1:11">
      <c r="A1747" t="s">
        <v>1620</v>
      </c>
      <c r="B1747" t="s">
        <v>1620</v>
      </c>
      <c r="C1747" t="s">
        <v>9567</v>
      </c>
      <c r="D1747" t="s">
        <v>13594</v>
      </c>
      <c r="E1747" t="s">
        <v>13595</v>
      </c>
      <c r="F1747" t="s">
        <v>13596</v>
      </c>
      <c r="G1747" t="s">
        <v>19217</v>
      </c>
      <c r="I1747" t="s">
        <v>18899</v>
      </c>
      <c r="K1747" t="str">
        <f>HYPERLINK("http://tuberculist.epfl.ch/quicksearch.php?gene+name=Rv1701&amp;submit=Search")</f>
        <v>http://tuberculist.epfl.ch/quicksearch.php?gene+name=Rv1701&amp;submit=Search</v>
      </c>
    </row>
    <row r="1748" spans="1:11">
      <c r="A1748" t="s">
        <v>1234</v>
      </c>
      <c r="B1748" t="s">
        <v>1234</v>
      </c>
      <c r="C1748" t="s">
        <v>9567</v>
      </c>
      <c r="D1748" t="s">
        <v>9587</v>
      </c>
      <c r="E1748" t="s">
        <v>9579</v>
      </c>
      <c r="F1748" t="s">
        <v>13597</v>
      </c>
      <c r="G1748" t="s">
        <v>19217</v>
      </c>
      <c r="I1748" t="s">
        <v>18789</v>
      </c>
      <c r="J1748" t="s">
        <v>18855</v>
      </c>
      <c r="K1748" t="str">
        <f>HYPERLINK("http://tuberculist.epfl.ch/quicksearch.php?gene+name=Rv1702c&amp;submit=Search")</f>
        <v>http://tuberculist.epfl.ch/quicksearch.php?gene+name=Rv1702c&amp;submit=Search</v>
      </c>
    </row>
    <row r="1749" spans="1:11">
      <c r="A1749" t="s">
        <v>1792</v>
      </c>
      <c r="B1749" t="s">
        <v>1792</v>
      </c>
      <c r="C1749" t="s">
        <v>9567</v>
      </c>
      <c r="D1749" t="s">
        <v>13598</v>
      </c>
      <c r="E1749" t="s">
        <v>13599</v>
      </c>
      <c r="F1749" t="s">
        <v>13600</v>
      </c>
      <c r="G1749" t="s">
        <v>19195</v>
      </c>
      <c r="H1749" t="s">
        <v>19739</v>
      </c>
      <c r="I1749" t="s">
        <v>18780</v>
      </c>
      <c r="K1749" t="str">
        <f>HYPERLINK("http://tuberculist.epfl.ch/quicksearch.php?gene+name=Rv1703c&amp;submit=Search")</f>
        <v>http://tuberculist.epfl.ch/quicksearch.php?gene+name=Rv1703c&amp;submit=Search</v>
      </c>
    </row>
    <row r="1750" spans="1:11">
      <c r="A1750" t="s">
        <v>8890</v>
      </c>
      <c r="B1750" t="s">
        <v>3179</v>
      </c>
      <c r="C1750" t="s">
        <v>9567</v>
      </c>
      <c r="D1750" t="s">
        <v>13601</v>
      </c>
      <c r="E1750" t="s">
        <v>13602</v>
      </c>
      <c r="F1750" t="s">
        <v>13603</v>
      </c>
      <c r="G1750" t="s">
        <v>19188</v>
      </c>
      <c r="H1750" t="s">
        <v>19302</v>
      </c>
      <c r="I1750" t="s">
        <v>18780</v>
      </c>
      <c r="K1750" t="str">
        <f>HYPERLINK("http://tuberculist.epfl.ch/quicksearch.php?gene+name=Rv1704c&amp;submit=Search")</f>
        <v>http://tuberculist.epfl.ch/quicksearch.php?gene+name=Rv1704c&amp;submit=Search</v>
      </c>
    </row>
    <row r="1751" spans="1:11">
      <c r="A1751" t="s">
        <v>9003</v>
      </c>
      <c r="B1751" t="s">
        <v>3231</v>
      </c>
      <c r="C1751" t="s">
        <v>9567</v>
      </c>
      <c r="D1751" t="s">
        <v>9578</v>
      </c>
      <c r="E1751" t="s">
        <v>13604</v>
      </c>
      <c r="F1751" t="s">
        <v>13605</v>
      </c>
      <c r="G1751" t="s">
        <v>19262</v>
      </c>
      <c r="H1751" t="s">
        <v>19309</v>
      </c>
      <c r="I1751" t="s">
        <v>18779</v>
      </c>
      <c r="K1751" t="str">
        <f>HYPERLINK("http://tuberculist.epfl.ch/quicksearch.php?gene+name=Rv1705c&amp;submit=Search")</f>
        <v>http://tuberculist.epfl.ch/quicksearch.php?gene+name=Rv1705c&amp;submit=Search</v>
      </c>
    </row>
    <row r="1752" spans="1:11">
      <c r="A1752" t="s">
        <v>13606</v>
      </c>
      <c r="B1752" t="s">
        <v>13606</v>
      </c>
      <c r="C1752" t="s">
        <v>9567</v>
      </c>
      <c r="D1752" t="s">
        <v>9578</v>
      </c>
      <c r="E1752" t="s">
        <v>9579</v>
      </c>
      <c r="F1752" t="s">
        <v>13607</v>
      </c>
      <c r="G1752" t="s">
        <v>19212</v>
      </c>
      <c r="I1752" t="s">
        <v>18773</v>
      </c>
      <c r="K1752" t="str">
        <f>HYPERLINK("http://tuberculist.epfl.ch/quicksearch.php?gene+name=Rv1706A&amp;submit=Search")</f>
        <v>http://tuberculist.epfl.ch/quicksearch.php?gene+name=Rv1706A&amp;submit=Search</v>
      </c>
    </row>
    <row r="1753" spans="1:11">
      <c r="A1753" t="s">
        <v>7942</v>
      </c>
      <c r="B1753" t="s">
        <v>2733</v>
      </c>
      <c r="C1753" t="s">
        <v>9567</v>
      </c>
      <c r="D1753" t="s">
        <v>9578</v>
      </c>
      <c r="E1753" t="s">
        <v>13608</v>
      </c>
      <c r="F1753" t="s">
        <v>13609</v>
      </c>
      <c r="G1753" t="s">
        <v>19253</v>
      </c>
      <c r="H1753" t="s">
        <v>19254</v>
      </c>
      <c r="I1753" t="s">
        <v>18793</v>
      </c>
      <c r="K1753" t="str">
        <f>HYPERLINK("http://tuberculist.epfl.ch/quicksearch.php?gene+name=Rv1706c&amp;submit=Search")</f>
        <v>http://tuberculist.epfl.ch/quicksearch.php?gene+name=Rv1706c&amp;submit=Search</v>
      </c>
    </row>
    <row r="1754" spans="1:11">
      <c r="A1754" t="s">
        <v>2109</v>
      </c>
      <c r="B1754" t="s">
        <v>2109</v>
      </c>
      <c r="C1754" t="s">
        <v>9567</v>
      </c>
      <c r="D1754" t="s">
        <v>13610</v>
      </c>
      <c r="E1754" t="s">
        <v>9597</v>
      </c>
      <c r="F1754" t="s">
        <v>13611</v>
      </c>
      <c r="G1754" t="s">
        <v>19188</v>
      </c>
      <c r="H1754" t="s">
        <v>19546</v>
      </c>
      <c r="I1754" t="s">
        <v>18780</v>
      </c>
      <c r="K1754" t="str">
        <f>HYPERLINK("http://tuberculist.epfl.ch/quicksearch.php?gene+name=Rv1707&amp;submit=Search")</f>
        <v>http://tuberculist.epfl.ch/quicksearch.php?gene+name=Rv1707&amp;submit=Search</v>
      </c>
    </row>
    <row r="1755" spans="1:11">
      <c r="A1755" t="s">
        <v>1485</v>
      </c>
      <c r="B1755" t="s">
        <v>1485</v>
      </c>
      <c r="C1755" t="s">
        <v>9567</v>
      </c>
      <c r="D1755" t="s">
        <v>13612</v>
      </c>
      <c r="E1755" t="s">
        <v>13613</v>
      </c>
      <c r="F1755" t="s">
        <v>13614</v>
      </c>
      <c r="G1755" t="s">
        <v>19188</v>
      </c>
      <c r="H1755" t="s">
        <v>19196</v>
      </c>
      <c r="I1755" t="s">
        <v>18774</v>
      </c>
      <c r="K1755" t="str">
        <f>HYPERLINK("http://tuberculist.epfl.ch/quicksearch.php?gene+name=Rv1708&amp;submit=Search")</f>
        <v>http://tuberculist.epfl.ch/quicksearch.php?gene+name=Rv1708&amp;submit=Search</v>
      </c>
    </row>
    <row r="1756" spans="1:11">
      <c r="A1756" t="s">
        <v>13615</v>
      </c>
      <c r="B1756" t="s">
        <v>2595</v>
      </c>
      <c r="C1756" t="s">
        <v>9567</v>
      </c>
      <c r="D1756" t="s">
        <v>13616</v>
      </c>
      <c r="E1756" t="s">
        <v>13617</v>
      </c>
      <c r="F1756" t="s">
        <v>13618</v>
      </c>
      <c r="G1756" t="s">
        <v>19188</v>
      </c>
      <c r="I1756" t="s">
        <v>18780</v>
      </c>
      <c r="K1756" t="str">
        <f>HYPERLINK("http://tuberculist.epfl.ch/quicksearch.php?gene+name=Rv1709&amp;submit=Search")</f>
        <v>http://tuberculist.epfl.ch/quicksearch.php?gene+name=Rv1709&amp;submit=Search</v>
      </c>
    </row>
    <row r="1757" spans="1:11">
      <c r="A1757" t="s">
        <v>13619</v>
      </c>
      <c r="B1757" t="s">
        <v>2611</v>
      </c>
      <c r="C1757" t="s">
        <v>9567</v>
      </c>
      <c r="D1757" t="s">
        <v>13616</v>
      </c>
      <c r="E1757" t="s">
        <v>13620</v>
      </c>
      <c r="F1757" t="s">
        <v>13621</v>
      </c>
      <c r="G1757" t="s">
        <v>19188</v>
      </c>
      <c r="H1757" t="s">
        <v>19214</v>
      </c>
      <c r="I1757" t="s">
        <v>18812</v>
      </c>
      <c r="K1757" t="str">
        <f>HYPERLINK("http://tuberculist.epfl.ch/quicksearch.php?gene+name=Rv1710&amp;submit=Search")</f>
        <v>http://tuberculist.epfl.ch/quicksearch.php?gene+name=Rv1710&amp;submit=Search</v>
      </c>
    </row>
    <row r="1758" spans="1:11">
      <c r="A1758" t="s">
        <v>2856</v>
      </c>
      <c r="B1758" t="s">
        <v>2856</v>
      </c>
      <c r="C1758" t="s">
        <v>9567</v>
      </c>
      <c r="D1758" t="s">
        <v>9578</v>
      </c>
      <c r="E1758" t="s">
        <v>9579</v>
      </c>
      <c r="F1758" t="s">
        <v>13622</v>
      </c>
      <c r="G1758" t="s">
        <v>19204</v>
      </c>
      <c r="H1758" t="s">
        <v>19213</v>
      </c>
      <c r="I1758" t="s">
        <v>18774</v>
      </c>
      <c r="K1758" t="str">
        <f>HYPERLINK("http://tuberculist.epfl.ch/quicksearch.php?gene+name=Rv1711&amp;submit=Search")</f>
        <v>http://tuberculist.epfl.ch/quicksearch.php?gene+name=Rv1711&amp;submit=Search</v>
      </c>
    </row>
    <row r="1759" spans="1:11">
      <c r="A1759" t="s">
        <v>3654</v>
      </c>
      <c r="B1759" t="s">
        <v>588</v>
      </c>
      <c r="C1759" t="s">
        <v>9567</v>
      </c>
      <c r="D1759" t="s">
        <v>13623</v>
      </c>
      <c r="E1759" t="s">
        <v>13624</v>
      </c>
      <c r="F1759" t="s">
        <v>13625</v>
      </c>
      <c r="G1759" t="s">
        <v>19195</v>
      </c>
      <c r="H1759" t="s">
        <v>19213</v>
      </c>
      <c r="I1759" t="s">
        <v>18774</v>
      </c>
      <c r="K1759" t="str">
        <f>HYPERLINK("http://tuberculist.epfl.ch/quicksearch.php?gene+name=Rv1712&amp;submit=Search")</f>
        <v>http://tuberculist.epfl.ch/quicksearch.php?gene+name=Rv1712&amp;submit=Search</v>
      </c>
    </row>
    <row r="1760" spans="1:11">
      <c r="A1760" t="s">
        <v>7252</v>
      </c>
      <c r="B1760" t="s">
        <v>2385</v>
      </c>
      <c r="C1760" t="s">
        <v>9567</v>
      </c>
      <c r="D1760" t="s">
        <v>13626</v>
      </c>
      <c r="E1760" t="s">
        <v>13627</v>
      </c>
      <c r="F1760" t="s">
        <v>13628</v>
      </c>
      <c r="G1760" t="s">
        <v>19195</v>
      </c>
      <c r="H1760" t="s">
        <v>19263</v>
      </c>
      <c r="I1760" t="s">
        <v>18774</v>
      </c>
      <c r="K1760" t="str">
        <f>HYPERLINK("http://tuberculist.epfl.ch/quicksearch.php?gene+name=Rv1713&amp;submit=Search")</f>
        <v>http://tuberculist.epfl.ch/quicksearch.php?gene+name=Rv1713&amp;submit=Search</v>
      </c>
    </row>
    <row r="1761" spans="1:11">
      <c r="A1761" t="s">
        <v>3076</v>
      </c>
      <c r="B1761" t="s">
        <v>3076</v>
      </c>
      <c r="C1761" t="s">
        <v>9567</v>
      </c>
      <c r="D1761" t="s">
        <v>12032</v>
      </c>
      <c r="E1761" t="s">
        <v>9739</v>
      </c>
      <c r="F1761" t="s">
        <v>13629</v>
      </c>
      <c r="G1761" t="s">
        <v>19195</v>
      </c>
      <c r="H1761" t="s">
        <v>19215</v>
      </c>
      <c r="I1761" t="s">
        <v>18801</v>
      </c>
      <c r="J1761" t="s">
        <v>18809</v>
      </c>
      <c r="K1761" t="str">
        <f>HYPERLINK("http://tuberculist.epfl.ch/quicksearch.php?gene+name=Rv1714&amp;submit=Search")</f>
        <v>http://tuberculist.epfl.ch/quicksearch.php?gene+name=Rv1714&amp;submit=Search</v>
      </c>
    </row>
    <row r="1762" spans="1:11">
      <c r="A1762" t="s">
        <v>13630</v>
      </c>
      <c r="B1762" t="s">
        <v>13631</v>
      </c>
      <c r="C1762" t="s">
        <v>9567</v>
      </c>
      <c r="D1762" t="s">
        <v>13632</v>
      </c>
      <c r="E1762" t="s">
        <v>13633</v>
      </c>
      <c r="F1762" t="s">
        <v>13634</v>
      </c>
      <c r="G1762" t="s">
        <v>19219</v>
      </c>
      <c r="I1762" t="s">
        <v>18801</v>
      </c>
      <c r="K1762" t="str">
        <f>HYPERLINK("http://tuberculist.epfl.ch/quicksearch.php?gene+name=Rv1715&amp;submit=Search")</f>
        <v>http://tuberculist.epfl.ch/quicksearch.php?gene+name=Rv1715&amp;submit=Search</v>
      </c>
    </row>
    <row r="1763" spans="1:11">
      <c r="A1763" t="s">
        <v>13635</v>
      </c>
      <c r="B1763" t="s">
        <v>13635</v>
      </c>
      <c r="C1763" t="s">
        <v>9567</v>
      </c>
      <c r="D1763" t="s">
        <v>9578</v>
      </c>
      <c r="E1763" t="s">
        <v>9579</v>
      </c>
      <c r="F1763" t="s">
        <v>13636</v>
      </c>
      <c r="G1763" t="s">
        <v>19212</v>
      </c>
      <c r="I1763" t="s">
        <v>18780</v>
      </c>
      <c r="K1763" t="str">
        <f>HYPERLINK("http://tuberculist.epfl.ch/quicksearch.php?gene+name=Rv1716&amp;submit=Search")</f>
        <v>http://tuberculist.epfl.ch/quicksearch.php?gene+name=Rv1716&amp;submit=Search</v>
      </c>
    </row>
    <row r="1764" spans="1:11">
      <c r="A1764" t="s">
        <v>13637</v>
      </c>
      <c r="B1764" t="s">
        <v>13637</v>
      </c>
      <c r="C1764" t="s">
        <v>9567</v>
      </c>
      <c r="D1764" t="s">
        <v>9578</v>
      </c>
      <c r="E1764" t="s">
        <v>9579</v>
      </c>
      <c r="F1764" t="s">
        <v>13638</v>
      </c>
      <c r="G1764" t="s">
        <v>19204</v>
      </c>
      <c r="I1764" t="s">
        <v>18780</v>
      </c>
      <c r="K1764" t="str">
        <f>HYPERLINK("http://tuberculist.epfl.ch/quicksearch.php?gene+name=Rv1717&amp;submit=Search")</f>
        <v>http://tuberculist.epfl.ch/quicksearch.php?gene+name=Rv1717&amp;submit=Search</v>
      </c>
    </row>
    <row r="1765" spans="1:11">
      <c r="A1765" t="s">
        <v>13639</v>
      </c>
      <c r="B1765" t="s">
        <v>13639</v>
      </c>
      <c r="C1765" t="s">
        <v>9567</v>
      </c>
      <c r="D1765" t="s">
        <v>9578</v>
      </c>
      <c r="E1765" t="s">
        <v>9579</v>
      </c>
      <c r="F1765" t="s">
        <v>13640</v>
      </c>
      <c r="G1765" t="s">
        <v>19212</v>
      </c>
      <c r="I1765" t="s">
        <v>18780</v>
      </c>
      <c r="K1765" t="str">
        <f>HYPERLINK("http://tuberculist.epfl.ch/quicksearch.php?gene+name=Rv1718&amp;submit=Search")</f>
        <v>http://tuberculist.epfl.ch/quicksearch.php?gene+name=Rv1718&amp;submit=Search</v>
      </c>
    </row>
    <row r="1766" spans="1:11">
      <c r="A1766" t="s">
        <v>13641</v>
      </c>
      <c r="B1766" t="s">
        <v>13641</v>
      </c>
      <c r="C1766" t="s">
        <v>9567</v>
      </c>
      <c r="D1766" t="s">
        <v>9629</v>
      </c>
      <c r="E1766" t="s">
        <v>9763</v>
      </c>
      <c r="F1766" t="s">
        <v>13642</v>
      </c>
      <c r="G1766" t="s">
        <v>19197</v>
      </c>
      <c r="H1766" t="s">
        <v>19233</v>
      </c>
      <c r="I1766" t="s">
        <v>18789</v>
      </c>
      <c r="K1766" t="str">
        <f>HYPERLINK("http://tuberculist.epfl.ch/quicksearch.php?gene+name=Rv1719&amp;submit=Search")</f>
        <v>http://tuberculist.epfl.ch/quicksearch.php?gene+name=Rv1719&amp;submit=Search</v>
      </c>
    </row>
    <row r="1767" spans="1:11">
      <c r="A1767" t="s">
        <v>13643</v>
      </c>
      <c r="B1767" t="s">
        <v>13644</v>
      </c>
      <c r="C1767" t="s">
        <v>9567</v>
      </c>
      <c r="D1767" t="s">
        <v>9587</v>
      </c>
      <c r="E1767" t="s">
        <v>13645</v>
      </c>
      <c r="F1767" t="s">
        <v>13646</v>
      </c>
      <c r="G1767" t="s">
        <v>19206</v>
      </c>
      <c r="I1767" t="s">
        <v>18780</v>
      </c>
      <c r="K1767" t="str">
        <f>HYPERLINK("http://tuberculist.epfl.ch/quicksearch.php?gene+name=Rv1720c&amp;submit=Search")</f>
        <v>http://tuberculist.epfl.ch/quicksearch.php?gene+name=Rv1720c&amp;submit=Search</v>
      </c>
    </row>
    <row r="1768" spans="1:11">
      <c r="A1768" t="s">
        <v>13647</v>
      </c>
      <c r="B1768" t="s">
        <v>13648</v>
      </c>
      <c r="C1768" t="s">
        <v>9567</v>
      </c>
      <c r="D1768" t="s">
        <v>9587</v>
      </c>
      <c r="E1768" t="s">
        <v>13649</v>
      </c>
      <c r="F1768" t="s">
        <v>13650</v>
      </c>
      <c r="G1768" t="s">
        <v>19206</v>
      </c>
      <c r="H1768" t="s">
        <v>19233</v>
      </c>
      <c r="I1768" t="s">
        <v>18779</v>
      </c>
      <c r="K1768" t="str">
        <f>HYPERLINK("http://tuberculist.epfl.ch/quicksearch.php?gene+name=Rv1721c&amp;submit=Search")</f>
        <v>http://tuberculist.epfl.ch/quicksearch.php?gene+name=Rv1721c&amp;submit=Search</v>
      </c>
    </row>
    <row r="1769" spans="1:11">
      <c r="A1769" t="s">
        <v>558</v>
      </c>
      <c r="B1769" t="s">
        <v>558</v>
      </c>
      <c r="C1769" t="s">
        <v>9567</v>
      </c>
      <c r="D1769" t="s">
        <v>13091</v>
      </c>
      <c r="E1769" t="s">
        <v>13651</v>
      </c>
      <c r="F1769" t="s">
        <v>13652</v>
      </c>
      <c r="G1769" t="s">
        <v>19219</v>
      </c>
      <c r="H1769" t="s">
        <v>19233</v>
      </c>
      <c r="I1769" t="s">
        <v>18780</v>
      </c>
      <c r="K1769" t="str">
        <f>HYPERLINK("http://tuberculist.epfl.ch/quicksearch.php?gene+name=Rv1722&amp;submit=Search")</f>
        <v>http://tuberculist.epfl.ch/quicksearch.php?gene+name=Rv1722&amp;submit=Search</v>
      </c>
    </row>
    <row r="1770" spans="1:11">
      <c r="A1770" t="s">
        <v>1608</v>
      </c>
      <c r="B1770" t="s">
        <v>1608</v>
      </c>
      <c r="C1770" t="s">
        <v>9567</v>
      </c>
      <c r="D1770" t="s">
        <v>12032</v>
      </c>
      <c r="E1770" t="s">
        <v>12722</v>
      </c>
      <c r="F1770" t="s">
        <v>13653</v>
      </c>
      <c r="G1770" t="s">
        <v>19195</v>
      </c>
      <c r="H1770" t="s">
        <v>19254</v>
      </c>
      <c r="I1770" t="s">
        <v>18789</v>
      </c>
      <c r="K1770" t="str">
        <f>HYPERLINK("http://tuberculist.epfl.ch/quicksearch.php?gene+name=Rv1723&amp;submit=Search")</f>
        <v>http://tuberculist.epfl.ch/quicksearch.php?gene+name=Rv1723&amp;submit=Search</v>
      </c>
    </row>
    <row r="1771" spans="1:11">
      <c r="A1771" t="s">
        <v>2201</v>
      </c>
      <c r="B1771" t="s">
        <v>2201</v>
      </c>
      <c r="C1771" t="s">
        <v>9567</v>
      </c>
      <c r="D1771" t="s">
        <v>9587</v>
      </c>
      <c r="E1771" t="s">
        <v>9713</v>
      </c>
      <c r="F1771" t="s">
        <v>13654</v>
      </c>
      <c r="G1771" t="s">
        <v>19212</v>
      </c>
      <c r="I1771" t="s">
        <v>18789</v>
      </c>
      <c r="K1771" t="str">
        <f>HYPERLINK("http://tuberculist.epfl.ch/quicksearch.php?gene+name=Rv1724c&amp;submit=Search")</f>
        <v>http://tuberculist.epfl.ch/quicksearch.php?gene+name=Rv1724c&amp;submit=Search</v>
      </c>
    </row>
    <row r="1772" spans="1:11">
      <c r="A1772" t="s">
        <v>952</v>
      </c>
      <c r="B1772" t="s">
        <v>952</v>
      </c>
      <c r="C1772" t="s">
        <v>9567</v>
      </c>
      <c r="D1772" t="s">
        <v>9578</v>
      </c>
      <c r="E1772" t="s">
        <v>9579</v>
      </c>
      <c r="F1772" t="s">
        <v>13655</v>
      </c>
      <c r="G1772" t="s">
        <v>19212</v>
      </c>
      <c r="I1772" t="s">
        <v>18780</v>
      </c>
      <c r="K1772" t="str">
        <f>HYPERLINK("http://tuberculist.epfl.ch/quicksearch.php?gene+name=Rv1725c&amp;submit=Search")</f>
        <v>http://tuberculist.epfl.ch/quicksearch.php?gene+name=Rv1725c&amp;submit=Search</v>
      </c>
    </row>
    <row r="1773" spans="1:11">
      <c r="A1773" t="s">
        <v>1311</v>
      </c>
      <c r="B1773" t="s">
        <v>1311</v>
      </c>
      <c r="C1773" t="s">
        <v>9567</v>
      </c>
      <c r="D1773" t="s">
        <v>12032</v>
      </c>
      <c r="E1773" t="s">
        <v>9739</v>
      </c>
      <c r="F1773" t="s">
        <v>13656</v>
      </c>
      <c r="G1773" t="s">
        <v>19195</v>
      </c>
      <c r="I1773" t="s">
        <v>18789</v>
      </c>
      <c r="K1773" t="str">
        <f>HYPERLINK("http://tuberculist.epfl.ch/quicksearch.php?gene+name=Rv1726&amp;submit=Search")</f>
        <v>http://tuberculist.epfl.ch/quicksearch.php?gene+name=Rv1726&amp;submit=Search</v>
      </c>
    </row>
    <row r="1774" spans="1:11">
      <c r="A1774" t="s">
        <v>2456</v>
      </c>
      <c r="B1774" t="s">
        <v>2456</v>
      </c>
      <c r="C1774" t="s">
        <v>9567</v>
      </c>
      <c r="D1774" t="s">
        <v>9578</v>
      </c>
      <c r="E1774" t="s">
        <v>9579</v>
      </c>
      <c r="F1774" t="s">
        <v>13657</v>
      </c>
      <c r="G1774" t="s">
        <v>19204</v>
      </c>
      <c r="H1774" t="s">
        <v>19213</v>
      </c>
      <c r="I1774" t="s">
        <v>18780</v>
      </c>
      <c r="K1774" t="str">
        <f>HYPERLINK("http://tuberculist.epfl.ch/quicksearch.php?gene+name=Rv1727&amp;submit=Search")</f>
        <v>http://tuberculist.epfl.ch/quicksearch.php?gene+name=Rv1727&amp;submit=Search</v>
      </c>
    </row>
    <row r="1775" spans="1:11">
      <c r="A1775" t="s">
        <v>1911</v>
      </c>
      <c r="B1775" t="s">
        <v>1911</v>
      </c>
      <c r="C1775" t="s">
        <v>9567</v>
      </c>
      <c r="D1775" t="s">
        <v>9578</v>
      </c>
      <c r="E1775" t="s">
        <v>9579</v>
      </c>
      <c r="F1775" t="s">
        <v>13658</v>
      </c>
      <c r="G1775" t="s">
        <v>19212</v>
      </c>
      <c r="I1775" t="s">
        <v>18793</v>
      </c>
      <c r="K1775" t="str">
        <f>HYPERLINK("http://tuberculist.epfl.ch/quicksearch.php?gene+name=Rv1728c&amp;submit=Search")</f>
        <v>http://tuberculist.epfl.ch/quicksearch.php?gene+name=Rv1728c&amp;submit=Search</v>
      </c>
    </row>
    <row r="1776" spans="1:11">
      <c r="A1776" t="s">
        <v>1356</v>
      </c>
      <c r="B1776" t="s">
        <v>1356</v>
      </c>
      <c r="C1776" t="s">
        <v>9567</v>
      </c>
      <c r="D1776" t="s">
        <v>9924</v>
      </c>
      <c r="E1776" t="s">
        <v>9925</v>
      </c>
      <c r="F1776" t="s">
        <v>13659</v>
      </c>
      <c r="G1776" t="s">
        <v>19219</v>
      </c>
      <c r="H1776" t="s">
        <v>19539</v>
      </c>
      <c r="I1776" t="s">
        <v>18779</v>
      </c>
      <c r="K1776" t="str">
        <f>HYPERLINK("http://tuberculist.epfl.ch/quicksearch.php?gene+name=Rv1729c&amp;submit=Search")</f>
        <v>http://tuberculist.epfl.ch/quicksearch.php?gene+name=Rv1729c&amp;submit=Search</v>
      </c>
    </row>
    <row r="1777" spans="1:11">
      <c r="A1777" t="s">
        <v>2189</v>
      </c>
      <c r="B1777" t="s">
        <v>2189</v>
      </c>
      <c r="C1777" t="s">
        <v>9567</v>
      </c>
      <c r="D1777" t="s">
        <v>13660</v>
      </c>
      <c r="E1777" t="s">
        <v>13661</v>
      </c>
      <c r="F1777" t="s">
        <v>13662</v>
      </c>
      <c r="G1777" t="s">
        <v>19188</v>
      </c>
      <c r="I1777" t="s">
        <v>18800</v>
      </c>
      <c r="K1777" t="str">
        <f>HYPERLINK("http://tuberculist.epfl.ch/quicksearch.php?gene+name=Rv1730c&amp;submit=Search")</f>
        <v>http://tuberculist.epfl.ch/quicksearch.php?gene+name=Rv1730c&amp;submit=Search</v>
      </c>
    </row>
    <row r="1778" spans="1:11">
      <c r="A1778" t="s">
        <v>5428</v>
      </c>
      <c r="B1778" t="s">
        <v>1474</v>
      </c>
      <c r="C1778" t="s">
        <v>9567</v>
      </c>
      <c r="D1778" t="s">
        <v>10118</v>
      </c>
      <c r="E1778" t="s">
        <v>13663</v>
      </c>
      <c r="F1778" t="s">
        <v>13664</v>
      </c>
      <c r="G1778" t="s">
        <v>19195</v>
      </c>
      <c r="H1778" t="s">
        <v>19740</v>
      </c>
      <c r="I1778" t="s">
        <v>18780</v>
      </c>
      <c r="K1778" t="str">
        <f>HYPERLINK("http://tuberculist.epfl.ch/quicksearch.php?gene+name=Rv1731&amp;submit=Search")</f>
        <v>http://tuberculist.epfl.ch/quicksearch.php?gene+name=Rv1731&amp;submit=Search</v>
      </c>
    </row>
    <row r="1779" spans="1:11">
      <c r="A1779" t="s">
        <v>846</v>
      </c>
      <c r="B1779" t="s">
        <v>846</v>
      </c>
      <c r="C1779" t="s">
        <v>9567</v>
      </c>
      <c r="D1779" t="s">
        <v>9578</v>
      </c>
      <c r="E1779" t="s">
        <v>9665</v>
      </c>
      <c r="F1779" t="s">
        <v>13665</v>
      </c>
      <c r="G1779" t="s">
        <v>19204</v>
      </c>
      <c r="H1779" t="s">
        <v>19741</v>
      </c>
      <c r="I1779" t="s">
        <v>18780</v>
      </c>
      <c r="K1779" t="str">
        <f>HYPERLINK("http://tuberculist.epfl.ch/quicksearch.php?gene+name=Rv1732c&amp;submit=Search")</f>
        <v>http://tuberculist.epfl.ch/quicksearch.php?gene+name=Rv1732c&amp;submit=Search</v>
      </c>
    </row>
    <row r="1780" spans="1:11">
      <c r="A1780" t="s">
        <v>231</v>
      </c>
      <c r="B1780" t="s">
        <v>231</v>
      </c>
      <c r="C1780" t="s">
        <v>9567</v>
      </c>
      <c r="D1780" t="s">
        <v>9587</v>
      </c>
      <c r="E1780" t="s">
        <v>9597</v>
      </c>
      <c r="F1780" t="s">
        <v>13666</v>
      </c>
      <c r="G1780" t="s">
        <v>19188</v>
      </c>
      <c r="I1780" t="s">
        <v>18793</v>
      </c>
      <c r="J1780" t="s">
        <v>18799</v>
      </c>
      <c r="K1780" t="str">
        <f>HYPERLINK("http://tuberculist.epfl.ch/quicksearch.php?gene+name=Rv1733c&amp;submit=Search")</f>
        <v>http://tuberculist.epfl.ch/quicksearch.php?gene+name=Rv1733c&amp;submit=Search</v>
      </c>
    </row>
    <row r="1781" spans="1:11">
      <c r="A1781" t="s">
        <v>40</v>
      </c>
      <c r="B1781" t="s">
        <v>40</v>
      </c>
      <c r="C1781" t="s">
        <v>9567</v>
      </c>
      <c r="D1781" t="s">
        <v>9578</v>
      </c>
      <c r="E1781" t="s">
        <v>9579</v>
      </c>
      <c r="F1781" t="s">
        <v>13667</v>
      </c>
      <c r="G1781" t="s">
        <v>19212</v>
      </c>
      <c r="I1781" t="s">
        <v>18780</v>
      </c>
      <c r="J1781" t="s">
        <v>18799</v>
      </c>
      <c r="K1781" t="str">
        <f>HYPERLINK("http://tuberculist.epfl.ch/quicksearch.php?gene+name=Rv1734c&amp;submit=Search")</f>
        <v>http://tuberculist.epfl.ch/quicksearch.php?gene+name=Rv1734c&amp;submit=Search</v>
      </c>
    </row>
    <row r="1782" spans="1:11">
      <c r="A1782" t="s">
        <v>13668</v>
      </c>
      <c r="B1782" t="s">
        <v>13668</v>
      </c>
      <c r="C1782" t="s">
        <v>9567</v>
      </c>
      <c r="D1782" t="s">
        <v>9578</v>
      </c>
      <c r="E1782" t="s">
        <v>13669</v>
      </c>
      <c r="F1782" t="s">
        <v>13670</v>
      </c>
      <c r="G1782" t="s">
        <v>19188</v>
      </c>
      <c r="I1782" t="s">
        <v>18793</v>
      </c>
      <c r="J1782" t="s">
        <v>18799</v>
      </c>
      <c r="K1782" t="str">
        <f>HYPERLINK("http://tuberculist.epfl.ch/quicksearch.php?gene+name=Rv1735c&amp;submit=Search")</f>
        <v>http://tuberculist.epfl.ch/quicksearch.php?gene+name=Rv1735c&amp;submit=Search</v>
      </c>
    </row>
    <row r="1783" spans="1:11">
      <c r="A1783" t="s">
        <v>237</v>
      </c>
      <c r="B1783" t="s">
        <v>236</v>
      </c>
      <c r="C1783" t="s">
        <v>9567</v>
      </c>
      <c r="D1783" t="s">
        <v>13671</v>
      </c>
      <c r="E1783" t="s">
        <v>13672</v>
      </c>
      <c r="F1783" t="s">
        <v>13673</v>
      </c>
      <c r="G1783" t="s">
        <v>19195</v>
      </c>
      <c r="H1783" t="s">
        <v>19254</v>
      </c>
      <c r="I1783" t="s">
        <v>18793</v>
      </c>
      <c r="J1783" t="s">
        <v>18799</v>
      </c>
      <c r="K1783" t="str">
        <f>HYPERLINK("http://tuberculist.epfl.ch/quicksearch.php?gene+name=Rv1736c&amp;submit=Search")</f>
        <v>http://tuberculist.epfl.ch/quicksearch.php?gene+name=Rv1736c&amp;submit=Search</v>
      </c>
    </row>
    <row r="1784" spans="1:11">
      <c r="A1784" t="s">
        <v>241</v>
      </c>
      <c r="B1784" t="s">
        <v>240</v>
      </c>
      <c r="C1784" t="s">
        <v>9567</v>
      </c>
      <c r="D1784" t="s">
        <v>13674</v>
      </c>
      <c r="E1784" t="s">
        <v>13675</v>
      </c>
      <c r="F1784" t="s">
        <v>13676</v>
      </c>
      <c r="G1784" t="s">
        <v>19188</v>
      </c>
      <c r="H1784" t="s">
        <v>19663</v>
      </c>
      <c r="I1784" t="s">
        <v>18789</v>
      </c>
      <c r="J1784" t="s">
        <v>18799</v>
      </c>
      <c r="K1784" t="str">
        <f>HYPERLINK("http://tuberculist.epfl.ch/quicksearch.php?gene+name=Rv1737c&amp;submit=Search")</f>
        <v>http://tuberculist.epfl.ch/quicksearch.php?gene+name=Rv1737c&amp;submit=Search</v>
      </c>
    </row>
    <row r="1785" spans="1:11">
      <c r="A1785" t="s">
        <v>243</v>
      </c>
      <c r="B1785" t="s">
        <v>243</v>
      </c>
      <c r="C1785" t="s">
        <v>9567</v>
      </c>
      <c r="D1785" t="s">
        <v>9578</v>
      </c>
      <c r="E1785" t="s">
        <v>9665</v>
      </c>
      <c r="F1785" t="s">
        <v>13677</v>
      </c>
      <c r="G1785" t="s">
        <v>19212</v>
      </c>
      <c r="H1785" t="s">
        <v>19742</v>
      </c>
      <c r="I1785" t="s">
        <v>18838</v>
      </c>
      <c r="J1785" t="s">
        <v>18799</v>
      </c>
      <c r="K1785" t="str">
        <f>HYPERLINK("http://tuberculist.epfl.ch/quicksearch.php?gene+name=Rv1738&amp;submit=Search")</f>
        <v>http://tuberculist.epfl.ch/quicksearch.php?gene+name=Rv1738&amp;submit=Search</v>
      </c>
    </row>
    <row r="1786" spans="1:11">
      <c r="A1786" t="s">
        <v>1988</v>
      </c>
      <c r="B1786" t="s">
        <v>1988</v>
      </c>
      <c r="C1786" t="s">
        <v>9567</v>
      </c>
      <c r="D1786" t="s">
        <v>13678</v>
      </c>
      <c r="E1786" t="s">
        <v>13679</v>
      </c>
      <c r="F1786" t="s">
        <v>13680</v>
      </c>
      <c r="G1786" t="s">
        <v>19188</v>
      </c>
      <c r="H1786" t="s">
        <v>19207</v>
      </c>
      <c r="I1786" t="s">
        <v>18789</v>
      </c>
      <c r="K1786" t="str">
        <f>HYPERLINK("http://tuberculist.epfl.ch/quicksearch.php?gene+name=Rv1739c&amp;submit=Search")</f>
        <v>http://tuberculist.epfl.ch/quicksearch.php?gene+name=Rv1739c&amp;submit=Search</v>
      </c>
    </row>
    <row r="1787" spans="1:11">
      <c r="A1787" t="s">
        <v>13681</v>
      </c>
      <c r="B1787" t="s">
        <v>13682</v>
      </c>
      <c r="C1787" t="s">
        <v>9567</v>
      </c>
      <c r="D1787" t="s">
        <v>9587</v>
      </c>
      <c r="E1787" t="s">
        <v>13683</v>
      </c>
      <c r="F1787" t="s">
        <v>13684</v>
      </c>
      <c r="G1787" t="s">
        <v>19206</v>
      </c>
      <c r="I1787" t="s">
        <v>18779</v>
      </c>
      <c r="J1787" t="s">
        <v>18775</v>
      </c>
      <c r="K1787" t="str">
        <f>HYPERLINK("http://tuberculist.epfl.ch/quicksearch.php?gene+name=Rv1740&amp;submit=Search")</f>
        <v>http://tuberculist.epfl.ch/quicksearch.php?gene+name=Rv1740&amp;submit=Search</v>
      </c>
    </row>
    <row r="1788" spans="1:11">
      <c r="A1788" t="s">
        <v>13685</v>
      </c>
      <c r="B1788" t="s">
        <v>13686</v>
      </c>
      <c r="C1788" t="s">
        <v>9567</v>
      </c>
      <c r="D1788" t="s">
        <v>9587</v>
      </c>
      <c r="E1788" t="s">
        <v>13687</v>
      </c>
      <c r="F1788" t="s">
        <v>13688</v>
      </c>
      <c r="G1788" t="s">
        <v>19206</v>
      </c>
      <c r="I1788" t="s">
        <v>18780</v>
      </c>
      <c r="K1788" t="str">
        <f>HYPERLINK("http://tuberculist.epfl.ch/quicksearch.php?gene+name=Rv1741&amp;submit=Search")</f>
        <v>http://tuberculist.epfl.ch/quicksearch.php?gene+name=Rv1741&amp;submit=Search</v>
      </c>
    </row>
    <row r="1789" spans="1:11">
      <c r="A1789" t="s">
        <v>973</v>
      </c>
      <c r="B1789" t="s">
        <v>973</v>
      </c>
      <c r="C1789" t="s">
        <v>9567</v>
      </c>
      <c r="D1789" t="s">
        <v>9587</v>
      </c>
      <c r="E1789" t="s">
        <v>9768</v>
      </c>
      <c r="F1789" t="s">
        <v>13689</v>
      </c>
      <c r="G1789" t="s">
        <v>19363</v>
      </c>
      <c r="H1789" t="s">
        <v>19361</v>
      </c>
      <c r="I1789" t="s">
        <v>18780</v>
      </c>
      <c r="K1789" t="str">
        <f>HYPERLINK("http://tuberculist.epfl.ch/quicksearch.php?gene+name=Rv1742&amp;submit=Search")</f>
        <v>http://tuberculist.epfl.ch/quicksearch.php?gene+name=Rv1742&amp;submit=Search</v>
      </c>
    </row>
    <row r="1790" spans="1:11">
      <c r="A1790" t="s">
        <v>3726</v>
      </c>
      <c r="B1790" t="s">
        <v>624</v>
      </c>
      <c r="C1790" t="s">
        <v>9567</v>
      </c>
      <c r="D1790" t="s">
        <v>13690</v>
      </c>
      <c r="E1790" t="s">
        <v>13691</v>
      </c>
      <c r="F1790" t="s">
        <v>13692</v>
      </c>
      <c r="G1790" t="s">
        <v>19197</v>
      </c>
      <c r="H1790" t="s">
        <v>19213</v>
      </c>
      <c r="I1790" t="s">
        <v>18780</v>
      </c>
      <c r="K1790" t="str">
        <f>HYPERLINK("http://tuberculist.epfl.ch/quicksearch.php?gene+name=Rv1743&amp;submit=Search")</f>
        <v>http://tuberculist.epfl.ch/quicksearch.php?gene+name=Rv1743&amp;submit=Search</v>
      </c>
    </row>
    <row r="1791" spans="1:11">
      <c r="A1791" t="s">
        <v>701</v>
      </c>
      <c r="B1791" t="s">
        <v>701</v>
      </c>
      <c r="C1791" t="s">
        <v>9567</v>
      </c>
      <c r="D1791" t="s">
        <v>9587</v>
      </c>
      <c r="E1791" t="s">
        <v>9758</v>
      </c>
      <c r="F1791" t="s">
        <v>13693</v>
      </c>
      <c r="G1791" t="s">
        <v>19188</v>
      </c>
      <c r="I1791" t="s">
        <v>18780</v>
      </c>
      <c r="K1791" t="str">
        <f>HYPERLINK("http://tuberculist.epfl.ch/quicksearch.php?gene+name=Rv1744c&amp;submit=Search")</f>
        <v>http://tuberculist.epfl.ch/quicksearch.php?gene+name=Rv1744c&amp;submit=Search</v>
      </c>
    </row>
    <row r="1792" spans="1:11">
      <c r="A1792" t="s">
        <v>5238</v>
      </c>
      <c r="B1792" t="s">
        <v>1370</v>
      </c>
      <c r="C1792" t="s">
        <v>9567</v>
      </c>
      <c r="D1792" t="s">
        <v>13694</v>
      </c>
      <c r="E1792" t="s">
        <v>13695</v>
      </c>
      <c r="F1792" t="s">
        <v>13696</v>
      </c>
      <c r="G1792" t="s">
        <v>19195</v>
      </c>
      <c r="I1792" t="s">
        <v>18779</v>
      </c>
      <c r="K1792" t="str">
        <f>HYPERLINK("http://tuberculist.epfl.ch/quicksearch.php?gene+name=Rv1745c&amp;submit=Search")</f>
        <v>http://tuberculist.epfl.ch/quicksearch.php?gene+name=Rv1745c&amp;submit=Search</v>
      </c>
    </row>
    <row r="1793" spans="1:11">
      <c r="A1793" t="s">
        <v>8321</v>
      </c>
      <c r="B1793" t="s">
        <v>2914</v>
      </c>
      <c r="C1793" t="s">
        <v>9567</v>
      </c>
      <c r="D1793" t="s">
        <v>13697</v>
      </c>
      <c r="E1793" t="s">
        <v>13698</v>
      </c>
      <c r="F1793" t="s">
        <v>13699</v>
      </c>
      <c r="G1793" t="s">
        <v>19197</v>
      </c>
      <c r="H1793" t="s">
        <v>19743</v>
      </c>
      <c r="I1793" t="s">
        <v>18780</v>
      </c>
      <c r="K1793" t="str">
        <f>HYPERLINK("http://tuberculist.epfl.ch/quicksearch.php?gene+name=Rv1746&amp;submit=Search")</f>
        <v>http://tuberculist.epfl.ch/quicksearch.php?gene+name=Rv1746&amp;submit=Search</v>
      </c>
    </row>
    <row r="1794" spans="1:11">
      <c r="A1794" t="s">
        <v>2394</v>
      </c>
      <c r="B1794" t="s">
        <v>2394</v>
      </c>
      <c r="C1794" t="s">
        <v>9567</v>
      </c>
      <c r="D1794" t="s">
        <v>13700</v>
      </c>
      <c r="E1794" t="s">
        <v>13701</v>
      </c>
      <c r="F1794" t="s">
        <v>13702</v>
      </c>
      <c r="G1794" t="s">
        <v>19188</v>
      </c>
      <c r="H1794" t="s">
        <v>19744</v>
      </c>
      <c r="I1794" t="s">
        <v>18789</v>
      </c>
      <c r="K1794" t="str">
        <f>HYPERLINK("http://tuberculist.epfl.ch/quicksearch.php?gene+name=Rv1747&amp;submit=Search")</f>
        <v>http://tuberculist.epfl.ch/quicksearch.php?gene+name=Rv1747&amp;submit=Search</v>
      </c>
    </row>
    <row r="1795" spans="1:11">
      <c r="A1795" t="s">
        <v>660</v>
      </c>
      <c r="B1795" t="s">
        <v>660</v>
      </c>
      <c r="C1795" t="s">
        <v>9567</v>
      </c>
      <c r="D1795" t="s">
        <v>9587</v>
      </c>
      <c r="E1795" t="s">
        <v>9768</v>
      </c>
      <c r="F1795" t="s">
        <v>13703</v>
      </c>
      <c r="G1795" t="s">
        <v>19212</v>
      </c>
      <c r="H1795" t="s">
        <v>19745</v>
      </c>
      <c r="I1795" t="s">
        <v>18780</v>
      </c>
      <c r="K1795" t="str">
        <f>HYPERLINK("http://tuberculist.epfl.ch/quicksearch.php?gene+name=Rv1748&amp;submit=Search")</f>
        <v>http://tuberculist.epfl.ch/quicksearch.php?gene+name=Rv1748&amp;submit=Search</v>
      </c>
    </row>
    <row r="1796" spans="1:11">
      <c r="A1796" t="s">
        <v>1976</v>
      </c>
      <c r="B1796" t="s">
        <v>1976</v>
      </c>
      <c r="C1796" t="s">
        <v>9567</v>
      </c>
      <c r="D1796" t="s">
        <v>9587</v>
      </c>
      <c r="E1796" t="s">
        <v>13704</v>
      </c>
      <c r="F1796" t="s">
        <v>13705</v>
      </c>
      <c r="G1796" t="s">
        <v>19188</v>
      </c>
      <c r="H1796" t="s">
        <v>19233</v>
      </c>
      <c r="I1796" t="s">
        <v>18780</v>
      </c>
      <c r="J1796" t="s">
        <v>18775</v>
      </c>
      <c r="K1796" t="str">
        <f>HYPERLINK("http://tuberculist.epfl.ch/quicksearch.php?gene+name=Rv1749c&amp;submit=Search")</f>
        <v>http://tuberculist.epfl.ch/quicksearch.php?gene+name=Rv1749c&amp;submit=Search</v>
      </c>
    </row>
    <row r="1797" spans="1:11">
      <c r="A1797" t="s">
        <v>4747</v>
      </c>
      <c r="B1797" t="s">
        <v>1133</v>
      </c>
      <c r="C1797" t="s">
        <v>9567</v>
      </c>
      <c r="D1797" t="s">
        <v>12417</v>
      </c>
      <c r="E1797" t="s">
        <v>13706</v>
      </c>
      <c r="F1797" t="s">
        <v>13707</v>
      </c>
      <c r="G1797" t="s">
        <v>19219</v>
      </c>
      <c r="H1797" t="s">
        <v>19184</v>
      </c>
      <c r="I1797" t="s">
        <v>18789</v>
      </c>
      <c r="K1797" t="str">
        <f>HYPERLINK("http://tuberculist.epfl.ch/quicksearch.php?gene+name=Rv1750c&amp;submit=Search")</f>
        <v>http://tuberculist.epfl.ch/quicksearch.php?gene+name=Rv1750c&amp;submit=Search</v>
      </c>
    </row>
    <row r="1798" spans="1:11">
      <c r="A1798" t="s">
        <v>2768</v>
      </c>
      <c r="B1798" t="s">
        <v>2768</v>
      </c>
      <c r="C1798" t="s">
        <v>9567</v>
      </c>
      <c r="D1798" t="s">
        <v>12032</v>
      </c>
      <c r="E1798" t="s">
        <v>9739</v>
      </c>
      <c r="F1798" t="s">
        <v>13708</v>
      </c>
      <c r="G1798" t="s">
        <v>19195</v>
      </c>
      <c r="H1798" t="s">
        <v>19746</v>
      </c>
      <c r="I1798" t="s">
        <v>18773</v>
      </c>
      <c r="K1798" t="str">
        <f>HYPERLINK("http://tuberculist.epfl.ch/quicksearch.php?gene+name=Rv1751&amp;submit=Search")</f>
        <v>http://tuberculist.epfl.ch/quicksearch.php?gene+name=Rv1751&amp;submit=Search</v>
      </c>
    </row>
    <row r="1799" spans="1:11">
      <c r="A1799" t="s">
        <v>2516</v>
      </c>
      <c r="B1799" t="s">
        <v>2516</v>
      </c>
      <c r="C1799" t="s">
        <v>9567</v>
      </c>
      <c r="D1799" t="s">
        <v>9578</v>
      </c>
      <c r="E1799" t="s">
        <v>9579</v>
      </c>
      <c r="F1799" t="s">
        <v>13709</v>
      </c>
      <c r="G1799" t="s">
        <v>19204</v>
      </c>
      <c r="I1799" t="s">
        <v>18780</v>
      </c>
      <c r="K1799" t="str">
        <f>HYPERLINK("http://tuberculist.epfl.ch/quicksearch.php?gene+name=Rv1752&amp;submit=Search")</f>
        <v>http://tuberculist.epfl.ch/quicksearch.php?gene+name=Rv1752&amp;submit=Search</v>
      </c>
    </row>
    <row r="1800" spans="1:11">
      <c r="A1800" t="s">
        <v>67</v>
      </c>
      <c r="B1800" t="s">
        <v>66</v>
      </c>
      <c r="C1800" t="s">
        <v>9567</v>
      </c>
      <c r="D1800" t="s">
        <v>9578</v>
      </c>
      <c r="E1800" t="s">
        <v>13710</v>
      </c>
      <c r="F1800" t="s">
        <v>13711</v>
      </c>
      <c r="G1800" t="s">
        <v>19262</v>
      </c>
      <c r="H1800" t="s">
        <v>19254</v>
      </c>
      <c r="I1800" t="s">
        <v>18791</v>
      </c>
      <c r="K1800" t="str">
        <f>HYPERLINK("http://tuberculist.epfl.ch/quicksearch.php?gene+name=Rv1753c&amp;submit=Search")</f>
        <v>http://tuberculist.epfl.ch/quicksearch.php?gene+name=Rv1753c&amp;submit=Search</v>
      </c>
    </row>
    <row r="1801" spans="1:11">
      <c r="A1801" t="s">
        <v>2413</v>
      </c>
      <c r="B1801" t="s">
        <v>2413</v>
      </c>
      <c r="C1801" t="s">
        <v>9567</v>
      </c>
      <c r="D1801" t="s">
        <v>9578</v>
      </c>
      <c r="E1801" t="s">
        <v>9665</v>
      </c>
      <c r="F1801" t="s">
        <v>13712</v>
      </c>
      <c r="G1801" t="s">
        <v>19210</v>
      </c>
      <c r="H1801" t="s">
        <v>19305</v>
      </c>
      <c r="I1801" t="s">
        <v>18796</v>
      </c>
      <c r="K1801" t="str">
        <f>HYPERLINK("http://tuberculist.epfl.ch/quicksearch.php?gene+name=Rv1754c&amp;submit=Search")</f>
        <v>http://tuberculist.epfl.ch/quicksearch.php?gene+name=Rv1754c&amp;submit=Search</v>
      </c>
    </row>
    <row r="1802" spans="1:11">
      <c r="A1802" t="s">
        <v>3440</v>
      </c>
      <c r="B1802" t="s">
        <v>477</v>
      </c>
      <c r="C1802" t="s">
        <v>9567</v>
      </c>
      <c r="D1802" t="s">
        <v>13713</v>
      </c>
      <c r="E1802" t="s">
        <v>13714</v>
      </c>
      <c r="F1802" t="s">
        <v>13715</v>
      </c>
      <c r="G1802" t="s">
        <v>19195</v>
      </c>
      <c r="I1802" t="s">
        <v>18796</v>
      </c>
      <c r="K1802" t="str">
        <f>HYPERLINK("http://tuberculist.epfl.ch/quicksearch.php?gene+name=Rv1755c&amp;submit=Search")</f>
        <v>http://tuberculist.epfl.ch/quicksearch.php?gene+name=Rv1755c&amp;submit=Search</v>
      </c>
    </row>
    <row r="1803" spans="1:11">
      <c r="A1803" t="s">
        <v>13716</v>
      </c>
      <c r="B1803" t="s">
        <v>13716</v>
      </c>
      <c r="C1803" t="s">
        <v>9567</v>
      </c>
      <c r="D1803" t="s">
        <v>11446</v>
      </c>
      <c r="E1803" t="s">
        <v>13717</v>
      </c>
      <c r="F1803" t="s">
        <v>13718</v>
      </c>
      <c r="G1803" t="s">
        <v>19217</v>
      </c>
      <c r="I1803" t="s">
        <v>18802</v>
      </c>
      <c r="K1803" t="str">
        <f>HYPERLINK("http://tuberculist.epfl.ch/quicksearch.php?gene+name=Rv1756c&amp;submit=Search")</f>
        <v>http://tuberculist.epfl.ch/quicksearch.php?gene+name=Rv1756c&amp;submit=Search</v>
      </c>
    </row>
    <row r="1804" spans="1:11">
      <c r="A1804" t="s">
        <v>13719</v>
      </c>
      <c r="B1804" t="s">
        <v>13719</v>
      </c>
      <c r="C1804" t="s">
        <v>9567</v>
      </c>
      <c r="D1804" t="s">
        <v>11446</v>
      </c>
      <c r="E1804" t="s">
        <v>11447</v>
      </c>
      <c r="F1804" t="s">
        <v>13720</v>
      </c>
      <c r="G1804" t="s">
        <v>19217</v>
      </c>
      <c r="I1804" t="s">
        <v>18802</v>
      </c>
      <c r="K1804" t="str">
        <f>HYPERLINK("http://tuberculist.epfl.ch/quicksearch.php?gene+name=Rv1757c&amp;submit=Search")</f>
        <v>http://tuberculist.epfl.ch/quicksearch.php?gene+name=Rv1757c&amp;submit=Search</v>
      </c>
    </row>
    <row r="1805" spans="1:11">
      <c r="A1805" t="s">
        <v>3912</v>
      </c>
      <c r="B1805" t="s">
        <v>712</v>
      </c>
      <c r="C1805" t="s">
        <v>9567</v>
      </c>
      <c r="D1805" t="s">
        <v>13721</v>
      </c>
      <c r="E1805" t="s">
        <v>13722</v>
      </c>
      <c r="F1805" t="s">
        <v>13723</v>
      </c>
      <c r="G1805" t="s">
        <v>19188</v>
      </c>
      <c r="H1805" t="s">
        <v>19254</v>
      </c>
      <c r="I1805" t="s">
        <v>18821</v>
      </c>
      <c r="K1805" t="str">
        <f>HYPERLINK("http://tuberculist.epfl.ch/quicksearch.php?gene+name=Rv1758&amp;submit=Search")</f>
        <v>http://tuberculist.epfl.ch/quicksearch.php?gene+name=Rv1758&amp;submit=Search</v>
      </c>
    </row>
    <row r="1806" spans="1:11">
      <c r="A1806" t="s">
        <v>13724</v>
      </c>
      <c r="B1806" t="s">
        <v>13725</v>
      </c>
      <c r="C1806" t="s">
        <v>9567</v>
      </c>
      <c r="D1806" t="s">
        <v>13726</v>
      </c>
      <c r="E1806" t="s">
        <v>13727</v>
      </c>
      <c r="F1806" t="s">
        <v>13728</v>
      </c>
      <c r="G1806" t="s">
        <v>19253</v>
      </c>
      <c r="H1806" t="s">
        <v>19747</v>
      </c>
      <c r="I1806" t="s">
        <v>18821</v>
      </c>
      <c r="K1806" t="str">
        <f>HYPERLINK("http://tuberculist.epfl.ch/quicksearch.php?gene+name=Rv1759c&amp;submit=Search")</f>
        <v>http://tuberculist.epfl.ch/quicksearch.php?gene+name=Rv1759c&amp;submit=Search</v>
      </c>
    </row>
    <row r="1807" spans="1:11">
      <c r="A1807" t="s">
        <v>1074</v>
      </c>
      <c r="B1807" t="s">
        <v>1074</v>
      </c>
      <c r="C1807" t="s">
        <v>9567</v>
      </c>
      <c r="D1807" t="s">
        <v>10087</v>
      </c>
      <c r="E1807" t="s">
        <v>10088</v>
      </c>
      <c r="F1807" t="s">
        <v>13729</v>
      </c>
      <c r="G1807" t="s">
        <v>19219</v>
      </c>
      <c r="I1807" t="s">
        <v>18797</v>
      </c>
      <c r="K1807" t="str">
        <f>HYPERLINK("http://tuberculist.epfl.ch/quicksearch.php?gene+name=Rv1760&amp;submit=Search")</f>
        <v>http://tuberculist.epfl.ch/quicksearch.php?gene+name=Rv1760&amp;submit=Search</v>
      </c>
    </row>
    <row r="1808" spans="1:11">
      <c r="A1808" t="s">
        <v>13730</v>
      </c>
      <c r="B1808" t="s">
        <v>13730</v>
      </c>
      <c r="C1808" t="s">
        <v>9567</v>
      </c>
      <c r="D1808" t="s">
        <v>9587</v>
      </c>
      <c r="E1808" t="s">
        <v>10054</v>
      </c>
      <c r="F1808" t="s">
        <v>13731</v>
      </c>
      <c r="G1808" t="s">
        <v>19188</v>
      </c>
      <c r="H1808" t="s">
        <v>19192</v>
      </c>
      <c r="I1808" t="s">
        <v>18797</v>
      </c>
      <c r="K1808" t="str">
        <f>HYPERLINK("http://tuberculist.epfl.ch/quicksearch.php?gene+name=Rv1761c&amp;submit=Search")</f>
        <v>http://tuberculist.epfl.ch/quicksearch.php?gene+name=Rv1761c&amp;submit=Search</v>
      </c>
    </row>
    <row r="1809" spans="1:11">
      <c r="A1809" t="s">
        <v>787</v>
      </c>
      <c r="B1809" t="s">
        <v>787</v>
      </c>
      <c r="C1809" t="s">
        <v>9567</v>
      </c>
      <c r="D1809" t="s">
        <v>9587</v>
      </c>
      <c r="E1809" t="s">
        <v>9768</v>
      </c>
      <c r="F1809" t="s">
        <v>13732</v>
      </c>
      <c r="G1809" t="s">
        <v>19210</v>
      </c>
      <c r="H1809" t="s">
        <v>19720</v>
      </c>
      <c r="I1809" t="s">
        <v>18821</v>
      </c>
      <c r="K1809" t="str">
        <f>HYPERLINK("http://tuberculist.epfl.ch/quicksearch.php?gene+name=Rv1762c&amp;submit=Search")</f>
        <v>http://tuberculist.epfl.ch/quicksearch.php?gene+name=Rv1762c&amp;submit=Search</v>
      </c>
    </row>
    <row r="1810" spans="1:11">
      <c r="A1810" t="s">
        <v>13733</v>
      </c>
      <c r="B1810" t="s">
        <v>13733</v>
      </c>
      <c r="C1810" t="s">
        <v>9567</v>
      </c>
      <c r="D1810" t="s">
        <v>11446</v>
      </c>
      <c r="E1810" t="s">
        <v>11447</v>
      </c>
      <c r="F1810" t="s">
        <v>13734</v>
      </c>
      <c r="G1810" t="s">
        <v>19217</v>
      </c>
      <c r="I1810" t="s">
        <v>18802</v>
      </c>
      <c r="K1810" t="str">
        <f>HYPERLINK("http://tuberculist.epfl.ch/quicksearch.php?gene+name=Rv1763&amp;submit=Search")</f>
        <v>http://tuberculist.epfl.ch/quicksearch.php?gene+name=Rv1763&amp;submit=Search</v>
      </c>
    </row>
    <row r="1811" spans="1:11">
      <c r="A1811" t="s">
        <v>13735</v>
      </c>
      <c r="B1811" t="s">
        <v>13735</v>
      </c>
      <c r="C1811" t="s">
        <v>9567</v>
      </c>
      <c r="D1811" t="s">
        <v>11446</v>
      </c>
      <c r="E1811" t="s">
        <v>13717</v>
      </c>
      <c r="F1811" t="s">
        <v>13736</v>
      </c>
      <c r="G1811" t="s">
        <v>19217</v>
      </c>
      <c r="I1811" t="s">
        <v>18802</v>
      </c>
      <c r="K1811" t="str">
        <f>HYPERLINK("http://tuberculist.epfl.ch/quicksearch.php?gene+name=Rv1764&amp;submit=Search")</f>
        <v>http://tuberculist.epfl.ch/quicksearch.php?gene+name=Rv1764&amp;submit=Search</v>
      </c>
    </row>
    <row r="1812" spans="1:11">
      <c r="A1812" t="s">
        <v>13737</v>
      </c>
      <c r="B1812" t="s">
        <v>13737</v>
      </c>
      <c r="C1812" t="s">
        <v>9567</v>
      </c>
      <c r="D1812" t="s">
        <v>12015</v>
      </c>
      <c r="E1812" t="s">
        <v>11357</v>
      </c>
      <c r="F1812" t="s">
        <v>13738</v>
      </c>
      <c r="G1812" t="s">
        <v>19217</v>
      </c>
      <c r="I1812" t="s">
        <v>18793</v>
      </c>
      <c r="K1812" t="str">
        <f>HYPERLINK("http://tuberculist.epfl.ch/quicksearch.php?gene+name=Rv1765A&amp;submit=Search")</f>
        <v>http://tuberculist.epfl.ch/quicksearch.php?gene+name=Rv1765A&amp;submit=Search</v>
      </c>
    </row>
    <row r="1813" spans="1:11">
      <c r="A1813" t="s">
        <v>13739</v>
      </c>
      <c r="B1813" t="s">
        <v>13739</v>
      </c>
      <c r="C1813" t="s">
        <v>9567</v>
      </c>
      <c r="D1813" t="s">
        <v>9578</v>
      </c>
      <c r="E1813" t="s">
        <v>9579</v>
      </c>
      <c r="F1813" t="s">
        <v>13740</v>
      </c>
      <c r="G1813" t="s">
        <v>19212</v>
      </c>
      <c r="H1813" t="s">
        <v>19215</v>
      </c>
      <c r="I1813" t="s">
        <v>18802</v>
      </c>
      <c r="K1813" t="str">
        <f>HYPERLINK("http://tuberculist.epfl.ch/quicksearch.php?gene+name=Rv1765c&amp;submit=Search")</f>
        <v>http://tuberculist.epfl.ch/quicksearch.php?gene+name=Rv1765c&amp;submit=Search</v>
      </c>
    </row>
    <row r="1814" spans="1:11">
      <c r="A1814" t="s">
        <v>13741</v>
      </c>
      <c r="B1814" t="s">
        <v>13741</v>
      </c>
      <c r="C1814" t="s">
        <v>9567</v>
      </c>
      <c r="D1814" t="s">
        <v>9578</v>
      </c>
      <c r="E1814" t="s">
        <v>9665</v>
      </c>
      <c r="F1814" t="s">
        <v>13742</v>
      </c>
      <c r="G1814" t="s">
        <v>19212</v>
      </c>
      <c r="H1814" t="s">
        <v>19192</v>
      </c>
      <c r="I1814" t="s">
        <v>18793</v>
      </c>
      <c r="K1814" t="str">
        <f>HYPERLINK("http://tuberculist.epfl.ch/quicksearch.php?gene+name=Rv1766&amp;submit=Search")</f>
        <v>http://tuberculist.epfl.ch/quicksearch.php?gene+name=Rv1766&amp;submit=Search</v>
      </c>
    </row>
    <row r="1815" spans="1:11">
      <c r="A1815" t="s">
        <v>13743</v>
      </c>
      <c r="B1815" t="s">
        <v>13743</v>
      </c>
      <c r="C1815" t="s">
        <v>9567</v>
      </c>
      <c r="D1815" t="s">
        <v>9578</v>
      </c>
      <c r="E1815" t="s">
        <v>9665</v>
      </c>
      <c r="F1815" t="s">
        <v>13744</v>
      </c>
      <c r="G1815" t="s">
        <v>19204</v>
      </c>
      <c r="H1815" t="s">
        <v>19233</v>
      </c>
      <c r="I1815" t="s">
        <v>18793</v>
      </c>
      <c r="K1815" t="str">
        <f>HYPERLINK("http://tuberculist.epfl.ch/quicksearch.php?gene+name=Rv1767&amp;submit=Search")</f>
        <v>http://tuberculist.epfl.ch/quicksearch.php?gene+name=Rv1767&amp;submit=Search</v>
      </c>
    </row>
    <row r="1816" spans="1:11">
      <c r="A1816" t="s">
        <v>13745</v>
      </c>
      <c r="B1816" t="s">
        <v>13746</v>
      </c>
      <c r="C1816" t="s">
        <v>9567</v>
      </c>
      <c r="D1816" t="s">
        <v>9578</v>
      </c>
      <c r="E1816" t="s">
        <v>13747</v>
      </c>
      <c r="F1816" t="s">
        <v>13748</v>
      </c>
      <c r="G1816" t="s">
        <v>19262</v>
      </c>
      <c r="H1816" t="s">
        <v>19267</v>
      </c>
      <c r="I1816" t="s">
        <v>18793</v>
      </c>
      <c r="K1816" t="str">
        <f>HYPERLINK("http://tuberculist.epfl.ch/quicksearch.php?gene+name=Rv1768&amp;submit=Search")</f>
        <v>http://tuberculist.epfl.ch/quicksearch.php?gene+name=Rv1768&amp;submit=Search</v>
      </c>
    </row>
    <row r="1817" spans="1:11">
      <c r="A1817" t="s">
        <v>13749</v>
      </c>
      <c r="B1817" t="s">
        <v>13749</v>
      </c>
      <c r="C1817" t="s">
        <v>9567</v>
      </c>
      <c r="D1817" t="s">
        <v>9578</v>
      </c>
      <c r="E1817" t="s">
        <v>9665</v>
      </c>
      <c r="F1817" t="s">
        <v>13750</v>
      </c>
      <c r="G1817" t="s">
        <v>19212</v>
      </c>
      <c r="H1817" t="s">
        <v>19225</v>
      </c>
      <c r="I1817" t="s">
        <v>18792</v>
      </c>
      <c r="K1817" t="str">
        <f>HYPERLINK("http://tuberculist.epfl.ch/quicksearch.php?gene+name=Rv1769&amp;submit=Search")</f>
        <v>http://tuberculist.epfl.ch/quicksearch.php?gene+name=Rv1769&amp;submit=Search</v>
      </c>
    </row>
    <row r="1818" spans="1:11">
      <c r="A1818" t="s">
        <v>13751</v>
      </c>
      <c r="B1818" t="s">
        <v>13751</v>
      </c>
      <c r="C1818" t="s">
        <v>9567</v>
      </c>
      <c r="D1818" t="s">
        <v>9578</v>
      </c>
      <c r="E1818" t="s">
        <v>9665</v>
      </c>
      <c r="F1818" t="s">
        <v>13752</v>
      </c>
      <c r="G1818" t="s">
        <v>19212</v>
      </c>
      <c r="H1818" t="s">
        <v>19748</v>
      </c>
      <c r="I1818" t="s">
        <v>18792</v>
      </c>
      <c r="K1818" t="str">
        <f>HYPERLINK("http://tuberculist.epfl.ch/quicksearch.php?gene+name=Rv1770&amp;submit=Search")</f>
        <v>http://tuberculist.epfl.ch/quicksearch.php?gene+name=Rv1770&amp;submit=Search</v>
      </c>
    </row>
    <row r="1819" spans="1:11">
      <c r="A1819" t="s">
        <v>13753</v>
      </c>
      <c r="B1819" t="s">
        <v>13753</v>
      </c>
      <c r="C1819" t="s">
        <v>9567</v>
      </c>
      <c r="D1819" t="s">
        <v>13754</v>
      </c>
      <c r="E1819" t="s">
        <v>13755</v>
      </c>
      <c r="F1819" t="s">
        <v>13756</v>
      </c>
      <c r="G1819" t="s">
        <v>19195</v>
      </c>
      <c r="H1819" t="s">
        <v>19749</v>
      </c>
      <c r="I1819" t="s">
        <v>18792</v>
      </c>
      <c r="K1819" t="str">
        <f>HYPERLINK("http://tuberculist.epfl.ch/quicksearch.php?gene+name=Rv1771&amp;submit=Search")</f>
        <v>http://tuberculist.epfl.ch/quicksearch.php?gene+name=Rv1771&amp;submit=Search</v>
      </c>
    </row>
    <row r="1820" spans="1:11">
      <c r="A1820" t="s">
        <v>13757</v>
      </c>
      <c r="B1820" t="s">
        <v>13757</v>
      </c>
      <c r="C1820" t="s">
        <v>9567</v>
      </c>
      <c r="D1820" t="s">
        <v>9587</v>
      </c>
      <c r="E1820" t="s">
        <v>9713</v>
      </c>
      <c r="F1820" t="s">
        <v>13758</v>
      </c>
      <c r="G1820" t="s">
        <v>19212</v>
      </c>
      <c r="H1820" t="s">
        <v>19214</v>
      </c>
      <c r="I1820" t="s">
        <v>18773</v>
      </c>
      <c r="K1820" t="str">
        <f>HYPERLINK("http://tuberculist.epfl.ch/quicksearch.php?gene+name=Rv1772&amp;submit=Search")</f>
        <v>http://tuberculist.epfl.ch/quicksearch.php?gene+name=Rv1772&amp;submit=Search</v>
      </c>
    </row>
    <row r="1821" spans="1:11">
      <c r="A1821" t="s">
        <v>13759</v>
      </c>
      <c r="B1821" t="s">
        <v>13759</v>
      </c>
      <c r="C1821" t="s">
        <v>9567</v>
      </c>
      <c r="D1821" t="s">
        <v>9629</v>
      </c>
      <c r="E1821" t="s">
        <v>9763</v>
      </c>
      <c r="F1821" t="s">
        <v>13760</v>
      </c>
      <c r="G1821" t="s">
        <v>19197</v>
      </c>
      <c r="H1821" t="s">
        <v>19213</v>
      </c>
      <c r="I1821" t="s">
        <v>18991</v>
      </c>
      <c r="K1821" t="str">
        <f>HYPERLINK("http://tuberculist.epfl.ch/quicksearch.php?gene+name=Rv1773c&amp;submit=Search")</f>
        <v>http://tuberculist.epfl.ch/quicksearch.php?gene+name=Rv1773c&amp;submit=Search</v>
      </c>
    </row>
    <row r="1822" spans="1:11">
      <c r="A1822" t="s">
        <v>1710</v>
      </c>
      <c r="B1822" t="s">
        <v>1710</v>
      </c>
      <c r="C1822" t="s">
        <v>9567</v>
      </c>
      <c r="D1822" t="s">
        <v>12032</v>
      </c>
      <c r="E1822" t="s">
        <v>9739</v>
      </c>
      <c r="F1822" t="s">
        <v>13761</v>
      </c>
      <c r="G1822" t="s">
        <v>19195</v>
      </c>
      <c r="H1822" t="s">
        <v>19345</v>
      </c>
      <c r="I1822" t="s">
        <v>18780</v>
      </c>
      <c r="K1822" t="str">
        <f>HYPERLINK("http://tuberculist.epfl.ch/quicksearch.php?gene+name=Rv1774&amp;submit=Search")</f>
        <v>http://tuberculist.epfl.ch/quicksearch.php?gene+name=Rv1774&amp;submit=Search</v>
      </c>
    </row>
    <row r="1823" spans="1:11">
      <c r="A1823" t="s">
        <v>833</v>
      </c>
      <c r="B1823" t="s">
        <v>833</v>
      </c>
      <c r="C1823" t="s">
        <v>9567</v>
      </c>
      <c r="D1823" t="s">
        <v>9578</v>
      </c>
      <c r="E1823" t="s">
        <v>9579</v>
      </c>
      <c r="F1823" t="s">
        <v>13762</v>
      </c>
      <c r="G1823" t="s">
        <v>19220</v>
      </c>
      <c r="I1823" t="s">
        <v>18780</v>
      </c>
      <c r="K1823" t="str">
        <f>HYPERLINK("http://tuberculist.epfl.ch/quicksearch.php?gene+name=Rv1775&amp;submit=Search")</f>
        <v>http://tuberculist.epfl.ch/quicksearch.php?gene+name=Rv1775&amp;submit=Search</v>
      </c>
    </row>
    <row r="1824" spans="1:11">
      <c r="A1824" t="s">
        <v>13763</v>
      </c>
      <c r="B1824" t="s">
        <v>13763</v>
      </c>
      <c r="C1824" t="s">
        <v>9567</v>
      </c>
      <c r="D1824" t="s">
        <v>9629</v>
      </c>
      <c r="E1824" t="s">
        <v>9633</v>
      </c>
      <c r="F1824" t="s">
        <v>13764</v>
      </c>
      <c r="G1824" t="s">
        <v>19197</v>
      </c>
      <c r="H1824" t="s">
        <v>19207</v>
      </c>
      <c r="I1824" t="s">
        <v>18780</v>
      </c>
      <c r="K1824" t="str">
        <f>HYPERLINK("http://tuberculist.epfl.ch/quicksearch.php?gene+name=Rv1776c&amp;submit=Search")</f>
        <v>http://tuberculist.epfl.ch/quicksearch.php?gene+name=Rv1776c&amp;submit=Search</v>
      </c>
    </row>
    <row r="1825" spans="1:11">
      <c r="A1825" t="s">
        <v>5102</v>
      </c>
      <c r="B1825" t="s">
        <v>1303</v>
      </c>
      <c r="C1825" t="s">
        <v>9567</v>
      </c>
      <c r="D1825" t="s">
        <v>9908</v>
      </c>
      <c r="E1825" t="s">
        <v>13765</v>
      </c>
      <c r="F1825" t="s">
        <v>13766</v>
      </c>
      <c r="G1825" t="s">
        <v>19195</v>
      </c>
      <c r="I1825" t="s">
        <v>18780</v>
      </c>
      <c r="K1825" t="str">
        <f>HYPERLINK("http://tuberculist.epfl.ch/quicksearch.php?gene+name=Rv1777&amp;submit=Search")</f>
        <v>http://tuberculist.epfl.ch/quicksearch.php?gene+name=Rv1777&amp;submit=Search</v>
      </c>
    </row>
    <row r="1826" spans="1:11">
      <c r="A1826" t="s">
        <v>1621</v>
      </c>
      <c r="B1826" t="s">
        <v>1621</v>
      </c>
      <c r="C1826" t="s">
        <v>9567</v>
      </c>
      <c r="D1826" t="s">
        <v>9587</v>
      </c>
      <c r="E1826" t="s">
        <v>9768</v>
      </c>
      <c r="F1826" t="s">
        <v>13767</v>
      </c>
      <c r="G1826" t="s">
        <v>19212</v>
      </c>
      <c r="H1826" t="s">
        <v>19233</v>
      </c>
      <c r="I1826" t="s">
        <v>18779</v>
      </c>
      <c r="K1826" t="str">
        <f>HYPERLINK("http://tuberculist.epfl.ch/quicksearch.php?gene+name=Rv1778c&amp;submit=Search")</f>
        <v>http://tuberculist.epfl.ch/quicksearch.php?gene+name=Rv1778c&amp;submit=Search</v>
      </c>
    </row>
    <row r="1827" spans="1:11">
      <c r="A1827" t="s">
        <v>3279</v>
      </c>
      <c r="B1827" t="s">
        <v>3279</v>
      </c>
      <c r="C1827" t="s">
        <v>9567</v>
      </c>
      <c r="D1827" t="s">
        <v>9587</v>
      </c>
      <c r="E1827" t="s">
        <v>13704</v>
      </c>
      <c r="F1827" t="s">
        <v>13768</v>
      </c>
      <c r="G1827" t="s">
        <v>19188</v>
      </c>
      <c r="H1827" t="s">
        <v>19750</v>
      </c>
      <c r="I1827" t="s">
        <v>18773</v>
      </c>
      <c r="K1827" t="str">
        <f>HYPERLINK("http://tuberculist.epfl.ch/quicksearch.php?gene+name=Rv1779c&amp;submit=Search")</f>
        <v>http://tuberculist.epfl.ch/quicksearch.php?gene+name=Rv1779c&amp;submit=Search</v>
      </c>
    </row>
    <row r="1828" spans="1:11">
      <c r="A1828" t="s">
        <v>3349</v>
      </c>
      <c r="B1828" t="s">
        <v>3349</v>
      </c>
      <c r="C1828" t="s">
        <v>9567</v>
      </c>
      <c r="D1828" t="s">
        <v>9578</v>
      </c>
      <c r="E1828" t="s">
        <v>9665</v>
      </c>
      <c r="F1828" t="s">
        <v>13769</v>
      </c>
      <c r="G1828" t="s">
        <v>19212</v>
      </c>
      <c r="H1828" t="s">
        <v>19459</v>
      </c>
      <c r="I1828" t="s">
        <v>18780</v>
      </c>
      <c r="K1828" t="str">
        <f>HYPERLINK("http://tuberculist.epfl.ch/quicksearch.php?gene+name=Rv1780&amp;submit=Search")</f>
        <v>http://tuberculist.epfl.ch/quicksearch.php?gene+name=Rv1780&amp;submit=Search</v>
      </c>
    </row>
    <row r="1829" spans="1:11">
      <c r="A1829" t="s">
        <v>5020</v>
      </c>
      <c r="B1829" t="s">
        <v>1261</v>
      </c>
      <c r="C1829" t="s">
        <v>9567</v>
      </c>
      <c r="D1829" t="s">
        <v>13770</v>
      </c>
      <c r="E1829" t="s">
        <v>13771</v>
      </c>
      <c r="F1829" t="s">
        <v>13772</v>
      </c>
      <c r="G1829" t="s">
        <v>19195</v>
      </c>
      <c r="H1829" t="s">
        <v>19443</v>
      </c>
      <c r="I1829" t="s">
        <v>18789</v>
      </c>
      <c r="K1829" t="str">
        <f>HYPERLINK("http://tuberculist.epfl.ch/quicksearch.php?gene+name=Rv1781c&amp;submit=Search")</f>
        <v>http://tuberculist.epfl.ch/quicksearch.php?gene+name=Rv1781c&amp;submit=Search</v>
      </c>
    </row>
    <row r="1830" spans="1:11">
      <c r="A1830" t="s">
        <v>13773</v>
      </c>
      <c r="B1830" t="s">
        <v>1173</v>
      </c>
      <c r="C1830" t="s">
        <v>9567</v>
      </c>
      <c r="D1830" t="s">
        <v>9578</v>
      </c>
      <c r="E1830" t="s">
        <v>13774</v>
      </c>
      <c r="F1830" t="s">
        <v>13775</v>
      </c>
      <c r="G1830" t="s">
        <v>19188</v>
      </c>
      <c r="H1830" t="s">
        <v>19751</v>
      </c>
      <c r="I1830" t="s">
        <v>18776</v>
      </c>
      <c r="K1830" t="str">
        <f>HYPERLINK("http://tuberculist.epfl.ch/quicksearch.php?gene+name=Rv1782&amp;submit=Search")</f>
        <v>http://tuberculist.epfl.ch/quicksearch.php?gene+name=Rv1782&amp;submit=Search</v>
      </c>
    </row>
    <row r="1831" spans="1:11">
      <c r="A1831" t="s">
        <v>13776</v>
      </c>
      <c r="B1831" t="s">
        <v>13777</v>
      </c>
      <c r="C1831" t="s">
        <v>9567</v>
      </c>
      <c r="D1831" t="s">
        <v>9578</v>
      </c>
      <c r="E1831" t="s">
        <v>13778</v>
      </c>
      <c r="F1831" t="s">
        <v>13779</v>
      </c>
      <c r="G1831" t="s">
        <v>19188</v>
      </c>
      <c r="H1831" t="s">
        <v>19752</v>
      </c>
      <c r="I1831" t="s">
        <v>18992</v>
      </c>
      <c r="K1831" t="str">
        <f>HYPERLINK("http://tuberculist.epfl.ch/quicksearch.php?gene+name=Rv1783&amp;submit=Search")</f>
        <v>http://tuberculist.epfl.ch/quicksearch.php?gene+name=Rv1783&amp;submit=Search</v>
      </c>
    </row>
    <row r="1832" spans="1:11">
      <c r="A1832" t="s">
        <v>6460</v>
      </c>
      <c r="B1832" t="s">
        <v>1980</v>
      </c>
      <c r="C1832" t="s">
        <v>9567</v>
      </c>
      <c r="D1832" t="s">
        <v>9908</v>
      </c>
      <c r="E1832" t="s">
        <v>13780</v>
      </c>
      <c r="F1832" t="s">
        <v>13781</v>
      </c>
      <c r="G1832" t="s">
        <v>19195</v>
      </c>
      <c r="H1832" t="s">
        <v>19214</v>
      </c>
      <c r="I1832" t="s">
        <v>18789</v>
      </c>
      <c r="K1832" t="str">
        <f>HYPERLINK("http://tuberculist.epfl.ch/quicksearch.php?gene+name=Rv1785c&amp;submit=Search")</f>
        <v>http://tuberculist.epfl.ch/quicksearch.php?gene+name=Rv1785c&amp;submit=Search</v>
      </c>
    </row>
    <row r="1833" spans="1:11">
      <c r="A1833" t="s">
        <v>13782</v>
      </c>
      <c r="B1833" t="s">
        <v>13782</v>
      </c>
      <c r="C1833" t="s">
        <v>9567</v>
      </c>
      <c r="D1833" t="s">
        <v>11181</v>
      </c>
      <c r="E1833" t="s">
        <v>13783</v>
      </c>
      <c r="F1833" t="s">
        <v>13784</v>
      </c>
      <c r="G1833" t="s">
        <v>19195</v>
      </c>
      <c r="I1833" t="s">
        <v>18779</v>
      </c>
      <c r="K1833" t="str">
        <f>HYPERLINK("http://tuberculist.epfl.ch/quicksearch.php?gene+name=Rv1786&amp;submit=Search")</f>
        <v>http://tuberculist.epfl.ch/quicksearch.php?gene+name=Rv1786&amp;submit=Search</v>
      </c>
    </row>
    <row r="1834" spans="1:11">
      <c r="A1834" t="s">
        <v>8278</v>
      </c>
      <c r="B1834" t="s">
        <v>2892</v>
      </c>
      <c r="C1834" t="s">
        <v>9567</v>
      </c>
      <c r="D1834" t="s">
        <v>9578</v>
      </c>
      <c r="E1834" t="s">
        <v>13785</v>
      </c>
      <c r="F1834" t="s">
        <v>13786</v>
      </c>
      <c r="G1834" t="s">
        <v>19262</v>
      </c>
      <c r="I1834" t="s">
        <v>18777</v>
      </c>
      <c r="K1834" t="str">
        <f>HYPERLINK("http://tuberculist.epfl.ch/quicksearch.php?gene+name=Rv1787&amp;submit=Search")</f>
        <v>http://tuberculist.epfl.ch/quicksearch.php?gene+name=Rv1787&amp;submit=Search</v>
      </c>
    </row>
    <row r="1835" spans="1:11">
      <c r="A1835" t="s">
        <v>7212</v>
      </c>
      <c r="B1835" t="s">
        <v>2366</v>
      </c>
      <c r="C1835" t="s">
        <v>9567</v>
      </c>
      <c r="D1835" t="s">
        <v>9578</v>
      </c>
      <c r="E1835" t="s">
        <v>13787</v>
      </c>
      <c r="F1835" t="s">
        <v>13788</v>
      </c>
      <c r="G1835" t="s">
        <v>19553</v>
      </c>
      <c r="I1835" t="s">
        <v>18780</v>
      </c>
      <c r="K1835" t="str">
        <f>HYPERLINK("http://tuberculist.epfl.ch/quicksearch.php?gene+name=Rv1788&amp;submit=Search")</f>
        <v>http://tuberculist.epfl.ch/quicksearch.php?gene+name=Rv1788&amp;submit=Search</v>
      </c>
    </row>
    <row r="1836" spans="1:11">
      <c r="A1836" t="s">
        <v>5652</v>
      </c>
      <c r="B1836" t="s">
        <v>1589</v>
      </c>
      <c r="C1836" t="s">
        <v>9567</v>
      </c>
      <c r="D1836" t="s">
        <v>9578</v>
      </c>
      <c r="E1836" t="s">
        <v>13789</v>
      </c>
      <c r="F1836" t="s">
        <v>13790</v>
      </c>
      <c r="G1836" t="s">
        <v>19262</v>
      </c>
      <c r="H1836" t="s">
        <v>19192</v>
      </c>
      <c r="I1836" t="s">
        <v>18792</v>
      </c>
      <c r="K1836" t="str">
        <f>HYPERLINK("http://tuberculist.epfl.ch/quicksearch.php?gene+name=Rv1789&amp;submit=Search")</f>
        <v>http://tuberculist.epfl.ch/quicksearch.php?gene+name=Rv1789&amp;submit=Search</v>
      </c>
    </row>
    <row r="1837" spans="1:11">
      <c r="A1837" t="s">
        <v>13791</v>
      </c>
      <c r="B1837" t="s">
        <v>13792</v>
      </c>
      <c r="C1837" t="s">
        <v>9567</v>
      </c>
      <c r="D1837" t="s">
        <v>9578</v>
      </c>
      <c r="E1837" t="s">
        <v>13793</v>
      </c>
      <c r="F1837" t="s">
        <v>13794</v>
      </c>
      <c r="G1837" t="s">
        <v>19262</v>
      </c>
      <c r="H1837" t="s">
        <v>19254</v>
      </c>
      <c r="I1837" t="s">
        <v>18773</v>
      </c>
      <c r="K1837" t="str">
        <f>HYPERLINK("http://tuberculist.epfl.ch/quicksearch.php?gene+name=Rv1790&amp;submit=Search")</f>
        <v>http://tuberculist.epfl.ch/quicksearch.php?gene+name=Rv1790&amp;submit=Search</v>
      </c>
    </row>
    <row r="1838" spans="1:11">
      <c r="A1838" t="s">
        <v>4040</v>
      </c>
      <c r="B1838" t="s">
        <v>778</v>
      </c>
      <c r="C1838" t="s">
        <v>9567</v>
      </c>
      <c r="D1838" t="s">
        <v>9578</v>
      </c>
      <c r="E1838" t="s">
        <v>13795</v>
      </c>
      <c r="F1838" t="s">
        <v>13796</v>
      </c>
      <c r="G1838" t="s">
        <v>19262</v>
      </c>
      <c r="I1838" t="s">
        <v>18773</v>
      </c>
      <c r="K1838" t="str">
        <f>HYPERLINK("http://tuberculist.epfl.ch/quicksearch.php?gene+name=Rv1791&amp;submit=Search")</f>
        <v>http://tuberculist.epfl.ch/quicksearch.php?gene+name=Rv1791&amp;submit=Search</v>
      </c>
    </row>
    <row r="1839" spans="1:11">
      <c r="A1839" t="s">
        <v>13797</v>
      </c>
      <c r="B1839" t="s">
        <v>13798</v>
      </c>
      <c r="C1839" t="s">
        <v>10216</v>
      </c>
      <c r="D1839" t="s">
        <v>9578</v>
      </c>
      <c r="E1839" t="s">
        <v>13799</v>
      </c>
      <c r="F1839" t="s">
        <v>13800</v>
      </c>
      <c r="G1839" t="s">
        <v>19188</v>
      </c>
      <c r="H1839" t="s">
        <v>19753</v>
      </c>
      <c r="I1839" t="s">
        <v>18934</v>
      </c>
      <c r="K1839" t="str">
        <f>HYPERLINK("http://tuberculist.epfl.ch/quicksearch.php?gene+name=Rv1792&amp;submit=Search")</f>
        <v>http://tuberculist.epfl.ch/quicksearch.php?gene+name=Rv1792&amp;submit=Search</v>
      </c>
    </row>
    <row r="1840" spans="1:11">
      <c r="A1840" t="s">
        <v>9005</v>
      </c>
      <c r="B1840" t="s">
        <v>3232</v>
      </c>
      <c r="C1840" t="s">
        <v>9567</v>
      </c>
      <c r="D1840" t="s">
        <v>9578</v>
      </c>
      <c r="E1840" t="s">
        <v>13801</v>
      </c>
      <c r="F1840" t="s">
        <v>13802</v>
      </c>
      <c r="G1840" t="s">
        <v>19188</v>
      </c>
      <c r="H1840" t="s">
        <v>19754</v>
      </c>
      <c r="I1840" t="s">
        <v>18789</v>
      </c>
      <c r="K1840" t="str">
        <f>HYPERLINK("http://tuberculist.epfl.ch/quicksearch.php?gene+name=Rv1793&amp;submit=Search")</f>
        <v>http://tuberculist.epfl.ch/quicksearch.php?gene+name=Rv1793&amp;submit=Search</v>
      </c>
    </row>
    <row r="1841" spans="1:11">
      <c r="A1841" t="s">
        <v>2502</v>
      </c>
      <c r="B1841" t="s">
        <v>2502</v>
      </c>
      <c r="C1841" t="s">
        <v>9567</v>
      </c>
      <c r="D1841" t="s">
        <v>9578</v>
      </c>
      <c r="E1841" t="s">
        <v>9665</v>
      </c>
      <c r="F1841" t="s">
        <v>13803</v>
      </c>
      <c r="G1841" t="s">
        <v>19210</v>
      </c>
      <c r="H1841" t="s">
        <v>19755</v>
      </c>
      <c r="I1841" t="s">
        <v>18773</v>
      </c>
      <c r="K1841" t="str">
        <f>HYPERLINK("http://tuberculist.epfl.ch/quicksearch.php?gene+name=Rv1794&amp;submit=Search")</f>
        <v>http://tuberculist.epfl.ch/quicksearch.php?gene+name=Rv1794&amp;submit=Search</v>
      </c>
    </row>
    <row r="1842" spans="1:11">
      <c r="A1842" t="s">
        <v>13804</v>
      </c>
      <c r="B1842" t="s">
        <v>1223</v>
      </c>
      <c r="C1842" t="s">
        <v>9567</v>
      </c>
      <c r="D1842" t="s">
        <v>9587</v>
      </c>
      <c r="E1842" t="s">
        <v>13805</v>
      </c>
      <c r="F1842" t="s">
        <v>13806</v>
      </c>
      <c r="G1842" t="s">
        <v>19188</v>
      </c>
      <c r="H1842" t="s">
        <v>19756</v>
      </c>
      <c r="I1842" t="s">
        <v>18776</v>
      </c>
      <c r="K1842" t="str">
        <f>HYPERLINK("http://tuberculist.epfl.ch/quicksearch.php?gene+name=Rv1795&amp;submit=Search")</f>
        <v>http://tuberculist.epfl.ch/quicksearch.php?gene+name=Rv1795&amp;submit=Search</v>
      </c>
    </row>
    <row r="1843" spans="1:11">
      <c r="A1843" t="s">
        <v>13807</v>
      </c>
      <c r="B1843" t="s">
        <v>1742</v>
      </c>
      <c r="C1843" t="s">
        <v>9567</v>
      </c>
      <c r="D1843" t="s">
        <v>10250</v>
      </c>
      <c r="E1843" t="s">
        <v>13808</v>
      </c>
      <c r="F1843" t="s">
        <v>13809</v>
      </c>
      <c r="G1843" t="s">
        <v>19195</v>
      </c>
      <c r="H1843" t="s">
        <v>19546</v>
      </c>
      <c r="I1843" t="s">
        <v>18773</v>
      </c>
      <c r="K1843" t="str">
        <f>HYPERLINK("http://tuberculist.epfl.ch/quicksearch.php?gene+name=Rv1796&amp;submit=Search")</f>
        <v>http://tuberculist.epfl.ch/quicksearch.php?gene+name=Rv1796&amp;submit=Search</v>
      </c>
    </row>
    <row r="1844" spans="1:11">
      <c r="A1844" t="s">
        <v>13810</v>
      </c>
      <c r="B1844" t="s">
        <v>1326</v>
      </c>
      <c r="C1844" t="s">
        <v>9567</v>
      </c>
      <c r="D1844" t="s">
        <v>9578</v>
      </c>
      <c r="E1844" t="s">
        <v>13811</v>
      </c>
      <c r="F1844" t="s">
        <v>13812</v>
      </c>
      <c r="G1844" t="s">
        <v>19188</v>
      </c>
      <c r="H1844" t="s">
        <v>19757</v>
      </c>
      <c r="I1844" t="s">
        <v>18776</v>
      </c>
      <c r="K1844" t="str">
        <f>HYPERLINK("http://tuberculist.epfl.ch/quicksearch.php?gene+name=Rv1797&amp;submit=Search")</f>
        <v>http://tuberculist.epfl.ch/quicksearch.php?gene+name=Rv1797&amp;submit=Search</v>
      </c>
    </row>
    <row r="1845" spans="1:11">
      <c r="A1845" t="s">
        <v>13813</v>
      </c>
      <c r="B1845" t="s">
        <v>2991</v>
      </c>
      <c r="C1845" t="s">
        <v>9567</v>
      </c>
      <c r="D1845" t="s">
        <v>9578</v>
      </c>
      <c r="E1845" t="s">
        <v>13814</v>
      </c>
      <c r="F1845" t="s">
        <v>13815</v>
      </c>
      <c r="G1845" t="s">
        <v>19188</v>
      </c>
      <c r="H1845" t="s">
        <v>19586</v>
      </c>
      <c r="I1845" t="s">
        <v>18892</v>
      </c>
      <c r="K1845" t="str">
        <f>HYPERLINK("http://tuberculist.epfl.ch/quicksearch.php?gene+name=Rv1798&amp;submit=Search")</f>
        <v>http://tuberculist.epfl.ch/quicksearch.php?gene+name=Rv1798&amp;submit=Search</v>
      </c>
    </row>
    <row r="1846" spans="1:11">
      <c r="A1846" t="s">
        <v>13816</v>
      </c>
      <c r="B1846" t="s">
        <v>13817</v>
      </c>
      <c r="C1846" t="s">
        <v>9567</v>
      </c>
      <c r="D1846" t="s">
        <v>9587</v>
      </c>
      <c r="E1846" t="s">
        <v>13818</v>
      </c>
      <c r="F1846" t="s">
        <v>13819</v>
      </c>
      <c r="G1846" t="s">
        <v>19188</v>
      </c>
      <c r="I1846" t="s">
        <v>18779</v>
      </c>
      <c r="K1846" t="str">
        <f>HYPERLINK("http://tuberculist.epfl.ch/quicksearch.php?gene+name=Rv1799&amp;submit=Search")</f>
        <v>http://tuberculist.epfl.ch/quicksearch.php?gene+name=Rv1799&amp;submit=Search</v>
      </c>
    </row>
    <row r="1847" spans="1:11">
      <c r="A1847" t="s">
        <v>6945</v>
      </c>
      <c r="B1847" t="s">
        <v>2236</v>
      </c>
      <c r="C1847" t="s">
        <v>9567</v>
      </c>
      <c r="D1847" t="s">
        <v>9578</v>
      </c>
      <c r="E1847" t="s">
        <v>13820</v>
      </c>
      <c r="F1847" t="s">
        <v>13821</v>
      </c>
      <c r="G1847" t="s">
        <v>19262</v>
      </c>
      <c r="I1847" t="s">
        <v>18792</v>
      </c>
      <c r="K1847" t="str">
        <f>HYPERLINK("http://tuberculist.epfl.ch/quicksearch.php?gene+name=Rv1800&amp;submit=Search")</f>
        <v>http://tuberculist.epfl.ch/quicksearch.php?gene+name=Rv1800&amp;submit=Search</v>
      </c>
    </row>
    <row r="1848" spans="1:11">
      <c r="A1848" t="s">
        <v>13822</v>
      </c>
      <c r="B1848" t="s">
        <v>13823</v>
      </c>
      <c r="C1848" t="s">
        <v>9567</v>
      </c>
      <c r="D1848" t="s">
        <v>9578</v>
      </c>
      <c r="E1848" t="s">
        <v>13824</v>
      </c>
      <c r="F1848" t="s">
        <v>13825</v>
      </c>
      <c r="G1848" t="s">
        <v>19253</v>
      </c>
      <c r="I1848" t="s">
        <v>18792</v>
      </c>
      <c r="K1848" t="str">
        <f>HYPERLINK("http://tuberculist.epfl.ch/quicksearch.php?gene+name=Rv1801&amp;submit=Search")</f>
        <v>http://tuberculist.epfl.ch/quicksearch.php?gene+name=Rv1801&amp;submit=Search</v>
      </c>
    </row>
    <row r="1849" spans="1:11">
      <c r="A1849" t="s">
        <v>7853</v>
      </c>
      <c r="B1849" t="s">
        <v>2685</v>
      </c>
      <c r="C1849" t="s">
        <v>9567</v>
      </c>
      <c r="D1849" t="s">
        <v>9578</v>
      </c>
      <c r="E1849" t="s">
        <v>13826</v>
      </c>
      <c r="F1849" t="s">
        <v>13827</v>
      </c>
      <c r="G1849" t="s">
        <v>19253</v>
      </c>
      <c r="H1849" t="s">
        <v>19267</v>
      </c>
      <c r="I1849" t="s">
        <v>18793</v>
      </c>
      <c r="K1849" t="str">
        <f>HYPERLINK("http://tuberculist.epfl.ch/quicksearch.php?gene+name=Rv1802&amp;submit=Search")</f>
        <v>http://tuberculist.epfl.ch/quicksearch.php?gene+name=Rv1802&amp;submit=Search</v>
      </c>
    </row>
    <row r="1850" spans="1:11">
      <c r="A1850" t="s">
        <v>13828</v>
      </c>
      <c r="B1850" t="s">
        <v>2468</v>
      </c>
      <c r="C1850" t="s">
        <v>9567</v>
      </c>
      <c r="D1850" t="s">
        <v>9578</v>
      </c>
      <c r="E1850" t="s">
        <v>13829</v>
      </c>
      <c r="F1850" t="s">
        <v>13830</v>
      </c>
      <c r="G1850" t="s">
        <v>19262</v>
      </c>
      <c r="H1850" t="s">
        <v>19267</v>
      </c>
      <c r="I1850" t="s">
        <v>18773</v>
      </c>
      <c r="K1850" t="str">
        <f>HYPERLINK("http://tuberculist.epfl.ch/quicksearch.php?gene+name=Rv1803c&amp;submit=Search")</f>
        <v>http://tuberculist.epfl.ch/quicksearch.php?gene+name=Rv1803c&amp;submit=Search</v>
      </c>
    </row>
    <row r="1851" spans="1:11">
      <c r="A1851" t="s">
        <v>13831</v>
      </c>
      <c r="B1851" t="s">
        <v>13831</v>
      </c>
      <c r="C1851" t="s">
        <v>9567</v>
      </c>
      <c r="D1851" t="s">
        <v>9578</v>
      </c>
      <c r="E1851" t="s">
        <v>9665</v>
      </c>
      <c r="F1851" t="s">
        <v>13832</v>
      </c>
      <c r="G1851" t="s">
        <v>19212</v>
      </c>
      <c r="H1851" t="s">
        <v>19758</v>
      </c>
      <c r="I1851" t="s">
        <v>18779</v>
      </c>
      <c r="K1851" t="str">
        <f>HYPERLINK("http://tuberculist.epfl.ch/quicksearch.php?gene+name=Rv1804c&amp;submit=Search")</f>
        <v>http://tuberculist.epfl.ch/quicksearch.php?gene+name=Rv1804c&amp;submit=Search</v>
      </c>
    </row>
    <row r="1852" spans="1:11">
      <c r="A1852" t="s">
        <v>13833</v>
      </c>
      <c r="B1852" t="s">
        <v>13833</v>
      </c>
      <c r="C1852" t="s">
        <v>9567</v>
      </c>
      <c r="D1852" t="s">
        <v>9587</v>
      </c>
      <c r="E1852" t="s">
        <v>9713</v>
      </c>
      <c r="F1852" t="s">
        <v>13834</v>
      </c>
      <c r="G1852" t="s">
        <v>19212</v>
      </c>
      <c r="H1852" t="s">
        <v>19215</v>
      </c>
      <c r="I1852" t="s">
        <v>18779</v>
      </c>
      <c r="K1852" t="str">
        <f>HYPERLINK("http://tuberculist.epfl.ch/quicksearch.php?gene+name=Rv1805c&amp;submit=Search")</f>
        <v>http://tuberculist.epfl.ch/quicksearch.php?gene+name=Rv1805c&amp;submit=Search</v>
      </c>
    </row>
    <row r="1853" spans="1:11">
      <c r="A1853" t="s">
        <v>13835</v>
      </c>
      <c r="B1853" t="s">
        <v>13836</v>
      </c>
      <c r="C1853" t="s">
        <v>9567</v>
      </c>
      <c r="D1853" t="s">
        <v>9578</v>
      </c>
      <c r="E1853" t="s">
        <v>13837</v>
      </c>
      <c r="F1853" t="s">
        <v>13838</v>
      </c>
      <c r="G1853" t="s">
        <v>19262</v>
      </c>
      <c r="H1853" t="s">
        <v>19324</v>
      </c>
      <c r="I1853" t="s">
        <v>18773</v>
      </c>
      <c r="K1853" t="str">
        <f>HYPERLINK("http://tuberculist.epfl.ch/quicksearch.php?gene+name=Rv1806&amp;submit=Search")</f>
        <v>http://tuberculist.epfl.ch/quicksearch.php?gene+name=Rv1806&amp;submit=Search</v>
      </c>
    </row>
    <row r="1854" spans="1:11">
      <c r="A1854" t="s">
        <v>9437</v>
      </c>
      <c r="B1854" t="s">
        <v>438</v>
      </c>
      <c r="C1854" t="s">
        <v>9567</v>
      </c>
      <c r="D1854" t="s">
        <v>9578</v>
      </c>
      <c r="E1854" t="s">
        <v>13839</v>
      </c>
      <c r="F1854" t="s">
        <v>13840</v>
      </c>
      <c r="G1854" t="s">
        <v>19262</v>
      </c>
      <c r="H1854" t="s">
        <v>19221</v>
      </c>
      <c r="I1854" t="s">
        <v>18890</v>
      </c>
      <c r="K1854" t="str">
        <f>HYPERLINK("http://tuberculist.epfl.ch/quicksearch.php?gene+name=Rv1807&amp;submit=Search")</f>
        <v>http://tuberculist.epfl.ch/quicksearch.php?gene+name=Rv1807&amp;submit=Search</v>
      </c>
    </row>
    <row r="1855" spans="1:11">
      <c r="A1855" t="s">
        <v>7462</v>
      </c>
      <c r="B1855" t="s">
        <v>2492</v>
      </c>
      <c r="C1855" t="s">
        <v>9567</v>
      </c>
      <c r="D1855" t="s">
        <v>9578</v>
      </c>
      <c r="E1855" t="s">
        <v>13841</v>
      </c>
      <c r="F1855" t="s">
        <v>13842</v>
      </c>
      <c r="G1855" t="s">
        <v>19262</v>
      </c>
      <c r="H1855" t="s">
        <v>19233</v>
      </c>
      <c r="I1855" t="s">
        <v>18792</v>
      </c>
      <c r="K1855" t="str">
        <f>HYPERLINK("http://tuberculist.epfl.ch/quicksearch.php?gene+name=Rv1808&amp;submit=Search")</f>
        <v>http://tuberculist.epfl.ch/quicksearch.php?gene+name=Rv1808&amp;submit=Search</v>
      </c>
    </row>
    <row r="1856" spans="1:11">
      <c r="A1856" t="s">
        <v>13843</v>
      </c>
      <c r="B1856" t="s">
        <v>2469</v>
      </c>
      <c r="C1856" t="s">
        <v>9567</v>
      </c>
      <c r="D1856" t="s">
        <v>9578</v>
      </c>
      <c r="E1856" t="s">
        <v>13844</v>
      </c>
      <c r="F1856" t="s">
        <v>13845</v>
      </c>
      <c r="G1856" t="s">
        <v>19262</v>
      </c>
      <c r="H1856" t="s">
        <v>19278</v>
      </c>
      <c r="I1856" t="s">
        <v>18793</v>
      </c>
      <c r="J1856" t="s">
        <v>18832</v>
      </c>
      <c r="K1856" t="str">
        <f>HYPERLINK("http://tuberculist.epfl.ch/quicksearch.php?gene+name=Rv1809&amp;submit=Search")</f>
        <v>http://tuberculist.epfl.ch/quicksearch.php?gene+name=Rv1809&amp;submit=Search</v>
      </c>
    </row>
    <row r="1857" spans="1:11">
      <c r="A1857" t="s">
        <v>13846</v>
      </c>
      <c r="B1857" t="s">
        <v>13846</v>
      </c>
      <c r="C1857" t="s">
        <v>9567</v>
      </c>
      <c r="D1857" t="s">
        <v>9578</v>
      </c>
      <c r="E1857" t="s">
        <v>9665</v>
      </c>
      <c r="F1857" t="s">
        <v>13847</v>
      </c>
      <c r="G1857" t="s">
        <v>19212</v>
      </c>
      <c r="H1857" t="s">
        <v>19759</v>
      </c>
      <c r="I1857" t="s">
        <v>18780</v>
      </c>
      <c r="K1857" t="str">
        <f>HYPERLINK("http://tuberculist.epfl.ch/quicksearch.php?gene+name=Rv1810&amp;submit=Search")</f>
        <v>http://tuberculist.epfl.ch/quicksearch.php?gene+name=Rv1810&amp;submit=Search</v>
      </c>
    </row>
    <row r="1858" spans="1:11">
      <c r="A1858" t="s">
        <v>13848</v>
      </c>
      <c r="B1858" t="s">
        <v>2824</v>
      </c>
      <c r="C1858" t="s">
        <v>9567</v>
      </c>
      <c r="D1858" t="s">
        <v>13849</v>
      </c>
      <c r="E1858" t="s">
        <v>13850</v>
      </c>
      <c r="F1858" t="s">
        <v>13851</v>
      </c>
      <c r="G1858" t="s">
        <v>19188</v>
      </c>
      <c r="I1858" t="s">
        <v>18780</v>
      </c>
      <c r="K1858" t="str">
        <f>HYPERLINK("http://tuberculist.epfl.ch/quicksearch.php?gene+name=Rv1811&amp;submit=Search")</f>
        <v>http://tuberculist.epfl.ch/quicksearch.php?gene+name=Rv1811&amp;submit=Search</v>
      </c>
    </row>
    <row r="1859" spans="1:11">
      <c r="A1859" t="s">
        <v>172</v>
      </c>
      <c r="B1859" t="s">
        <v>172</v>
      </c>
      <c r="C1859" t="s">
        <v>9567</v>
      </c>
      <c r="D1859" t="s">
        <v>12032</v>
      </c>
      <c r="E1859" t="s">
        <v>11202</v>
      </c>
      <c r="F1859" t="s">
        <v>13852</v>
      </c>
      <c r="G1859" t="s">
        <v>19195</v>
      </c>
      <c r="H1859" t="s">
        <v>19760</v>
      </c>
      <c r="I1859" t="s">
        <v>18789</v>
      </c>
      <c r="J1859" t="s">
        <v>18799</v>
      </c>
      <c r="K1859" t="str">
        <f>HYPERLINK("http://tuberculist.epfl.ch/quicksearch.php?gene+name=Rv1812c&amp;submit=Search")</f>
        <v>http://tuberculist.epfl.ch/quicksearch.php?gene+name=Rv1812c&amp;submit=Search</v>
      </c>
    </row>
    <row r="1860" spans="1:11">
      <c r="A1860" t="s">
        <v>252</v>
      </c>
      <c r="B1860" t="s">
        <v>252</v>
      </c>
      <c r="C1860" t="s">
        <v>9567</v>
      </c>
      <c r="D1860" t="s">
        <v>9578</v>
      </c>
      <c r="E1860" t="s">
        <v>9579</v>
      </c>
      <c r="F1860" t="s">
        <v>13853</v>
      </c>
      <c r="G1860" t="s">
        <v>19204</v>
      </c>
      <c r="I1860" t="s">
        <v>18789</v>
      </c>
      <c r="J1860" t="s">
        <v>18799</v>
      </c>
      <c r="K1860" t="str">
        <f>HYPERLINK("http://tuberculist.epfl.ch/quicksearch.php?gene+name=Rv1813c&amp;submit=Search")</f>
        <v>http://tuberculist.epfl.ch/quicksearch.php?gene+name=Rv1813c&amp;submit=Search</v>
      </c>
    </row>
    <row r="1861" spans="1:11">
      <c r="A1861" t="s">
        <v>7301</v>
      </c>
      <c r="B1861" t="s">
        <v>2408</v>
      </c>
      <c r="C1861" t="s">
        <v>9567</v>
      </c>
      <c r="D1861" t="s">
        <v>13854</v>
      </c>
      <c r="E1861" t="s">
        <v>13855</v>
      </c>
      <c r="F1861" t="s">
        <v>13856</v>
      </c>
      <c r="G1861" t="s">
        <v>19219</v>
      </c>
      <c r="I1861" t="s">
        <v>18789</v>
      </c>
      <c r="K1861" t="str">
        <f>HYPERLINK("http://tuberculist.epfl.ch/quicksearch.php?gene+name=Rv1814&amp;submit=Search")</f>
        <v>http://tuberculist.epfl.ch/quicksearch.php?gene+name=Rv1814&amp;submit=Search</v>
      </c>
    </row>
    <row r="1862" spans="1:11">
      <c r="A1862" t="s">
        <v>2992</v>
      </c>
      <c r="B1862" t="s">
        <v>2992</v>
      </c>
      <c r="C1862" t="s">
        <v>9567</v>
      </c>
      <c r="D1862" t="s">
        <v>9578</v>
      </c>
      <c r="E1862" t="s">
        <v>9665</v>
      </c>
      <c r="F1862" t="s">
        <v>13857</v>
      </c>
      <c r="G1862" t="s">
        <v>19204</v>
      </c>
      <c r="H1862" t="s">
        <v>19761</v>
      </c>
      <c r="I1862" t="s">
        <v>18780</v>
      </c>
      <c r="J1862" t="s">
        <v>18857</v>
      </c>
      <c r="K1862" t="str">
        <f>HYPERLINK("http://tuberculist.epfl.ch/quicksearch.php?gene+name=Rv1815&amp;submit=Search")</f>
        <v>http://tuberculist.epfl.ch/quicksearch.php?gene+name=Rv1815&amp;submit=Search</v>
      </c>
    </row>
    <row r="1863" spans="1:11">
      <c r="A1863" t="s">
        <v>597</v>
      </c>
      <c r="B1863" t="s">
        <v>597</v>
      </c>
      <c r="C1863" t="s">
        <v>9567</v>
      </c>
      <c r="D1863" t="s">
        <v>9629</v>
      </c>
      <c r="E1863" t="s">
        <v>9633</v>
      </c>
      <c r="F1863" t="s">
        <v>13858</v>
      </c>
      <c r="G1863" t="s">
        <v>19197</v>
      </c>
      <c r="H1863" t="s">
        <v>19233</v>
      </c>
      <c r="I1863" t="s">
        <v>18789</v>
      </c>
      <c r="K1863" t="str">
        <f>HYPERLINK("http://tuberculist.epfl.ch/quicksearch.php?gene+name=Rv1816&amp;submit=Search")</f>
        <v>http://tuberculist.epfl.ch/quicksearch.php?gene+name=Rv1816&amp;submit=Search</v>
      </c>
    </row>
    <row r="1864" spans="1:11">
      <c r="A1864" t="s">
        <v>1391</v>
      </c>
      <c r="B1864" t="s">
        <v>1391</v>
      </c>
      <c r="C1864" t="s">
        <v>9567</v>
      </c>
      <c r="D1864" t="s">
        <v>12032</v>
      </c>
      <c r="E1864" t="s">
        <v>13859</v>
      </c>
      <c r="F1864" t="s">
        <v>13860</v>
      </c>
      <c r="G1864" t="s">
        <v>19195</v>
      </c>
      <c r="H1864" t="s">
        <v>19762</v>
      </c>
      <c r="I1864" t="s">
        <v>18780</v>
      </c>
      <c r="K1864" t="str">
        <f>HYPERLINK("http://tuberculist.epfl.ch/quicksearch.php?gene+name=Rv1817&amp;submit=Search")</f>
        <v>http://tuberculist.epfl.ch/quicksearch.php?gene+name=Rv1817&amp;submit=Search</v>
      </c>
    </row>
    <row r="1865" spans="1:11">
      <c r="A1865" t="s">
        <v>259</v>
      </c>
      <c r="B1865" t="s">
        <v>258</v>
      </c>
      <c r="C1865" t="s">
        <v>9567</v>
      </c>
      <c r="D1865" t="s">
        <v>13861</v>
      </c>
      <c r="E1865" t="s">
        <v>13862</v>
      </c>
      <c r="F1865" t="s">
        <v>13863</v>
      </c>
      <c r="G1865" t="s">
        <v>19553</v>
      </c>
      <c r="I1865" t="s">
        <v>18779</v>
      </c>
      <c r="K1865" t="str">
        <f>HYPERLINK("http://tuberculist.epfl.ch/quicksearch.php?gene+name=Rv1818c&amp;submit=Search")</f>
        <v>http://tuberculist.epfl.ch/quicksearch.php?gene+name=Rv1818c&amp;submit=Search</v>
      </c>
    </row>
    <row r="1866" spans="1:11">
      <c r="A1866" t="s">
        <v>13864</v>
      </c>
      <c r="B1866" t="s">
        <v>3363</v>
      </c>
      <c r="C1866" t="s">
        <v>9567</v>
      </c>
      <c r="D1866" t="s">
        <v>12573</v>
      </c>
      <c r="E1866" t="s">
        <v>13865</v>
      </c>
      <c r="F1866" t="s">
        <v>13866</v>
      </c>
      <c r="G1866" t="s">
        <v>19188</v>
      </c>
      <c r="H1866" t="s">
        <v>19763</v>
      </c>
      <c r="I1866" t="s">
        <v>18993</v>
      </c>
      <c r="K1866" t="str">
        <f>HYPERLINK("http://tuberculist.epfl.ch/quicksearch.php?gene+name=Rv1819c&amp;submit=Search")</f>
        <v>http://tuberculist.epfl.ch/quicksearch.php?gene+name=Rv1819c&amp;submit=Search</v>
      </c>
    </row>
    <row r="1867" spans="1:11">
      <c r="A1867" t="s">
        <v>5540</v>
      </c>
      <c r="B1867" t="s">
        <v>1533</v>
      </c>
      <c r="C1867" t="s">
        <v>9567</v>
      </c>
      <c r="D1867" t="s">
        <v>13867</v>
      </c>
      <c r="E1867" t="s">
        <v>13868</v>
      </c>
      <c r="F1867" t="s">
        <v>13869</v>
      </c>
      <c r="G1867" t="s">
        <v>19195</v>
      </c>
      <c r="H1867" t="s">
        <v>19764</v>
      </c>
      <c r="I1867" t="s">
        <v>18789</v>
      </c>
      <c r="K1867" t="str">
        <f>HYPERLINK("http://tuberculist.epfl.ch/quicksearch.php?gene+name=Rv1820&amp;submit=Search")</f>
        <v>http://tuberculist.epfl.ch/quicksearch.php?gene+name=Rv1820&amp;submit=Search</v>
      </c>
    </row>
    <row r="1868" spans="1:11">
      <c r="A1868" t="s">
        <v>6467</v>
      </c>
      <c r="B1868" t="s">
        <v>1983</v>
      </c>
      <c r="C1868" t="s">
        <v>9567</v>
      </c>
      <c r="D1868" t="s">
        <v>13870</v>
      </c>
      <c r="E1868" t="s">
        <v>13871</v>
      </c>
      <c r="F1868" t="s">
        <v>13872</v>
      </c>
      <c r="G1868" t="s">
        <v>19188</v>
      </c>
      <c r="H1868" t="s">
        <v>19765</v>
      </c>
      <c r="I1868" t="s">
        <v>18994</v>
      </c>
      <c r="K1868" t="str">
        <f>HYPERLINK("http://tuberculist.epfl.ch/quicksearch.php?gene+name=Rv1821&amp;submit=Search")</f>
        <v>http://tuberculist.epfl.ch/quicksearch.php?gene+name=Rv1821&amp;submit=Search</v>
      </c>
    </row>
    <row r="1869" spans="1:11">
      <c r="A1869" t="s">
        <v>3443</v>
      </c>
      <c r="B1869" t="s">
        <v>478</v>
      </c>
      <c r="C1869" t="s">
        <v>9567</v>
      </c>
      <c r="D1869" t="s">
        <v>13873</v>
      </c>
      <c r="E1869" t="s">
        <v>13874</v>
      </c>
      <c r="F1869" t="s">
        <v>13875</v>
      </c>
      <c r="G1869" t="s">
        <v>19219</v>
      </c>
      <c r="H1869" t="s">
        <v>19233</v>
      </c>
      <c r="I1869" t="s">
        <v>18776</v>
      </c>
      <c r="K1869" t="str">
        <f>HYPERLINK("http://tuberculist.epfl.ch/quicksearch.php?gene+name=Rv1822&amp;submit=Search")</f>
        <v>http://tuberculist.epfl.ch/quicksearch.php?gene+name=Rv1822&amp;submit=Search</v>
      </c>
    </row>
    <row r="1870" spans="1:11">
      <c r="A1870" t="s">
        <v>1098</v>
      </c>
      <c r="B1870" t="s">
        <v>1098</v>
      </c>
      <c r="C1870" t="s">
        <v>9567</v>
      </c>
      <c r="D1870" t="s">
        <v>9578</v>
      </c>
      <c r="E1870" t="s">
        <v>9665</v>
      </c>
      <c r="F1870" t="s">
        <v>13876</v>
      </c>
      <c r="G1870" t="s">
        <v>19210</v>
      </c>
      <c r="H1870" t="s">
        <v>19252</v>
      </c>
      <c r="I1870" t="s">
        <v>18780</v>
      </c>
      <c r="K1870" t="str">
        <f>HYPERLINK("http://tuberculist.epfl.ch/quicksearch.php?gene+name=Rv1823&amp;submit=Search")</f>
        <v>http://tuberculist.epfl.ch/quicksearch.php?gene+name=Rv1823&amp;submit=Search</v>
      </c>
    </row>
    <row r="1871" spans="1:11">
      <c r="A1871" t="s">
        <v>13877</v>
      </c>
      <c r="B1871" t="s">
        <v>13877</v>
      </c>
      <c r="C1871" t="s">
        <v>9567</v>
      </c>
      <c r="D1871" t="s">
        <v>9587</v>
      </c>
      <c r="E1871" t="s">
        <v>12258</v>
      </c>
      <c r="F1871" t="s">
        <v>13878</v>
      </c>
      <c r="G1871" t="s">
        <v>19188</v>
      </c>
      <c r="I1871" t="s">
        <v>18859</v>
      </c>
      <c r="K1871" t="str">
        <f>HYPERLINK("http://tuberculist.epfl.ch/quicksearch.php?gene+name=Rv1824&amp;submit=Search")</f>
        <v>http://tuberculist.epfl.ch/quicksearch.php?gene+name=Rv1824&amp;submit=Search</v>
      </c>
    </row>
    <row r="1872" spans="1:11">
      <c r="A1872" t="s">
        <v>936</v>
      </c>
      <c r="B1872" t="s">
        <v>936</v>
      </c>
      <c r="C1872" t="s">
        <v>9567</v>
      </c>
      <c r="D1872" t="s">
        <v>9578</v>
      </c>
      <c r="E1872" t="s">
        <v>9665</v>
      </c>
      <c r="F1872" t="s">
        <v>13879</v>
      </c>
      <c r="G1872" t="s">
        <v>19204</v>
      </c>
      <c r="H1872" t="s">
        <v>19766</v>
      </c>
      <c r="I1872" t="s">
        <v>18789</v>
      </c>
      <c r="K1872" t="str">
        <f>HYPERLINK("http://tuberculist.epfl.ch/quicksearch.php?gene+name=Rv1825&amp;submit=Search")</f>
        <v>http://tuberculist.epfl.ch/quicksearch.php?gene+name=Rv1825&amp;submit=Search</v>
      </c>
    </row>
    <row r="1873" spans="1:11">
      <c r="A1873" t="s">
        <v>4640</v>
      </c>
      <c r="B1873" t="s">
        <v>1078</v>
      </c>
      <c r="C1873" t="s">
        <v>9567</v>
      </c>
      <c r="D1873" t="s">
        <v>13880</v>
      </c>
      <c r="E1873" t="s">
        <v>13881</v>
      </c>
      <c r="F1873" t="s">
        <v>13882</v>
      </c>
      <c r="G1873" t="s">
        <v>19195</v>
      </c>
      <c r="H1873" t="s">
        <v>19214</v>
      </c>
      <c r="I1873" t="s">
        <v>18788</v>
      </c>
      <c r="K1873" t="str">
        <f>HYPERLINK("http://tuberculist.epfl.ch/quicksearch.php?gene+name=Rv1826&amp;submit=Search")</f>
        <v>http://tuberculist.epfl.ch/quicksearch.php?gene+name=Rv1826&amp;submit=Search</v>
      </c>
    </row>
    <row r="1874" spans="1:11">
      <c r="A1874" t="s">
        <v>13883</v>
      </c>
      <c r="B1874" t="s">
        <v>2488</v>
      </c>
      <c r="C1874" t="s">
        <v>9567</v>
      </c>
      <c r="D1874" t="s">
        <v>9578</v>
      </c>
      <c r="E1874" t="s">
        <v>13884</v>
      </c>
      <c r="F1874" t="s">
        <v>13885</v>
      </c>
      <c r="G1874" t="s">
        <v>19208</v>
      </c>
      <c r="H1874" t="s">
        <v>19767</v>
      </c>
      <c r="I1874" t="s">
        <v>18776</v>
      </c>
      <c r="K1874" t="str">
        <f>HYPERLINK("http://tuberculist.epfl.ch/quicksearch.php?gene+name=Rv1827&amp;submit=Search")</f>
        <v>http://tuberculist.epfl.ch/quicksearch.php?gene+name=Rv1827&amp;submit=Search</v>
      </c>
    </row>
    <row r="1875" spans="1:11">
      <c r="A1875" t="s">
        <v>875</v>
      </c>
      <c r="B1875" t="s">
        <v>875</v>
      </c>
      <c r="C1875" t="s">
        <v>9567</v>
      </c>
      <c r="D1875" t="s">
        <v>9578</v>
      </c>
      <c r="E1875" t="s">
        <v>9665</v>
      </c>
      <c r="F1875" t="s">
        <v>13886</v>
      </c>
      <c r="G1875" t="s">
        <v>19210</v>
      </c>
      <c r="H1875" t="s">
        <v>19443</v>
      </c>
      <c r="I1875" t="s">
        <v>18774</v>
      </c>
      <c r="K1875" t="str">
        <f>HYPERLINK("http://tuberculist.epfl.ch/quicksearch.php?gene+name=Rv1828&amp;submit=Search")</f>
        <v>http://tuberculist.epfl.ch/quicksearch.php?gene+name=Rv1828&amp;submit=Search</v>
      </c>
    </row>
    <row r="1876" spans="1:11">
      <c r="A1876" t="s">
        <v>939</v>
      </c>
      <c r="B1876" t="s">
        <v>939</v>
      </c>
      <c r="C1876" t="s">
        <v>9567</v>
      </c>
      <c r="D1876" t="s">
        <v>9578</v>
      </c>
      <c r="E1876" t="s">
        <v>9665</v>
      </c>
      <c r="F1876" t="s">
        <v>13887</v>
      </c>
      <c r="G1876" t="s">
        <v>19204</v>
      </c>
      <c r="H1876" t="s">
        <v>19196</v>
      </c>
      <c r="I1876" t="s">
        <v>18780</v>
      </c>
      <c r="J1876" t="s">
        <v>18775</v>
      </c>
      <c r="K1876" t="str">
        <f>HYPERLINK("http://tuberculist.epfl.ch/quicksearch.php?gene+name=Rv1829&amp;submit=Search")</f>
        <v>http://tuberculist.epfl.ch/quicksearch.php?gene+name=Rv1829&amp;submit=Search</v>
      </c>
    </row>
    <row r="1877" spans="1:11">
      <c r="A1877" t="s">
        <v>1924</v>
      </c>
      <c r="B1877" t="s">
        <v>1924</v>
      </c>
      <c r="C1877" t="s">
        <v>9567</v>
      </c>
      <c r="D1877" t="s">
        <v>9578</v>
      </c>
      <c r="E1877" t="s">
        <v>9579</v>
      </c>
      <c r="F1877" t="s">
        <v>13888</v>
      </c>
      <c r="G1877" t="s">
        <v>19210</v>
      </c>
      <c r="I1877" t="s">
        <v>18788</v>
      </c>
      <c r="K1877" t="str">
        <f>HYPERLINK("http://tuberculist.epfl.ch/quicksearch.php?gene+name=Rv1830&amp;submit=Search")</f>
        <v>http://tuberculist.epfl.ch/quicksearch.php?gene+name=Rv1830&amp;submit=Search</v>
      </c>
    </row>
    <row r="1878" spans="1:11">
      <c r="A1878" t="s">
        <v>435</v>
      </c>
      <c r="B1878" t="s">
        <v>435</v>
      </c>
      <c r="C1878" t="s">
        <v>9567</v>
      </c>
      <c r="D1878" t="s">
        <v>9587</v>
      </c>
      <c r="E1878" t="s">
        <v>9713</v>
      </c>
      <c r="F1878" t="s">
        <v>13889</v>
      </c>
      <c r="G1878" t="s">
        <v>19204</v>
      </c>
      <c r="I1878" t="s">
        <v>18780</v>
      </c>
      <c r="K1878" t="str">
        <f>HYPERLINK("http://tuberculist.epfl.ch/quicksearch.php?gene+name=Rv1831&amp;submit=Search")</f>
        <v>http://tuberculist.epfl.ch/quicksearch.php?gene+name=Rv1831&amp;submit=Search</v>
      </c>
    </row>
    <row r="1879" spans="1:11">
      <c r="A1879" t="s">
        <v>6978</v>
      </c>
      <c r="B1879" t="s">
        <v>2249</v>
      </c>
      <c r="C1879" t="s">
        <v>9567</v>
      </c>
      <c r="D1879" t="s">
        <v>13890</v>
      </c>
      <c r="E1879" t="s">
        <v>13891</v>
      </c>
      <c r="F1879" t="s">
        <v>13892</v>
      </c>
      <c r="G1879" t="s">
        <v>19195</v>
      </c>
      <c r="H1879" t="s">
        <v>19768</v>
      </c>
      <c r="I1879" t="s">
        <v>18774</v>
      </c>
      <c r="K1879" t="str">
        <f>HYPERLINK("http://tuberculist.epfl.ch/quicksearch.php?gene+name=Rv1832&amp;submit=Search")</f>
        <v>http://tuberculist.epfl.ch/quicksearch.php?gene+name=Rv1832&amp;submit=Search</v>
      </c>
    </row>
    <row r="1880" spans="1:11">
      <c r="A1880" t="s">
        <v>535</v>
      </c>
      <c r="B1880" t="s">
        <v>535</v>
      </c>
      <c r="C1880" t="s">
        <v>9567</v>
      </c>
      <c r="D1880" t="s">
        <v>13893</v>
      </c>
      <c r="E1880" t="s">
        <v>13894</v>
      </c>
      <c r="F1880" t="s">
        <v>13895</v>
      </c>
      <c r="G1880" t="s">
        <v>19195</v>
      </c>
      <c r="H1880" t="s">
        <v>19769</v>
      </c>
      <c r="I1880" t="s">
        <v>18780</v>
      </c>
      <c r="K1880" t="str">
        <f>HYPERLINK("http://tuberculist.epfl.ch/quicksearch.php?gene+name=Rv1833c&amp;submit=Search")</f>
        <v>http://tuberculist.epfl.ch/quicksearch.php?gene+name=Rv1833c&amp;submit=Search</v>
      </c>
    </row>
    <row r="1881" spans="1:11">
      <c r="A1881" t="s">
        <v>13896</v>
      </c>
      <c r="B1881" t="s">
        <v>2321</v>
      </c>
      <c r="C1881" t="s">
        <v>9567</v>
      </c>
      <c r="D1881" t="s">
        <v>9587</v>
      </c>
      <c r="E1881" t="s">
        <v>12722</v>
      </c>
      <c r="F1881" t="s">
        <v>13897</v>
      </c>
      <c r="G1881" t="s">
        <v>19195</v>
      </c>
      <c r="I1881" t="s">
        <v>18789</v>
      </c>
      <c r="K1881" t="str">
        <f>HYPERLINK("http://tuberculist.epfl.ch/quicksearch.php?gene+name=Rv1834&amp;submit=Search")</f>
        <v>http://tuberculist.epfl.ch/quicksearch.php?gene+name=Rv1834&amp;submit=Search</v>
      </c>
    </row>
    <row r="1882" spans="1:11">
      <c r="A1882" t="s">
        <v>2453</v>
      </c>
      <c r="B1882" t="s">
        <v>2453</v>
      </c>
      <c r="C1882" t="s">
        <v>9567</v>
      </c>
      <c r="D1882" t="s">
        <v>9578</v>
      </c>
      <c r="E1882" t="s">
        <v>9579</v>
      </c>
      <c r="F1882" t="s">
        <v>13898</v>
      </c>
      <c r="G1882" t="s">
        <v>19204</v>
      </c>
      <c r="H1882" t="s">
        <v>19207</v>
      </c>
      <c r="I1882" t="s">
        <v>18780</v>
      </c>
      <c r="K1882" t="str">
        <f>HYPERLINK("http://tuberculist.epfl.ch/quicksearch.php?gene+name=Rv1835c&amp;submit=Search")</f>
        <v>http://tuberculist.epfl.ch/quicksearch.php?gene+name=Rv1835c&amp;submit=Search</v>
      </c>
    </row>
    <row r="1883" spans="1:11">
      <c r="A1883" t="s">
        <v>2434</v>
      </c>
      <c r="B1883" t="s">
        <v>2434</v>
      </c>
      <c r="C1883" t="s">
        <v>9567</v>
      </c>
      <c r="D1883" t="s">
        <v>9578</v>
      </c>
      <c r="E1883" t="s">
        <v>9665</v>
      </c>
      <c r="F1883" t="s">
        <v>13899</v>
      </c>
      <c r="G1883" t="s">
        <v>19210</v>
      </c>
      <c r="H1883" t="s">
        <v>19770</v>
      </c>
      <c r="I1883" t="s">
        <v>18776</v>
      </c>
      <c r="K1883" t="str">
        <f>HYPERLINK("http://tuberculist.epfl.ch/quicksearch.php?gene+name=Rv1836c&amp;submit=Search")</f>
        <v>http://tuberculist.epfl.ch/quicksearch.php?gene+name=Rv1836c&amp;submit=Search</v>
      </c>
    </row>
    <row r="1884" spans="1:11">
      <c r="A1884" t="s">
        <v>6787</v>
      </c>
      <c r="B1884" t="s">
        <v>2156</v>
      </c>
      <c r="C1884" t="s">
        <v>9567</v>
      </c>
      <c r="D1884" t="s">
        <v>13900</v>
      </c>
      <c r="E1884" t="s">
        <v>13901</v>
      </c>
      <c r="F1884" t="s">
        <v>13902</v>
      </c>
      <c r="G1884" t="s">
        <v>19195</v>
      </c>
      <c r="H1884" t="s">
        <v>19771</v>
      </c>
      <c r="I1884" t="s">
        <v>18788</v>
      </c>
      <c r="K1884" t="str">
        <f>HYPERLINK("http://tuberculist.epfl.ch/quicksearch.php?gene+name=Rv1837c&amp;submit=Search")</f>
        <v>http://tuberculist.epfl.ch/quicksearch.php?gene+name=Rv1837c&amp;submit=Search</v>
      </c>
    </row>
    <row r="1885" spans="1:11">
      <c r="A1885" t="s">
        <v>13903</v>
      </c>
      <c r="B1885" t="s">
        <v>2108</v>
      </c>
      <c r="C1885" t="s">
        <v>9567</v>
      </c>
      <c r="D1885" t="s">
        <v>9587</v>
      </c>
      <c r="E1885" t="s">
        <v>13904</v>
      </c>
      <c r="F1885" t="s">
        <v>13905</v>
      </c>
      <c r="G1885" t="s">
        <v>19206</v>
      </c>
      <c r="I1885" t="s">
        <v>18780</v>
      </c>
      <c r="K1885" t="str">
        <f>HYPERLINK("http://tuberculist.epfl.ch/quicksearch.php?gene+name=Rv1838c&amp;submit=Search")</f>
        <v>http://tuberculist.epfl.ch/quicksearch.php?gene+name=Rv1838c&amp;submit=Search</v>
      </c>
    </row>
    <row r="1886" spans="1:11">
      <c r="A1886" t="s">
        <v>13906</v>
      </c>
      <c r="B1886" t="s">
        <v>3207</v>
      </c>
      <c r="C1886" t="s">
        <v>9567</v>
      </c>
      <c r="D1886" t="s">
        <v>9587</v>
      </c>
      <c r="E1886" t="s">
        <v>13907</v>
      </c>
      <c r="F1886" t="s">
        <v>13908</v>
      </c>
      <c r="G1886" t="s">
        <v>19206</v>
      </c>
      <c r="I1886" t="s">
        <v>18780</v>
      </c>
      <c r="K1886" t="str">
        <f>HYPERLINK("http://tuberculist.epfl.ch/quicksearch.php?gene+name=Rv1839c&amp;submit=Search")</f>
        <v>http://tuberculist.epfl.ch/quicksearch.php?gene+name=Rv1839c&amp;submit=Search</v>
      </c>
    </row>
    <row r="1887" spans="1:11">
      <c r="A1887" t="s">
        <v>13909</v>
      </c>
      <c r="B1887" t="s">
        <v>13910</v>
      </c>
      <c r="C1887" t="s">
        <v>9567</v>
      </c>
      <c r="D1887" t="s">
        <v>9578</v>
      </c>
      <c r="E1887" t="s">
        <v>13911</v>
      </c>
      <c r="F1887" t="s">
        <v>13912</v>
      </c>
      <c r="G1887" t="s">
        <v>19253</v>
      </c>
      <c r="I1887" t="s">
        <v>18779</v>
      </c>
      <c r="K1887" t="str">
        <f>HYPERLINK("http://tuberculist.epfl.ch/quicksearch.php?gene+name=Rv1840c&amp;submit=Search")</f>
        <v>http://tuberculist.epfl.ch/quicksearch.php?gene+name=Rv1840c&amp;submit=Search</v>
      </c>
    </row>
    <row r="1888" spans="1:11">
      <c r="A1888" t="s">
        <v>1487</v>
      </c>
      <c r="B1888" t="s">
        <v>1487</v>
      </c>
      <c r="C1888" t="s">
        <v>9567</v>
      </c>
      <c r="D1888" t="s">
        <v>9587</v>
      </c>
      <c r="E1888" t="s">
        <v>12258</v>
      </c>
      <c r="F1888" t="s">
        <v>13913</v>
      </c>
      <c r="G1888" t="s">
        <v>19188</v>
      </c>
      <c r="I1888" t="s">
        <v>18779</v>
      </c>
      <c r="K1888" t="str">
        <f>HYPERLINK("http://tuberculist.epfl.ch/quicksearch.php?gene+name=Rv1841c&amp;submit=Search")</f>
        <v>http://tuberculist.epfl.ch/quicksearch.php?gene+name=Rv1841c&amp;submit=Search</v>
      </c>
    </row>
    <row r="1889" spans="1:11">
      <c r="A1889" t="s">
        <v>2857</v>
      </c>
      <c r="B1889" t="s">
        <v>2857</v>
      </c>
      <c r="C1889" t="s">
        <v>9567</v>
      </c>
      <c r="D1889" t="s">
        <v>9587</v>
      </c>
      <c r="E1889" t="s">
        <v>12258</v>
      </c>
      <c r="F1889" t="s">
        <v>13914</v>
      </c>
      <c r="G1889" t="s">
        <v>19188</v>
      </c>
      <c r="I1889" t="s">
        <v>18789</v>
      </c>
      <c r="K1889" t="str">
        <f>HYPERLINK("http://tuberculist.epfl.ch/quicksearch.php?gene+name=Rv1842c&amp;submit=Search")</f>
        <v>http://tuberculist.epfl.ch/quicksearch.php?gene+name=Rv1842c&amp;submit=Search</v>
      </c>
    </row>
    <row r="1890" spans="1:11">
      <c r="A1890" t="s">
        <v>4479</v>
      </c>
      <c r="B1890" t="s">
        <v>1003</v>
      </c>
      <c r="C1890" t="s">
        <v>9567</v>
      </c>
      <c r="D1890" t="s">
        <v>13915</v>
      </c>
      <c r="E1890" t="s">
        <v>13916</v>
      </c>
      <c r="F1890" t="s">
        <v>13917</v>
      </c>
      <c r="G1890" t="s">
        <v>19195</v>
      </c>
      <c r="H1890" t="s">
        <v>19772</v>
      </c>
      <c r="I1890" t="s">
        <v>18780</v>
      </c>
      <c r="J1890" t="s">
        <v>18839</v>
      </c>
      <c r="K1890" t="str">
        <f>HYPERLINK("http://tuberculist.epfl.ch/quicksearch.php?gene+name=Rv1843c&amp;submit=Search")</f>
        <v>http://tuberculist.epfl.ch/quicksearch.php?gene+name=Rv1843c&amp;submit=Search</v>
      </c>
    </row>
    <row r="1891" spans="1:11">
      <c r="A1891" t="s">
        <v>8159</v>
      </c>
      <c r="B1891" t="s">
        <v>2833</v>
      </c>
      <c r="C1891" t="s">
        <v>9567</v>
      </c>
      <c r="D1891" t="s">
        <v>13918</v>
      </c>
      <c r="E1891" t="s">
        <v>13919</v>
      </c>
      <c r="F1891" t="s">
        <v>13920</v>
      </c>
      <c r="G1891" t="s">
        <v>19195</v>
      </c>
      <c r="H1891" t="s">
        <v>19267</v>
      </c>
      <c r="I1891" t="s">
        <v>18789</v>
      </c>
      <c r="K1891" t="str">
        <f>HYPERLINK("http://tuberculist.epfl.ch/quicksearch.php?gene+name=Rv1844c&amp;submit=Search")</f>
        <v>http://tuberculist.epfl.ch/quicksearch.php?gene+name=Rv1844c&amp;submit=Search</v>
      </c>
    </row>
    <row r="1892" spans="1:11">
      <c r="A1892" t="s">
        <v>13921</v>
      </c>
      <c r="B1892" t="s">
        <v>598</v>
      </c>
      <c r="C1892" t="s">
        <v>9567</v>
      </c>
      <c r="D1892" t="s">
        <v>9969</v>
      </c>
      <c r="E1892" t="s">
        <v>13922</v>
      </c>
      <c r="F1892" t="s">
        <v>13923</v>
      </c>
      <c r="G1892" t="s">
        <v>19188</v>
      </c>
      <c r="H1892" t="s">
        <v>19773</v>
      </c>
      <c r="I1892" t="s">
        <v>18995</v>
      </c>
      <c r="J1892" t="s">
        <v>18958</v>
      </c>
      <c r="K1892" t="str">
        <f>HYPERLINK("http://tuberculist.epfl.ch/quicksearch.php?gene+name=Rv1845c&amp;submit=Search")</f>
        <v>http://tuberculist.epfl.ch/quicksearch.php?gene+name=Rv1845c&amp;submit=Search</v>
      </c>
    </row>
    <row r="1893" spans="1:11">
      <c r="A1893" t="s">
        <v>13924</v>
      </c>
      <c r="B1893" t="s">
        <v>1790</v>
      </c>
      <c r="C1893" t="s">
        <v>9567</v>
      </c>
      <c r="D1893" t="s">
        <v>9969</v>
      </c>
      <c r="E1893" t="s">
        <v>13925</v>
      </c>
      <c r="F1893" t="s">
        <v>13926</v>
      </c>
      <c r="G1893" t="s">
        <v>19197</v>
      </c>
      <c r="H1893" t="s">
        <v>19213</v>
      </c>
      <c r="I1893" t="s">
        <v>18780</v>
      </c>
      <c r="J1893" t="s">
        <v>18996</v>
      </c>
      <c r="K1893" t="str">
        <f>HYPERLINK("http://tuberculist.epfl.ch/quicksearch.php?gene+name=Rv1846c&amp;submit=Search")</f>
        <v>http://tuberculist.epfl.ch/quicksearch.php?gene+name=Rv1846c&amp;submit=Search</v>
      </c>
    </row>
    <row r="1894" spans="1:11">
      <c r="A1894" t="s">
        <v>599</v>
      </c>
      <c r="B1894" t="s">
        <v>599</v>
      </c>
      <c r="C1894" t="s">
        <v>9567</v>
      </c>
      <c r="D1894" t="s">
        <v>9578</v>
      </c>
      <c r="E1894" t="s">
        <v>9665</v>
      </c>
      <c r="F1894" t="s">
        <v>13927</v>
      </c>
      <c r="G1894" t="s">
        <v>19204</v>
      </c>
      <c r="H1894" t="s">
        <v>19233</v>
      </c>
      <c r="I1894" t="s">
        <v>18780</v>
      </c>
      <c r="J1894" t="s">
        <v>18996</v>
      </c>
      <c r="K1894" t="str">
        <f>HYPERLINK("http://tuberculist.epfl.ch/quicksearch.php?gene+name=Rv1847&amp;submit=Search")</f>
        <v>http://tuberculist.epfl.ch/quicksearch.php?gene+name=Rv1847&amp;submit=Search</v>
      </c>
    </row>
    <row r="1895" spans="1:11">
      <c r="A1895" t="s">
        <v>13928</v>
      </c>
      <c r="B1895" t="s">
        <v>13929</v>
      </c>
      <c r="C1895" t="s">
        <v>9567</v>
      </c>
      <c r="D1895" t="s">
        <v>13930</v>
      </c>
      <c r="E1895" t="s">
        <v>13931</v>
      </c>
      <c r="F1895" t="s">
        <v>13932</v>
      </c>
      <c r="G1895" t="s">
        <v>19195</v>
      </c>
      <c r="H1895" t="s">
        <v>19287</v>
      </c>
      <c r="I1895" t="s">
        <v>18780</v>
      </c>
      <c r="K1895" t="str">
        <f>HYPERLINK("http://tuberculist.epfl.ch/quicksearch.php?gene+name=Rv1848&amp;submit=Search")</f>
        <v>http://tuberculist.epfl.ch/quicksearch.php?gene+name=Rv1848&amp;submit=Search</v>
      </c>
    </row>
    <row r="1896" spans="1:11">
      <c r="A1896" t="s">
        <v>13933</v>
      </c>
      <c r="B1896" t="s">
        <v>13934</v>
      </c>
      <c r="C1896" t="s">
        <v>9567</v>
      </c>
      <c r="D1896" t="s">
        <v>13930</v>
      </c>
      <c r="E1896" t="s">
        <v>13935</v>
      </c>
      <c r="F1896" t="s">
        <v>13936</v>
      </c>
      <c r="G1896" t="s">
        <v>19195</v>
      </c>
      <c r="H1896" t="s">
        <v>19213</v>
      </c>
      <c r="I1896" t="s">
        <v>18777</v>
      </c>
      <c r="K1896" t="str">
        <f>HYPERLINK("http://tuberculist.epfl.ch/quicksearch.php?gene+name=Rv1849&amp;submit=Search")</f>
        <v>http://tuberculist.epfl.ch/quicksearch.php?gene+name=Rv1849&amp;submit=Search</v>
      </c>
    </row>
    <row r="1897" spans="1:11">
      <c r="A1897" t="s">
        <v>8252</v>
      </c>
      <c r="B1897" t="s">
        <v>2881</v>
      </c>
      <c r="C1897" t="s">
        <v>9567</v>
      </c>
      <c r="D1897" t="s">
        <v>13930</v>
      </c>
      <c r="E1897" t="s">
        <v>13937</v>
      </c>
      <c r="F1897" t="s">
        <v>13938</v>
      </c>
      <c r="G1897" t="s">
        <v>19195</v>
      </c>
      <c r="H1897" t="s">
        <v>19229</v>
      </c>
      <c r="I1897" t="s">
        <v>18801</v>
      </c>
      <c r="K1897" t="str">
        <f>HYPERLINK("http://tuberculist.epfl.ch/quicksearch.php?gene+name=Rv1850&amp;submit=Search")</f>
        <v>http://tuberculist.epfl.ch/quicksearch.php?gene+name=Rv1850&amp;submit=Search</v>
      </c>
    </row>
    <row r="1898" spans="1:11">
      <c r="A1898" t="s">
        <v>13939</v>
      </c>
      <c r="B1898" t="s">
        <v>13940</v>
      </c>
      <c r="C1898" t="s">
        <v>9567</v>
      </c>
      <c r="D1898" t="s">
        <v>13941</v>
      </c>
      <c r="E1898" t="s">
        <v>13942</v>
      </c>
      <c r="F1898" t="s">
        <v>13943</v>
      </c>
      <c r="G1898" t="s">
        <v>19195</v>
      </c>
      <c r="I1898" t="s">
        <v>18773</v>
      </c>
      <c r="K1898" t="str">
        <f>HYPERLINK("http://tuberculist.epfl.ch/quicksearch.php?gene+name=Rv1851&amp;submit=Search")</f>
        <v>http://tuberculist.epfl.ch/quicksearch.php?gene+name=Rv1851&amp;submit=Search</v>
      </c>
    </row>
    <row r="1899" spans="1:11">
      <c r="A1899" t="s">
        <v>7857</v>
      </c>
      <c r="B1899" t="s">
        <v>2688</v>
      </c>
      <c r="C1899" t="s">
        <v>9567</v>
      </c>
      <c r="D1899" t="s">
        <v>13941</v>
      </c>
      <c r="E1899" t="s">
        <v>13944</v>
      </c>
      <c r="F1899" t="s">
        <v>13945</v>
      </c>
      <c r="G1899" t="s">
        <v>19195</v>
      </c>
      <c r="H1899" t="s">
        <v>19192</v>
      </c>
      <c r="I1899" t="s">
        <v>18780</v>
      </c>
      <c r="K1899" t="str">
        <f>HYPERLINK("http://tuberculist.epfl.ch/quicksearch.php?gene+name=Rv1852&amp;submit=Search")</f>
        <v>http://tuberculist.epfl.ch/quicksearch.php?gene+name=Rv1852&amp;submit=Search</v>
      </c>
    </row>
    <row r="1900" spans="1:11">
      <c r="A1900" t="s">
        <v>4750</v>
      </c>
      <c r="B1900" t="s">
        <v>1134</v>
      </c>
      <c r="C1900" t="s">
        <v>9567</v>
      </c>
      <c r="D1900" t="s">
        <v>13941</v>
      </c>
      <c r="E1900" t="s">
        <v>13946</v>
      </c>
      <c r="F1900" t="s">
        <v>13947</v>
      </c>
      <c r="G1900" t="s">
        <v>19195</v>
      </c>
      <c r="I1900" t="s">
        <v>18789</v>
      </c>
      <c r="K1900" t="str">
        <f>HYPERLINK("http://tuberculist.epfl.ch/quicksearch.php?gene+name=Rv1853&amp;submit=Search")</f>
        <v>http://tuberculist.epfl.ch/quicksearch.php?gene+name=Rv1853&amp;submit=Search</v>
      </c>
    </row>
    <row r="1901" spans="1:11">
      <c r="A1901" t="s">
        <v>6358</v>
      </c>
      <c r="B1901" t="s">
        <v>1925</v>
      </c>
      <c r="C1901" t="s">
        <v>9567</v>
      </c>
      <c r="D1901" t="s">
        <v>13948</v>
      </c>
      <c r="E1901" t="s">
        <v>13949</v>
      </c>
      <c r="F1901" t="s">
        <v>13950</v>
      </c>
      <c r="G1901" t="s">
        <v>19195</v>
      </c>
      <c r="H1901" t="s">
        <v>19774</v>
      </c>
      <c r="I1901" t="s">
        <v>18776</v>
      </c>
      <c r="K1901" t="str">
        <f>HYPERLINK("http://tuberculist.epfl.ch/quicksearch.php?gene+name=Rv1854c&amp;submit=Search")</f>
        <v>http://tuberculist.epfl.ch/quicksearch.php?gene+name=Rv1854c&amp;submit=Search</v>
      </c>
    </row>
    <row r="1902" spans="1:11">
      <c r="A1902" t="s">
        <v>2013</v>
      </c>
      <c r="B1902" t="s">
        <v>2013</v>
      </c>
      <c r="C1902" t="s">
        <v>9567</v>
      </c>
      <c r="D1902" t="s">
        <v>12032</v>
      </c>
      <c r="E1902" t="s">
        <v>9683</v>
      </c>
      <c r="F1902" t="s">
        <v>13951</v>
      </c>
      <c r="G1902" t="s">
        <v>19195</v>
      </c>
      <c r="H1902" t="s">
        <v>19225</v>
      </c>
      <c r="I1902" t="s">
        <v>18780</v>
      </c>
      <c r="K1902" t="str">
        <f>HYPERLINK("http://tuberculist.epfl.ch/quicksearch.php?gene+name=Rv1855c&amp;submit=Search")</f>
        <v>http://tuberculist.epfl.ch/quicksearch.php?gene+name=Rv1855c&amp;submit=Search</v>
      </c>
    </row>
    <row r="1903" spans="1:11">
      <c r="A1903" t="s">
        <v>3187</v>
      </c>
      <c r="B1903" t="s">
        <v>3187</v>
      </c>
      <c r="C1903" t="s">
        <v>9567</v>
      </c>
      <c r="D1903" t="s">
        <v>9682</v>
      </c>
      <c r="E1903" t="s">
        <v>9683</v>
      </c>
      <c r="F1903" t="s">
        <v>13952</v>
      </c>
      <c r="G1903" t="s">
        <v>19195</v>
      </c>
      <c r="H1903" t="s">
        <v>19775</v>
      </c>
      <c r="I1903" t="s">
        <v>18780</v>
      </c>
      <c r="K1903" t="str">
        <f>HYPERLINK("http://tuberculist.epfl.ch/quicksearch.php?gene+name=Rv1856c&amp;submit=Search")</f>
        <v>http://tuberculist.epfl.ch/quicksearch.php?gene+name=Rv1856c&amp;submit=Search</v>
      </c>
    </row>
    <row r="1904" spans="1:11">
      <c r="A1904" t="s">
        <v>134</v>
      </c>
      <c r="B1904" t="s">
        <v>133</v>
      </c>
      <c r="C1904" t="s">
        <v>9567</v>
      </c>
      <c r="D1904" t="s">
        <v>13953</v>
      </c>
      <c r="E1904" t="s">
        <v>13954</v>
      </c>
      <c r="F1904" t="s">
        <v>13955</v>
      </c>
      <c r="G1904" t="s">
        <v>19188</v>
      </c>
      <c r="H1904" t="s">
        <v>19663</v>
      </c>
      <c r="I1904" t="s">
        <v>18780</v>
      </c>
      <c r="J1904" t="s">
        <v>18840</v>
      </c>
      <c r="K1904" t="str">
        <f>HYPERLINK("http://tuberculist.epfl.ch/quicksearch.php?gene+name=Rv1857&amp;submit=Search")</f>
        <v>http://tuberculist.epfl.ch/quicksearch.php?gene+name=Rv1857&amp;submit=Search</v>
      </c>
    </row>
    <row r="1905" spans="1:11">
      <c r="A1905" t="s">
        <v>4867</v>
      </c>
      <c r="B1905" t="s">
        <v>1191</v>
      </c>
      <c r="C1905" t="s">
        <v>9567</v>
      </c>
      <c r="D1905" t="s">
        <v>13956</v>
      </c>
      <c r="E1905" t="s">
        <v>13957</v>
      </c>
      <c r="F1905" t="s">
        <v>13958</v>
      </c>
      <c r="G1905" t="s">
        <v>19188</v>
      </c>
      <c r="H1905" t="s">
        <v>19192</v>
      </c>
      <c r="I1905" t="s">
        <v>18780</v>
      </c>
      <c r="K1905" t="str">
        <f>HYPERLINK("http://tuberculist.epfl.ch/quicksearch.php?gene+name=Rv1858&amp;submit=Search")</f>
        <v>http://tuberculist.epfl.ch/quicksearch.php?gene+name=Rv1858&amp;submit=Search</v>
      </c>
    </row>
    <row r="1906" spans="1:11">
      <c r="A1906" t="s">
        <v>9391</v>
      </c>
      <c r="B1906" t="s">
        <v>3413</v>
      </c>
      <c r="C1906" t="s">
        <v>9567</v>
      </c>
      <c r="D1906" t="s">
        <v>13959</v>
      </c>
      <c r="E1906" t="s">
        <v>13960</v>
      </c>
      <c r="F1906" t="s">
        <v>13961</v>
      </c>
      <c r="G1906" t="s">
        <v>19188</v>
      </c>
      <c r="I1906" t="s">
        <v>18780</v>
      </c>
      <c r="K1906" t="str">
        <f>HYPERLINK("http://tuberculist.epfl.ch/quicksearch.php?gene+name=Rv1859&amp;submit=Search")</f>
        <v>http://tuberculist.epfl.ch/quicksearch.php?gene+name=Rv1859&amp;submit=Search</v>
      </c>
    </row>
    <row r="1907" spans="1:11">
      <c r="A1907" t="s">
        <v>8134</v>
      </c>
      <c r="B1907" t="s">
        <v>2821</v>
      </c>
      <c r="C1907" t="s">
        <v>9567</v>
      </c>
      <c r="D1907" t="s">
        <v>13962</v>
      </c>
      <c r="E1907" t="s">
        <v>13963</v>
      </c>
      <c r="F1907" t="s">
        <v>13964</v>
      </c>
      <c r="G1907" t="s">
        <v>19188</v>
      </c>
      <c r="H1907" t="s">
        <v>19776</v>
      </c>
      <c r="I1907" t="s">
        <v>18780</v>
      </c>
      <c r="K1907" t="str">
        <f>HYPERLINK("http://tuberculist.epfl.ch/quicksearch.php?gene+name=Rv1860&amp;submit=Search")</f>
        <v>http://tuberculist.epfl.ch/quicksearch.php?gene+name=Rv1860&amp;submit=Search</v>
      </c>
    </row>
    <row r="1908" spans="1:11">
      <c r="A1908" t="s">
        <v>13965</v>
      </c>
      <c r="B1908" t="s">
        <v>13965</v>
      </c>
      <c r="C1908" t="s">
        <v>9567</v>
      </c>
      <c r="D1908" t="s">
        <v>9578</v>
      </c>
      <c r="E1908" t="s">
        <v>9597</v>
      </c>
      <c r="F1908" t="s">
        <v>13966</v>
      </c>
      <c r="G1908" t="s">
        <v>19188</v>
      </c>
      <c r="I1908" t="s">
        <v>18779</v>
      </c>
      <c r="K1908" t="str">
        <f>HYPERLINK("http://tuberculist.epfl.ch/quicksearch.php?gene+name=Rv1861&amp;submit=Search")</f>
        <v>http://tuberculist.epfl.ch/quicksearch.php?gene+name=Rv1861&amp;submit=Search</v>
      </c>
    </row>
    <row r="1909" spans="1:11">
      <c r="A1909" t="s">
        <v>7876</v>
      </c>
      <c r="B1909" t="s">
        <v>2700</v>
      </c>
      <c r="C1909" t="s">
        <v>9567</v>
      </c>
      <c r="D1909" t="s">
        <v>13166</v>
      </c>
      <c r="E1909" t="s">
        <v>13967</v>
      </c>
      <c r="F1909" t="s">
        <v>13968</v>
      </c>
      <c r="G1909" t="s">
        <v>19195</v>
      </c>
      <c r="H1909" t="s">
        <v>19287</v>
      </c>
      <c r="I1909" t="s">
        <v>18780</v>
      </c>
      <c r="K1909" t="str">
        <f>HYPERLINK("http://tuberculist.epfl.ch/quicksearch.php?gene+name=Rv1862&amp;submit=Search")</f>
        <v>http://tuberculist.epfl.ch/quicksearch.php?gene+name=Rv1862&amp;submit=Search</v>
      </c>
    </row>
    <row r="1910" spans="1:11">
      <c r="A1910" t="s">
        <v>1776</v>
      </c>
      <c r="B1910" t="s">
        <v>1776</v>
      </c>
      <c r="C1910" t="s">
        <v>9567</v>
      </c>
      <c r="D1910" t="s">
        <v>9587</v>
      </c>
      <c r="E1910" t="s">
        <v>9668</v>
      </c>
      <c r="F1910" t="s">
        <v>13969</v>
      </c>
      <c r="G1910" t="s">
        <v>19188</v>
      </c>
      <c r="I1910" t="s">
        <v>18780</v>
      </c>
      <c r="K1910" t="str">
        <f>HYPERLINK("http://tuberculist.epfl.ch/quicksearch.php?gene+name=Rv1863c&amp;submit=Search")</f>
        <v>http://tuberculist.epfl.ch/quicksearch.php?gene+name=Rv1863c&amp;submit=Search</v>
      </c>
    </row>
    <row r="1911" spans="1:11">
      <c r="A1911" t="s">
        <v>953</v>
      </c>
      <c r="B1911" t="s">
        <v>953</v>
      </c>
      <c r="C1911" t="s">
        <v>9567</v>
      </c>
      <c r="D1911" t="s">
        <v>9578</v>
      </c>
      <c r="E1911" t="s">
        <v>9665</v>
      </c>
      <c r="F1911" t="s">
        <v>13970</v>
      </c>
      <c r="G1911" t="s">
        <v>19212</v>
      </c>
      <c r="H1911" t="s">
        <v>19192</v>
      </c>
      <c r="I1911" t="s">
        <v>18780</v>
      </c>
      <c r="K1911" t="str">
        <f>HYPERLINK("http://tuberculist.epfl.ch/quicksearch.php?gene+name=Rv1864c&amp;submit=Search")</f>
        <v>http://tuberculist.epfl.ch/quicksearch.php?gene+name=Rv1864c&amp;submit=Search</v>
      </c>
    </row>
    <row r="1912" spans="1:11">
      <c r="A1912" t="s">
        <v>2059</v>
      </c>
      <c r="B1912" t="s">
        <v>2059</v>
      </c>
      <c r="C1912" t="s">
        <v>9567</v>
      </c>
      <c r="D1912" t="s">
        <v>12032</v>
      </c>
      <c r="E1912" t="s">
        <v>13971</v>
      </c>
      <c r="F1912" t="s">
        <v>13972</v>
      </c>
      <c r="G1912" t="s">
        <v>19195</v>
      </c>
      <c r="H1912" t="s">
        <v>19256</v>
      </c>
      <c r="I1912" t="s">
        <v>18789</v>
      </c>
      <c r="K1912" t="str">
        <f>HYPERLINK("http://tuberculist.epfl.ch/quicksearch.php?gene+name=Rv1865c&amp;submit=Search")</f>
        <v>http://tuberculist.epfl.ch/quicksearch.php?gene+name=Rv1865c&amp;submit=Search</v>
      </c>
    </row>
    <row r="1913" spans="1:11">
      <c r="A1913" t="s">
        <v>806</v>
      </c>
      <c r="B1913" t="s">
        <v>806</v>
      </c>
      <c r="C1913" t="s">
        <v>9567</v>
      </c>
      <c r="D1913" t="s">
        <v>12417</v>
      </c>
      <c r="E1913" t="s">
        <v>9665</v>
      </c>
      <c r="F1913" t="s">
        <v>13973</v>
      </c>
      <c r="G1913" t="s">
        <v>19219</v>
      </c>
      <c r="H1913" t="s">
        <v>19250</v>
      </c>
      <c r="I1913" t="s">
        <v>18777</v>
      </c>
      <c r="K1913" t="str">
        <f>HYPERLINK("http://tuberculist.epfl.ch/quicksearch.php?gene+name=Rv1866&amp;submit=Search")</f>
        <v>http://tuberculist.epfl.ch/quicksearch.php?gene+name=Rv1866&amp;submit=Search</v>
      </c>
    </row>
    <row r="1914" spans="1:11">
      <c r="A1914" t="s">
        <v>2580</v>
      </c>
      <c r="B1914" t="s">
        <v>2580</v>
      </c>
      <c r="C1914" t="s">
        <v>9567</v>
      </c>
      <c r="D1914" t="s">
        <v>12417</v>
      </c>
      <c r="E1914" t="s">
        <v>9665</v>
      </c>
      <c r="F1914" t="s">
        <v>13974</v>
      </c>
      <c r="G1914" t="s">
        <v>19219</v>
      </c>
      <c r="H1914" t="s">
        <v>19777</v>
      </c>
      <c r="I1914" t="s">
        <v>18780</v>
      </c>
      <c r="K1914" t="str">
        <f>HYPERLINK("http://tuberculist.epfl.ch/quicksearch.php?gene+name=Rv1867&amp;submit=Search")</f>
        <v>http://tuberculist.epfl.ch/quicksearch.php?gene+name=Rv1867&amp;submit=Search</v>
      </c>
    </row>
    <row r="1915" spans="1:11">
      <c r="A1915" t="s">
        <v>2897</v>
      </c>
      <c r="B1915" t="s">
        <v>2897</v>
      </c>
      <c r="C1915" t="s">
        <v>9567</v>
      </c>
      <c r="D1915" t="s">
        <v>9578</v>
      </c>
      <c r="E1915" t="s">
        <v>9579</v>
      </c>
      <c r="F1915" t="s">
        <v>13975</v>
      </c>
      <c r="G1915" t="s">
        <v>19204</v>
      </c>
      <c r="H1915" t="s">
        <v>19207</v>
      </c>
      <c r="I1915" t="s">
        <v>18789</v>
      </c>
      <c r="K1915" t="str">
        <f>HYPERLINK("http://tuberculist.epfl.ch/quicksearch.php?gene+name=Rv1868&amp;submit=Search")</f>
        <v>http://tuberculist.epfl.ch/quicksearch.php?gene+name=Rv1868&amp;submit=Search</v>
      </c>
    </row>
    <row r="1916" spans="1:11">
      <c r="A1916" t="s">
        <v>2231</v>
      </c>
      <c r="B1916" t="s">
        <v>2231</v>
      </c>
      <c r="C1916" t="s">
        <v>9567</v>
      </c>
      <c r="D1916" t="s">
        <v>12032</v>
      </c>
      <c r="E1916" t="s">
        <v>13976</v>
      </c>
      <c r="F1916" t="s">
        <v>13977</v>
      </c>
      <c r="G1916" t="s">
        <v>19195</v>
      </c>
      <c r="H1916" t="s">
        <v>19778</v>
      </c>
      <c r="I1916" t="s">
        <v>18789</v>
      </c>
      <c r="J1916" t="s">
        <v>18839</v>
      </c>
      <c r="K1916" t="str">
        <f>HYPERLINK("http://tuberculist.epfl.ch/quicksearch.php?gene+name=Rv1869c&amp;submit=Search")</f>
        <v>http://tuberculist.epfl.ch/quicksearch.php?gene+name=Rv1869c&amp;submit=Search</v>
      </c>
    </row>
    <row r="1917" spans="1:11">
      <c r="A1917" t="s">
        <v>142</v>
      </c>
      <c r="B1917" t="s">
        <v>142</v>
      </c>
      <c r="C1917" t="s">
        <v>9567</v>
      </c>
      <c r="D1917" t="s">
        <v>9587</v>
      </c>
      <c r="E1917" t="s">
        <v>9579</v>
      </c>
      <c r="F1917" t="s">
        <v>13978</v>
      </c>
      <c r="G1917" t="s">
        <v>19204</v>
      </c>
      <c r="H1917" t="s">
        <v>19779</v>
      </c>
      <c r="I1917" t="s">
        <v>18780</v>
      </c>
      <c r="J1917" t="s">
        <v>18997</v>
      </c>
      <c r="K1917" t="str">
        <f>HYPERLINK("http://tuberculist.epfl.ch/quicksearch.php?gene+name=Rv1870c&amp;submit=Search")</f>
        <v>http://tuberculist.epfl.ch/quicksearch.php?gene+name=Rv1870c&amp;submit=Search</v>
      </c>
    </row>
    <row r="1918" spans="1:11">
      <c r="A1918" t="s">
        <v>3020</v>
      </c>
      <c r="B1918" t="s">
        <v>3020</v>
      </c>
      <c r="C1918" t="s">
        <v>9567</v>
      </c>
      <c r="D1918" t="s">
        <v>9578</v>
      </c>
      <c r="E1918" t="s">
        <v>9665</v>
      </c>
      <c r="F1918" t="s">
        <v>13979</v>
      </c>
      <c r="G1918" t="s">
        <v>19204</v>
      </c>
      <c r="H1918" t="s">
        <v>19780</v>
      </c>
      <c r="I1918" t="s">
        <v>18780</v>
      </c>
      <c r="K1918" t="str">
        <f>HYPERLINK("http://tuberculist.epfl.ch/quicksearch.php?gene+name=Rv1871c&amp;submit=Search")</f>
        <v>http://tuberculist.epfl.ch/quicksearch.php?gene+name=Rv1871c&amp;submit=Search</v>
      </c>
    </row>
    <row r="1919" spans="1:11">
      <c r="A1919" t="s">
        <v>5464</v>
      </c>
      <c r="B1919" t="s">
        <v>1494</v>
      </c>
      <c r="C1919" t="s">
        <v>9567</v>
      </c>
      <c r="D1919" t="s">
        <v>11196</v>
      </c>
      <c r="E1919" t="s">
        <v>13980</v>
      </c>
      <c r="F1919" t="s">
        <v>13981</v>
      </c>
      <c r="G1919" t="s">
        <v>19195</v>
      </c>
      <c r="H1919" t="s">
        <v>19781</v>
      </c>
      <c r="I1919" t="s">
        <v>18789</v>
      </c>
      <c r="K1919" t="str">
        <f>HYPERLINK("http://tuberculist.epfl.ch/quicksearch.php?gene+name=Rv1872c&amp;submit=Search")</f>
        <v>http://tuberculist.epfl.ch/quicksearch.php?gene+name=Rv1872c&amp;submit=Search</v>
      </c>
    </row>
    <row r="1920" spans="1:11">
      <c r="A1920" t="s">
        <v>1135</v>
      </c>
      <c r="B1920" t="s">
        <v>1135</v>
      </c>
      <c r="C1920" t="s">
        <v>9567</v>
      </c>
      <c r="D1920" t="s">
        <v>9587</v>
      </c>
      <c r="E1920" t="s">
        <v>9579</v>
      </c>
      <c r="F1920" t="s">
        <v>13982</v>
      </c>
      <c r="G1920" t="s">
        <v>19212</v>
      </c>
      <c r="H1920" t="s">
        <v>19213</v>
      </c>
      <c r="I1920" t="s">
        <v>18789</v>
      </c>
      <c r="K1920" t="str">
        <f>HYPERLINK("http://tuberculist.epfl.ch/quicksearch.php?gene+name=Rv1873&amp;submit=Search")</f>
        <v>http://tuberculist.epfl.ch/quicksearch.php?gene+name=Rv1873&amp;submit=Search</v>
      </c>
    </row>
    <row r="1921" spans="1:11">
      <c r="A1921" t="s">
        <v>1235</v>
      </c>
      <c r="B1921" t="s">
        <v>1235</v>
      </c>
      <c r="C1921" t="s">
        <v>9567</v>
      </c>
      <c r="D1921" t="s">
        <v>9587</v>
      </c>
      <c r="E1921" t="s">
        <v>9768</v>
      </c>
      <c r="F1921" t="s">
        <v>13983</v>
      </c>
      <c r="G1921" t="s">
        <v>19212</v>
      </c>
      <c r="H1921" t="s">
        <v>19225</v>
      </c>
      <c r="I1921" t="s">
        <v>18780</v>
      </c>
      <c r="K1921" t="str">
        <f>HYPERLINK("http://tuberculist.epfl.ch/quicksearch.php?gene+name=Rv1874&amp;submit=Search")</f>
        <v>http://tuberculist.epfl.ch/quicksearch.php?gene+name=Rv1874&amp;submit=Search</v>
      </c>
    </row>
    <row r="1922" spans="1:11">
      <c r="A1922" t="s">
        <v>2202</v>
      </c>
      <c r="B1922" t="s">
        <v>2202</v>
      </c>
      <c r="C1922" t="s">
        <v>9567</v>
      </c>
      <c r="D1922" t="s">
        <v>9578</v>
      </c>
      <c r="E1922" t="s">
        <v>9665</v>
      </c>
      <c r="F1922" t="s">
        <v>13984</v>
      </c>
      <c r="G1922" t="s">
        <v>19204</v>
      </c>
      <c r="H1922" t="s">
        <v>19782</v>
      </c>
      <c r="I1922" t="s">
        <v>18780</v>
      </c>
      <c r="K1922" t="str">
        <f>HYPERLINK("http://tuberculist.epfl.ch/quicksearch.php?gene+name=Rv1875&amp;submit=Search")</f>
        <v>http://tuberculist.epfl.ch/quicksearch.php?gene+name=Rv1875&amp;submit=Search</v>
      </c>
    </row>
    <row r="1923" spans="1:11">
      <c r="A1923" t="s">
        <v>176</v>
      </c>
      <c r="B1923" t="s">
        <v>175</v>
      </c>
      <c r="C1923" t="s">
        <v>9567</v>
      </c>
      <c r="D1923" t="s">
        <v>13985</v>
      </c>
      <c r="E1923" t="s">
        <v>13986</v>
      </c>
      <c r="F1923" t="s">
        <v>13987</v>
      </c>
      <c r="G1923" t="s">
        <v>19195</v>
      </c>
      <c r="H1923" t="s">
        <v>19783</v>
      </c>
      <c r="I1923" t="s">
        <v>18780</v>
      </c>
      <c r="J1923" t="s">
        <v>18998</v>
      </c>
      <c r="K1923" t="str">
        <f>HYPERLINK("http://tuberculist.epfl.ch/quicksearch.php?gene+name=Rv1876&amp;submit=Search")</f>
        <v>http://tuberculist.epfl.ch/quicksearch.php?gene+name=Rv1876&amp;submit=Search</v>
      </c>
    </row>
    <row r="1924" spans="1:11">
      <c r="A1924" t="s">
        <v>1120</v>
      </c>
      <c r="B1924" t="s">
        <v>1120</v>
      </c>
      <c r="C1924" t="s">
        <v>9567</v>
      </c>
      <c r="D1924" t="s">
        <v>10028</v>
      </c>
      <c r="E1924" t="s">
        <v>9668</v>
      </c>
      <c r="F1924" t="s">
        <v>13988</v>
      </c>
      <c r="G1924" t="s">
        <v>19188</v>
      </c>
      <c r="H1924" t="s">
        <v>19211</v>
      </c>
      <c r="I1924" t="s">
        <v>18789</v>
      </c>
      <c r="K1924" t="str">
        <f>HYPERLINK("http://tuberculist.epfl.ch/quicksearch.php?gene+name=Rv1877&amp;submit=Search")</f>
        <v>http://tuberculist.epfl.ch/quicksearch.php?gene+name=Rv1877&amp;submit=Search</v>
      </c>
    </row>
    <row r="1925" spans="1:11">
      <c r="A1925" t="s">
        <v>5734</v>
      </c>
      <c r="B1925" t="s">
        <v>1628</v>
      </c>
      <c r="C1925" t="s">
        <v>9567</v>
      </c>
      <c r="D1925" t="s">
        <v>13989</v>
      </c>
      <c r="E1925" t="s">
        <v>13990</v>
      </c>
      <c r="F1925" t="s">
        <v>13991</v>
      </c>
      <c r="G1925" t="s">
        <v>19195</v>
      </c>
      <c r="H1925" t="s">
        <v>19198</v>
      </c>
      <c r="I1925" t="s">
        <v>18821</v>
      </c>
      <c r="K1925" t="str">
        <f>HYPERLINK("http://tuberculist.epfl.ch/quicksearch.php?gene+name=Rv1878&amp;submit=Search")</f>
        <v>http://tuberculist.epfl.ch/quicksearch.php?gene+name=Rv1878&amp;submit=Search</v>
      </c>
    </row>
    <row r="1926" spans="1:11">
      <c r="A1926" t="s">
        <v>1517</v>
      </c>
      <c r="B1926" t="s">
        <v>1517</v>
      </c>
      <c r="C1926" t="s">
        <v>9567</v>
      </c>
      <c r="D1926" t="s">
        <v>9578</v>
      </c>
      <c r="E1926" t="s">
        <v>9579</v>
      </c>
      <c r="F1926" t="s">
        <v>13992</v>
      </c>
      <c r="G1926" t="s">
        <v>19216</v>
      </c>
      <c r="H1926" t="s">
        <v>19214</v>
      </c>
      <c r="I1926" t="s">
        <v>18780</v>
      </c>
      <c r="K1926" t="str">
        <f>HYPERLINK("http://tuberculist.epfl.ch/quicksearch.php?gene+name=Rv1879&amp;submit=Search")</f>
        <v>http://tuberculist.epfl.ch/quicksearch.php?gene+name=Rv1879&amp;submit=Search</v>
      </c>
    </row>
    <row r="1927" spans="1:11">
      <c r="A1927" t="s">
        <v>7472</v>
      </c>
      <c r="B1927" t="s">
        <v>2495</v>
      </c>
      <c r="C1927" t="s">
        <v>9567</v>
      </c>
      <c r="D1927" t="s">
        <v>9908</v>
      </c>
      <c r="E1927" t="s">
        <v>13993</v>
      </c>
      <c r="F1927" t="s">
        <v>13994</v>
      </c>
      <c r="G1927" t="s">
        <v>19195</v>
      </c>
      <c r="H1927" t="s">
        <v>19213</v>
      </c>
      <c r="I1927" t="s">
        <v>18780</v>
      </c>
      <c r="K1927" t="str">
        <f>HYPERLINK("http://tuberculist.epfl.ch/quicksearch.php?gene+name=Rv1880c&amp;submit=Search")</f>
        <v>http://tuberculist.epfl.ch/quicksearch.php?gene+name=Rv1880c&amp;submit=Search</v>
      </c>
    </row>
    <row r="1928" spans="1:11">
      <c r="A1928" t="s">
        <v>13995</v>
      </c>
      <c r="B1928" t="s">
        <v>13996</v>
      </c>
      <c r="C1928" t="s">
        <v>9567</v>
      </c>
      <c r="D1928" t="s">
        <v>9587</v>
      </c>
      <c r="E1928" t="s">
        <v>13997</v>
      </c>
      <c r="F1928" t="s">
        <v>13998</v>
      </c>
      <c r="G1928" t="s">
        <v>19188</v>
      </c>
      <c r="H1928" t="s">
        <v>19417</v>
      </c>
      <c r="I1928" t="s">
        <v>18789</v>
      </c>
      <c r="K1928" t="str">
        <f>HYPERLINK("http://tuberculist.epfl.ch/quicksearch.php?gene+name=Rv1881c&amp;submit=Search")</f>
        <v>http://tuberculist.epfl.ch/quicksearch.php?gene+name=Rv1881c&amp;submit=Search</v>
      </c>
    </row>
    <row r="1929" spans="1:11">
      <c r="A1929" t="s">
        <v>3351</v>
      </c>
      <c r="B1929" t="s">
        <v>3351</v>
      </c>
      <c r="C1929" t="s">
        <v>9567</v>
      </c>
      <c r="D1929" t="s">
        <v>12032</v>
      </c>
      <c r="E1929" t="s">
        <v>9932</v>
      </c>
      <c r="F1929" t="s">
        <v>13999</v>
      </c>
      <c r="G1929" t="s">
        <v>19195</v>
      </c>
      <c r="H1929" t="s">
        <v>19250</v>
      </c>
      <c r="I1929" t="s">
        <v>18780</v>
      </c>
      <c r="K1929" t="str">
        <f>HYPERLINK("http://tuberculist.epfl.ch/quicksearch.php?gene+name=Rv1882c&amp;submit=Search")</f>
        <v>http://tuberculist.epfl.ch/quicksearch.php?gene+name=Rv1882c&amp;submit=Search</v>
      </c>
    </row>
    <row r="1930" spans="1:11">
      <c r="A1930" t="s">
        <v>3101</v>
      </c>
      <c r="B1930" t="s">
        <v>3101</v>
      </c>
      <c r="C1930" t="s">
        <v>9567</v>
      </c>
      <c r="D1930" t="s">
        <v>9578</v>
      </c>
      <c r="E1930" t="s">
        <v>9579</v>
      </c>
      <c r="F1930" t="s">
        <v>14000</v>
      </c>
      <c r="G1930" t="s">
        <v>19212</v>
      </c>
      <c r="H1930" t="s">
        <v>19213</v>
      </c>
      <c r="I1930" t="s">
        <v>18780</v>
      </c>
      <c r="K1930" t="str">
        <f>HYPERLINK("http://tuberculist.epfl.ch/quicksearch.php?gene+name=Rv1883c&amp;submit=Search")</f>
        <v>http://tuberculist.epfl.ch/quicksearch.php?gene+name=Rv1883c&amp;submit=Search</v>
      </c>
    </row>
    <row r="1931" spans="1:11">
      <c r="A1931" t="s">
        <v>9343</v>
      </c>
      <c r="B1931" t="s">
        <v>3392</v>
      </c>
      <c r="C1931" t="s">
        <v>9567</v>
      </c>
      <c r="D1931" t="s">
        <v>14001</v>
      </c>
      <c r="E1931" t="s">
        <v>14002</v>
      </c>
      <c r="F1931" t="s">
        <v>14003</v>
      </c>
      <c r="G1931" t="s">
        <v>19188</v>
      </c>
      <c r="H1931" t="s">
        <v>19784</v>
      </c>
      <c r="I1931" t="s">
        <v>18905</v>
      </c>
      <c r="J1931" t="s">
        <v>18857</v>
      </c>
      <c r="K1931" t="str">
        <f>HYPERLINK("http://tuberculist.epfl.ch/quicksearch.php?gene+name=Rv1884c&amp;submit=Search")</f>
        <v>http://tuberculist.epfl.ch/quicksearch.php?gene+name=Rv1884c&amp;submit=Search</v>
      </c>
    </row>
    <row r="1932" spans="1:11">
      <c r="A1932" t="s">
        <v>788</v>
      </c>
      <c r="B1932" t="s">
        <v>788</v>
      </c>
      <c r="C1932" t="s">
        <v>9567</v>
      </c>
      <c r="D1932" t="s">
        <v>11793</v>
      </c>
      <c r="E1932" t="s">
        <v>11794</v>
      </c>
      <c r="F1932" t="s">
        <v>14004</v>
      </c>
      <c r="G1932" t="s">
        <v>19195</v>
      </c>
      <c r="H1932" t="s">
        <v>19229</v>
      </c>
      <c r="I1932" t="s">
        <v>18789</v>
      </c>
      <c r="K1932" t="str">
        <f>HYPERLINK("http://tuberculist.epfl.ch/quicksearch.php?gene+name=Rv1885c&amp;submit=Search")</f>
        <v>http://tuberculist.epfl.ch/quicksearch.php?gene+name=Rv1885c&amp;submit=Search</v>
      </c>
    </row>
    <row r="1933" spans="1:11">
      <c r="A1933" t="s">
        <v>4454</v>
      </c>
      <c r="B1933" t="s">
        <v>992</v>
      </c>
      <c r="C1933" t="s">
        <v>9567</v>
      </c>
      <c r="D1933" t="s">
        <v>14005</v>
      </c>
      <c r="E1933" t="s">
        <v>14006</v>
      </c>
      <c r="F1933" t="s">
        <v>14007</v>
      </c>
      <c r="G1933" t="s">
        <v>19219</v>
      </c>
      <c r="H1933" t="s">
        <v>19785</v>
      </c>
      <c r="I1933" t="s">
        <v>18780</v>
      </c>
      <c r="K1933" t="str">
        <f>HYPERLINK("http://tuberculist.epfl.ch/quicksearch.php?gene+name=Rv1886c&amp;submit=Search")</f>
        <v>http://tuberculist.epfl.ch/quicksearch.php?gene+name=Rv1886c&amp;submit=Search</v>
      </c>
    </row>
    <row r="1934" spans="1:11">
      <c r="A1934" t="s">
        <v>3353</v>
      </c>
      <c r="B1934" t="s">
        <v>3353</v>
      </c>
      <c r="C1934" t="s">
        <v>9567</v>
      </c>
      <c r="D1934" t="s">
        <v>9587</v>
      </c>
      <c r="E1934" t="s">
        <v>9713</v>
      </c>
      <c r="F1934" t="s">
        <v>14008</v>
      </c>
      <c r="G1934" t="s">
        <v>19212</v>
      </c>
      <c r="H1934" t="s">
        <v>19308</v>
      </c>
      <c r="I1934" t="s">
        <v>18780</v>
      </c>
      <c r="K1934" t="str">
        <f>HYPERLINK("http://tuberculist.epfl.ch/quicksearch.php?gene+name=Rv1887&amp;submit=Search")</f>
        <v>http://tuberculist.epfl.ch/quicksearch.php?gene+name=Rv1887&amp;submit=Search</v>
      </c>
    </row>
    <row r="1935" spans="1:11">
      <c r="A1935" t="s">
        <v>14009</v>
      </c>
      <c r="B1935" t="s">
        <v>14009</v>
      </c>
      <c r="C1935" t="s">
        <v>9567</v>
      </c>
      <c r="D1935" t="s">
        <v>9578</v>
      </c>
      <c r="E1935" t="s">
        <v>9579</v>
      </c>
      <c r="F1935" t="s">
        <v>14010</v>
      </c>
      <c r="G1935" t="s">
        <v>19212</v>
      </c>
      <c r="I1935" t="s">
        <v>18773</v>
      </c>
      <c r="K1935" t="str">
        <f>HYPERLINK("http://tuberculist.epfl.ch/quicksearch.php?gene+name=Rv1888A&amp;submit=Search")</f>
        <v>http://tuberculist.epfl.ch/quicksearch.php?gene+name=Rv1888A&amp;submit=Search</v>
      </c>
    </row>
    <row r="1936" spans="1:11">
      <c r="A1936" t="s">
        <v>1740</v>
      </c>
      <c r="B1936" t="s">
        <v>1740</v>
      </c>
      <c r="C1936" t="s">
        <v>9567</v>
      </c>
      <c r="D1936" t="s">
        <v>9587</v>
      </c>
      <c r="E1936" t="s">
        <v>10540</v>
      </c>
      <c r="F1936" t="s">
        <v>14011</v>
      </c>
      <c r="G1936" t="s">
        <v>19188</v>
      </c>
      <c r="I1936" t="s">
        <v>18789</v>
      </c>
      <c r="K1936" t="str">
        <f>HYPERLINK("http://tuberculist.epfl.ch/quicksearch.php?gene+name=Rv1888c&amp;submit=Search")</f>
        <v>http://tuberculist.epfl.ch/quicksearch.php?gene+name=Rv1888c&amp;submit=Search</v>
      </c>
    </row>
    <row r="1937" spans="1:11">
      <c r="A1937" t="s">
        <v>14012</v>
      </c>
      <c r="B1937" t="s">
        <v>14012</v>
      </c>
      <c r="C1937" t="s">
        <v>9567</v>
      </c>
      <c r="D1937" t="s">
        <v>9578</v>
      </c>
      <c r="E1937" t="s">
        <v>9579</v>
      </c>
      <c r="F1937" t="s">
        <v>14013</v>
      </c>
      <c r="G1937" t="s">
        <v>19210</v>
      </c>
      <c r="I1937" t="s">
        <v>18779</v>
      </c>
      <c r="K1937" t="str">
        <f>HYPERLINK("http://tuberculist.epfl.ch/quicksearch.php?gene+name=Rv1889c&amp;submit=Search")</f>
        <v>http://tuberculist.epfl.ch/quicksearch.php?gene+name=Rv1889c&amp;submit=Search</v>
      </c>
    </row>
    <row r="1938" spans="1:11">
      <c r="A1938" t="s">
        <v>2457</v>
      </c>
      <c r="B1938" t="s">
        <v>2457</v>
      </c>
      <c r="C1938" t="s">
        <v>9567</v>
      </c>
      <c r="D1938" t="s">
        <v>9587</v>
      </c>
      <c r="E1938" t="s">
        <v>9713</v>
      </c>
      <c r="F1938" t="s">
        <v>14014</v>
      </c>
      <c r="G1938" t="s">
        <v>19210</v>
      </c>
      <c r="H1938" t="s">
        <v>19215</v>
      </c>
      <c r="I1938" t="s">
        <v>18780</v>
      </c>
      <c r="K1938" t="str">
        <f>HYPERLINK("http://tuberculist.epfl.ch/quicksearch.php?gene+name=Rv1890c&amp;submit=Search")</f>
        <v>http://tuberculist.epfl.ch/quicksearch.php?gene+name=Rv1890c&amp;submit=Search</v>
      </c>
    </row>
    <row r="1939" spans="1:11">
      <c r="A1939" t="s">
        <v>609</v>
      </c>
      <c r="B1939" t="s">
        <v>609</v>
      </c>
      <c r="C1939" t="s">
        <v>9567</v>
      </c>
      <c r="D1939" t="s">
        <v>9578</v>
      </c>
      <c r="E1939" t="s">
        <v>9665</v>
      </c>
      <c r="F1939" t="s">
        <v>14015</v>
      </c>
      <c r="G1939" t="s">
        <v>19210</v>
      </c>
      <c r="H1939" t="s">
        <v>19786</v>
      </c>
      <c r="I1939" t="s">
        <v>18999</v>
      </c>
      <c r="J1939" t="s">
        <v>18809</v>
      </c>
      <c r="K1939" t="str">
        <f>HYPERLINK("http://tuberculist.epfl.ch/quicksearch.php?gene+name=Rv1891&amp;submit=Search")</f>
        <v>http://tuberculist.epfl.ch/quicksearch.php?gene+name=Rv1891&amp;submit=Search</v>
      </c>
    </row>
    <row r="1940" spans="1:11">
      <c r="A1940" t="s">
        <v>2663</v>
      </c>
      <c r="B1940" t="s">
        <v>2663</v>
      </c>
      <c r="C1940" t="s">
        <v>9567</v>
      </c>
      <c r="D1940" t="s">
        <v>9587</v>
      </c>
      <c r="E1940" t="s">
        <v>9758</v>
      </c>
      <c r="F1940" t="s">
        <v>14016</v>
      </c>
      <c r="G1940" t="s">
        <v>19188</v>
      </c>
      <c r="I1940" t="s">
        <v>18779</v>
      </c>
      <c r="J1940" t="s">
        <v>18775</v>
      </c>
      <c r="K1940" t="str">
        <f>HYPERLINK("http://tuberculist.epfl.ch/quicksearch.php?gene+name=Rv1892&amp;submit=Search")</f>
        <v>http://tuberculist.epfl.ch/quicksearch.php?gene+name=Rv1892&amp;submit=Search</v>
      </c>
    </row>
    <row r="1941" spans="1:11">
      <c r="A1941" t="s">
        <v>14017</v>
      </c>
      <c r="B1941" t="s">
        <v>14017</v>
      </c>
      <c r="C1941" t="s">
        <v>9567</v>
      </c>
      <c r="D1941" t="s">
        <v>9578</v>
      </c>
      <c r="E1941" t="s">
        <v>9579</v>
      </c>
      <c r="F1941" t="s">
        <v>14018</v>
      </c>
      <c r="G1941" t="s">
        <v>19210</v>
      </c>
      <c r="H1941" t="s">
        <v>19672</v>
      </c>
      <c r="I1941" t="s">
        <v>18779</v>
      </c>
      <c r="J1941" t="s">
        <v>18775</v>
      </c>
      <c r="K1941" t="str">
        <f>HYPERLINK("http://tuberculist.epfl.ch/quicksearch.php?gene+name=Rv1893&amp;submit=Search")</f>
        <v>http://tuberculist.epfl.ch/quicksearch.php?gene+name=Rv1893&amp;submit=Search</v>
      </c>
    </row>
    <row r="1942" spans="1:11">
      <c r="A1942" t="s">
        <v>2403</v>
      </c>
      <c r="B1942" t="s">
        <v>2403</v>
      </c>
      <c r="C1942" t="s">
        <v>9567</v>
      </c>
      <c r="D1942" t="s">
        <v>9578</v>
      </c>
      <c r="E1942" t="s">
        <v>9579</v>
      </c>
      <c r="F1942" t="s">
        <v>14019</v>
      </c>
      <c r="G1942" t="s">
        <v>19204</v>
      </c>
      <c r="H1942" t="s">
        <v>19334</v>
      </c>
      <c r="I1942" t="s">
        <v>18789</v>
      </c>
      <c r="J1942" t="s">
        <v>18820</v>
      </c>
      <c r="K1942" t="str">
        <f>HYPERLINK("http://tuberculist.epfl.ch/quicksearch.php?gene+name=Rv1894c&amp;submit=Search")</f>
        <v>http://tuberculist.epfl.ch/quicksearch.php?gene+name=Rv1894c&amp;submit=Search</v>
      </c>
    </row>
    <row r="1943" spans="1:11">
      <c r="A1943" t="s">
        <v>14020</v>
      </c>
      <c r="B1943" t="s">
        <v>14020</v>
      </c>
      <c r="C1943" t="s">
        <v>9567</v>
      </c>
      <c r="D1943" t="s">
        <v>12032</v>
      </c>
      <c r="E1943" t="s">
        <v>14021</v>
      </c>
      <c r="F1943" t="s">
        <v>14022</v>
      </c>
      <c r="G1943" t="s">
        <v>19195</v>
      </c>
      <c r="I1943" t="s">
        <v>18780</v>
      </c>
      <c r="K1943" t="str">
        <f>HYPERLINK("http://tuberculist.epfl.ch/quicksearch.php?gene+name=Rv1895&amp;submit=Search")</f>
        <v>http://tuberculist.epfl.ch/quicksearch.php?gene+name=Rv1895&amp;submit=Search</v>
      </c>
    </row>
    <row r="1944" spans="1:11">
      <c r="A1944" t="s">
        <v>2203</v>
      </c>
      <c r="B1944" t="s">
        <v>2203</v>
      </c>
      <c r="C1944" t="s">
        <v>9567</v>
      </c>
      <c r="D1944" t="s">
        <v>9578</v>
      </c>
      <c r="E1944" t="s">
        <v>9579</v>
      </c>
      <c r="F1944" t="s">
        <v>14023</v>
      </c>
      <c r="G1944" t="s">
        <v>19220</v>
      </c>
      <c r="H1944" t="s">
        <v>19213</v>
      </c>
      <c r="I1944" t="s">
        <v>18777</v>
      </c>
      <c r="K1944" t="str">
        <f>HYPERLINK("http://tuberculist.epfl.ch/quicksearch.php?gene+name=Rv1896c&amp;submit=Search")</f>
        <v>http://tuberculist.epfl.ch/quicksearch.php?gene+name=Rv1896c&amp;submit=Search</v>
      </c>
    </row>
    <row r="1945" spans="1:11">
      <c r="A1945" t="s">
        <v>2525</v>
      </c>
      <c r="B1945" t="s">
        <v>2525</v>
      </c>
      <c r="C1945" t="s">
        <v>9567</v>
      </c>
      <c r="D1945" t="s">
        <v>9578</v>
      </c>
      <c r="E1945" t="s">
        <v>9579</v>
      </c>
      <c r="F1945" t="s">
        <v>14024</v>
      </c>
      <c r="G1945" t="s">
        <v>19204</v>
      </c>
      <c r="H1945" t="s">
        <v>19214</v>
      </c>
      <c r="I1945" t="s">
        <v>18780</v>
      </c>
      <c r="K1945" t="str">
        <f>HYPERLINK("http://tuberculist.epfl.ch/quicksearch.php?gene+name=Rv1897c&amp;submit=Search")</f>
        <v>http://tuberculist.epfl.ch/quicksearch.php?gene+name=Rv1897c&amp;submit=Search</v>
      </c>
    </row>
    <row r="1946" spans="1:11">
      <c r="A1946" t="s">
        <v>2060</v>
      </c>
      <c r="B1946" t="s">
        <v>2060</v>
      </c>
      <c r="C1946" t="s">
        <v>9567</v>
      </c>
      <c r="D1946" t="s">
        <v>9578</v>
      </c>
      <c r="E1946" t="s">
        <v>9579</v>
      </c>
      <c r="F1946" t="s">
        <v>14025</v>
      </c>
      <c r="G1946" t="s">
        <v>19204</v>
      </c>
      <c r="H1946" t="s">
        <v>19214</v>
      </c>
      <c r="I1946" t="s">
        <v>18780</v>
      </c>
      <c r="K1946" t="str">
        <f>HYPERLINK("http://tuberculist.epfl.ch/quicksearch.php?gene+name=Rv1898&amp;submit=Search")</f>
        <v>http://tuberculist.epfl.ch/quicksearch.php?gene+name=Rv1898&amp;submit=Search</v>
      </c>
    </row>
    <row r="1947" spans="1:11">
      <c r="A1947" t="s">
        <v>5888</v>
      </c>
      <c r="B1947" t="s">
        <v>1697</v>
      </c>
      <c r="C1947" t="s">
        <v>9567</v>
      </c>
      <c r="D1947" t="s">
        <v>9587</v>
      </c>
      <c r="E1947" t="s">
        <v>14026</v>
      </c>
      <c r="F1947" t="s">
        <v>14027</v>
      </c>
      <c r="G1947" t="s">
        <v>19188</v>
      </c>
      <c r="H1947" t="s">
        <v>19787</v>
      </c>
      <c r="I1947" t="s">
        <v>18780</v>
      </c>
      <c r="K1947" t="str">
        <f>HYPERLINK("http://tuberculist.epfl.ch/quicksearch.php?gene+name=Rv1899c&amp;submit=Search")</f>
        <v>http://tuberculist.epfl.ch/quicksearch.php?gene+name=Rv1899c&amp;submit=Search</v>
      </c>
    </row>
    <row r="1948" spans="1:11">
      <c r="A1948" t="s">
        <v>7744</v>
      </c>
      <c r="B1948" t="s">
        <v>2625</v>
      </c>
      <c r="C1948" t="s">
        <v>9567</v>
      </c>
      <c r="D1948" t="s">
        <v>12032</v>
      </c>
      <c r="E1948" t="s">
        <v>14028</v>
      </c>
      <c r="F1948" t="s">
        <v>14029</v>
      </c>
      <c r="G1948" t="s">
        <v>19195</v>
      </c>
      <c r="H1948" t="s">
        <v>19213</v>
      </c>
      <c r="I1948" t="s">
        <v>18780</v>
      </c>
      <c r="K1948" t="str">
        <f>HYPERLINK("http://tuberculist.epfl.ch/quicksearch.php?gene+name=Rv1900c&amp;submit=Search")</f>
        <v>http://tuberculist.epfl.ch/quicksearch.php?gene+name=Rv1900c&amp;submit=Search</v>
      </c>
    </row>
    <row r="1949" spans="1:11">
      <c r="A1949" t="s">
        <v>4230</v>
      </c>
      <c r="B1949" t="s">
        <v>876</v>
      </c>
      <c r="C1949" t="s">
        <v>9567</v>
      </c>
      <c r="D1949" t="s">
        <v>9587</v>
      </c>
      <c r="E1949" t="s">
        <v>14030</v>
      </c>
      <c r="F1949" t="s">
        <v>14031</v>
      </c>
      <c r="G1949" t="s">
        <v>19206</v>
      </c>
      <c r="H1949" t="s">
        <v>19196</v>
      </c>
      <c r="I1949" t="s">
        <v>18780</v>
      </c>
      <c r="K1949" t="str">
        <f>HYPERLINK("http://tuberculist.epfl.ch/quicksearch.php?gene+name=Rv1901&amp;submit=Search")</f>
        <v>http://tuberculist.epfl.ch/quicksearch.php?gene+name=Rv1901&amp;submit=Search</v>
      </c>
    </row>
    <row r="1950" spans="1:11">
      <c r="A1950" t="s">
        <v>4359</v>
      </c>
      <c r="B1950" t="s">
        <v>941</v>
      </c>
      <c r="C1950" t="s">
        <v>9567</v>
      </c>
      <c r="D1950" t="s">
        <v>14032</v>
      </c>
      <c r="E1950" t="s">
        <v>14033</v>
      </c>
      <c r="F1950" t="s">
        <v>14034</v>
      </c>
      <c r="G1950" t="s">
        <v>19188</v>
      </c>
      <c r="I1950" t="s">
        <v>18789</v>
      </c>
      <c r="K1950" t="str">
        <f>HYPERLINK("http://tuberculist.epfl.ch/quicksearch.php?gene+name=Rv1902c&amp;submit=Search")</f>
        <v>http://tuberculist.epfl.ch/quicksearch.php?gene+name=Rv1902c&amp;submit=Search</v>
      </c>
    </row>
    <row r="1951" spans="1:11">
      <c r="A1951" t="s">
        <v>2926</v>
      </c>
      <c r="B1951" t="s">
        <v>2926</v>
      </c>
      <c r="C1951" t="s">
        <v>9567</v>
      </c>
      <c r="D1951" t="s">
        <v>9587</v>
      </c>
      <c r="E1951" t="s">
        <v>9595</v>
      </c>
      <c r="F1951" t="s">
        <v>14035</v>
      </c>
      <c r="G1951" t="s">
        <v>19188</v>
      </c>
      <c r="I1951" t="s">
        <v>18780</v>
      </c>
      <c r="K1951" t="str">
        <f>HYPERLINK("http://tuberculist.epfl.ch/quicksearch.php?gene+name=Rv1903&amp;submit=Search")</f>
        <v>http://tuberculist.epfl.ch/quicksearch.php?gene+name=Rv1903&amp;submit=Search</v>
      </c>
    </row>
    <row r="1952" spans="1:11">
      <c r="A1952" t="s">
        <v>713</v>
      </c>
      <c r="B1952" t="s">
        <v>713</v>
      </c>
      <c r="C1952" t="s">
        <v>9567</v>
      </c>
      <c r="D1952" t="s">
        <v>9578</v>
      </c>
      <c r="E1952" t="s">
        <v>9579</v>
      </c>
      <c r="F1952" t="s">
        <v>14036</v>
      </c>
      <c r="G1952" t="s">
        <v>19212</v>
      </c>
      <c r="I1952" t="s">
        <v>18789</v>
      </c>
      <c r="K1952" t="str">
        <f>HYPERLINK("http://tuberculist.epfl.ch/quicksearch.php?gene+name=Rv1904&amp;submit=Search")</f>
        <v>http://tuberculist.epfl.ch/quicksearch.php?gene+name=Rv1904&amp;submit=Search</v>
      </c>
    </row>
    <row r="1953" spans="1:11">
      <c r="A1953" t="s">
        <v>8218</v>
      </c>
      <c r="B1953" t="s">
        <v>2865</v>
      </c>
      <c r="C1953" t="s">
        <v>9567</v>
      </c>
      <c r="D1953" t="s">
        <v>14037</v>
      </c>
      <c r="E1953" t="s">
        <v>14038</v>
      </c>
      <c r="F1953" t="s">
        <v>14039</v>
      </c>
      <c r="G1953" t="s">
        <v>19195</v>
      </c>
      <c r="H1953" t="s">
        <v>19233</v>
      </c>
      <c r="I1953" t="s">
        <v>18789</v>
      </c>
      <c r="K1953" t="str">
        <f>HYPERLINK("http://tuberculist.epfl.ch/quicksearch.php?gene+name=Rv1905c&amp;submit=Search")</f>
        <v>http://tuberculist.epfl.ch/quicksearch.php?gene+name=Rv1905c&amp;submit=Search</v>
      </c>
    </row>
    <row r="1954" spans="1:11">
      <c r="A1954" t="s">
        <v>2940</v>
      </c>
      <c r="B1954" t="s">
        <v>2940</v>
      </c>
      <c r="C1954" t="s">
        <v>9567</v>
      </c>
      <c r="D1954" t="s">
        <v>9578</v>
      </c>
      <c r="E1954" t="s">
        <v>9665</v>
      </c>
      <c r="F1954" t="s">
        <v>14040</v>
      </c>
      <c r="G1954" t="s">
        <v>19212</v>
      </c>
      <c r="H1954" t="s">
        <v>19415</v>
      </c>
      <c r="I1954" t="s">
        <v>18892</v>
      </c>
      <c r="K1954" t="str">
        <f>HYPERLINK("http://tuberculist.epfl.ch/quicksearch.php?gene+name=Rv1906c&amp;submit=Search")</f>
        <v>http://tuberculist.epfl.ch/quicksearch.php?gene+name=Rv1906c&amp;submit=Search</v>
      </c>
    </row>
    <row r="1955" spans="1:11">
      <c r="A1955" t="s">
        <v>954</v>
      </c>
      <c r="B1955" t="s">
        <v>954</v>
      </c>
      <c r="C1955" t="s">
        <v>9567</v>
      </c>
      <c r="D1955" t="s">
        <v>9587</v>
      </c>
      <c r="E1955" t="s">
        <v>9713</v>
      </c>
      <c r="F1955" t="s">
        <v>14041</v>
      </c>
      <c r="G1955" t="s">
        <v>19210</v>
      </c>
      <c r="I1955" t="s">
        <v>18797</v>
      </c>
      <c r="K1955" t="str">
        <f>HYPERLINK("http://tuberculist.epfl.ch/quicksearch.php?gene+name=Rv1907c&amp;submit=Search")</f>
        <v>http://tuberculist.epfl.ch/quicksearch.php?gene+name=Rv1907c&amp;submit=Search</v>
      </c>
    </row>
    <row r="1956" spans="1:11">
      <c r="A1956" t="s">
        <v>256</v>
      </c>
      <c r="B1956" t="s">
        <v>255</v>
      </c>
      <c r="C1956" t="s">
        <v>9567</v>
      </c>
      <c r="D1956" t="s">
        <v>14042</v>
      </c>
      <c r="E1956" t="s">
        <v>14043</v>
      </c>
      <c r="F1956" t="s">
        <v>14044</v>
      </c>
      <c r="G1956" t="s">
        <v>19206</v>
      </c>
      <c r="H1956" t="s">
        <v>19788</v>
      </c>
      <c r="I1956" t="s">
        <v>19000</v>
      </c>
      <c r="J1956" t="s">
        <v>18839</v>
      </c>
      <c r="K1956" t="str">
        <f>HYPERLINK("http://tuberculist.epfl.ch/quicksearch.php?gene+name=Rv1908c&amp;submit=Search")</f>
        <v>http://tuberculist.epfl.ch/quicksearch.php?gene+name=Rv1908c&amp;submit=Search</v>
      </c>
    </row>
    <row r="1957" spans="1:11">
      <c r="A1957" t="s">
        <v>263</v>
      </c>
      <c r="B1957" t="s">
        <v>262</v>
      </c>
      <c r="C1957" t="s">
        <v>9567</v>
      </c>
      <c r="D1957" t="s">
        <v>14045</v>
      </c>
      <c r="E1957" t="s">
        <v>14046</v>
      </c>
      <c r="F1957" t="s">
        <v>14047</v>
      </c>
      <c r="G1957" t="s">
        <v>19197</v>
      </c>
      <c r="H1957" t="s">
        <v>19789</v>
      </c>
      <c r="I1957" t="s">
        <v>19000</v>
      </c>
      <c r="K1957" t="str">
        <f>HYPERLINK("http://tuberculist.epfl.ch/quicksearch.php?gene+name=Rv1909c&amp;submit=Search")</f>
        <v>http://tuberculist.epfl.ch/quicksearch.php?gene+name=Rv1909c&amp;submit=Search</v>
      </c>
    </row>
    <row r="1958" spans="1:11">
      <c r="A1958" t="s">
        <v>1543</v>
      </c>
      <c r="B1958" t="s">
        <v>1543</v>
      </c>
      <c r="C1958" t="s">
        <v>9567</v>
      </c>
      <c r="D1958" t="s">
        <v>9587</v>
      </c>
      <c r="E1958" t="s">
        <v>11665</v>
      </c>
      <c r="F1958" t="s">
        <v>14048</v>
      </c>
      <c r="G1958" t="s">
        <v>19188</v>
      </c>
      <c r="H1958" t="s">
        <v>19415</v>
      </c>
      <c r="I1958" t="s">
        <v>18821</v>
      </c>
      <c r="K1958" t="str">
        <f>HYPERLINK("http://tuberculist.epfl.ch/quicksearch.php?gene+name=Rv1910c&amp;submit=Search")</f>
        <v>http://tuberculist.epfl.ch/quicksearch.php?gene+name=Rv1910c&amp;submit=Search</v>
      </c>
    </row>
    <row r="1959" spans="1:11">
      <c r="A1959" t="s">
        <v>3607</v>
      </c>
      <c r="B1959" t="s">
        <v>565</v>
      </c>
      <c r="C1959" t="s">
        <v>9567</v>
      </c>
      <c r="D1959" t="s">
        <v>9587</v>
      </c>
      <c r="E1959" t="s">
        <v>14049</v>
      </c>
      <c r="F1959" t="s">
        <v>14050</v>
      </c>
      <c r="G1959" t="s">
        <v>19188</v>
      </c>
      <c r="H1959" t="s">
        <v>19790</v>
      </c>
      <c r="I1959" t="s">
        <v>18797</v>
      </c>
      <c r="K1959" t="str">
        <f>HYPERLINK("http://tuberculist.epfl.ch/quicksearch.php?gene+name=Rv1911c&amp;submit=Search")</f>
        <v>http://tuberculist.epfl.ch/quicksearch.php?gene+name=Rv1911c&amp;submit=Search</v>
      </c>
    </row>
    <row r="1960" spans="1:11">
      <c r="A1960" t="s">
        <v>4762</v>
      </c>
      <c r="B1960" t="s">
        <v>1140</v>
      </c>
      <c r="C1960" t="s">
        <v>9567</v>
      </c>
      <c r="D1960" t="s">
        <v>14051</v>
      </c>
      <c r="E1960" t="s">
        <v>14052</v>
      </c>
      <c r="F1960" t="s">
        <v>14053</v>
      </c>
      <c r="G1960" t="s">
        <v>19219</v>
      </c>
      <c r="I1960" t="s">
        <v>18821</v>
      </c>
      <c r="K1960" t="str">
        <f>HYPERLINK("http://tuberculist.epfl.ch/quicksearch.php?gene+name=Rv1912c&amp;submit=Search")</f>
        <v>http://tuberculist.epfl.ch/quicksearch.php?gene+name=Rv1912c&amp;submit=Search</v>
      </c>
    </row>
    <row r="1961" spans="1:11">
      <c r="A1961" t="s">
        <v>1711</v>
      </c>
      <c r="B1961" t="s">
        <v>1711</v>
      </c>
      <c r="C1961" t="s">
        <v>9567</v>
      </c>
      <c r="D1961" t="s">
        <v>9587</v>
      </c>
      <c r="E1961" t="s">
        <v>9579</v>
      </c>
      <c r="F1961" t="s">
        <v>14054</v>
      </c>
      <c r="G1961" t="s">
        <v>19204</v>
      </c>
      <c r="I1961" t="s">
        <v>18797</v>
      </c>
      <c r="K1961" t="str">
        <f>HYPERLINK("http://tuberculist.epfl.ch/quicksearch.php?gene+name=Rv1913&amp;submit=Search")</f>
        <v>http://tuberculist.epfl.ch/quicksearch.php?gene+name=Rv1913&amp;submit=Search</v>
      </c>
    </row>
    <row r="1962" spans="1:11">
      <c r="A1962" t="s">
        <v>1304</v>
      </c>
      <c r="B1962" t="s">
        <v>1304</v>
      </c>
      <c r="C1962" t="s">
        <v>9567</v>
      </c>
      <c r="D1962" t="s">
        <v>9587</v>
      </c>
      <c r="E1962" t="s">
        <v>9768</v>
      </c>
      <c r="F1962" t="s">
        <v>14055</v>
      </c>
      <c r="G1962" t="s">
        <v>19204</v>
      </c>
      <c r="H1962" t="s">
        <v>19246</v>
      </c>
      <c r="I1962" t="s">
        <v>18821</v>
      </c>
      <c r="K1962" t="str">
        <f>HYPERLINK("http://tuberculist.epfl.ch/quicksearch.php?gene+name=Rv1914c&amp;submit=Search")</f>
        <v>http://tuberculist.epfl.ch/quicksearch.php?gene+name=Rv1914c&amp;submit=Search</v>
      </c>
    </row>
    <row r="1963" spans="1:11">
      <c r="A1963" t="s">
        <v>14056</v>
      </c>
      <c r="B1963" t="s">
        <v>14057</v>
      </c>
      <c r="C1963" t="s">
        <v>9567</v>
      </c>
      <c r="D1963" t="s">
        <v>14058</v>
      </c>
      <c r="E1963" t="s">
        <v>14059</v>
      </c>
      <c r="F1963" t="s">
        <v>14060</v>
      </c>
      <c r="G1963" t="s">
        <v>19195</v>
      </c>
      <c r="H1963" t="s">
        <v>19309</v>
      </c>
      <c r="I1963" t="s">
        <v>19001</v>
      </c>
      <c r="K1963" t="str">
        <f>HYPERLINK("http://tuberculist.epfl.ch/quicksearch.php?gene+name=Rv1915&amp;submit=Search")</f>
        <v>http://tuberculist.epfl.ch/quicksearch.php?gene+name=Rv1915&amp;submit=Search</v>
      </c>
    </row>
    <row r="1964" spans="1:11">
      <c r="A1964" t="s">
        <v>14061</v>
      </c>
      <c r="B1964" t="s">
        <v>1473</v>
      </c>
      <c r="C1964" t="s">
        <v>9567</v>
      </c>
      <c r="D1964" t="s">
        <v>14058</v>
      </c>
      <c r="E1964" t="s">
        <v>14062</v>
      </c>
      <c r="F1964" t="s">
        <v>14063</v>
      </c>
      <c r="G1964" t="s">
        <v>19195</v>
      </c>
      <c r="I1964" t="s">
        <v>19002</v>
      </c>
      <c r="K1964" t="str">
        <f>HYPERLINK("http://tuberculist.epfl.ch/quicksearch.php?gene+name=Rv1916&amp;submit=Search")</f>
        <v>http://tuberculist.epfl.ch/quicksearch.php?gene+name=Rv1916&amp;submit=Search</v>
      </c>
    </row>
    <row r="1965" spans="1:11">
      <c r="A1965" t="s">
        <v>8747</v>
      </c>
      <c r="B1965" t="s">
        <v>3113</v>
      </c>
      <c r="C1965" t="s">
        <v>9567</v>
      </c>
      <c r="D1965" t="s">
        <v>9578</v>
      </c>
      <c r="E1965" t="s">
        <v>14064</v>
      </c>
      <c r="F1965" t="s">
        <v>14065</v>
      </c>
      <c r="G1965" t="s">
        <v>19262</v>
      </c>
      <c r="H1965" t="s">
        <v>19267</v>
      </c>
      <c r="I1965" t="s">
        <v>18795</v>
      </c>
      <c r="K1965" t="str">
        <f>HYPERLINK("http://tuberculist.epfl.ch/quicksearch.php?gene+name=Rv1917c&amp;submit=Search")</f>
        <v>http://tuberculist.epfl.ch/quicksearch.php?gene+name=Rv1917c&amp;submit=Search</v>
      </c>
    </row>
    <row r="1966" spans="1:11">
      <c r="A1966" t="s">
        <v>14066</v>
      </c>
      <c r="B1966" t="s">
        <v>2012</v>
      </c>
      <c r="C1966" t="s">
        <v>9567</v>
      </c>
      <c r="D1966" t="s">
        <v>9578</v>
      </c>
      <c r="E1966" t="s">
        <v>14067</v>
      </c>
      <c r="F1966" t="s">
        <v>14068</v>
      </c>
      <c r="G1966" t="s">
        <v>19262</v>
      </c>
      <c r="H1966" t="s">
        <v>19267</v>
      </c>
      <c r="I1966" t="s">
        <v>18795</v>
      </c>
      <c r="K1966" t="str">
        <f>HYPERLINK("http://tuberculist.epfl.ch/quicksearch.php?gene+name=Rv1918c&amp;submit=Search")</f>
        <v>http://tuberculist.epfl.ch/quicksearch.php?gene+name=Rv1918c&amp;submit=Search</v>
      </c>
    </row>
    <row r="1967" spans="1:11">
      <c r="A1967" t="s">
        <v>2204</v>
      </c>
      <c r="B1967" t="s">
        <v>2204</v>
      </c>
      <c r="C1967" t="s">
        <v>9567</v>
      </c>
      <c r="D1967" t="s">
        <v>9578</v>
      </c>
      <c r="E1967" t="s">
        <v>9665</v>
      </c>
      <c r="F1967" t="s">
        <v>14069</v>
      </c>
      <c r="G1967" t="s">
        <v>19212</v>
      </c>
      <c r="H1967" t="s">
        <v>19401</v>
      </c>
      <c r="I1967" t="s">
        <v>18836</v>
      </c>
      <c r="K1967" t="str">
        <f>HYPERLINK("http://tuberculist.epfl.ch/quicksearch.php?gene+name=Rv1919c&amp;submit=Search")</f>
        <v>http://tuberculist.epfl.ch/quicksearch.php?gene+name=Rv1919c&amp;submit=Search</v>
      </c>
    </row>
    <row r="1968" spans="1:11">
      <c r="A1968" t="s">
        <v>2581</v>
      </c>
      <c r="B1968" t="s">
        <v>2581</v>
      </c>
      <c r="C1968" t="s">
        <v>9567</v>
      </c>
      <c r="D1968" t="s">
        <v>9587</v>
      </c>
      <c r="E1968" t="s">
        <v>9758</v>
      </c>
      <c r="F1968" t="s">
        <v>14070</v>
      </c>
      <c r="G1968" t="s">
        <v>19188</v>
      </c>
      <c r="H1968" t="s">
        <v>19196</v>
      </c>
      <c r="I1968" t="s">
        <v>18780</v>
      </c>
      <c r="K1968" t="str">
        <f>HYPERLINK("http://tuberculist.epfl.ch/quicksearch.php?gene+name=Rv1920&amp;submit=Search")</f>
        <v>http://tuberculist.epfl.ch/quicksearch.php?gene+name=Rv1920&amp;submit=Search</v>
      </c>
    </row>
    <row r="1969" spans="1:11">
      <c r="A1969" t="s">
        <v>3446</v>
      </c>
      <c r="B1969" t="s">
        <v>479</v>
      </c>
      <c r="C1969" t="s">
        <v>9567</v>
      </c>
      <c r="D1969" t="s">
        <v>9587</v>
      </c>
      <c r="E1969" t="s">
        <v>14071</v>
      </c>
      <c r="F1969" t="s">
        <v>14072</v>
      </c>
      <c r="G1969" t="s">
        <v>19188</v>
      </c>
      <c r="I1969" t="s">
        <v>18789</v>
      </c>
      <c r="K1969" t="str">
        <f>HYPERLINK("http://tuberculist.epfl.ch/quicksearch.php?gene+name=Rv1921c&amp;submit=Search")</f>
        <v>http://tuberculist.epfl.ch/quicksearch.php?gene+name=Rv1921c&amp;submit=Search</v>
      </c>
    </row>
    <row r="1970" spans="1:11">
      <c r="A1970" t="s">
        <v>2020</v>
      </c>
      <c r="B1970" t="s">
        <v>2020</v>
      </c>
      <c r="C1970" t="s">
        <v>9567</v>
      </c>
      <c r="D1970" t="s">
        <v>9587</v>
      </c>
      <c r="E1970" t="s">
        <v>14073</v>
      </c>
      <c r="F1970" t="s">
        <v>14074</v>
      </c>
      <c r="G1970" t="s">
        <v>19188</v>
      </c>
      <c r="H1970" t="s">
        <v>19247</v>
      </c>
      <c r="I1970" t="s">
        <v>18780</v>
      </c>
      <c r="K1970" t="str">
        <f>HYPERLINK("http://tuberculist.epfl.ch/quicksearch.php?gene+name=Rv1922&amp;submit=Search")</f>
        <v>http://tuberculist.epfl.ch/quicksearch.php?gene+name=Rv1922&amp;submit=Search</v>
      </c>
    </row>
    <row r="1971" spans="1:11">
      <c r="A1971" t="s">
        <v>8480</v>
      </c>
      <c r="B1971" t="s">
        <v>2986</v>
      </c>
      <c r="C1971" t="s">
        <v>9567</v>
      </c>
      <c r="D1971" t="s">
        <v>14075</v>
      </c>
      <c r="E1971" t="s">
        <v>14076</v>
      </c>
      <c r="F1971" t="s">
        <v>14077</v>
      </c>
      <c r="G1971" t="s">
        <v>19195</v>
      </c>
      <c r="H1971" t="s">
        <v>19632</v>
      </c>
      <c r="I1971" t="s">
        <v>18789</v>
      </c>
      <c r="K1971" t="str">
        <f>HYPERLINK("http://tuberculist.epfl.ch/quicksearch.php?gene+name=Rv1923&amp;submit=Search")</f>
        <v>http://tuberculist.epfl.ch/quicksearch.php?gene+name=Rv1923&amp;submit=Search</v>
      </c>
    </row>
    <row r="1972" spans="1:11">
      <c r="A1972" t="s">
        <v>2905</v>
      </c>
      <c r="B1972" t="s">
        <v>2905</v>
      </c>
      <c r="C1972" t="s">
        <v>9567</v>
      </c>
      <c r="D1972" t="s">
        <v>9587</v>
      </c>
      <c r="E1972" t="s">
        <v>9768</v>
      </c>
      <c r="F1972" t="s">
        <v>14078</v>
      </c>
      <c r="G1972" t="s">
        <v>19212</v>
      </c>
      <c r="H1972" t="s">
        <v>19461</v>
      </c>
      <c r="I1972" t="s">
        <v>18780</v>
      </c>
      <c r="K1972" t="str">
        <f>HYPERLINK("http://tuberculist.epfl.ch/quicksearch.php?gene+name=Rv1924c&amp;submit=Search")</f>
        <v>http://tuberculist.epfl.ch/quicksearch.php?gene+name=Rv1924c&amp;submit=Search</v>
      </c>
    </row>
    <row r="1973" spans="1:11">
      <c r="A1973" t="s">
        <v>9262</v>
      </c>
      <c r="B1973" t="s">
        <v>3355</v>
      </c>
      <c r="C1973" t="s">
        <v>9567</v>
      </c>
      <c r="D1973" t="s">
        <v>9812</v>
      </c>
      <c r="E1973" t="s">
        <v>14079</v>
      </c>
      <c r="F1973" t="s">
        <v>14080</v>
      </c>
      <c r="G1973" t="s">
        <v>19219</v>
      </c>
      <c r="H1973" t="s">
        <v>19791</v>
      </c>
      <c r="I1973" t="s">
        <v>18780</v>
      </c>
      <c r="K1973" t="str">
        <f>HYPERLINK("http://tuberculist.epfl.ch/quicksearch.php?gene+name=Rv1925&amp;submit=Search")</f>
        <v>http://tuberculist.epfl.ch/quicksearch.php?gene+name=Rv1925&amp;submit=Search</v>
      </c>
    </row>
    <row r="1974" spans="1:11">
      <c r="A1974" t="s">
        <v>6392</v>
      </c>
      <c r="B1974" t="s">
        <v>1945</v>
      </c>
      <c r="C1974" t="s">
        <v>9567</v>
      </c>
      <c r="D1974" t="s">
        <v>9587</v>
      </c>
      <c r="E1974" t="s">
        <v>14081</v>
      </c>
      <c r="F1974" t="s">
        <v>14082</v>
      </c>
      <c r="G1974" t="s">
        <v>19188</v>
      </c>
      <c r="H1974" t="s">
        <v>19792</v>
      </c>
      <c r="I1974" t="s">
        <v>18780</v>
      </c>
      <c r="J1974" t="s">
        <v>18775</v>
      </c>
      <c r="K1974" t="str">
        <f>HYPERLINK("http://tuberculist.epfl.ch/quicksearch.php?gene+name=Rv1926c&amp;submit=Search")</f>
        <v>http://tuberculist.epfl.ch/quicksearch.php?gene+name=Rv1926c&amp;submit=Search</v>
      </c>
    </row>
    <row r="1975" spans="1:11">
      <c r="A1975" t="s">
        <v>1211</v>
      </c>
      <c r="B1975" t="s">
        <v>1211</v>
      </c>
      <c r="C1975" t="s">
        <v>9567</v>
      </c>
      <c r="D1975" t="s">
        <v>9578</v>
      </c>
      <c r="E1975" t="s">
        <v>9579</v>
      </c>
      <c r="F1975" t="s">
        <v>14083</v>
      </c>
      <c r="G1975" t="s">
        <v>19212</v>
      </c>
      <c r="H1975" t="s">
        <v>19334</v>
      </c>
      <c r="I1975" t="s">
        <v>18797</v>
      </c>
      <c r="K1975" t="str">
        <f>HYPERLINK("http://tuberculist.epfl.ch/quicksearch.php?gene+name=Rv1927&amp;submit=Search")</f>
        <v>http://tuberculist.epfl.ch/quicksearch.php?gene+name=Rv1927&amp;submit=Search</v>
      </c>
    </row>
    <row r="1976" spans="1:11">
      <c r="A1976" t="s">
        <v>1274</v>
      </c>
      <c r="B1976" t="s">
        <v>1274</v>
      </c>
      <c r="C1976" t="s">
        <v>9567</v>
      </c>
      <c r="D1976" t="s">
        <v>9682</v>
      </c>
      <c r="E1976" t="s">
        <v>9932</v>
      </c>
      <c r="F1976" t="s">
        <v>14084</v>
      </c>
      <c r="G1976" t="s">
        <v>19195</v>
      </c>
      <c r="H1976" t="s">
        <v>19287</v>
      </c>
      <c r="I1976" t="s">
        <v>18797</v>
      </c>
      <c r="K1976" t="str">
        <f>HYPERLINK("http://tuberculist.epfl.ch/quicksearch.php?gene+name=Rv1928c&amp;submit=Search")</f>
        <v>http://tuberculist.epfl.ch/quicksearch.php?gene+name=Rv1928c&amp;submit=Search</v>
      </c>
    </row>
    <row r="1977" spans="1:11">
      <c r="A1977" t="s">
        <v>3148</v>
      </c>
      <c r="B1977" t="s">
        <v>3148</v>
      </c>
      <c r="C1977" t="s">
        <v>9567</v>
      </c>
      <c r="D1977" t="s">
        <v>9578</v>
      </c>
      <c r="E1977" t="s">
        <v>9579</v>
      </c>
      <c r="F1977" t="s">
        <v>14085</v>
      </c>
      <c r="G1977" t="s">
        <v>19212</v>
      </c>
      <c r="I1977" t="s">
        <v>18780</v>
      </c>
      <c r="K1977" t="str">
        <f>HYPERLINK("http://tuberculist.epfl.ch/quicksearch.php?gene+name=Rv1929c&amp;submit=Search")</f>
        <v>http://tuberculist.epfl.ch/quicksearch.php?gene+name=Rv1929c&amp;submit=Search</v>
      </c>
    </row>
    <row r="1978" spans="1:11">
      <c r="A1978" t="s">
        <v>14086</v>
      </c>
      <c r="B1978" t="s">
        <v>14086</v>
      </c>
      <c r="C1978" t="s">
        <v>9567</v>
      </c>
      <c r="D1978" t="s">
        <v>9578</v>
      </c>
      <c r="E1978" t="s">
        <v>9579</v>
      </c>
      <c r="F1978" t="s">
        <v>14087</v>
      </c>
      <c r="G1978" t="s">
        <v>19204</v>
      </c>
      <c r="I1978" t="s">
        <v>18890</v>
      </c>
      <c r="K1978" t="str">
        <f>HYPERLINK("http://tuberculist.epfl.ch/quicksearch.php?gene+name=Rv1930c&amp;submit=Search")</f>
        <v>http://tuberculist.epfl.ch/quicksearch.php?gene+name=Rv1930c&amp;submit=Search</v>
      </c>
    </row>
    <row r="1979" spans="1:11">
      <c r="A1979" t="s">
        <v>589</v>
      </c>
      <c r="B1979" t="s">
        <v>589</v>
      </c>
      <c r="C1979" t="s">
        <v>9567</v>
      </c>
      <c r="D1979" t="s">
        <v>9969</v>
      </c>
      <c r="E1979" t="s">
        <v>9763</v>
      </c>
      <c r="F1979" t="s">
        <v>14088</v>
      </c>
      <c r="G1979" t="s">
        <v>19197</v>
      </c>
      <c r="H1979" t="s">
        <v>19207</v>
      </c>
      <c r="I1979" t="s">
        <v>18853</v>
      </c>
      <c r="K1979" t="str">
        <f>HYPERLINK("http://tuberculist.epfl.ch/quicksearch.php?gene+name=Rv1931c&amp;submit=Search")</f>
        <v>http://tuberculist.epfl.ch/quicksearch.php?gene+name=Rv1931c&amp;submit=Search</v>
      </c>
    </row>
    <row r="1980" spans="1:11">
      <c r="A1980" t="s">
        <v>6301</v>
      </c>
      <c r="B1980" t="s">
        <v>1899</v>
      </c>
      <c r="C1980" t="s">
        <v>9567</v>
      </c>
      <c r="D1980" t="s">
        <v>14089</v>
      </c>
      <c r="E1980" t="s">
        <v>14090</v>
      </c>
      <c r="F1980" t="s">
        <v>14091</v>
      </c>
      <c r="G1980" t="s">
        <v>19206</v>
      </c>
      <c r="H1980" t="s">
        <v>19793</v>
      </c>
      <c r="I1980" t="s">
        <v>19003</v>
      </c>
      <c r="K1980" t="str">
        <f>HYPERLINK("http://tuberculist.epfl.ch/quicksearch.php?gene+name=Rv1932&amp;submit=Search")</f>
        <v>http://tuberculist.epfl.ch/quicksearch.php?gene+name=Rv1932&amp;submit=Search</v>
      </c>
    </row>
    <row r="1981" spans="1:11">
      <c r="A1981" t="s">
        <v>6056</v>
      </c>
      <c r="B1981" t="s">
        <v>1783</v>
      </c>
      <c r="C1981" t="s">
        <v>9567</v>
      </c>
      <c r="D1981" t="s">
        <v>12417</v>
      </c>
      <c r="E1981" t="s">
        <v>14092</v>
      </c>
      <c r="F1981" t="s">
        <v>14093</v>
      </c>
      <c r="G1981" t="s">
        <v>19219</v>
      </c>
      <c r="I1981" t="s">
        <v>18793</v>
      </c>
      <c r="J1981" t="s">
        <v>19004</v>
      </c>
      <c r="K1981" t="str">
        <f>HYPERLINK("http://tuberculist.epfl.ch/quicksearch.php?gene+name=Rv1933c&amp;submit=Search")</f>
        <v>http://tuberculist.epfl.ch/quicksearch.php?gene+name=Rv1933c&amp;submit=Search</v>
      </c>
    </row>
    <row r="1982" spans="1:11">
      <c r="A1982" t="s">
        <v>8679</v>
      </c>
      <c r="B1982" t="s">
        <v>3077</v>
      </c>
      <c r="C1982" t="s">
        <v>9567</v>
      </c>
      <c r="D1982" t="s">
        <v>12417</v>
      </c>
      <c r="E1982" t="s">
        <v>14094</v>
      </c>
      <c r="F1982" t="s">
        <v>14095</v>
      </c>
      <c r="G1982" t="s">
        <v>19219</v>
      </c>
      <c r="H1982" t="s">
        <v>19205</v>
      </c>
      <c r="I1982" t="s">
        <v>18789</v>
      </c>
      <c r="K1982" t="str">
        <f>HYPERLINK("http://tuberculist.epfl.ch/quicksearch.php?gene+name=Rv1934c&amp;submit=Search")</f>
        <v>http://tuberculist.epfl.ch/quicksearch.php?gene+name=Rv1934c&amp;submit=Search</v>
      </c>
    </row>
    <row r="1983" spans="1:11">
      <c r="A1983" t="s">
        <v>14096</v>
      </c>
      <c r="B1983" t="s">
        <v>14097</v>
      </c>
      <c r="C1983" t="s">
        <v>9567</v>
      </c>
      <c r="D1983" t="s">
        <v>10092</v>
      </c>
      <c r="E1983" t="s">
        <v>14098</v>
      </c>
      <c r="F1983" t="s">
        <v>14099</v>
      </c>
      <c r="G1983" t="s">
        <v>19219</v>
      </c>
      <c r="H1983" t="s">
        <v>19211</v>
      </c>
      <c r="I1983" t="s">
        <v>18780</v>
      </c>
      <c r="J1983" t="s">
        <v>19005</v>
      </c>
      <c r="K1983" t="str">
        <f>HYPERLINK("http://tuberculist.epfl.ch/quicksearch.php?gene+name=Rv1935c&amp;submit=Search")</f>
        <v>http://tuberculist.epfl.ch/quicksearch.php?gene+name=Rv1935c&amp;submit=Search</v>
      </c>
    </row>
    <row r="1984" spans="1:11">
      <c r="A1984" t="s">
        <v>14100</v>
      </c>
      <c r="B1984" t="s">
        <v>14100</v>
      </c>
      <c r="C1984" t="s">
        <v>9567</v>
      </c>
      <c r="D1984" t="s">
        <v>12032</v>
      </c>
      <c r="E1984" t="s">
        <v>11442</v>
      </c>
      <c r="F1984" t="s">
        <v>14101</v>
      </c>
      <c r="G1984" t="s">
        <v>19195</v>
      </c>
      <c r="H1984" t="s">
        <v>19214</v>
      </c>
      <c r="I1984" t="s">
        <v>19006</v>
      </c>
      <c r="J1984" t="s">
        <v>18778</v>
      </c>
      <c r="K1984" t="str">
        <f>HYPERLINK("http://tuberculist.epfl.ch/quicksearch.php?gene+name=Rv1936&amp;submit=Search")</f>
        <v>http://tuberculist.epfl.ch/quicksearch.php?gene+name=Rv1936&amp;submit=Search</v>
      </c>
    </row>
    <row r="1985" spans="1:11">
      <c r="A1985" t="s">
        <v>3336</v>
      </c>
      <c r="B1985" t="s">
        <v>3336</v>
      </c>
      <c r="C1985" t="s">
        <v>9567</v>
      </c>
      <c r="D1985" t="s">
        <v>14102</v>
      </c>
      <c r="E1985" t="s">
        <v>14103</v>
      </c>
      <c r="F1985" t="s">
        <v>14104</v>
      </c>
      <c r="G1985" t="s">
        <v>19195</v>
      </c>
      <c r="H1985" t="s">
        <v>19302</v>
      </c>
      <c r="I1985" t="s">
        <v>19007</v>
      </c>
      <c r="J1985" t="s">
        <v>19004</v>
      </c>
      <c r="K1985" t="str">
        <f>HYPERLINK("http://tuberculist.epfl.ch/quicksearch.php?gene+name=Rv1937&amp;submit=Search")</f>
        <v>http://tuberculist.epfl.ch/quicksearch.php?gene+name=Rv1937&amp;submit=Search</v>
      </c>
    </row>
    <row r="1986" spans="1:11">
      <c r="A1986" t="s">
        <v>14105</v>
      </c>
      <c r="B1986" t="s">
        <v>14106</v>
      </c>
      <c r="C1986" t="s">
        <v>9567</v>
      </c>
      <c r="D1986" t="s">
        <v>14107</v>
      </c>
      <c r="E1986" t="s">
        <v>14108</v>
      </c>
      <c r="F1986" t="s">
        <v>14109</v>
      </c>
      <c r="G1986" t="s">
        <v>19206</v>
      </c>
      <c r="H1986" t="s">
        <v>19794</v>
      </c>
      <c r="I1986" t="s">
        <v>19006</v>
      </c>
      <c r="J1986" t="s">
        <v>19004</v>
      </c>
      <c r="K1986" t="str">
        <f>HYPERLINK("http://tuberculist.epfl.ch/quicksearch.php?gene+name=Rv1938&amp;submit=Search")</f>
        <v>http://tuberculist.epfl.ch/quicksearch.php?gene+name=Rv1938&amp;submit=Search</v>
      </c>
    </row>
    <row r="1987" spans="1:11">
      <c r="A1987" t="s">
        <v>14110</v>
      </c>
      <c r="B1987" t="s">
        <v>14110</v>
      </c>
      <c r="C1987" t="s">
        <v>9567</v>
      </c>
      <c r="D1987" t="s">
        <v>12032</v>
      </c>
      <c r="E1987" t="s">
        <v>9739</v>
      </c>
      <c r="F1987" t="s">
        <v>14111</v>
      </c>
      <c r="G1987" t="s">
        <v>19195</v>
      </c>
      <c r="I1987" t="s">
        <v>19008</v>
      </c>
      <c r="K1987" t="str">
        <f>HYPERLINK("http://tuberculist.epfl.ch/quicksearch.php?gene+name=Rv1939&amp;submit=Search")</f>
        <v>http://tuberculist.epfl.ch/quicksearch.php?gene+name=Rv1939&amp;submit=Search</v>
      </c>
    </row>
    <row r="1988" spans="1:11">
      <c r="A1988" t="s">
        <v>14112</v>
      </c>
      <c r="B1988" t="s">
        <v>14113</v>
      </c>
      <c r="C1988" t="s">
        <v>9567</v>
      </c>
      <c r="D1988" t="s">
        <v>14114</v>
      </c>
      <c r="E1988" t="s">
        <v>14115</v>
      </c>
      <c r="F1988" t="s">
        <v>14116</v>
      </c>
      <c r="G1988" t="s">
        <v>19195</v>
      </c>
      <c r="I1988" t="s">
        <v>19009</v>
      </c>
      <c r="J1988" t="s">
        <v>19004</v>
      </c>
      <c r="K1988" t="str">
        <f>HYPERLINK("http://tuberculist.epfl.ch/quicksearch.php?gene+name=Rv1940&amp;submit=Search")</f>
        <v>http://tuberculist.epfl.ch/quicksearch.php?gene+name=Rv1940&amp;submit=Search</v>
      </c>
    </row>
    <row r="1989" spans="1:11">
      <c r="A1989" t="s">
        <v>1488</v>
      </c>
      <c r="B1989" t="s">
        <v>1488</v>
      </c>
      <c r="C1989" t="s">
        <v>9567</v>
      </c>
      <c r="D1989" t="s">
        <v>12032</v>
      </c>
      <c r="E1989" t="s">
        <v>9932</v>
      </c>
      <c r="F1989" t="s">
        <v>14117</v>
      </c>
      <c r="G1989" t="s">
        <v>19195</v>
      </c>
      <c r="I1989" t="s">
        <v>19010</v>
      </c>
      <c r="J1989" t="s">
        <v>19004</v>
      </c>
      <c r="K1989" t="str">
        <f>HYPERLINK("http://tuberculist.epfl.ch/quicksearch.php?gene+name=Rv1941&amp;submit=Search")</f>
        <v>http://tuberculist.epfl.ch/quicksearch.php?gene+name=Rv1941&amp;submit=Search</v>
      </c>
    </row>
    <row r="1990" spans="1:11">
      <c r="A1990" t="s">
        <v>14118</v>
      </c>
      <c r="B1990" t="s">
        <v>14119</v>
      </c>
      <c r="C1990" t="s">
        <v>9567</v>
      </c>
      <c r="D1990" t="s">
        <v>9578</v>
      </c>
      <c r="E1990" t="s">
        <v>14120</v>
      </c>
      <c r="F1990" t="s">
        <v>14121</v>
      </c>
      <c r="G1990" t="s">
        <v>19206</v>
      </c>
      <c r="H1990" t="s">
        <v>19233</v>
      </c>
      <c r="I1990" t="s">
        <v>18773</v>
      </c>
      <c r="J1990" t="s">
        <v>18809</v>
      </c>
      <c r="K1990" t="str">
        <f>HYPERLINK("http://tuberculist.epfl.ch/quicksearch.php?gene+name=Rv1942c&amp;submit=Search")</f>
        <v>http://tuberculist.epfl.ch/quicksearch.php?gene+name=Rv1942c&amp;submit=Search</v>
      </c>
    </row>
    <row r="1991" spans="1:11">
      <c r="A1991" t="s">
        <v>14122</v>
      </c>
      <c r="B1991" t="s">
        <v>739</v>
      </c>
      <c r="C1991" t="s">
        <v>9567</v>
      </c>
      <c r="D1991" t="s">
        <v>9578</v>
      </c>
      <c r="E1991" t="s">
        <v>14123</v>
      </c>
      <c r="F1991" t="s">
        <v>14124</v>
      </c>
      <c r="G1991" t="s">
        <v>19206</v>
      </c>
      <c r="H1991" t="s">
        <v>19192</v>
      </c>
      <c r="I1991" t="s">
        <v>18788</v>
      </c>
      <c r="K1991" t="str">
        <f>HYPERLINK("http://tuberculist.epfl.ch/quicksearch.php?gene+name=Rv1943c&amp;submit=Search")</f>
        <v>http://tuberculist.epfl.ch/quicksearch.php?gene+name=Rv1943c&amp;submit=Search</v>
      </c>
    </row>
    <row r="1992" spans="1:11">
      <c r="A1992" t="s">
        <v>955</v>
      </c>
      <c r="B1992" t="s">
        <v>955</v>
      </c>
      <c r="C1992" t="s">
        <v>9567</v>
      </c>
      <c r="D1992" t="s">
        <v>9578</v>
      </c>
      <c r="E1992" t="s">
        <v>9665</v>
      </c>
      <c r="F1992" t="s">
        <v>14125</v>
      </c>
      <c r="G1992" t="s">
        <v>19210</v>
      </c>
      <c r="H1992" t="s">
        <v>19278</v>
      </c>
      <c r="I1992" t="s">
        <v>18780</v>
      </c>
      <c r="K1992" t="str">
        <f>HYPERLINK("http://tuberculist.epfl.ch/quicksearch.php?gene+name=Rv1944c&amp;submit=Search")</f>
        <v>http://tuberculist.epfl.ch/quicksearch.php?gene+name=Rv1944c&amp;submit=Search</v>
      </c>
    </row>
    <row r="1993" spans="1:11">
      <c r="A1993" t="s">
        <v>14126</v>
      </c>
      <c r="B1993" t="s">
        <v>14126</v>
      </c>
      <c r="C1993" t="s">
        <v>9567</v>
      </c>
      <c r="D1993" t="s">
        <v>9587</v>
      </c>
      <c r="E1993" t="s">
        <v>9579</v>
      </c>
      <c r="F1993" t="s">
        <v>14127</v>
      </c>
      <c r="G1993" t="s">
        <v>19217</v>
      </c>
      <c r="I1993" t="s">
        <v>18779</v>
      </c>
      <c r="K1993" t="str">
        <f>HYPERLINK("http://tuberculist.epfl.ch/quicksearch.php?gene+name=Rv1945&amp;submit=Search")</f>
        <v>http://tuberculist.epfl.ch/quicksearch.php?gene+name=Rv1945&amp;submit=Search</v>
      </c>
    </row>
    <row r="1994" spans="1:11">
      <c r="A1994" t="s">
        <v>5821</v>
      </c>
      <c r="B1994" t="s">
        <v>1664</v>
      </c>
      <c r="C1994" t="s">
        <v>9567</v>
      </c>
      <c r="D1994" t="s">
        <v>9587</v>
      </c>
      <c r="E1994" t="s">
        <v>14128</v>
      </c>
      <c r="F1994" t="s">
        <v>14129</v>
      </c>
      <c r="G1994" t="s">
        <v>19188</v>
      </c>
      <c r="I1994" t="s">
        <v>18780</v>
      </c>
      <c r="K1994" t="str">
        <f>HYPERLINK("http://tuberculist.epfl.ch/quicksearch.php?gene+name=Rv1946c&amp;submit=Search")</f>
        <v>http://tuberculist.epfl.ch/quicksearch.php?gene+name=Rv1946c&amp;submit=Search</v>
      </c>
    </row>
    <row r="1995" spans="1:11">
      <c r="A1995" t="s">
        <v>536</v>
      </c>
      <c r="B1995" t="s">
        <v>536</v>
      </c>
      <c r="C1995" t="s">
        <v>9567</v>
      </c>
      <c r="D1995" t="s">
        <v>9587</v>
      </c>
      <c r="E1995" t="s">
        <v>9713</v>
      </c>
      <c r="F1995" t="s">
        <v>14130</v>
      </c>
      <c r="G1995" t="s">
        <v>19210</v>
      </c>
      <c r="I1995" t="s">
        <v>18780</v>
      </c>
      <c r="K1995" t="str">
        <f>HYPERLINK("http://tuberculist.epfl.ch/quicksearch.php?gene+name=Rv1947&amp;submit=Search")</f>
        <v>http://tuberculist.epfl.ch/quicksearch.php?gene+name=Rv1947&amp;submit=Search</v>
      </c>
    </row>
    <row r="1996" spans="1:11">
      <c r="A1996" t="s">
        <v>14131</v>
      </c>
      <c r="B1996" t="s">
        <v>14131</v>
      </c>
      <c r="C1996" t="s">
        <v>9567</v>
      </c>
      <c r="D1996" t="s">
        <v>9587</v>
      </c>
      <c r="E1996" t="s">
        <v>9713</v>
      </c>
      <c r="F1996" t="s">
        <v>14132</v>
      </c>
      <c r="G1996" t="s">
        <v>19298</v>
      </c>
      <c r="I1996" t="s">
        <v>18821</v>
      </c>
      <c r="K1996" t="str">
        <f>HYPERLINK("http://tuberculist.epfl.ch/quicksearch.php?gene+name=Rv1948c&amp;submit=Search")</f>
        <v>http://tuberculist.epfl.ch/quicksearch.php?gene+name=Rv1948c&amp;submit=Search</v>
      </c>
    </row>
    <row r="1997" spans="1:11">
      <c r="A1997" t="s">
        <v>14133</v>
      </c>
      <c r="B1997" t="s">
        <v>14133</v>
      </c>
      <c r="C1997" t="s">
        <v>9567</v>
      </c>
      <c r="D1997" t="s">
        <v>9578</v>
      </c>
      <c r="E1997" t="s">
        <v>9579</v>
      </c>
      <c r="F1997" t="s">
        <v>14134</v>
      </c>
      <c r="G1997" t="s">
        <v>19212</v>
      </c>
      <c r="I1997" t="s">
        <v>18821</v>
      </c>
      <c r="K1997" t="str">
        <f>HYPERLINK("http://tuberculist.epfl.ch/quicksearch.php?gene+name=Rv1949c&amp;submit=Search")</f>
        <v>http://tuberculist.epfl.ch/quicksearch.php?gene+name=Rv1949c&amp;submit=Search</v>
      </c>
    </row>
    <row r="1998" spans="1:11">
      <c r="A1998" t="s">
        <v>14135</v>
      </c>
      <c r="B1998" t="s">
        <v>14135</v>
      </c>
      <c r="C1998" t="s">
        <v>9567</v>
      </c>
      <c r="D1998" t="s">
        <v>9578</v>
      </c>
      <c r="E1998" t="s">
        <v>9579</v>
      </c>
      <c r="F1998" t="s">
        <v>14136</v>
      </c>
      <c r="G1998" t="s">
        <v>19298</v>
      </c>
      <c r="I1998" t="s">
        <v>18821</v>
      </c>
      <c r="K1998" t="str">
        <f>HYPERLINK("http://tuberculist.epfl.ch/quicksearch.php?gene+name=Rv1950c&amp;submit=Search")</f>
        <v>http://tuberculist.epfl.ch/quicksearch.php?gene+name=Rv1950c&amp;submit=Search</v>
      </c>
    </row>
    <row r="1999" spans="1:11">
      <c r="A1999" t="s">
        <v>14137</v>
      </c>
      <c r="B1999" t="s">
        <v>14137</v>
      </c>
      <c r="C1999" t="s">
        <v>9567</v>
      </c>
      <c r="D1999" t="s">
        <v>9578</v>
      </c>
      <c r="E1999" t="s">
        <v>9579</v>
      </c>
      <c r="F1999" t="s">
        <v>14138</v>
      </c>
      <c r="G1999" t="s">
        <v>19212</v>
      </c>
      <c r="I1999" t="s">
        <v>18821</v>
      </c>
      <c r="J1999" t="s">
        <v>18775</v>
      </c>
      <c r="K1999" t="str">
        <f>HYPERLINK("http://tuberculist.epfl.ch/quicksearch.php?gene+name=Rv1951c&amp;submit=Search")</f>
        <v>http://tuberculist.epfl.ch/quicksearch.php?gene+name=Rv1951c&amp;submit=Search</v>
      </c>
    </row>
    <row r="2000" spans="1:11">
      <c r="A2000" t="s">
        <v>14139</v>
      </c>
      <c r="B2000" t="s">
        <v>14140</v>
      </c>
      <c r="C2000" t="s">
        <v>9567</v>
      </c>
      <c r="D2000" t="s">
        <v>9587</v>
      </c>
      <c r="E2000" t="s">
        <v>14141</v>
      </c>
      <c r="F2000" t="s">
        <v>14142</v>
      </c>
      <c r="G2000" t="s">
        <v>19206</v>
      </c>
      <c r="I2000" t="s">
        <v>18780</v>
      </c>
      <c r="K2000" t="str">
        <f>HYPERLINK("http://tuberculist.epfl.ch/quicksearch.php?gene+name=Rv1952&amp;submit=Search")</f>
        <v>http://tuberculist.epfl.ch/quicksearch.php?gene+name=Rv1952&amp;submit=Search</v>
      </c>
    </row>
    <row r="2001" spans="1:11">
      <c r="A2001" t="s">
        <v>14143</v>
      </c>
      <c r="B2001" t="s">
        <v>14144</v>
      </c>
      <c r="C2001" t="s">
        <v>9567</v>
      </c>
      <c r="D2001" t="s">
        <v>9587</v>
      </c>
      <c r="E2001" t="s">
        <v>14145</v>
      </c>
      <c r="F2001" t="s">
        <v>14146</v>
      </c>
      <c r="G2001" t="s">
        <v>19206</v>
      </c>
      <c r="I2001" t="s">
        <v>18789</v>
      </c>
      <c r="K2001" t="str">
        <f>HYPERLINK("http://tuberculist.epfl.ch/quicksearch.php?gene+name=Rv1953&amp;submit=Search")</f>
        <v>http://tuberculist.epfl.ch/quicksearch.php?gene+name=Rv1953&amp;submit=Search</v>
      </c>
    </row>
    <row r="2002" spans="1:11">
      <c r="A2002" t="s">
        <v>14147</v>
      </c>
      <c r="B2002" t="s">
        <v>14147</v>
      </c>
      <c r="C2002" t="s">
        <v>9567</v>
      </c>
      <c r="D2002" t="s">
        <v>9587</v>
      </c>
      <c r="E2002" t="s">
        <v>9713</v>
      </c>
      <c r="F2002" t="s">
        <v>14148</v>
      </c>
      <c r="G2002" t="s">
        <v>19363</v>
      </c>
      <c r="I2002" t="s">
        <v>18773</v>
      </c>
      <c r="J2002" t="s">
        <v>19011</v>
      </c>
      <c r="K2002" t="str">
        <f>HYPERLINK("http://tuberculist.epfl.ch/quicksearch.php?gene+name=Rv1954A&amp;submit=Search")</f>
        <v>http://tuberculist.epfl.ch/quicksearch.php?gene+name=Rv1954A&amp;submit=Search</v>
      </c>
    </row>
    <row r="2003" spans="1:11">
      <c r="A2003" t="s">
        <v>3158</v>
      </c>
      <c r="B2003" t="s">
        <v>3158</v>
      </c>
      <c r="C2003" t="s">
        <v>9567</v>
      </c>
      <c r="D2003" t="s">
        <v>9587</v>
      </c>
      <c r="E2003" t="s">
        <v>9713</v>
      </c>
      <c r="F2003" t="s">
        <v>14149</v>
      </c>
      <c r="G2003" t="s">
        <v>19298</v>
      </c>
      <c r="I2003" t="s">
        <v>18780</v>
      </c>
      <c r="K2003" t="str">
        <f>HYPERLINK("http://tuberculist.epfl.ch/quicksearch.php?gene+name=Rv1954c&amp;submit=Search")</f>
        <v>http://tuberculist.epfl.ch/quicksearch.php?gene+name=Rv1954c&amp;submit=Search</v>
      </c>
    </row>
    <row r="2004" spans="1:11">
      <c r="A2004" t="s">
        <v>14150</v>
      </c>
      <c r="B2004" t="s">
        <v>2906</v>
      </c>
      <c r="C2004" t="s">
        <v>9567</v>
      </c>
      <c r="D2004" t="s">
        <v>9587</v>
      </c>
      <c r="E2004" t="s">
        <v>14151</v>
      </c>
      <c r="F2004" t="s">
        <v>14152</v>
      </c>
      <c r="G2004" t="s">
        <v>19206</v>
      </c>
      <c r="I2004" t="s">
        <v>19012</v>
      </c>
      <c r="K2004" t="str">
        <f>HYPERLINK("http://tuberculist.epfl.ch/quicksearch.php?gene+name=Rv1955&amp;submit=Search")</f>
        <v>http://tuberculist.epfl.ch/quicksearch.php?gene+name=Rv1955&amp;submit=Search</v>
      </c>
    </row>
    <row r="2005" spans="1:11">
      <c r="A2005" t="s">
        <v>14153</v>
      </c>
      <c r="B2005" t="s">
        <v>2322</v>
      </c>
      <c r="C2005" t="s">
        <v>9567</v>
      </c>
      <c r="D2005" t="s">
        <v>9632</v>
      </c>
      <c r="E2005" t="s">
        <v>14154</v>
      </c>
      <c r="F2005" t="s">
        <v>14155</v>
      </c>
      <c r="G2005" t="s">
        <v>19206</v>
      </c>
      <c r="H2005" t="s">
        <v>19213</v>
      </c>
      <c r="I2005" t="s">
        <v>19013</v>
      </c>
      <c r="J2005" t="s">
        <v>19011</v>
      </c>
      <c r="K2005" t="str">
        <f>HYPERLINK("http://tuberculist.epfl.ch/quicksearch.php?gene+name=Rv1956&amp;submit=Search")</f>
        <v>http://tuberculist.epfl.ch/quicksearch.php?gene+name=Rv1956&amp;submit=Search</v>
      </c>
    </row>
    <row r="2006" spans="1:11">
      <c r="A2006" t="s">
        <v>1837</v>
      </c>
      <c r="B2006" t="s">
        <v>1837</v>
      </c>
      <c r="C2006" t="s">
        <v>9567</v>
      </c>
      <c r="D2006" t="s">
        <v>9587</v>
      </c>
      <c r="E2006" t="s">
        <v>9713</v>
      </c>
      <c r="F2006" t="s">
        <v>14156</v>
      </c>
      <c r="G2006" t="s">
        <v>19212</v>
      </c>
      <c r="H2006" t="s">
        <v>19213</v>
      </c>
      <c r="I2006" t="s">
        <v>19014</v>
      </c>
      <c r="K2006" t="str">
        <f>HYPERLINK("http://tuberculist.epfl.ch/quicksearch.php?gene+name=Rv1957&amp;submit=Search")</f>
        <v>http://tuberculist.epfl.ch/quicksearch.php?gene+name=Rv1957&amp;submit=Search</v>
      </c>
    </row>
    <row r="2007" spans="1:11">
      <c r="A2007" t="s">
        <v>1758</v>
      </c>
      <c r="B2007" t="s">
        <v>1758</v>
      </c>
      <c r="C2007" t="s">
        <v>9567</v>
      </c>
      <c r="D2007" t="s">
        <v>9587</v>
      </c>
      <c r="E2007" t="s">
        <v>9713</v>
      </c>
      <c r="F2007" t="s">
        <v>14157</v>
      </c>
      <c r="G2007" t="s">
        <v>19212</v>
      </c>
      <c r="I2007" t="s">
        <v>18779</v>
      </c>
      <c r="K2007" t="str">
        <f>HYPERLINK("http://tuberculist.epfl.ch/quicksearch.php?gene+name=Rv1958c&amp;submit=Search")</f>
        <v>http://tuberculist.epfl.ch/quicksearch.php?gene+name=Rv1958c&amp;submit=Search</v>
      </c>
    </row>
    <row r="2008" spans="1:11">
      <c r="A2008" t="s">
        <v>14158</v>
      </c>
      <c r="B2008" t="s">
        <v>14159</v>
      </c>
      <c r="C2008" t="s">
        <v>9567</v>
      </c>
      <c r="D2008" t="s">
        <v>9578</v>
      </c>
      <c r="E2008" t="s">
        <v>14160</v>
      </c>
      <c r="F2008" t="s">
        <v>14161</v>
      </c>
      <c r="G2008" t="s">
        <v>19206</v>
      </c>
      <c r="I2008" t="s">
        <v>18780</v>
      </c>
      <c r="K2008" t="str">
        <f>HYPERLINK("http://tuberculist.epfl.ch/quicksearch.php?gene+name=Rv1959c&amp;submit=Search")</f>
        <v>http://tuberculist.epfl.ch/quicksearch.php?gene+name=Rv1959c&amp;submit=Search</v>
      </c>
    </row>
    <row r="2009" spans="1:11">
      <c r="A2009" t="s">
        <v>14162</v>
      </c>
      <c r="B2009" t="s">
        <v>14163</v>
      </c>
      <c r="C2009" t="s">
        <v>9567</v>
      </c>
      <c r="D2009" t="s">
        <v>9578</v>
      </c>
      <c r="E2009" t="s">
        <v>14164</v>
      </c>
      <c r="F2009" t="s">
        <v>14165</v>
      </c>
      <c r="G2009" t="s">
        <v>19206</v>
      </c>
      <c r="I2009" t="s">
        <v>18780</v>
      </c>
      <c r="K2009" t="str">
        <f>HYPERLINK("http://tuberculist.epfl.ch/quicksearch.php?gene+name=Rv1960c&amp;submit=Search")</f>
        <v>http://tuberculist.epfl.ch/quicksearch.php?gene+name=Rv1960c&amp;submit=Search</v>
      </c>
    </row>
    <row r="2010" spans="1:11">
      <c r="A2010" t="s">
        <v>14166</v>
      </c>
      <c r="B2010" t="s">
        <v>14166</v>
      </c>
      <c r="C2010" t="s">
        <v>9567</v>
      </c>
      <c r="D2010" t="s">
        <v>9587</v>
      </c>
      <c r="E2010" t="s">
        <v>9713</v>
      </c>
      <c r="F2010" t="s">
        <v>14167</v>
      </c>
      <c r="G2010" t="s">
        <v>19212</v>
      </c>
      <c r="I2010" t="s">
        <v>18780</v>
      </c>
      <c r="K2010" t="str">
        <f>HYPERLINK("http://tuberculist.epfl.ch/quicksearch.php?gene+name=Rv1961&amp;submit=Search")</f>
        <v>http://tuberculist.epfl.ch/quicksearch.php?gene+name=Rv1961&amp;submit=Search</v>
      </c>
    </row>
    <row r="2011" spans="1:11">
      <c r="A2011" t="s">
        <v>14168</v>
      </c>
      <c r="B2011" t="s">
        <v>14169</v>
      </c>
      <c r="C2011" t="s">
        <v>9567</v>
      </c>
      <c r="D2011" t="s">
        <v>9587</v>
      </c>
      <c r="E2011" t="s">
        <v>14170</v>
      </c>
      <c r="F2011" t="s">
        <v>14171</v>
      </c>
      <c r="G2011" t="s">
        <v>19206</v>
      </c>
      <c r="H2011" t="s">
        <v>19233</v>
      </c>
      <c r="I2011" t="s">
        <v>18773</v>
      </c>
      <c r="K2011" t="str">
        <f>HYPERLINK("http://tuberculist.epfl.ch/quicksearch.php?gene+name=Rv1962A&amp;submit=Search")</f>
        <v>http://tuberculist.epfl.ch/quicksearch.php?gene+name=Rv1962A&amp;submit=Search</v>
      </c>
    </row>
    <row r="2012" spans="1:11">
      <c r="A2012" t="s">
        <v>14172</v>
      </c>
      <c r="B2012" t="s">
        <v>14173</v>
      </c>
      <c r="C2012" t="s">
        <v>9567</v>
      </c>
      <c r="D2012" t="s">
        <v>9587</v>
      </c>
      <c r="E2012" t="s">
        <v>14174</v>
      </c>
      <c r="F2012" t="s">
        <v>14175</v>
      </c>
      <c r="G2012" t="s">
        <v>19206</v>
      </c>
      <c r="H2012" t="s">
        <v>19233</v>
      </c>
      <c r="I2012" t="s">
        <v>18780</v>
      </c>
      <c r="K2012" t="str">
        <f>HYPERLINK("http://tuberculist.epfl.ch/quicksearch.php?gene+name=Rv1962c&amp;submit=Search")</f>
        <v>http://tuberculist.epfl.ch/quicksearch.php?gene+name=Rv1962c&amp;submit=Search</v>
      </c>
    </row>
    <row r="2013" spans="1:11">
      <c r="A2013" t="s">
        <v>14176</v>
      </c>
      <c r="B2013" t="s">
        <v>14177</v>
      </c>
      <c r="C2013" t="s">
        <v>9567</v>
      </c>
      <c r="D2013" t="s">
        <v>14178</v>
      </c>
      <c r="E2013" t="s">
        <v>14179</v>
      </c>
      <c r="F2013" t="s">
        <v>14180</v>
      </c>
      <c r="G2013" t="s">
        <v>19197</v>
      </c>
      <c r="I2013" t="s">
        <v>19015</v>
      </c>
      <c r="K2013" t="str">
        <f>HYPERLINK("http://tuberculist.epfl.ch/quicksearch.php?gene+name=Rv1963c&amp;submit=Search")</f>
        <v>http://tuberculist.epfl.ch/quicksearch.php?gene+name=Rv1963c&amp;submit=Search</v>
      </c>
    </row>
    <row r="2014" spans="1:11">
      <c r="A2014" t="s">
        <v>14181</v>
      </c>
      <c r="B2014" t="s">
        <v>14182</v>
      </c>
      <c r="C2014" t="s">
        <v>9567</v>
      </c>
      <c r="D2014" t="s">
        <v>9587</v>
      </c>
      <c r="E2014" t="s">
        <v>14183</v>
      </c>
      <c r="F2014" t="s">
        <v>14184</v>
      </c>
      <c r="G2014" t="s">
        <v>19206</v>
      </c>
      <c r="I2014" t="s">
        <v>18793</v>
      </c>
      <c r="J2014" t="s">
        <v>19004</v>
      </c>
      <c r="K2014" t="str">
        <f>HYPERLINK("http://tuberculist.epfl.ch/quicksearch.php?gene+name=Rv1964&amp;submit=Search")</f>
        <v>http://tuberculist.epfl.ch/quicksearch.php?gene+name=Rv1964&amp;submit=Search</v>
      </c>
    </row>
    <row r="2015" spans="1:11">
      <c r="A2015" t="s">
        <v>14185</v>
      </c>
      <c r="B2015" t="s">
        <v>14186</v>
      </c>
      <c r="C2015" t="s">
        <v>9567</v>
      </c>
      <c r="D2015" t="s">
        <v>9587</v>
      </c>
      <c r="E2015" t="s">
        <v>14187</v>
      </c>
      <c r="F2015" t="s">
        <v>14188</v>
      </c>
      <c r="G2015" t="s">
        <v>19206</v>
      </c>
      <c r="H2015" t="s">
        <v>19254</v>
      </c>
      <c r="I2015" t="s">
        <v>18793</v>
      </c>
      <c r="J2015" t="s">
        <v>19004</v>
      </c>
      <c r="K2015" t="str">
        <f>HYPERLINK("http://tuberculist.epfl.ch/quicksearch.php?gene+name=Rv1965&amp;submit=Search")</f>
        <v>http://tuberculist.epfl.ch/quicksearch.php?gene+name=Rv1965&amp;submit=Search</v>
      </c>
    </row>
    <row r="2016" spans="1:11">
      <c r="A2016" t="s">
        <v>14189</v>
      </c>
      <c r="B2016" t="s">
        <v>14190</v>
      </c>
      <c r="C2016" t="s">
        <v>9567</v>
      </c>
      <c r="D2016" t="s">
        <v>9981</v>
      </c>
      <c r="E2016" t="s">
        <v>14191</v>
      </c>
      <c r="F2016" t="s">
        <v>14192</v>
      </c>
      <c r="G2016" t="s">
        <v>19206</v>
      </c>
      <c r="I2016" t="s">
        <v>19016</v>
      </c>
      <c r="K2016" t="str">
        <f>HYPERLINK("http://tuberculist.epfl.ch/quicksearch.php?gene+name=Rv1966&amp;submit=Search")</f>
        <v>http://tuberculist.epfl.ch/quicksearch.php?gene+name=Rv1966&amp;submit=Search</v>
      </c>
    </row>
    <row r="2017" spans="1:11">
      <c r="A2017" t="s">
        <v>14193</v>
      </c>
      <c r="B2017" t="s">
        <v>14194</v>
      </c>
      <c r="C2017" t="s">
        <v>9567</v>
      </c>
      <c r="D2017" t="s">
        <v>9981</v>
      </c>
      <c r="E2017" t="s">
        <v>14195</v>
      </c>
      <c r="F2017" t="s">
        <v>14196</v>
      </c>
      <c r="G2017" t="s">
        <v>19206</v>
      </c>
      <c r="H2017" t="s">
        <v>19207</v>
      </c>
      <c r="I2017" t="s">
        <v>18792</v>
      </c>
      <c r="J2017" t="s">
        <v>19004</v>
      </c>
      <c r="K2017" t="str">
        <f>HYPERLINK("http://tuberculist.epfl.ch/quicksearch.php?gene+name=Rv1967&amp;submit=Search")</f>
        <v>http://tuberculist.epfl.ch/quicksearch.php?gene+name=Rv1967&amp;submit=Search</v>
      </c>
    </row>
    <row r="2018" spans="1:11">
      <c r="A2018" t="s">
        <v>14197</v>
      </c>
      <c r="B2018" t="s">
        <v>14198</v>
      </c>
      <c r="C2018" t="s">
        <v>9567</v>
      </c>
      <c r="D2018" t="s">
        <v>9981</v>
      </c>
      <c r="E2018" t="s">
        <v>14199</v>
      </c>
      <c r="F2018" t="s">
        <v>14200</v>
      </c>
      <c r="G2018" t="s">
        <v>19206</v>
      </c>
      <c r="I2018" t="s">
        <v>18793</v>
      </c>
      <c r="K2018" t="str">
        <f>HYPERLINK("http://tuberculist.epfl.ch/quicksearch.php?gene+name=Rv1968&amp;submit=Search")</f>
        <v>http://tuberculist.epfl.ch/quicksearch.php?gene+name=Rv1968&amp;submit=Search</v>
      </c>
    </row>
    <row r="2019" spans="1:11">
      <c r="A2019" t="s">
        <v>14201</v>
      </c>
      <c r="B2019" t="s">
        <v>14202</v>
      </c>
      <c r="C2019" t="s">
        <v>9567</v>
      </c>
      <c r="D2019" t="s">
        <v>9981</v>
      </c>
      <c r="E2019" t="s">
        <v>14203</v>
      </c>
      <c r="F2019" t="s">
        <v>14204</v>
      </c>
      <c r="G2019" t="s">
        <v>19206</v>
      </c>
      <c r="I2019" t="s">
        <v>18793</v>
      </c>
      <c r="K2019" t="str">
        <f>HYPERLINK("http://tuberculist.epfl.ch/quicksearch.php?gene+name=Rv1969&amp;submit=Search")</f>
        <v>http://tuberculist.epfl.ch/quicksearch.php?gene+name=Rv1969&amp;submit=Search</v>
      </c>
    </row>
    <row r="2020" spans="1:11">
      <c r="A2020" t="s">
        <v>14205</v>
      </c>
      <c r="B2020" t="s">
        <v>14206</v>
      </c>
      <c r="C2020" t="s">
        <v>9567</v>
      </c>
      <c r="D2020" t="s">
        <v>9981</v>
      </c>
      <c r="E2020" t="s">
        <v>14207</v>
      </c>
      <c r="F2020" t="s">
        <v>14208</v>
      </c>
      <c r="G2020" t="s">
        <v>19188</v>
      </c>
      <c r="I2020" t="s">
        <v>18773</v>
      </c>
      <c r="J2020" t="s">
        <v>19004</v>
      </c>
      <c r="K2020" t="str">
        <f>HYPERLINK("http://tuberculist.epfl.ch/quicksearch.php?gene+name=Rv1970&amp;submit=Search")</f>
        <v>http://tuberculist.epfl.ch/quicksearch.php?gene+name=Rv1970&amp;submit=Search</v>
      </c>
    </row>
    <row r="2021" spans="1:11">
      <c r="A2021" t="s">
        <v>14209</v>
      </c>
      <c r="B2021" t="s">
        <v>14210</v>
      </c>
      <c r="C2021" t="s">
        <v>9567</v>
      </c>
      <c r="D2021" t="s">
        <v>9990</v>
      </c>
      <c r="E2021" t="s">
        <v>14211</v>
      </c>
      <c r="F2021" t="s">
        <v>14212</v>
      </c>
      <c r="G2021" t="s">
        <v>19206</v>
      </c>
      <c r="I2021" t="s">
        <v>18793</v>
      </c>
      <c r="J2021" t="s">
        <v>19004</v>
      </c>
      <c r="K2021" t="str">
        <f>HYPERLINK("http://tuberculist.epfl.ch/quicksearch.php?gene+name=Rv1971&amp;submit=Search")</f>
        <v>http://tuberculist.epfl.ch/quicksearch.php?gene+name=Rv1971&amp;submit=Search</v>
      </c>
    </row>
    <row r="2022" spans="1:11">
      <c r="A2022" t="s">
        <v>14213</v>
      </c>
      <c r="B2022" t="s">
        <v>14213</v>
      </c>
      <c r="C2022" t="s">
        <v>9567</v>
      </c>
      <c r="D2022" t="s">
        <v>9587</v>
      </c>
      <c r="E2022" t="s">
        <v>9993</v>
      </c>
      <c r="F2022" t="s">
        <v>14214</v>
      </c>
      <c r="G2022" t="s">
        <v>19188</v>
      </c>
      <c r="H2022" t="s">
        <v>19214</v>
      </c>
      <c r="I2022" t="s">
        <v>18773</v>
      </c>
      <c r="K2022" t="str">
        <f>HYPERLINK("http://tuberculist.epfl.ch/quicksearch.php?gene+name=Rv1972&amp;submit=Search")</f>
        <v>http://tuberculist.epfl.ch/quicksearch.php?gene+name=Rv1972&amp;submit=Search</v>
      </c>
    </row>
    <row r="2023" spans="1:11">
      <c r="A2023" t="s">
        <v>14215</v>
      </c>
      <c r="B2023" t="s">
        <v>14215</v>
      </c>
      <c r="C2023" t="s">
        <v>9567</v>
      </c>
      <c r="D2023" t="s">
        <v>9587</v>
      </c>
      <c r="E2023" t="s">
        <v>14216</v>
      </c>
      <c r="F2023" t="s">
        <v>14217</v>
      </c>
      <c r="G2023" t="s">
        <v>19188</v>
      </c>
      <c r="I2023" t="s">
        <v>18773</v>
      </c>
      <c r="K2023" t="str">
        <f>HYPERLINK("http://tuberculist.epfl.ch/quicksearch.php?gene+name=Rv1973&amp;submit=Search")</f>
        <v>http://tuberculist.epfl.ch/quicksearch.php?gene+name=Rv1973&amp;submit=Search</v>
      </c>
    </row>
    <row r="2024" spans="1:11">
      <c r="A2024" t="s">
        <v>14218</v>
      </c>
      <c r="B2024" t="s">
        <v>14218</v>
      </c>
      <c r="C2024" t="s">
        <v>9567</v>
      </c>
      <c r="D2024" t="s">
        <v>9587</v>
      </c>
      <c r="E2024" t="s">
        <v>9595</v>
      </c>
      <c r="F2024" t="s">
        <v>14219</v>
      </c>
      <c r="G2024" t="s">
        <v>19188</v>
      </c>
      <c r="I2024" t="s">
        <v>18835</v>
      </c>
      <c r="K2024" t="str">
        <f>HYPERLINK("http://tuberculist.epfl.ch/quicksearch.php?gene+name=Rv1974&amp;submit=Search")</f>
        <v>http://tuberculist.epfl.ch/quicksearch.php?gene+name=Rv1974&amp;submit=Search</v>
      </c>
    </row>
    <row r="2025" spans="1:11">
      <c r="A2025" t="s">
        <v>14220</v>
      </c>
      <c r="B2025" t="s">
        <v>14220</v>
      </c>
      <c r="C2025" t="s">
        <v>9567</v>
      </c>
      <c r="D2025" t="s">
        <v>9587</v>
      </c>
      <c r="E2025" t="s">
        <v>9579</v>
      </c>
      <c r="F2025" t="s">
        <v>14221</v>
      </c>
      <c r="G2025" t="s">
        <v>19298</v>
      </c>
      <c r="I2025" t="s">
        <v>18793</v>
      </c>
      <c r="K2025" t="str">
        <f>HYPERLINK("http://tuberculist.epfl.ch/quicksearch.php?gene+name=Rv1975&amp;submit=Search")</f>
        <v>http://tuberculist.epfl.ch/quicksearch.php?gene+name=Rv1975&amp;submit=Search</v>
      </c>
    </row>
    <row r="2026" spans="1:11">
      <c r="A2026" t="s">
        <v>14222</v>
      </c>
      <c r="B2026" t="s">
        <v>14222</v>
      </c>
      <c r="C2026" t="s">
        <v>9567</v>
      </c>
      <c r="D2026" t="s">
        <v>9578</v>
      </c>
      <c r="E2026" t="s">
        <v>9579</v>
      </c>
      <c r="F2026" t="s">
        <v>14223</v>
      </c>
      <c r="G2026" t="s">
        <v>19212</v>
      </c>
      <c r="I2026" t="s">
        <v>18793</v>
      </c>
      <c r="K2026" t="str">
        <f>HYPERLINK("http://tuberculist.epfl.ch/quicksearch.php?gene+name=Rv1976c&amp;submit=Search")</f>
        <v>http://tuberculist.epfl.ch/quicksearch.php?gene+name=Rv1976c&amp;submit=Search</v>
      </c>
    </row>
    <row r="2027" spans="1:11">
      <c r="A2027" t="s">
        <v>266</v>
      </c>
      <c r="B2027" t="s">
        <v>266</v>
      </c>
      <c r="C2027" t="s">
        <v>9567</v>
      </c>
      <c r="D2027" t="s">
        <v>9578</v>
      </c>
      <c r="E2027" t="s">
        <v>9665</v>
      </c>
      <c r="F2027" t="s">
        <v>14224</v>
      </c>
      <c r="G2027" t="s">
        <v>19210</v>
      </c>
      <c r="H2027" t="s">
        <v>19299</v>
      </c>
      <c r="I2027" t="s">
        <v>18792</v>
      </c>
      <c r="K2027" t="str">
        <f>HYPERLINK("http://tuberculist.epfl.ch/quicksearch.php?gene+name=Rv1977&amp;submit=Search")</f>
        <v>http://tuberculist.epfl.ch/quicksearch.php?gene+name=Rv1977&amp;submit=Search</v>
      </c>
    </row>
    <row r="2028" spans="1:11">
      <c r="A2028" t="s">
        <v>14225</v>
      </c>
      <c r="B2028" t="s">
        <v>14225</v>
      </c>
      <c r="C2028" t="s">
        <v>9567</v>
      </c>
      <c r="D2028" t="s">
        <v>9578</v>
      </c>
      <c r="E2028" t="s">
        <v>9665</v>
      </c>
      <c r="F2028" t="s">
        <v>14226</v>
      </c>
      <c r="G2028" t="s">
        <v>19212</v>
      </c>
      <c r="H2028" t="s">
        <v>19795</v>
      </c>
      <c r="I2028" t="s">
        <v>18867</v>
      </c>
      <c r="K2028" t="str">
        <f>HYPERLINK("http://tuberculist.epfl.ch/quicksearch.php?gene+name=Rv1978&amp;submit=Search")</f>
        <v>http://tuberculist.epfl.ch/quicksearch.php?gene+name=Rv1978&amp;submit=Search</v>
      </c>
    </row>
    <row r="2029" spans="1:11">
      <c r="A2029" t="s">
        <v>14227</v>
      </c>
      <c r="B2029" t="s">
        <v>14227</v>
      </c>
      <c r="C2029" t="s">
        <v>9567</v>
      </c>
      <c r="D2029" t="s">
        <v>14228</v>
      </c>
      <c r="E2029" t="s">
        <v>14229</v>
      </c>
      <c r="F2029" t="s">
        <v>14230</v>
      </c>
      <c r="G2029" t="s">
        <v>19188</v>
      </c>
      <c r="I2029" t="s">
        <v>18792</v>
      </c>
      <c r="K2029" t="str">
        <f>HYPERLINK("http://tuberculist.epfl.ch/quicksearch.php?gene+name=Rv1979c&amp;submit=Search")</f>
        <v>http://tuberculist.epfl.ch/quicksearch.php?gene+name=Rv1979c&amp;submit=Search</v>
      </c>
    </row>
    <row r="2030" spans="1:11">
      <c r="A2030" t="s">
        <v>14231</v>
      </c>
      <c r="B2030" t="s">
        <v>14232</v>
      </c>
      <c r="C2030" t="s">
        <v>9567</v>
      </c>
      <c r="D2030" t="s">
        <v>9587</v>
      </c>
      <c r="E2030" t="s">
        <v>14233</v>
      </c>
      <c r="F2030" t="s">
        <v>14234</v>
      </c>
      <c r="G2030" t="s">
        <v>19188</v>
      </c>
      <c r="H2030" t="s">
        <v>19796</v>
      </c>
      <c r="I2030" t="s">
        <v>18792</v>
      </c>
      <c r="K2030" t="str">
        <f>HYPERLINK("http://tuberculist.epfl.ch/quicksearch.php?gene+name=Rv1980c&amp;submit=Search")</f>
        <v>http://tuberculist.epfl.ch/quicksearch.php?gene+name=Rv1980c&amp;submit=Search</v>
      </c>
    </row>
    <row r="2031" spans="1:11">
      <c r="A2031" t="s">
        <v>150</v>
      </c>
      <c r="B2031" t="s">
        <v>149</v>
      </c>
      <c r="C2031" t="s">
        <v>9567</v>
      </c>
      <c r="D2031" t="s">
        <v>14235</v>
      </c>
      <c r="E2031" t="s">
        <v>14236</v>
      </c>
      <c r="F2031" t="s">
        <v>14237</v>
      </c>
      <c r="G2031" t="s">
        <v>19181</v>
      </c>
      <c r="H2031" t="s">
        <v>19389</v>
      </c>
      <c r="I2031" t="s">
        <v>19017</v>
      </c>
      <c r="K2031" t="str">
        <f>HYPERLINK("http://tuberculist.epfl.ch/quicksearch.php?gene+name=Rv1981c&amp;submit=Search")</f>
        <v>http://tuberculist.epfl.ch/quicksearch.php?gene+name=Rv1981c&amp;submit=Search</v>
      </c>
    </row>
    <row r="2032" spans="1:11">
      <c r="A2032" t="s">
        <v>14238</v>
      </c>
      <c r="B2032" t="s">
        <v>14239</v>
      </c>
      <c r="C2032" t="s">
        <v>9567</v>
      </c>
      <c r="D2032" t="s">
        <v>9587</v>
      </c>
      <c r="E2032" t="s">
        <v>14240</v>
      </c>
      <c r="F2032" t="s">
        <v>14241</v>
      </c>
      <c r="G2032" t="s">
        <v>19206</v>
      </c>
      <c r="H2032" t="s">
        <v>19192</v>
      </c>
      <c r="I2032" t="s">
        <v>18773</v>
      </c>
      <c r="K2032" t="str">
        <f>HYPERLINK("http://tuberculist.epfl.ch/quicksearch.php?gene+name=Rv1982A&amp;submit=Search")</f>
        <v>http://tuberculist.epfl.ch/quicksearch.php?gene+name=Rv1982A&amp;submit=Search</v>
      </c>
    </row>
    <row r="2033" spans="1:11">
      <c r="A2033" t="s">
        <v>158</v>
      </c>
      <c r="B2033" t="s">
        <v>157</v>
      </c>
      <c r="C2033" t="s">
        <v>9567</v>
      </c>
      <c r="D2033" t="s">
        <v>9587</v>
      </c>
      <c r="E2033" t="s">
        <v>14242</v>
      </c>
      <c r="F2033" t="s">
        <v>14243</v>
      </c>
      <c r="G2033" t="s">
        <v>19206</v>
      </c>
      <c r="I2033" t="s">
        <v>18793</v>
      </c>
      <c r="K2033" t="str">
        <f>HYPERLINK("http://tuberculist.epfl.ch/quicksearch.php?gene+name=Rv1982c&amp;submit=Search")</f>
        <v>http://tuberculist.epfl.ch/quicksearch.php?gene+name=Rv1982c&amp;submit=Search</v>
      </c>
    </row>
    <row r="2034" spans="1:11">
      <c r="A2034" t="s">
        <v>14244</v>
      </c>
      <c r="B2034" t="s">
        <v>14245</v>
      </c>
      <c r="C2034" t="s">
        <v>9567</v>
      </c>
      <c r="D2034" t="s">
        <v>9578</v>
      </c>
      <c r="E2034" t="s">
        <v>14246</v>
      </c>
      <c r="F2034" t="s">
        <v>14247</v>
      </c>
      <c r="G2034" t="s">
        <v>19253</v>
      </c>
      <c r="H2034" t="s">
        <v>19254</v>
      </c>
      <c r="I2034" t="s">
        <v>18798</v>
      </c>
      <c r="K2034" t="str">
        <f>HYPERLINK("http://tuberculist.epfl.ch/quicksearch.php?gene+name=Rv1983&amp;submit=Search")</f>
        <v>http://tuberculist.epfl.ch/quicksearch.php?gene+name=Rv1983&amp;submit=Search</v>
      </c>
    </row>
    <row r="2035" spans="1:11">
      <c r="A2035" t="s">
        <v>14248</v>
      </c>
      <c r="B2035" t="s">
        <v>14249</v>
      </c>
      <c r="C2035" t="s">
        <v>9567</v>
      </c>
      <c r="D2035" t="s">
        <v>14250</v>
      </c>
      <c r="E2035" t="s">
        <v>14251</v>
      </c>
      <c r="F2035" t="s">
        <v>14252</v>
      </c>
      <c r="G2035" t="s">
        <v>19188</v>
      </c>
      <c r="H2035" t="s">
        <v>19797</v>
      </c>
      <c r="I2035" t="s">
        <v>18798</v>
      </c>
      <c r="K2035" t="str">
        <f>HYPERLINK("http://tuberculist.epfl.ch/quicksearch.php?gene+name=Rv1984c&amp;submit=Search")</f>
        <v>http://tuberculist.epfl.ch/quicksearch.php?gene+name=Rv1984c&amp;submit=Search</v>
      </c>
    </row>
    <row r="2036" spans="1:11">
      <c r="A2036" t="s">
        <v>14253</v>
      </c>
      <c r="B2036" t="s">
        <v>14253</v>
      </c>
      <c r="C2036" t="s">
        <v>9567</v>
      </c>
      <c r="D2036" t="s">
        <v>9629</v>
      </c>
      <c r="E2036" t="s">
        <v>10431</v>
      </c>
      <c r="F2036" t="s">
        <v>14254</v>
      </c>
      <c r="G2036" t="s">
        <v>19197</v>
      </c>
      <c r="H2036" t="s">
        <v>19254</v>
      </c>
      <c r="I2036" t="s">
        <v>18792</v>
      </c>
      <c r="K2036" t="str">
        <f>HYPERLINK("http://tuberculist.epfl.ch/quicksearch.php?gene+name=Rv1985c&amp;submit=Search")</f>
        <v>http://tuberculist.epfl.ch/quicksearch.php?gene+name=Rv1985c&amp;submit=Search</v>
      </c>
    </row>
    <row r="2037" spans="1:11">
      <c r="A2037" t="s">
        <v>179</v>
      </c>
      <c r="B2037" t="s">
        <v>179</v>
      </c>
      <c r="C2037" t="s">
        <v>9567</v>
      </c>
      <c r="D2037" t="s">
        <v>10688</v>
      </c>
      <c r="E2037" t="s">
        <v>9668</v>
      </c>
      <c r="F2037" t="s">
        <v>14255</v>
      </c>
      <c r="G2037" t="s">
        <v>19188</v>
      </c>
      <c r="I2037" t="s">
        <v>18792</v>
      </c>
      <c r="K2037" t="str">
        <f>HYPERLINK("http://tuberculist.epfl.ch/quicksearch.php?gene+name=Rv1986&amp;submit=Search")</f>
        <v>http://tuberculist.epfl.ch/quicksearch.php?gene+name=Rv1986&amp;submit=Search</v>
      </c>
    </row>
    <row r="2038" spans="1:11">
      <c r="A2038" t="s">
        <v>14256</v>
      </c>
      <c r="B2038" t="s">
        <v>14256</v>
      </c>
      <c r="C2038" t="s">
        <v>9567</v>
      </c>
      <c r="D2038" t="s">
        <v>14257</v>
      </c>
      <c r="E2038" t="s">
        <v>14258</v>
      </c>
      <c r="F2038" t="s">
        <v>14259</v>
      </c>
      <c r="G2038" t="s">
        <v>19188</v>
      </c>
      <c r="H2038" t="s">
        <v>19229</v>
      </c>
      <c r="I2038" t="s">
        <v>18793</v>
      </c>
      <c r="K2038" t="str">
        <f>HYPERLINK("http://tuberculist.epfl.ch/quicksearch.php?gene+name=Rv1987&amp;submit=Search")</f>
        <v>http://tuberculist.epfl.ch/quicksearch.php?gene+name=Rv1987&amp;submit=Search</v>
      </c>
    </row>
    <row r="2039" spans="1:11">
      <c r="A2039" t="s">
        <v>9539</v>
      </c>
      <c r="B2039" t="s">
        <v>9538</v>
      </c>
      <c r="C2039" t="s">
        <v>9567</v>
      </c>
      <c r="D2039" t="s">
        <v>14260</v>
      </c>
      <c r="E2039" t="s">
        <v>14261</v>
      </c>
      <c r="F2039" t="s">
        <v>14262</v>
      </c>
      <c r="G2039" t="s">
        <v>19195</v>
      </c>
      <c r="H2039" t="s">
        <v>19207</v>
      </c>
      <c r="I2039" t="s">
        <v>18793</v>
      </c>
      <c r="K2039" t="str">
        <f>HYPERLINK("http://tuberculist.epfl.ch/quicksearch.php?gene+name=Rv1988&amp;submit=Search")</f>
        <v>http://tuberculist.epfl.ch/quicksearch.php?gene+name=Rv1988&amp;submit=Search</v>
      </c>
    </row>
    <row r="2040" spans="1:11">
      <c r="A2040" t="s">
        <v>14263</v>
      </c>
      <c r="B2040" t="s">
        <v>14263</v>
      </c>
      <c r="C2040" t="s">
        <v>9567</v>
      </c>
      <c r="D2040" t="s">
        <v>9587</v>
      </c>
      <c r="E2040" t="s">
        <v>9713</v>
      </c>
      <c r="F2040" t="s">
        <v>14264</v>
      </c>
      <c r="G2040" t="s">
        <v>19208</v>
      </c>
      <c r="H2040" t="s">
        <v>19552</v>
      </c>
      <c r="I2040" t="s">
        <v>18792</v>
      </c>
      <c r="K2040" t="str">
        <f>HYPERLINK("http://tuberculist.epfl.ch/quicksearch.php?gene+name=Rv1989c&amp;submit=Search")</f>
        <v>http://tuberculist.epfl.ch/quicksearch.php?gene+name=Rv1989c&amp;submit=Search</v>
      </c>
    </row>
    <row r="2041" spans="1:11">
      <c r="A2041" t="s">
        <v>14265</v>
      </c>
      <c r="B2041" t="s">
        <v>14265</v>
      </c>
      <c r="C2041" t="s">
        <v>9567</v>
      </c>
      <c r="D2041" t="s">
        <v>9682</v>
      </c>
      <c r="E2041" t="s">
        <v>14266</v>
      </c>
      <c r="F2041" t="s">
        <v>14267</v>
      </c>
      <c r="G2041" t="s">
        <v>19195</v>
      </c>
      <c r="I2041" t="s">
        <v>18793</v>
      </c>
      <c r="K2041" t="str">
        <f>HYPERLINK("http://tuberculist.epfl.ch/quicksearch.php?gene+name=Rv1990A&amp;submit=Search")</f>
        <v>http://tuberculist.epfl.ch/quicksearch.php?gene+name=Rv1990A&amp;submit=Search</v>
      </c>
    </row>
    <row r="2042" spans="1:11">
      <c r="A2042" t="s">
        <v>14268</v>
      </c>
      <c r="B2042" t="s">
        <v>14268</v>
      </c>
      <c r="C2042" t="s">
        <v>9567</v>
      </c>
      <c r="D2042" t="s">
        <v>9629</v>
      </c>
      <c r="E2042" t="s">
        <v>9763</v>
      </c>
      <c r="F2042" t="s">
        <v>14269</v>
      </c>
      <c r="G2042" t="s">
        <v>19197</v>
      </c>
      <c r="H2042" t="s">
        <v>19233</v>
      </c>
      <c r="I2042" t="s">
        <v>18788</v>
      </c>
      <c r="K2042" t="str">
        <f>HYPERLINK("http://tuberculist.epfl.ch/quicksearch.php?gene+name=Rv1990c&amp;submit=Search")</f>
        <v>http://tuberculist.epfl.ch/quicksearch.php?gene+name=Rv1990c&amp;submit=Search</v>
      </c>
    </row>
    <row r="2043" spans="1:11">
      <c r="A2043" t="s">
        <v>14270</v>
      </c>
      <c r="B2043" t="s">
        <v>14271</v>
      </c>
      <c r="C2043" t="s">
        <v>9567</v>
      </c>
      <c r="D2043" t="s">
        <v>9587</v>
      </c>
      <c r="E2043" t="s">
        <v>14272</v>
      </c>
      <c r="F2043" t="s">
        <v>14273</v>
      </c>
      <c r="G2043" t="s">
        <v>19206</v>
      </c>
      <c r="I2043" t="s">
        <v>18773</v>
      </c>
      <c r="K2043" t="str">
        <f>HYPERLINK("http://tuberculist.epfl.ch/quicksearch.php?gene+name=Rv1991A&amp;submit=Search")</f>
        <v>http://tuberculist.epfl.ch/quicksearch.php?gene+name=Rv1991A&amp;submit=Search</v>
      </c>
    </row>
    <row r="2044" spans="1:11">
      <c r="A2044" t="s">
        <v>14274</v>
      </c>
      <c r="B2044" t="s">
        <v>14275</v>
      </c>
      <c r="C2044" t="s">
        <v>9567</v>
      </c>
      <c r="D2044" t="s">
        <v>12161</v>
      </c>
      <c r="E2044" t="s">
        <v>14276</v>
      </c>
      <c r="F2044" t="s">
        <v>14277</v>
      </c>
      <c r="G2044" t="s">
        <v>19206</v>
      </c>
      <c r="H2044" t="s">
        <v>19213</v>
      </c>
      <c r="I2044" t="s">
        <v>18780</v>
      </c>
      <c r="K2044" t="str">
        <f>HYPERLINK("http://tuberculist.epfl.ch/quicksearch.php?gene+name=Rv1991c&amp;submit=Search")</f>
        <v>http://tuberculist.epfl.ch/quicksearch.php?gene+name=Rv1991c&amp;submit=Search</v>
      </c>
    </row>
    <row r="2045" spans="1:11">
      <c r="A2045" t="s">
        <v>271</v>
      </c>
      <c r="B2045" t="s">
        <v>270</v>
      </c>
      <c r="C2045" t="s">
        <v>9567</v>
      </c>
      <c r="D2045" t="s">
        <v>10550</v>
      </c>
      <c r="E2045" t="s">
        <v>14278</v>
      </c>
      <c r="F2045" t="s">
        <v>14279</v>
      </c>
      <c r="G2045" t="s">
        <v>19188</v>
      </c>
      <c r="H2045" t="s">
        <v>19798</v>
      </c>
      <c r="I2045" t="s">
        <v>18821</v>
      </c>
      <c r="K2045" t="str">
        <f>HYPERLINK("http://tuberculist.epfl.ch/quicksearch.php?gene+name=Rv1992c&amp;submit=Search")</f>
        <v>http://tuberculist.epfl.ch/quicksearch.php?gene+name=Rv1992c&amp;submit=Search</v>
      </c>
    </row>
    <row r="2046" spans="1:11">
      <c r="A2046" t="s">
        <v>14280</v>
      </c>
      <c r="B2046" t="s">
        <v>14280</v>
      </c>
      <c r="C2046" t="s">
        <v>9567</v>
      </c>
      <c r="D2046" t="s">
        <v>9578</v>
      </c>
      <c r="E2046" t="s">
        <v>9665</v>
      </c>
      <c r="F2046" t="s">
        <v>14281</v>
      </c>
      <c r="G2046" t="s">
        <v>19204</v>
      </c>
      <c r="H2046" t="s">
        <v>19403</v>
      </c>
      <c r="I2046" t="s">
        <v>18821</v>
      </c>
      <c r="K2046" t="str">
        <f>HYPERLINK("http://tuberculist.epfl.ch/quicksearch.php?gene+name=Rv1993c&amp;submit=Search")</f>
        <v>http://tuberculist.epfl.ch/quicksearch.php?gene+name=Rv1993c&amp;submit=Search</v>
      </c>
    </row>
    <row r="2047" spans="1:11">
      <c r="A2047" t="s">
        <v>14282</v>
      </c>
      <c r="B2047" t="s">
        <v>14283</v>
      </c>
      <c r="C2047" t="s">
        <v>9567</v>
      </c>
      <c r="D2047" t="s">
        <v>14284</v>
      </c>
      <c r="E2047" t="s">
        <v>14285</v>
      </c>
      <c r="F2047" t="s">
        <v>14286</v>
      </c>
      <c r="G2047" t="s">
        <v>19197</v>
      </c>
      <c r="H2047" t="s">
        <v>19213</v>
      </c>
      <c r="I2047" t="s">
        <v>18860</v>
      </c>
      <c r="J2047" t="s">
        <v>18775</v>
      </c>
      <c r="K2047" t="str">
        <f>HYPERLINK("http://tuberculist.epfl.ch/quicksearch.php?gene+name=Rv1994c&amp;submit=Search")</f>
        <v>http://tuberculist.epfl.ch/quicksearch.php?gene+name=Rv1994c&amp;submit=Search</v>
      </c>
    </row>
    <row r="2048" spans="1:11">
      <c r="A2048" t="s">
        <v>2212</v>
      </c>
      <c r="B2048" t="s">
        <v>2212</v>
      </c>
      <c r="C2048" t="s">
        <v>9567</v>
      </c>
      <c r="D2048" t="s">
        <v>9587</v>
      </c>
      <c r="E2048" t="s">
        <v>9768</v>
      </c>
      <c r="F2048" t="s">
        <v>14287</v>
      </c>
      <c r="G2048" t="s">
        <v>19210</v>
      </c>
      <c r="H2048" t="s">
        <v>19274</v>
      </c>
      <c r="I2048" t="s">
        <v>18797</v>
      </c>
      <c r="K2048" t="str">
        <f>HYPERLINK("http://tuberculist.epfl.ch/quicksearch.php?gene+name=Rv1995&amp;submit=Search")</f>
        <v>http://tuberculist.epfl.ch/quicksearch.php?gene+name=Rv1995&amp;submit=Search</v>
      </c>
    </row>
    <row r="2049" spans="1:11">
      <c r="A2049" t="s">
        <v>184</v>
      </c>
      <c r="B2049" t="s">
        <v>184</v>
      </c>
      <c r="C2049" t="s">
        <v>9567</v>
      </c>
      <c r="D2049" t="s">
        <v>9578</v>
      </c>
      <c r="E2049" t="s">
        <v>14288</v>
      </c>
      <c r="F2049" t="s">
        <v>14289</v>
      </c>
      <c r="G2049" t="s">
        <v>19206</v>
      </c>
      <c r="H2049" t="s">
        <v>19799</v>
      </c>
      <c r="I2049" t="s">
        <v>19018</v>
      </c>
      <c r="J2049" t="s">
        <v>18799</v>
      </c>
      <c r="K2049" t="str">
        <f>HYPERLINK("http://tuberculist.epfl.ch/quicksearch.php?gene+name=Rv1996&amp;submit=Search")</f>
        <v>http://tuberculist.epfl.ch/quicksearch.php?gene+name=Rv1996&amp;submit=Search</v>
      </c>
    </row>
    <row r="2050" spans="1:11">
      <c r="A2050" t="s">
        <v>275</v>
      </c>
      <c r="B2050" t="s">
        <v>274</v>
      </c>
      <c r="C2050" t="s">
        <v>9567</v>
      </c>
      <c r="D2050" t="s">
        <v>10550</v>
      </c>
      <c r="E2050" t="s">
        <v>14290</v>
      </c>
      <c r="F2050" t="s">
        <v>14291</v>
      </c>
      <c r="G2050" t="s">
        <v>19188</v>
      </c>
      <c r="H2050" t="s">
        <v>19800</v>
      </c>
      <c r="I2050" t="s">
        <v>18821</v>
      </c>
      <c r="J2050" t="s">
        <v>18799</v>
      </c>
      <c r="K2050" t="str">
        <f>HYPERLINK("http://tuberculist.epfl.ch/quicksearch.php?gene+name=Rv1997&amp;submit=Search")</f>
        <v>http://tuberculist.epfl.ch/quicksearch.php?gene+name=Rv1997&amp;submit=Search</v>
      </c>
    </row>
    <row r="2051" spans="1:11">
      <c r="A2051" t="s">
        <v>49</v>
      </c>
      <c r="B2051" t="s">
        <v>49</v>
      </c>
      <c r="C2051" t="s">
        <v>9567</v>
      </c>
      <c r="D2051" t="s">
        <v>9578</v>
      </c>
      <c r="E2051" t="s">
        <v>9665</v>
      </c>
      <c r="F2051" t="s">
        <v>14292</v>
      </c>
      <c r="G2051" t="s">
        <v>19204</v>
      </c>
      <c r="H2051" t="s">
        <v>19233</v>
      </c>
      <c r="I2051" t="s">
        <v>18779</v>
      </c>
      <c r="J2051" t="s">
        <v>18799</v>
      </c>
      <c r="K2051" t="str">
        <f>HYPERLINK("http://tuberculist.epfl.ch/quicksearch.php?gene+name=Rv1998c&amp;submit=Search")</f>
        <v>http://tuberculist.epfl.ch/quicksearch.php?gene+name=Rv1998c&amp;submit=Search</v>
      </c>
    </row>
    <row r="2052" spans="1:11">
      <c r="A2052" t="s">
        <v>14293</v>
      </c>
      <c r="B2052" t="s">
        <v>14293</v>
      </c>
      <c r="C2052" t="s">
        <v>9567</v>
      </c>
      <c r="D2052" t="s">
        <v>14294</v>
      </c>
      <c r="E2052" t="s">
        <v>9668</v>
      </c>
      <c r="F2052" t="s">
        <v>14295</v>
      </c>
      <c r="G2052" t="s">
        <v>19188</v>
      </c>
      <c r="I2052" t="s">
        <v>18789</v>
      </c>
      <c r="K2052" t="str">
        <f>HYPERLINK("http://tuberculist.epfl.ch/quicksearch.php?gene+name=Rv1999c&amp;submit=Search")</f>
        <v>http://tuberculist.epfl.ch/quicksearch.php?gene+name=Rv1999c&amp;submit=Search</v>
      </c>
    </row>
    <row r="2053" spans="1:11">
      <c r="A2053" t="s">
        <v>610</v>
      </c>
      <c r="B2053" t="s">
        <v>610</v>
      </c>
      <c r="C2053" t="s">
        <v>9567</v>
      </c>
      <c r="D2053" t="s">
        <v>9587</v>
      </c>
      <c r="E2053" t="s">
        <v>9768</v>
      </c>
      <c r="F2053" t="s">
        <v>14296</v>
      </c>
      <c r="G2053" t="s">
        <v>19210</v>
      </c>
      <c r="H2053" t="s">
        <v>19801</v>
      </c>
      <c r="I2053" t="s">
        <v>18797</v>
      </c>
      <c r="K2053" t="str">
        <f>HYPERLINK("http://tuberculist.epfl.ch/quicksearch.php?gene+name=Rv2000&amp;submit=Search")</f>
        <v>http://tuberculist.epfl.ch/quicksearch.php?gene+name=Rv2000&amp;submit=Search</v>
      </c>
    </row>
    <row r="2054" spans="1:11">
      <c r="A2054" t="s">
        <v>2582</v>
      </c>
      <c r="B2054" t="s">
        <v>2582</v>
      </c>
      <c r="C2054" t="s">
        <v>9567</v>
      </c>
      <c r="D2054" t="s">
        <v>9587</v>
      </c>
      <c r="E2054" t="s">
        <v>9579</v>
      </c>
      <c r="F2054" t="s">
        <v>14297</v>
      </c>
      <c r="G2054" t="s">
        <v>19210</v>
      </c>
      <c r="H2054" t="s">
        <v>19213</v>
      </c>
      <c r="I2054" t="s">
        <v>18860</v>
      </c>
      <c r="K2054" t="str">
        <f>HYPERLINK("http://tuberculist.epfl.ch/quicksearch.php?gene+name=Rv2001&amp;submit=Search")</f>
        <v>http://tuberculist.epfl.ch/quicksearch.php?gene+name=Rv2001&amp;submit=Search</v>
      </c>
    </row>
    <row r="2055" spans="1:11">
      <c r="A2055" t="s">
        <v>6005</v>
      </c>
      <c r="B2055" t="s">
        <v>1759</v>
      </c>
      <c r="C2055" t="s">
        <v>9567</v>
      </c>
      <c r="D2055" t="s">
        <v>14298</v>
      </c>
      <c r="E2055" t="s">
        <v>14299</v>
      </c>
      <c r="F2055" t="s">
        <v>14300</v>
      </c>
      <c r="G2055" t="s">
        <v>19219</v>
      </c>
      <c r="H2055" t="s">
        <v>19196</v>
      </c>
      <c r="I2055" t="s">
        <v>18821</v>
      </c>
      <c r="K2055" t="str">
        <f>HYPERLINK("http://tuberculist.epfl.ch/quicksearch.php?gene+name=Rv2002&amp;submit=Search")</f>
        <v>http://tuberculist.epfl.ch/quicksearch.php?gene+name=Rv2002&amp;submit=Search</v>
      </c>
    </row>
    <row r="2056" spans="1:11">
      <c r="A2056" t="s">
        <v>2927</v>
      </c>
      <c r="B2056" t="s">
        <v>2927</v>
      </c>
      <c r="C2056" t="s">
        <v>9567</v>
      </c>
      <c r="D2056" t="s">
        <v>9587</v>
      </c>
      <c r="E2056" t="s">
        <v>9579</v>
      </c>
      <c r="F2056" t="s">
        <v>14301</v>
      </c>
      <c r="G2056" t="s">
        <v>19204</v>
      </c>
      <c r="I2056" t="s">
        <v>18780</v>
      </c>
      <c r="J2056" t="s">
        <v>18799</v>
      </c>
      <c r="K2056" t="str">
        <f>HYPERLINK("http://tuberculist.epfl.ch/quicksearch.php?gene+name=Rv2003c&amp;submit=Search")</f>
        <v>http://tuberculist.epfl.ch/quicksearch.php?gene+name=Rv2003c&amp;submit=Search</v>
      </c>
    </row>
    <row r="2057" spans="1:11">
      <c r="A2057" t="s">
        <v>279</v>
      </c>
      <c r="B2057" t="s">
        <v>279</v>
      </c>
      <c r="C2057" t="s">
        <v>9567</v>
      </c>
      <c r="D2057" t="s">
        <v>9587</v>
      </c>
      <c r="E2057" t="s">
        <v>9665</v>
      </c>
      <c r="F2057" t="s">
        <v>14302</v>
      </c>
      <c r="G2057" t="s">
        <v>19208</v>
      </c>
      <c r="H2057" t="s">
        <v>19535</v>
      </c>
      <c r="I2057" t="s">
        <v>19019</v>
      </c>
      <c r="J2057" t="s">
        <v>18799</v>
      </c>
      <c r="K2057" t="str">
        <f>HYPERLINK("http://tuberculist.epfl.ch/quicksearch.php?gene+name=Rv2004c&amp;submit=Search")</f>
        <v>http://tuberculist.epfl.ch/quicksearch.php?gene+name=Rv2004c&amp;submit=Search</v>
      </c>
    </row>
    <row r="2058" spans="1:11">
      <c r="A2058" t="s">
        <v>283</v>
      </c>
      <c r="B2058" t="s">
        <v>283</v>
      </c>
      <c r="C2058" t="s">
        <v>9567</v>
      </c>
      <c r="D2058" t="s">
        <v>9587</v>
      </c>
      <c r="E2058" t="s">
        <v>14288</v>
      </c>
      <c r="F2058" t="s">
        <v>14303</v>
      </c>
      <c r="G2058" t="s">
        <v>19206</v>
      </c>
      <c r="H2058" t="s">
        <v>19802</v>
      </c>
      <c r="I2058" t="s">
        <v>19020</v>
      </c>
      <c r="J2058" t="s">
        <v>18799</v>
      </c>
      <c r="K2058" t="str">
        <f>HYPERLINK("http://tuberculist.epfl.ch/quicksearch.php?gene+name=Rv2005c&amp;submit=Search")</f>
        <v>http://tuberculist.epfl.ch/quicksearch.php?gene+name=Rv2005c&amp;submit=Search</v>
      </c>
    </row>
    <row r="2059" spans="1:11">
      <c r="A2059" t="s">
        <v>287</v>
      </c>
      <c r="B2059" t="s">
        <v>286</v>
      </c>
      <c r="C2059" t="s">
        <v>9567</v>
      </c>
      <c r="D2059" t="s">
        <v>14304</v>
      </c>
      <c r="E2059" t="s">
        <v>14305</v>
      </c>
      <c r="F2059" t="s">
        <v>14306</v>
      </c>
      <c r="G2059" t="s">
        <v>19206</v>
      </c>
      <c r="H2059" t="s">
        <v>19803</v>
      </c>
      <c r="I2059" t="s">
        <v>19021</v>
      </c>
      <c r="J2059" t="s">
        <v>18799</v>
      </c>
      <c r="K2059" t="str">
        <f>HYPERLINK("http://tuberculist.epfl.ch/quicksearch.php?gene+name=Rv2006&amp;submit=Search")</f>
        <v>http://tuberculist.epfl.ch/quicksearch.php?gene+name=Rv2006&amp;submit=Search</v>
      </c>
    </row>
    <row r="2060" spans="1:11">
      <c r="A2060" t="s">
        <v>291</v>
      </c>
      <c r="B2060" t="s">
        <v>290</v>
      </c>
      <c r="C2060" t="s">
        <v>9567</v>
      </c>
      <c r="D2060" t="s">
        <v>14307</v>
      </c>
      <c r="E2060" t="s">
        <v>14308</v>
      </c>
      <c r="F2060" t="s">
        <v>14309</v>
      </c>
      <c r="G2060" t="s">
        <v>19195</v>
      </c>
      <c r="H2060" t="s">
        <v>19804</v>
      </c>
      <c r="I2060" t="s">
        <v>18793</v>
      </c>
      <c r="J2060" t="s">
        <v>18799</v>
      </c>
      <c r="K2060" t="str">
        <f>HYPERLINK("http://tuberculist.epfl.ch/quicksearch.php?gene+name=Rv2007c&amp;submit=Search")</f>
        <v>http://tuberculist.epfl.ch/quicksearch.php?gene+name=Rv2007c&amp;submit=Search</v>
      </c>
    </row>
    <row r="2061" spans="1:11">
      <c r="A2061" t="s">
        <v>293</v>
      </c>
      <c r="B2061" t="s">
        <v>293</v>
      </c>
      <c r="C2061" t="s">
        <v>9567</v>
      </c>
      <c r="D2061" t="s">
        <v>9587</v>
      </c>
      <c r="E2061" t="s">
        <v>9579</v>
      </c>
      <c r="F2061" t="s">
        <v>14310</v>
      </c>
      <c r="G2061" t="s">
        <v>19298</v>
      </c>
      <c r="H2061" t="s">
        <v>19265</v>
      </c>
      <c r="I2061" t="s">
        <v>18773</v>
      </c>
      <c r="K2061" t="str">
        <f>HYPERLINK("http://tuberculist.epfl.ch/quicksearch.php?gene+name=Rv2008c&amp;submit=Search")</f>
        <v>http://tuberculist.epfl.ch/quicksearch.php?gene+name=Rv2008c&amp;submit=Search</v>
      </c>
    </row>
    <row r="2062" spans="1:11">
      <c r="A2062" t="s">
        <v>14311</v>
      </c>
      <c r="B2062" t="s">
        <v>631</v>
      </c>
      <c r="C2062" t="s">
        <v>9567</v>
      </c>
      <c r="D2062" t="s">
        <v>9587</v>
      </c>
      <c r="E2062" t="s">
        <v>14312</v>
      </c>
      <c r="F2062" t="s">
        <v>14313</v>
      </c>
      <c r="G2062" t="s">
        <v>19206</v>
      </c>
      <c r="I2062" t="s">
        <v>18780</v>
      </c>
      <c r="K2062" t="str">
        <f>HYPERLINK("http://tuberculist.epfl.ch/quicksearch.php?gene+name=Rv2009&amp;submit=Search")</f>
        <v>http://tuberculist.epfl.ch/quicksearch.php?gene+name=Rv2009&amp;submit=Search</v>
      </c>
    </row>
    <row r="2063" spans="1:11">
      <c r="A2063" t="s">
        <v>14314</v>
      </c>
      <c r="B2063" t="s">
        <v>1884</v>
      </c>
      <c r="C2063" t="s">
        <v>9567</v>
      </c>
      <c r="D2063" t="s">
        <v>9587</v>
      </c>
      <c r="E2063" t="s">
        <v>14315</v>
      </c>
      <c r="F2063" t="s">
        <v>14316</v>
      </c>
      <c r="G2063" t="s">
        <v>19206</v>
      </c>
      <c r="H2063" t="s">
        <v>19277</v>
      </c>
      <c r="I2063" t="s">
        <v>18780</v>
      </c>
      <c r="K2063" t="str">
        <f>HYPERLINK("http://tuberculist.epfl.ch/quicksearch.php?gene+name=Rv2010&amp;submit=Search")</f>
        <v>http://tuberculist.epfl.ch/quicksearch.php?gene+name=Rv2010&amp;submit=Search</v>
      </c>
    </row>
    <row r="2064" spans="1:11">
      <c r="A2064" t="s">
        <v>2627</v>
      </c>
      <c r="B2064" t="s">
        <v>2627</v>
      </c>
      <c r="C2064" t="s">
        <v>9567</v>
      </c>
      <c r="D2064" t="s">
        <v>9587</v>
      </c>
      <c r="E2064" t="s">
        <v>14317</v>
      </c>
      <c r="F2064" t="s">
        <v>14318</v>
      </c>
      <c r="G2064" t="s">
        <v>19197</v>
      </c>
      <c r="H2064" t="s">
        <v>19213</v>
      </c>
      <c r="I2064" t="s">
        <v>18793</v>
      </c>
      <c r="K2064" t="str">
        <f>HYPERLINK("http://tuberculist.epfl.ch/quicksearch.php?gene+name=Rv2011c&amp;submit=Search")</f>
        <v>http://tuberculist.epfl.ch/quicksearch.php?gene+name=Rv2011c&amp;submit=Search</v>
      </c>
    </row>
    <row r="2065" spans="1:11">
      <c r="A2065" t="s">
        <v>14319</v>
      </c>
      <c r="B2065" t="s">
        <v>14319</v>
      </c>
      <c r="C2065" t="s">
        <v>9567</v>
      </c>
      <c r="D2065" t="s">
        <v>9587</v>
      </c>
      <c r="E2065" t="s">
        <v>9579</v>
      </c>
      <c r="F2065" t="s">
        <v>14320</v>
      </c>
      <c r="G2065" t="s">
        <v>19212</v>
      </c>
      <c r="I2065" t="s">
        <v>18780</v>
      </c>
      <c r="K2065" t="str">
        <f>HYPERLINK("http://tuberculist.epfl.ch/quicksearch.php?gene+name=Rv2012&amp;submit=Search")</f>
        <v>http://tuberculist.epfl.ch/quicksearch.php?gene+name=Rv2012&amp;submit=Search</v>
      </c>
    </row>
    <row r="2066" spans="1:11">
      <c r="A2066" t="s">
        <v>14321</v>
      </c>
      <c r="B2066" t="s">
        <v>14321</v>
      </c>
      <c r="C2066" t="s">
        <v>9567</v>
      </c>
      <c r="D2066" t="s">
        <v>11582</v>
      </c>
      <c r="E2066" t="s">
        <v>14322</v>
      </c>
      <c r="F2066" t="s">
        <v>14323</v>
      </c>
      <c r="G2066" t="s">
        <v>19217</v>
      </c>
      <c r="I2066" t="s">
        <v>18800</v>
      </c>
      <c r="K2066" t="str">
        <f>HYPERLINK("http://tuberculist.epfl.ch/quicksearch.php?gene+name=Rv2013&amp;submit=Search")</f>
        <v>http://tuberculist.epfl.ch/quicksearch.php?gene+name=Rv2013&amp;submit=Search</v>
      </c>
    </row>
    <row r="2067" spans="1:11">
      <c r="A2067" t="s">
        <v>1838</v>
      </c>
      <c r="B2067" t="s">
        <v>1838</v>
      </c>
      <c r="C2067" t="s">
        <v>9567</v>
      </c>
      <c r="D2067" t="s">
        <v>11582</v>
      </c>
      <c r="E2067" t="s">
        <v>14322</v>
      </c>
      <c r="F2067" t="s">
        <v>14324</v>
      </c>
      <c r="G2067" t="s">
        <v>19217</v>
      </c>
      <c r="I2067" t="s">
        <v>18780</v>
      </c>
      <c r="K2067" t="str">
        <f>HYPERLINK("http://tuberculist.epfl.ch/quicksearch.php?gene+name=Rv2014&amp;submit=Search")</f>
        <v>http://tuberculist.epfl.ch/quicksearch.php?gene+name=Rv2014&amp;submit=Search</v>
      </c>
    </row>
    <row r="2068" spans="1:11">
      <c r="A2068" t="s">
        <v>2061</v>
      </c>
      <c r="B2068" t="s">
        <v>2061</v>
      </c>
      <c r="C2068" t="s">
        <v>9567</v>
      </c>
      <c r="D2068" t="s">
        <v>9587</v>
      </c>
      <c r="E2068" t="s">
        <v>9579</v>
      </c>
      <c r="F2068" t="s">
        <v>14325</v>
      </c>
      <c r="G2068" t="s">
        <v>19216</v>
      </c>
      <c r="H2068" t="s">
        <v>19672</v>
      </c>
      <c r="I2068" t="s">
        <v>18780</v>
      </c>
      <c r="K2068" t="str">
        <f>HYPERLINK("http://tuberculist.epfl.ch/quicksearch.php?gene+name=Rv2015c&amp;submit=Search")</f>
        <v>http://tuberculist.epfl.ch/quicksearch.php?gene+name=Rv2015c&amp;submit=Search</v>
      </c>
    </row>
    <row r="2069" spans="1:11">
      <c r="A2069" t="s">
        <v>2213</v>
      </c>
      <c r="B2069" t="s">
        <v>2213</v>
      </c>
      <c r="C2069" t="s">
        <v>9567</v>
      </c>
      <c r="D2069" t="s">
        <v>9587</v>
      </c>
      <c r="E2069" t="s">
        <v>9713</v>
      </c>
      <c r="F2069" t="s">
        <v>14326</v>
      </c>
      <c r="G2069" t="s">
        <v>19212</v>
      </c>
      <c r="I2069" t="s">
        <v>18797</v>
      </c>
      <c r="K2069" t="str">
        <f>HYPERLINK("http://tuberculist.epfl.ch/quicksearch.php?gene+name=Rv2016&amp;submit=Search")</f>
        <v>http://tuberculist.epfl.ch/quicksearch.php?gene+name=Rv2016&amp;submit=Search</v>
      </c>
    </row>
    <row r="2070" spans="1:11">
      <c r="A2070" t="s">
        <v>748</v>
      </c>
      <c r="B2070" t="s">
        <v>748</v>
      </c>
      <c r="C2070" t="s">
        <v>9567</v>
      </c>
      <c r="D2070" t="s">
        <v>11326</v>
      </c>
      <c r="E2070" t="s">
        <v>11504</v>
      </c>
      <c r="F2070" t="s">
        <v>14327</v>
      </c>
      <c r="G2070" t="s">
        <v>19197</v>
      </c>
      <c r="H2070" t="s">
        <v>19211</v>
      </c>
      <c r="I2070" t="s">
        <v>18776</v>
      </c>
      <c r="K2070" t="str">
        <f>HYPERLINK("http://tuberculist.epfl.ch/quicksearch.php?gene+name=Rv2017&amp;submit=Search")</f>
        <v>http://tuberculist.epfl.ch/quicksearch.php?gene+name=Rv2017&amp;submit=Search</v>
      </c>
    </row>
    <row r="2071" spans="1:11">
      <c r="A2071" t="s">
        <v>559</v>
      </c>
      <c r="B2071" t="s">
        <v>559</v>
      </c>
      <c r="C2071" t="s">
        <v>9567</v>
      </c>
      <c r="D2071" t="s">
        <v>9587</v>
      </c>
      <c r="E2071" t="s">
        <v>9665</v>
      </c>
      <c r="F2071" t="s">
        <v>14328</v>
      </c>
      <c r="G2071" t="s">
        <v>19212</v>
      </c>
      <c r="H2071" t="s">
        <v>19233</v>
      </c>
      <c r="I2071" t="s">
        <v>18773</v>
      </c>
      <c r="K2071" t="str">
        <f>HYPERLINK("http://tuberculist.epfl.ch/quicksearch.php?gene+name=Rv2018&amp;submit=Search")</f>
        <v>http://tuberculist.epfl.ch/quicksearch.php?gene+name=Rv2018&amp;submit=Search</v>
      </c>
    </row>
    <row r="2072" spans="1:11">
      <c r="A2072" t="s">
        <v>14329</v>
      </c>
      <c r="B2072" t="s">
        <v>14329</v>
      </c>
      <c r="C2072" t="s">
        <v>9567</v>
      </c>
      <c r="D2072" t="s">
        <v>9587</v>
      </c>
      <c r="E2072" t="s">
        <v>9665</v>
      </c>
      <c r="F2072" t="s">
        <v>14330</v>
      </c>
      <c r="G2072" t="s">
        <v>19185</v>
      </c>
      <c r="H2072" t="s">
        <v>19233</v>
      </c>
      <c r="I2072" t="s">
        <v>18789</v>
      </c>
      <c r="K2072" t="str">
        <f>HYPERLINK("http://tuberculist.epfl.ch/quicksearch.php?gene+name=Rv2019&amp;submit=Search")</f>
        <v>http://tuberculist.epfl.ch/quicksearch.php?gene+name=Rv2019&amp;submit=Search</v>
      </c>
    </row>
    <row r="2073" spans="1:11">
      <c r="A2073" t="s">
        <v>14331</v>
      </c>
      <c r="B2073" t="s">
        <v>14331</v>
      </c>
      <c r="C2073" t="s">
        <v>9567</v>
      </c>
      <c r="D2073" t="s">
        <v>9587</v>
      </c>
      <c r="E2073" t="s">
        <v>9579</v>
      </c>
      <c r="F2073" t="s">
        <v>14332</v>
      </c>
      <c r="G2073" t="s">
        <v>19208</v>
      </c>
      <c r="I2073" t="s">
        <v>18780</v>
      </c>
      <c r="K2073" t="str">
        <f>HYPERLINK("http://tuberculist.epfl.ch/quicksearch.php?gene+name=Rv2020c&amp;submit=Search")</f>
        <v>http://tuberculist.epfl.ch/quicksearch.php?gene+name=Rv2020c&amp;submit=Search</v>
      </c>
    </row>
    <row r="2074" spans="1:11">
      <c r="A2074" t="s">
        <v>2038</v>
      </c>
      <c r="B2074" t="s">
        <v>2038</v>
      </c>
      <c r="C2074" t="s">
        <v>9567</v>
      </c>
      <c r="D2074" t="s">
        <v>11326</v>
      </c>
      <c r="E2074" t="s">
        <v>11504</v>
      </c>
      <c r="F2074" t="s">
        <v>14333</v>
      </c>
      <c r="G2074" t="s">
        <v>19197</v>
      </c>
      <c r="I2074" t="s">
        <v>18789</v>
      </c>
      <c r="K2074" t="str">
        <f>HYPERLINK("http://tuberculist.epfl.ch/quicksearch.php?gene+name=Rv2021c&amp;submit=Search")</f>
        <v>http://tuberculist.epfl.ch/quicksearch.php?gene+name=Rv2021c&amp;submit=Search</v>
      </c>
    </row>
    <row r="2075" spans="1:11">
      <c r="A2075" t="s">
        <v>847</v>
      </c>
      <c r="B2075" t="s">
        <v>847</v>
      </c>
      <c r="C2075" t="s">
        <v>9567</v>
      </c>
      <c r="D2075" t="s">
        <v>9587</v>
      </c>
      <c r="E2075" t="s">
        <v>9665</v>
      </c>
      <c r="F2075" t="s">
        <v>14334</v>
      </c>
      <c r="G2075" t="s">
        <v>19208</v>
      </c>
      <c r="H2075" t="s">
        <v>19192</v>
      </c>
      <c r="I2075" t="s">
        <v>18780</v>
      </c>
      <c r="K2075" t="str">
        <f>HYPERLINK("http://tuberculist.epfl.ch/quicksearch.php?gene+name=Rv2022c&amp;submit=Search")</f>
        <v>http://tuberculist.epfl.ch/quicksearch.php?gene+name=Rv2022c&amp;submit=Search</v>
      </c>
    </row>
    <row r="2076" spans="1:11">
      <c r="A2076" t="s">
        <v>14335</v>
      </c>
      <c r="B2076" t="s">
        <v>14335</v>
      </c>
      <c r="C2076" t="s">
        <v>10216</v>
      </c>
      <c r="D2076" t="s">
        <v>9587</v>
      </c>
      <c r="E2076" t="s">
        <v>14336</v>
      </c>
      <c r="F2076" t="s">
        <v>14337</v>
      </c>
      <c r="G2076" t="s">
        <v>19212</v>
      </c>
      <c r="I2076" t="s">
        <v>18773</v>
      </c>
      <c r="K2076" t="str">
        <f>HYPERLINK("http://tuberculist.epfl.ch/quicksearch.php?gene+name=Rv2023A&amp;submit=Search")</f>
        <v>http://tuberculist.epfl.ch/quicksearch.php?gene+name=Rv2023A&amp;submit=Search</v>
      </c>
    </row>
    <row r="2077" spans="1:11">
      <c r="A2077" t="s">
        <v>14338</v>
      </c>
      <c r="B2077" t="s">
        <v>14338</v>
      </c>
      <c r="C2077" t="s">
        <v>9567</v>
      </c>
      <c r="D2077" t="s">
        <v>9587</v>
      </c>
      <c r="E2077" t="s">
        <v>9713</v>
      </c>
      <c r="F2077" t="s">
        <v>14339</v>
      </c>
      <c r="G2077" t="s">
        <v>19212</v>
      </c>
      <c r="I2077" t="s">
        <v>18780</v>
      </c>
      <c r="J2077" t="s">
        <v>18839</v>
      </c>
      <c r="K2077" t="str">
        <f>HYPERLINK("http://tuberculist.epfl.ch/quicksearch.php?gene+name=Rv2023c&amp;submit=Search")</f>
        <v>http://tuberculist.epfl.ch/quicksearch.php?gene+name=Rv2023c&amp;submit=Search</v>
      </c>
    </row>
    <row r="2078" spans="1:11">
      <c r="A2078" t="s">
        <v>1017</v>
      </c>
      <c r="B2078" t="s">
        <v>1017</v>
      </c>
      <c r="C2078" t="s">
        <v>9567</v>
      </c>
      <c r="D2078" t="s">
        <v>9587</v>
      </c>
      <c r="E2078" t="s">
        <v>9579</v>
      </c>
      <c r="F2078" t="s">
        <v>14340</v>
      </c>
      <c r="G2078" t="s">
        <v>19212</v>
      </c>
      <c r="H2078" t="s">
        <v>19211</v>
      </c>
      <c r="I2078" t="s">
        <v>18935</v>
      </c>
      <c r="K2078" t="str">
        <f>HYPERLINK("http://tuberculist.epfl.ch/quicksearch.php?gene+name=Rv2024c&amp;submit=Search")</f>
        <v>http://tuberculist.epfl.ch/quicksearch.php?gene+name=Rv2024c&amp;submit=Search</v>
      </c>
    </row>
    <row r="2079" spans="1:11">
      <c r="A2079" t="s">
        <v>2651</v>
      </c>
      <c r="B2079" t="s">
        <v>2651</v>
      </c>
      <c r="C2079" t="s">
        <v>9567</v>
      </c>
      <c r="D2079" t="s">
        <v>14341</v>
      </c>
      <c r="E2079" t="s">
        <v>11913</v>
      </c>
      <c r="F2079" t="s">
        <v>14342</v>
      </c>
      <c r="G2079" t="s">
        <v>19188</v>
      </c>
      <c r="I2079" t="s">
        <v>18789</v>
      </c>
      <c r="J2079" t="s">
        <v>19022</v>
      </c>
      <c r="K2079" t="str">
        <f>HYPERLINK("http://tuberculist.epfl.ch/quicksearch.php?gene+name=Rv2025c&amp;submit=Search")</f>
        <v>http://tuberculist.epfl.ch/quicksearch.php?gene+name=Rv2025c&amp;submit=Search</v>
      </c>
    </row>
    <row r="2080" spans="1:11">
      <c r="A2080" t="s">
        <v>14343</v>
      </c>
      <c r="B2080" t="s">
        <v>14343</v>
      </c>
      <c r="C2080" t="s">
        <v>9567</v>
      </c>
      <c r="D2080" t="s">
        <v>9587</v>
      </c>
      <c r="E2080" t="s">
        <v>14288</v>
      </c>
      <c r="F2080" t="s">
        <v>14344</v>
      </c>
      <c r="G2080" t="s">
        <v>19206</v>
      </c>
      <c r="H2080" t="s">
        <v>19213</v>
      </c>
      <c r="I2080" t="s">
        <v>19023</v>
      </c>
      <c r="K2080" t="str">
        <f>HYPERLINK("http://tuberculist.epfl.ch/quicksearch.php?gene+name=Rv2026c&amp;submit=Search")</f>
        <v>http://tuberculist.epfl.ch/quicksearch.php?gene+name=Rv2026c&amp;submit=Search</v>
      </c>
    </row>
    <row r="2081" spans="1:11">
      <c r="A2081" t="s">
        <v>14345</v>
      </c>
      <c r="B2081" t="s">
        <v>1236</v>
      </c>
      <c r="C2081" t="s">
        <v>9567</v>
      </c>
      <c r="D2081" t="s">
        <v>14346</v>
      </c>
      <c r="E2081" t="s">
        <v>14347</v>
      </c>
      <c r="F2081" t="s">
        <v>14348</v>
      </c>
      <c r="G2081" t="s">
        <v>19197</v>
      </c>
      <c r="I2081" t="s">
        <v>18789</v>
      </c>
      <c r="K2081" t="str">
        <f>HYPERLINK("http://tuberculist.epfl.ch/quicksearch.php?gene+name=Rv2027c&amp;submit=Search")</f>
        <v>http://tuberculist.epfl.ch/quicksearch.php?gene+name=Rv2027c&amp;submit=Search</v>
      </c>
    </row>
    <row r="2082" spans="1:11">
      <c r="A2082" t="s">
        <v>14349</v>
      </c>
      <c r="B2082" t="s">
        <v>14349</v>
      </c>
      <c r="C2082" t="s">
        <v>9567</v>
      </c>
      <c r="D2082" t="s">
        <v>9587</v>
      </c>
      <c r="E2082" t="s">
        <v>14288</v>
      </c>
      <c r="F2082" t="s">
        <v>14350</v>
      </c>
      <c r="G2082" t="s">
        <v>19206</v>
      </c>
      <c r="H2082" t="s">
        <v>19805</v>
      </c>
      <c r="I2082" t="s">
        <v>19024</v>
      </c>
      <c r="J2082" t="s">
        <v>18799</v>
      </c>
      <c r="K2082" t="str">
        <f>HYPERLINK("http://tuberculist.epfl.ch/quicksearch.php?gene+name=Rv2028c&amp;submit=Search")</f>
        <v>http://tuberculist.epfl.ch/quicksearch.php?gene+name=Rv2028c&amp;submit=Search</v>
      </c>
    </row>
    <row r="2083" spans="1:11">
      <c r="A2083" t="s">
        <v>302</v>
      </c>
      <c r="B2083" t="s">
        <v>301</v>
      </c>
      <c r="C2083" t="s">
        <v>9567</v>
      </c>
      <c r="D2083" t="s">
        <v>14351</v>
      </c>
      <c r="E2083" t="s">
        <v>14352</v>
      </c>
      <c r="F2083" t="s">
        <v>14353</v>
      </c>
      <c r="G2083" t="s">
        <v>19195</v>
      </c>
      <c r="H2083" t="s">
        <v>19214</v>
      </c>
      <c r="I2083" t="s">
        <v>18780</v>
      </c>
      <c r="J2083" t="s">
        <v>18799</v>
      </c>
      <c r="K2083" t="str">
        <f>HYPERLINK("http://tuberculist.epfl.ch/quicksearch.php?gene+name=Rv2029c&amp;submit=Search")</f>
        <v>http://tuberculist.epfl.ch/quicksearch.php?gene+name=Rv2029c&amp;submit=Search</v>
      </c>
    </row>
    <row r="2084" spans="1:11">
      <c r="A2084" t="s">
        <v>306</v>
      </c>
      <c r="B2084" t="s">
        <v>306</v>
      </c>
      <c r="C2084" t="s">
        <v>9567</v>
      </c>
      <c r="D2084" t="s">
        <v>9587</v>
      </c>
      <c r="E2084" t="s">
        <v>9665</v>
      </c>
      <c r="F2084" t="s">
        <v>14354</v>
      </c>
      <c r="G2084" t="s">
        <v>19204</v>
      </c>
      <c r="H2084" t="s">
        <v>19806</v>
      </c>
      <c r="I2084" t="s">
        <v>18789</v>
      </c>
      <c r="J2084" t="s">
        <v>18799</v>
      </c>
      <c r="K2084" t="str">
        <f>HYPERLINK("http://tuberculist.epfl.ch/quicksearch.php?gene+name=Rv2030c&amp;submit=Search")</f>
        <v>http://tuberculist.epfl.ch/quicksearch.php?gene+name=Rv2030c&amp;submit=Search</v>
      </c>
    </row>
    <row r="2085" spans="1:11">
      <c r="A2085" t="s">
        <v>311</v>
      </c>
      <c r="B2085" t="s">
        <v>310</v>
      </c>
      <c r="C2085" t="s">
        <v>9567</v>
      </c>
      <c r="D2085" t="s">
        <v>14355</v>
      </c>
      <c r="E2085" t="s">
        <v>14356</v>
      </c>
      <c r="F2085" t="s">
        <v>14357</v>
      </c>
      <c r="G2085" t="s">
        <v>19206</v>
      </c>
      <c r="H2085" t="s">
        <v>19807</v>
      </c>
      <c r="I2085" t="s">
        <v>18780</v>
      </c>
      <c r="J2085" t="s">
        <v>19025</v>
      </c>
      <c r="K2085" t="str">
        <f>HYPERLINK("http://tuberculist.epfl.ch/quicksearch.php?gene+name=Rv2031c&amp;submit=Search")</f>
        <v>http://tuberculist.epfl.ch/quicksearch.php?gene+name=Rv2031c&amp;submit=Search</v>
      </c>
    </row>
    <row r="2086" spans="1:11">
      <c r="A2086" t="s">
        <v>316</v>
      </c>
      <c r="B2086" t="s">
        <v>315</v>
      </c>
      <c r="C2086" t="s">
        <v>9567</v>
      </c>
      <c r="D2086" t="s">
        <v>14358</v>
      </c>
      <c r="E2086" t="s">
        <v>14359</v>
      </c>
      <c r="F2086" t="s">
        <v>14360</v>
      </c>
      <c r="G2086" t="s">
        <v>19212</v>
      </c>
      <c r="H2086" t="s">
        <v>19808</v>
      </c>
      <c r="I2086" t="s">
        <v>18793</v>
      </c>
      <c r="J2086" t="s">
        <v>18799</v>
      </c>
      <c r="K2086" t="str">
        <f>HYPERLINK("http://tuberculist.epfl.ch/quicksearch.php?gene+name=Rv2032&amp;submit=Search")</f>
        <v>http://tuberculist.epfl.ch/quicksearch.php?gene+name=Rv2032&amp;submit=Search</v>
      </c>
    </row>
    <row r="2087" spans="1:11">
      <c r="A2087" t="s">
        <v>1810</v>
      </c>
      <c r="B2087" t="s">
        <v>1810</v>
      </c>
      <c r="C2087" t="s">
        <v>9567</v>
      </c>
      <c r="D2087" t="s">
        <v>9587</v>
      </c>
      <c r="E2087" t="s">
        <v>9579</v>
      </c>
      <c r="F2087" t="s">
        <v>14361</v>
      </c>
      <c r="G2087" t="s">
        <v>19210</v>
      </c>
      <c r="H2087" t="s">
        <v>19207</v>
      </c>
      <c r="I2087" t="s">
        <v>18789</v>
      </c>
      <c r="J2087" t="s">
        <v>18778</v>
      </c>
      <c r="K2087" t="str">
        <f>HYPERLINK("http://tuberculist.epfl.ch/quicksearch.php?gene+name=Rv2033c&amp;submit=Search")</f>
        <v>http://tuberculist.epfl.ch/quicksearch.php?gene+name=Rv2033c&amp;submit=Search</v>
      </c>
    </row>
    <row r="2088" spans="1:11">
      <c r="A2088" t="s">
        <v>14362</v>
      </c>
      <c r="B2088" t="s">
        <v>14362</v>
      </c>
      <c r="C2088" t="s">
        <v>9567</v>
      </c>
      <c r="D2088" t="s">
        <v>14363</v>
      </c>
      <c r="E2088" t="s">
        <v>14364</v>
      </c>
      <c r="F2088" t="s">
        <v>14365</v>
      </c>
      <c r="G2088" t="s">
        <v>19197</v>
      </c>
      <c r="H2088" t="s">
        <v>19192</v>
      </c>
      <c r="I2088" t="s">
        <v>18780</v>
      </c>
      <c r="J2088" t="s">
        <v>18856</v>
      </c>
      <c r="K2088" t="str">
        <f>HYPERLINK("http://tuberculist.epfl.ch/quicksearch.php?gene+name=Rv2034&amp;submit=Search")</f>
        <v>http://tuberculist.epfl.ch/quicksearch.php?gene+name=Rv2034&amp;submit=Search</v>
      </c>
    </row>
    <row r="2089" spans="1:11">
      <c r="A2089" t="s">
        <v>14366</v>
      </c>
      <c r="B2089" t="s">
        <v>14366</v>
      </c>
      <c r="C2089" t="s">
        <v>9567</v>
      </c>
      <c r="D2089" t="s">
        <v>9587</v>
      </c>
      <c r="E2089" t="s">
        <v>9579</v>
      </c>
      <c r="F2089" t="s">
        <v>14367</v>
      </c>
      <c r="G2089" t="s">
        <v>19208</v>
      </c>
      <c r="H2089" t="s">
        <v>19247</v>
      </c>
      <c r="I2089" t="s">
        <v>18789</v>
      </c>
      <c r="K2089" t="str">
        <f>HYPERLINK("http://tuberculist.epfl.ch/quicksearch.php?gene+name=Rv2035&amp;submit=Search")</f>
        <v>http://tuberculist.epfl.ch/quicksearch.php?gene+name=Rv2035&amp;submit=Search</v>
      </c>
    </row>
    <row r="2090" spans="1:11">
      <c r="A2090" t="s">
        <v>1534</v>
      </c>
      <c r="B2090" t="s">
        <v>1534</v>
      </c>
      <c r="C2090" t="s">
        <v>9567</v>
      </c>
      <c r="D2090" t="s">
        <v>9587</v>
      </c>
      <c r="E2090" t="s">
        <v>9579</v>
      </c>
      <c r="F2090" t="s">
        <v>14368</v>
      </c>
      <c r="G2090" t="s">
        <v>19212</v>
      </c>
      <c r="I2090" t="s">
        <v>18773</v>
      </c>
      <c r="K2090" t="str">
        <f>HYPERLINK("http://tuberculist.epfl.ch/quicksearch.php?gene+name=Rv2036&amp;submit=Search")</f>
        <v>http://tuberculist.epfl.ch/quicksearch.php?gene+name=Rv2036&amp;submit=Search</v>
      </c>
    </row>
    <row r="2091" spans="1:11">
      <c r="A2091" t="s">
        <v>1912</v>
      </c>
      <c r="B2091" t="s">
        <v>1912</v>
      </c>
      <c r="C2091" t="s">
        <v>9567</v>
      </c>
      <c r="D2091" t="s">
        <v>9587</v>
      </c>
      <c r="E2091" t="s">
        <v>14369</v>
      </c>
      <c r="F2091" t="s">
        <v>14370</v>
      </c>
      <c r="G2091" t="s">
        <v>19188</v>
      </c>
      <c r="H2091" t="s">
        <v>19283</v>
      </c>
      <c r="I2091" t="s">
        <v>18773</v>
      </c>
      <c r="K2091" t="str">
        <f>HYPERLINK("http://tuberculist.epfl.ch/quicksearch.php?gene+name=Rv2037c&amp;submit=Search")</f>
        <v>http://tuberculist.epfl.ch/quicksearch.php?gene+name=Rv2037c&amp;submit=Search</v>
      </c>
    </row>
    <row r="2092" spans="1:11">
      <c r="A2092" t="s">
        <v>1825</v>
      </c>
      <c r="B2092" t="s">
        <v>1825</v>
      </c>
      <c r="C2092" t="s">
        <v>9567</v>
      </c>
      <c r="D2092" t="s">
        <v>14371</v>
      </c>
      <c r="E2092" t="s">
        <v>14372</v>
      </c>
      <c r="F2092" t="s">
        <v>14373</v>
      </c>
      <c r="G2092" t="s">
        <v>19188</v>
      </c>
      <c r="H2092" t="s">
        <v>19757</v>
      </c>
      <c r="I2092" t="s">
        <v>18853</v>
      </c>
      <c r="K2092" t="str">
        <f>HYPERLINK("http://tuberculist.epfl.ch/quicksearch.php?gene+name=Rv2038c&amp;submit=Search")</f>
        <v>http://tuberculist.epfl.ch/quicksearch.php?gene+name=Rv2038c&amp;submit=Search</v>
      </c>
    </row>
    <row r="2093" spans="1:11">
      <c r="A2093" t="s">
        <v>2652</v>
      </c>
      <c r="B2093" t="s">
        <v>2652</v>
      </c>
      <c r="C2093" t="s">
        <v>9567</v>
      </c>
      <c r="D2093" t="s">
        <v>14374</v>
      </c>
      <c r="E2093" t="s">
        <v>14375</v>
      </c>
      <c r="F2093" t="s">
        <v>14376</v>
      </c>
      <c r="G2093" t="s">
        <v>19188</v>
      </c>
      <c r="I2093" t="s">
        <v>18779</v>
      </c>
      <c r="K2093" t="str">
        <f>HYPERLINK("http://tuberculist.epfl.ch/quicksearch.php?gene+name=Rv2039c&amp;submit=Search")</f>
        <v>http://tuberculist.epfl.ch/quicksearch.php?gene+name=Rv2039c&amp;submit=Search</v>
      </c>
    </row>
    <row r="2094" spans="1:11">
      <c r="A2094" t="s">
        <v>834</v>
      </c>
      <c r="B2094" t="s">
        <v>834</v>
      </c>
      <c r="C2094" t="s">
        <v>9567</v>
      </c>
      <c r="D2094" t="s">
        <v>14374</v>
      </c>
      <c r="E2094" t="s">
        <v>14375</v>
      </c>
      <c r="F2094" t="s">
        <v>14377</v>
      </c>
      <c r="G2094" t="s">
        <v>19188</v>
      </c>
      <c r="I2094" t="s">
        <v>18890</v>
      </c>
      <c r="J2094" t="s">
        <v>18809</v>
      </c>
      <c r="K2094" t="str">
        <f>HYPERLINK("http://tuberculist.epfl.ch/quicksearch.php?gene+name=Rv2040c&amp;submit=Search")</f>
        <v>http://tuberculist.epfl.ch/quicksearch.php?gene+name=Rv2040c&amp;submit=Search</v>
      </c>
    </row>
    <row r="2095" spans="1:11">
      <c r="A2095" t="s">
        <v>1275</v>
      </c>
      <c r="B2095" t="s">
        <v>1275</v>
      </c>
      <c r="C2095" t="s">
        <v>9567</v>
      </c>
      <c r="D2095" t="s">
        <v>12478</v>
      </c>
      <c r="E2095" t="s">
        <v>14378</v>
      </c>
      <c r="F2095" t="s">
        <v>14379</v>
      </c>
      <c r="G2095" t="s">
        <v>19188</v>
      </c>
      <c r="H2095" t="s">
        <v>19305</v>
      </c>
      <c r="I2095" t="s">
        <v>18801</v>
      </c>
      <c r="K2095" t="str">
        <f>HYPERLINK("http://tuberculist.epfl.ch/quicksearch.php?gene+name=Rv2041c&amp;submit=Search")</f>
        <v>http://tuberculist.epfl.ch/quicksearch.php?gene+name=Rv2041c&amp;submit=Search</v>
      </c>
    </row>
    <row r="2096" spans="1:11">
      <c r="A2096" t="s">
        <v>1095</v>
      </c>
      <c r="B2096" t="s">
        <v>1095</v>
      </c>
      <c r="C2096" t="s">
        <v>9567</v>
      </c>
      <c r="D2096" t="s">
        <v>9587</v>
      </c>
      <c r="E2096" t="s">
        <v>9665</v>
      </c>
      <c r="F2096" t="s">
        <v>14380</v>
      </c>
      <c r="G2096" t="s">
        <v>19210</v>
      </c>
      <c r="H2096" t="s">
        <v>19225</v>
      </c>
      <c r="I2096" t="s">
        <v>18779</v>
      </c>
      <c r="K2096" t="str">
        <f>HYPERLINK("http://tuberculist.epfl.ch/quicksearch.php?gene+name=Rv2042c&amp;submit=Search")</f>
        <v>http://tuberculist.epfl.ch/quicksearch.php?gene+name=Rv2042c&amp;submit=Search</v>
      </c>
    </row>
    <row r="2097" spans="1:11">
      <c r="A2097" t="s">
        <v>6185</v>
      </c>
      <c r="B2097" t="s">
        <v>1851</v>
      </c>
      <c r="C2097" t="s">
        <v>9567</v>
      </c>
      <c r="D2097" t="s">
        <v>14381</v>
      </c>
      <c r="E2097" t="s">
        <v>14382</v>
      </c>
      <c r="F2097" t="s">
        <v>14383</v>
      </c>
      <c r="G2097" t="s">
        <v>19195</v>
      </c>
      <c r="I2097" t="s">
        <v>18780</v>
      </c>
      <c r="K2097" t="str">
        <f>HYPERLINK("http://tuberculist.epfl.ch/quicksearch.php?gene+name=Rv2043c&amp;submit=Search")</f>
        <v>http://tuberculist.epfl.ch/quicksearch.php?gene+name=Rv2043c&amp;submit=Search</v>
      </c>
    </row>
    <row r="2098" spans="1:11">
      <c r="A2098" t="s">
        <v>14384</v>
      </c>
      <c r="B2098" t="s">
        <v>14384</v>
      </c>
      <c r="C2098" t="s">
        <v>9567</v>
      </c>
      <c r="D2098" t="s">
        <v>9587</v>
      </c>
      <c r="E2098" t="s">
        <v>9579</v>
      </c>
      <c r="F2098" t="s">
        <v>14385</v>
      </c>
      <c r="G2098" t="s">
        <v>19212</v>
      </c>
      <c r="I2098" t="s">
        <v>18780</v>
      </c>
      <c r="K2098" t="str">
        <f>HYPERLINK("http://tuberculist.epfl.ch/quicksearch.php?gene+name=Rv2044c&amp;submit=Search")</f>
        <v>http://tuberculist.epfl.ch/quicksearch.php?gene+name=Rv2044c&amp;submit=Search</v>
      </c>
    </row>
    <row r="2099" spans="1:11">
      <c r="A2099" t="s">
        <v>4060</v>
      </c>
      <c r="B2099" t="s">
        <v>789</v>
      </c>
      <c r="C2099" t="s">
        <v>9567</v>
      </c>
      <c r="D2099" t="s">
        <v>14386</v>
      </c>
      <c r="E2099" t="s">
        <v>14387</v>
      </c>
      <c r="F2099" t="s">
        <v>14388</v>
      </c>
      <c r="G2099" t="s">
        <v>19195</v>
      </c>
      <c r="I2099" t="s">
        <v>18780</v>
      </c>
      <c r="K2099" t="str">
        <f>HYPERLINK("http://tuberculist.epfl.ch/quicksearch.php?gene+name=Rv2045c&amp;submit=Search")</f>
        <v>http://tuberculist.epfl.ch/quicksearch.php?gene+name=Rv2045c&amp;submit=Search</v>
      </c>
    </row>
    <row r="2100" spans="1:11">
      <c r="A2100" t="s">
        <v>3462</v>
      </c>
      <c r="B2100" t="s">
        <v>487</v>
      </c>
      <c r="C2100" t="s">
        <v>9567</v>
      </c>
      <c r="D2100" t="s">
        <v>9587</v>
      </c>
      <c r="E2100" t="s">
        <v>14389</v>
      </c>
      <c r="F2100" t="s">
        <v>14390</v>
      </c>
      <c r="G2100" t="s">
        <v>19188</v>
      </c>
      <c r="H2100" t="s">
        <v>19531</v>
      </c>
      <c r="I2100" t="s">
        <v>18780</v>
      </c>
      <c r="K2100" t="str">
        <f>HYPERLINK("http://tuberculist.epfl.ch/quicksearch.php?gene+name=Rv2046&amp;submit=Search")</f>
        <v>http://tuberculist.epfl.ch/quicksearch.php?gene+name=Rv2046&amp;submit=Search</v>
      </c>
    </row>
    <row r="2101" spans="1:11">
      <c r="A2101" t="s">
        <v>2831</v>
      </c>
      <c r="B2101" t="s">
        <v>2831</v>
      </c>
      <c r="C2101" t="s">
        <v>9567</v>
      </c>
      <c r="D2101" t="s">
        <v>9587</v>
      </c>
      <c r="E2101" t="s">
        <v>9579</v>
      </c>
      <c r="F2101" t="s">
        <v>14391</v>
      </c>
      <c r="G2101" t="s">
        <v>19204</v>
      </c>
      <c r="H2101" t="s">
        <v>19254</v>
      </c>
      <c r="I2101" t="s">
        <v>18788</v>
      </c>
      <c r="K2101" t="str">
        <f>HYPERLINK("http://tuberculist.epfl.ch/quicksearch.php?gene+name=Rv2047c&amp;submit=Search")</f>
        <v>http://tuberculist.epfl.ch/quicksearch.php?gene+name=Rv2047c&amp;submit=Search</v>
      </c>
    </row>
    <row r="2102" spans="1:11">
      <c r="A2102" t="s">
        <v>8119</v>
      </c>
      <c r="B2102" t="s">
        <v>2812</v>
      </c>
      <c r="C2102" t="s">
        <v>9567</v>
      </c>
      <c r="D2102" t="s">
        <v>14392</v>
      </c>
      <c r="E2102" t="s">
        <v>14393</v>
      </c>
      <c r="F2102" t="s">
        <v>14394</v>
      </c>
      <c r="G2102" t="s">
        <v>19219</v>
      </c>
      <c r="H2102" t="s">
        <v>19809</v>
      </c>
      <c r="I2102" t="s">
        <v>19026</v>
      </c>
      <c r="K2102" t="str">
        <f>HYPERLINK("http://tuberculist.epfl.ch/quicksearch.php?gene+name=Rv2048c&amp;submit=Search")</f>
        <v>http://tuberculist.epfl.ch/quicksearch.php?gene+name=Rv2048c&amp;submit=Search</v>
      </c>
    </row>
    <row r="2103" spans="1:11">
      <c r="A2103" t="s">
        <v>14395</v>
      </c>
      <c r="B2103" t="s">
        <v>14395</v>
      </c>
      <c r="C2103" t="s">
        <v>9567</v>
      </c>
      <c r="D2103" t="s">
        <v>9587</v>
      </c>
      <c r="E2103" t="s">
        <v>9579</v>
      </c>
      <c r="F2103" t="s">
        <v>14396</v>
      </c>
      <c r="G2103" t="s">
        <v>19212</v>
      </c>
      <c r="I2103" t="s">
        <v>18780</v>
      </c>
      <c r="K2103" t="str">
        <f>HYPERLINK("http://tuberculist.epfl.ch/quicksearch.php?gene+name=Rv2049c&amp;submit=Search")</f>
        <v>http://tuberculist.epfl.ch/quicksearch.php?gene+name=Rv2049c&amp;submit=Search</v>
      </c>
    </row>
    <row r="2104" spans="1:11">
      <c r="A2104" t="s">
        <v>1276</v>
      </c>
      <c r="B2104" t="s">
        <v>1276</v>
      </c>
      <c r="C2104" t="s">
        <v>9567</v>
      </c>
      <c r="D2104" t="s">
        <v>9587</v>
      </c>
      <c r="E2104" t="s">
        <v>9665</v>
      </c>
      <c r="F2104" t="s">
        <v>14397</v>
      </c>
      <c r="G2104" t="s">
        <v>19204</v>
      </c>
      <c r="H2104" t="s">
        <v>19233</v>
      </c>
      <c r="I2104" t="s">
        <v>18800</v>
      </c>
      <c r="K2104" t="str">
        <f>HYPERLINK("http://tuberculist.epfl.ch/quicksearch.php?gene+name=Rv2050&amp;submit=Search")</f>
        <v>http://tuberculist.epfl.ch/quicksearch.php?gene+name=Rv2050&amp;submit=Search</v>
      </c>
    </row>
    <row r="2105" spans="1:11">
      <c r="A2105" t="s">
        <v>4947</v>
      </c>
      <c r="B2105" t="s">
        <v>1230</v>
      </c>
      <c r="C2105" t="s">
        <v>9567</v>
      </c>
      <c r="D2105" t="s">
        <v>14398</v>
      </c>
      <c r="E2105" t="s">
        <v>14399</v>
      </c>
      <c r="F2105" t="s">
        <v>14400</v>
      </c>
      <c r="G2105" t="s">
        <v>19188</v>
      </c>
      <c r="H2105" t="s">
        <v>19810</v>
      </c>
      <c r="I2105" t="s">
        <v>18788</v>
      </c>
      <c r="K2105" t="str">
        <f>HYPERLINK("http://tuberculist.epfl.ch/quicksearch.php?gene+name=Rv2051c&amp;submit=Search")</f>
        <v>http://tuberculist.epfl.ch/quicksearch.php?gene+name=Rv2051c&amp;submit=Search</v>
      </c>
    </row>
    <row r="2106" spans="1:11">
      <c r="A2106" t="s">
        <v>1427</v>
      </c>
      <c r="B2106" t="s">
        <v>1427</v>
      </c>
      <c r="C2106" t="s">
        <v>9567</v>
      </c>
      <c r="D2106" t="s">
        <v>9587</v>
      </c>
      <c r="E2106" t="s">
        <v>9665</v>
      </c>
      <c r="F2106" t="s">
        <v>14401</v>
      </c>
      <c r="G2106" t="s">
        <v>19212</v>
      </c>
      <c r="H2106" t="s">
        <v>19811</v>
      </c>
      <c r="I2106" t="s">
        <v>18780</v>
      </c>
      <c r="K2106" t="str">
        <f>HYPERLINK("http://tuberculist.epfl.ch/quicksearch.php?gene+name=Rv2052c&amp;submit=Search")</f>
        <v>http://tuberculist.epfl.ch/quicksearch.php?gene+name=Rv2052c&amp;submit=Search</v>
      </c>
    </row>
    <row r="2107" spans="1:11">
      <c r="A2107" t="s">
        <v>4550</v>
      </c>
      <c r="B2107" t="s">
        <v>1036</v>
      </c>
      <c r="C2107" t="s">
        <v>9567</v>
      </c>
      <c r="D2107" t="s">
        <v>9587</v>
      </c>
      <c r="E2107" t="s">
        <v>14402</v>
      </c>
      <c r="F2107" t="s">
        <v>14403</v>
      </c>
      <c r="G2107" t="s">
        <v>19188</v>
      </c>
      <c r="I2107" t="s">
        <v>18779</v>
      </c>
      <c r="K2107" t="str">
        <f>HYPERLINK("http://tuberculist.epfl.ch/quicksearch.php?gene+name=Rv2053c&amp;submit=Search")</f>
        <v>http://tuberculist.epfl.ch/quicksearch.php?gene+name=Rv2053c&amp;submit=Search</v>
      </c>
    </row>
    <row r="2108" spans="1:11">
      <c r="A2108" t="s">
        <v>537</v>
      </c>
      <c r="B2108" t="s">
        <v>537</v>
      </c>
      <c r="C2108" t="s">
        <v>9567</v>
      </c>
      <c r="D2108" t="s">
        <v>9587</v>
      </c>
      <c r="E2108" t="s">
        <v>9665</v>
      </c>
      <c r="F2108" t="s">
        <v>14404</v>
      </c>
      <c r="G2108" t="s">
        <v>19204</v>
      </c>
      <c r="H2108" t="s">
        <v>19479</v>
      </c>
      <c r="I2108" t="s">
        <v>18789</v>
      </c>
      <c r="K2108" t="str">
        <f>HYPERLINK("http://tuberculist.epfl.ch/quicksearch.php?gene+name=Rv2054&amp;submit=Search")</f>
        <v>http://tuberculist.epfl.ch/quicksearch.php?gene+name=Rv2054&amp;submit=Search</v>
      </c>
    </row>
    <row r="2109" spans="1:11">
      <c r="A2109" t="s">
        <v>65</v>
      </c>
      <c r="B2109" t="s">
        <v>64</v>
      </c>
      <c r="C2109" t="s">
        <v>9567</v>
      </c>
      <c r="D2109" t="s">
        <v>14405</v>
      </c>
      <c r="E2109" t="s">
        <v>14406</v>
      </c>
      <c r="F2109" t="s">
        <v>14407</v>
      </c>
      <c r="G2109" t="s">
        <v>19181</v>
      </c>
      <c r="H2109" t="s">
        <v>19356</v>
      </c>
      <c r="I2109" t="s">
        <v>18780</v>
      </c>
      <c r="J2109" t="s">
        <v>18840</v>
      </c>
      <c r="K2109" t="str">
        <f>HYPERLINK("http://tuberculist.epfl.ch/quicksearch.php?gene+name=Rv2055c&amp;submit=Search")</f>
        <v>http://tuberculist.epfl.ch/quicksearch.php?gene+name=Rv2055c&amp;submit=Search</v>
      </c>
    </row>
    <row r="2110" spans="1:11">
      <c r="A2110" t="s">
        <v>77</v>
      </c>
      <c r="B2110" t="s">
        <v>76</v>
      </c>
      <c r="C2110" t="s">
        <v>9567</v>
      </c>
      <c r="D2110" t="s">
        <v>12636</v>
      </c>
      <c r="E2110" t="s">
        <v>14408</v>
      </c>
      <c r="F2110" t="s">
        <v>14409</v>
      </c>
      <c r="G2110" t="s">
        <v>19181</v>
      </c>
      <c r="H2110" t="s">
        <v>19205</v>
      </c>
      <c r="I2110" t="s">
        <v>18780</v>
      </c>
      <c r="J2110" t="s">
        <v>18840</v>
      </c>
      <c r="K2110" t="str">
        <f>HYPERLINK("http://tuberculist.epfl.ch/quicksearch.php?gene+name=Rv2056c&amp;submit=Search")</f>
        <v>http://tuberculist.epfl.ch/quicksearch.php?gene+name=Rv2056c&amp;submit=Search</v>
      </c>
    </row>
    <row r="2111" spans="1:11">
      <c r="A2111" t="s">
        <v>85</v>
      </c>
      <c r="B2111" t="s">
        <v>84</v>
      </c>
      <c r="C2111" t="s">
        <v>9567</v>
      </c>
      <c r="D2111" t="s">
        <v>12636</v>
      </c>
      <c r="E2111" t="s">
        <v>14410</v>
      </c>
      <c r="F2111" t="s">
        <v>14411</v>
      </c>
      <c r="G2111" t="s">
        <v>19181</v>
      </c>
      <c r="I2111" t="s">
        <v>18780</v>
      </c>
      <c r="J2111" t="s">
        <v>18840</v>
      </c>
      <c r="K2111" t="str">
        <f>HYPERLINK("http://tuberculist.epfl.ch/quicksearch.php?gene+name=Rv2057c&amp;submit=Search")</f>
        <v>http://tuberculist.epfl.ch/quicksearch.php?gene+name=Rv2057c&amp;submit=Search</v>
      </c>
    </row>
    <row r="2112" spans="1:11">
      <c r="A2112" t="s">
        <v>94</v>
      </c>
      <c r="B2112" t="s">
        <v>93</v>
      </c>
      <c r="C2112" t="s">
        <v>9567</v>
      </c>
      <c r="D2112" t="s">
        <v>14412</v>
      </c>
      <c r="E2112" t="s">
        <v>14413</v>
      </c>
      <c r="F2112" t="s">
        <v>14414</v>
      </c>
      <c r="G2112" t="s">
        <v>19181</v>
      </c>
      <c r="H2112" t="s">
        <v>19729</v>
      </c>
      <c r="I2112" t="s">
        <v>18780</v>
      </c>
      <c r="J2112" t="s">
        <v>18840</v>
      </c>
      <c r="K2112" t="str">
        <f>HYPERLINK("http://tuberculist.epfl.ch/quicksearch.php?gene+name=Rv2058c&amp;submit=Search")</f>
        <v>http://tuberculist.epfl.ch/quicksearch.php?gene+name=Rv2058c&amp;submit=Search</v>
      </c>
    </row>
    <row r="2113" spans="1:11">
      <c r="A2113" t="s">
        <v>36</v>
      </c>
      <c r="B2113" t="s">
        <v>36</v>
      </c>
      <c r="C2113" t="s">
        <v>9567</v>
      </c>
      <c r="D2113" t="s">
        <v>9587</v>
      </c>
      <c r="E2113" t="s">
        <v>9579</v>
      </c>
      <c r="F2113" t="s">
        <v>14415</v>
      </c>
      <c r="G2113" t="s">
        <v>19185</v>
      </c>
      <c r="H2113" t="s">
        <v>19263</v>
      </c>
      <c r="I2113" t="s">
        <v>18780</v>
      </c>
      <c r="J2113" t="s">
        <v>18840</v>
      </c>
      <c r="K2113" t="str">
        <f>HYPERLINK("http://tuberculist.epfl.ch/quicksearch.php?gene+name=Rv2059&amp;submit=Search")</f>
        <v>http://tuberculist.epfl.ch/quicksearch.php?gene+name=Rv2059&amp;submit=Search</v>
      </c>
    </row>
    <row r="2114" spans="1:11">
      <c r="A2114" t="s">
        <v>45</v>
      </c>
      <c r="B2114" t="s">
        <v>45</v>
      </c>
      <c r="C2114" t="s">
        <v>9567</v>
      </c>
      <c r="D2114" t="s">
        <v>9587</v>
      </c>
      <c r="E2114" t="s">
        <v>11631</v>
      </c>
      <c r="F2114" t="s">
        <v>14416</v>
      </c>
      <c r="G2114" t="s">
        <v>19188</v>
      </c>
      <c r="H2114" t="s">
        <v>19320</v>
      </c>
      <c r="I2114" t="s">
        <v>18773</v>
      </c>
      <c r="J2114" t="s">
        <v>18840</v>
      </c>
      <c r="K2114" t="str">
        <f>HYPERLINK("http://tuberculist.epfl.ch/quicksearch.php?gene+name=Rv2060&amp;submit=Search")</f>
        <v>http://tuberculist.epfl.ch/quicksearch.php?gene+name=Rv2060&amp;submit=Search</v>
      </c>
    </row>
    <row r="2115" spans="1:11">
      <c r="A2115" t="s">
        <v>54</v>
      </c>
      <c r="B2115" t="s">
        <v>54</v>
      </c>
      <c r="C2115" t="s">
        <v>9567</v>
      </c>
      <c r="D2115" t="s">
        <v>9587</v>
      </c>
      <c r="E2115" t="s">
        <v>9665</v>
      </c>
      <c r="F2115" t="s">
        <v>14417</v>
      </c>
      <c r="G2115" t="s">
        <v>19212</v>
      </c>
      <c r="H2115" t="s">
        <v>19812</v>
      </c>
      <c r="I2115" t="s">
        <v>18780</v>
      </c>
      <c r="K2115" t="str">
        <f>HYPERLINK("http://tuberculist.epfl.ch/quicksearch.php?gene+name=Rv2061c&amp;submit=Search")</f>
        <v>http://tuberculist.epfl.ch/quicksearch.php?gene+name=Rv2061c&amp;submit=Search</v>
      </c>
    </row>
    <row r="2116" spans="1:11">
      <c r="A2116" t="s">
        <v>5189</v>
      </c>
      <c r="B2116" t="s">
        <v>1347</v>
      </c>
      <c r="C2116" t="s">
        <v>9567</v>
      </c>
      <c r="D2116" t="s">
        <v>14418</v>
      </c>
      <c r="E2116" t="s">
        <v>14419</v>
      </c>
      <c r="F2116" t="s">
        <v>14420</v>
      </c>
      <c r="G2116" t="s">
        <v>19195</v>
      </c>
      <c r="H2116" t="s">
        <v>19184</v>
      </c>
      <c r="I2116" t="s">
        <v>18779</v>
      </c>
      <c r="K2116" t="str">
        <f>HYPERLINK("http://tuberculist.epfl.ch/quicksearch.php?gene+name=Rv2062c&amp;submit=Search")</f>
        <v>http://tuberculist.epfl.ch/quicksearch.php?gene+name=Rv2062c&amp;submit=Search</v>
      </c>
    </row>
    <row r="2117" spans="1:11">
      <c r="A2117" t="s">
        <v>14421</v>
      </c>
      <c r="B2117" t="s">
        <v>14422</v>
      </c>
      <c r="C2117" t="s">
        <v>9567</v>
      </c>
      <c r="D2117" t="s">
        <v>9578</v>
      </c>
      <c r="E2117" t="s">
        <v>14423</v>
      </c>
      <c r="F2117" t="s">
        <v>14424</v>
      </c>
      <c r="G2117" t="s">
        <v>19206</v>
      </c>
      <c r="H2117" t="s">
        <v>19192</v>
      </c>
      <c r="I2117" t="s">
        <v>18853</v>
      </c>
      <c r="K2117" t="str">
        <f>HYPERLINK("http://tuberculist.epfl.ch/quicksearch.php?gene+name=Rv2063&amp;submit=Search")</f>
        <v>http://tuberculist.epfl.ch/quicksearch.php?gene+name=Rv2063&amp;submit=Search</v>
      </c>
    </row>
    <row r="2118" spans="1:11">
      <c r="A2118" t="s">
        <v>14425</v>
      </c>
      <c r="B2118" t="s">
        <v>14426</v>
      </c>
      <c r="C2118" t="s">
        <v>9567</v>
      </c>
      <c r="D2118" t="s">
        <v>9587</v>
      </c>
      <c r="E2118" t="s">
        <v>14427</v>
      </c>
      <c r="F2118" t="s">
        <v>14428</v>
      </c>
      <c r="G2118" t="s">
        <v>19206</v>
      </c>
      <c r="I2118" t="s">
        <v>18773</v>
      </c>
      <c r="K2118" t="str">
        <f>HYPERLINK("http://tuberculist.epfl.ch/quicksearch.php?gene+name=Rv2063A&amp;submit=Search")</f>
        <v>http://tuberculist.epfl.ch/quicksearch.php?gene+name=Rv2063A&amp;submit=Search</v>
      </c>
    </row>
    <row r="2119" spans="1:11">
      <c r="A2119" t="s">
        <v>8358</v>
      </c>
      <c r="B2119" t="s">
        <v>2931</v>
      </c>
      <c r="C2119" t="s">
        <v>9567</v>
      </c>
      <c r="D2119" t="s">
        <v>14429</v>
      </c>
      <c r="E2119" t="s">
        <v>14430</v>
      </c>
      <c r="F2119" t="s">
        <v>14431</v>
      </c>
      <c r="G2119" t="s">
        <v>19195</v>
      </c>
      <c r="H2119" t="s">
        <v>19214</v>
      </c>
      <c r="I2119" t="s">
        <v>18773</v>
      </c>
      <c r="K2119" t="str">
        <f>HYPERLINK("http://tuberculist.epfl.ch/quicksearch.php?gene+name=Rv2064&amp;submit=Search")</f>
        <v>http://tuberculist.epfl.ch/quicksearch.php?gene+name=Rv2064&amp;submit=Search</v>
      </c>
    </row>
    <row r="2120" spans="1:11">
      <c r="A2120" t="s">
        <v>6113</v>
      </c>
      <c r="B2120" t="s">
        <v>1811</v>
      </c>
      <c r="C2120" t="s">
        <v>9567</v>
      </c>
      <c r="D2120" t="s">
        <v>14429</v>
      </c>
      <c r="E2120" t="s">
        <v>14432</v>
      </c>
      <c r="F2120" t="s">
        <v>14433</v>
      </c>
      <c r="G2120" t="s">
        <v>19195</v>
      </c>
      <c r="H2120" t="s">
        <v>19213</v>
      </c>
      <c r="I2120" t="s">
        <v>18780</v>
      </c>
      <c r="K2120" t="str">
        <f>HYPERLINK("http://tuberculist.epfl.ch/quicksearch.php?gene+name=Rv2065&amp;submit=Search")</f>
        <v>http://tuberculist.epfl.ch/quicksearch.php?gene+name=Rv2065&amp;submit=Search</v>
      </c>
    </row>
    <row r="2121" spans="1:11">
      <c r="A2121" t="s">
        <v>4015</v>
      </c>
      <c r="B2121" t="s">
        <v>767</v>
      </c>
      <c r="C2121" t="s">
        <v>9567</v>
      </c>
      <c r="D2121" t="s">
        <v>10173</v>
      </c>
      <c r="E2121" t="s">
        <v>14434</v>
      </c>
      <c r="F2121" t="s">
        <v>14435</v>
      </c>
      <c r="G2121" t="s">
        <v>19195</v>
      </c>
      <c r="H2121" t="s">
        <v>19207</v>
      </c>
      <c r="I2121" t="s">
        <v>18780</v>
      </c>
      <c r="K2121" t="str">
        <f>HYPERLINK("http://tuberculist.epfl.ch/quicksearch.php?gene+name=Rv2066&amp;submit=Search")</f>
        <v>http://tuberculist.epfl.ch/quicksearch.php?gene+name=Rv2066&amp;submit=Search</v>
      </c>
    </row>
    <row r="2122" spans="1:11">
      <c r="A2122" t="s">
        <v>687</v>
      </c>
      <c r="B2122" t="s">
        <v>687</v>
      </c>
      <c r="C2122" t="s">
        <v>9567</v>
      </c>
      <c r="D2122" t="s">
        <v>9587</v>
      </c>
      <c r="E2122" t="s">
        <v>9665</v>
      </c>
      <c r="F2122" t="s">
        <v>14436</v>
      </c>
      <c r="G2122" t="s">
        <v>19204</v>
      </c>
      <c r="H2122" t="s">
        <v>19275</v>
      </c>
      <c r="I2122" t="s">
        <v>18779</v>
      </c>
      <c r="K2122" t="str">
        <f>HYPERLINK("http://tuberculist.epfl.ch/quicksearch.php?gene+name=Rv2067c&amp;submit=Search")</f>
        <v>http://tuberculist.epfl.ch/quicksearch.php?gene+name=Rv2067c&amp;submit=Search</v>
      </c>
    </row>
    <row r="2123" spans="1:11">
      <c r="A2123" t="s">
        <v>9415</v>
      </c>
      <c r="B2123" t="s">
        <v>3422</v>
      </c>
      <c r="C2123" t="s">
        <v>9567</v>
      </c>
      <c r="D2123" t="s">
        <v>14437</v>
      </c>
      <c r="E2123" t="s">
        <v>14438</v>
      </c>
      <c r="F2123" t="s">
        <v>14439</v>
      </c>
      <c r="G2123" t="s">
        <v>19195</v>
      </c>
      <c r="H2123" t="s">
        <v>19813</v>
      </c>
      <c r="I2123" t="s">
        <v>18780</v>
      </c>
      <c r="J2123" t="s">
        <v>18958</v>
      </c>
      <c r="K2123" t="str">
        <f>HYPERLINK("http://tuberculist.epfl.ch/quicksearch.php?gene+name=Rv2068c&amp;submit=Search")</f>
        <v>http://tuberculist.epfl.ch/quicksearch.php?gene+name=Rv2068c&amp;submit=Search</v>
      </c>
    </row>
    <row r="2124" spans="1:11">
      <c r="A2124" t="s">
        <v>6415</v>
      </c>
      <c r="B2124" t="s">
        <v>1958</v>
      </c>
      <c r="C2124" t="s">
        <v>9567</v>
      </c>
      <c r="D2124" t="s">
        <v>14440</v>
      </c>
      <c r="E2124" t="s">
        <v>14441</v>
      </c>
      <c r="F2124" t="s">
        <v>14442</v>
      </c>
      <c r="G2124" t="s">
        <v>19181</v>
      </c>
      <c r="H2124" t="s">
        <v>19213</v>
      </c>
      <c r="I2124" t="s">
        <v>19027</v>
      </c>
      <c r="J2124" t="s">
        <v>19028</v>
      </c>
      <c r="K2124" t="str">
        <f>HYPERLINK("http://tuberculist.epfl.ch/quicksearch.php?gene+name=Rv2069&amp;submit=Search")</f>
        <v>http://tuberculist.epfl.ch/quicksearch.php?gene+name=Rv2069&amp;submit=Search</v>
      </c>
    </row>
    <row r="2125" spans="1:11">
      <c r="A2125" t="s">
        <v>4409</v>
      </c>
      <c r="B2125" t="s">
        <v>974</v>
      </c>
      <c r="C2125" t="s">
        <v>9567</v>
      </c>
      <c r="D2125" t="s">
        <v>10173</v>
      </c>
      <c r="E2125" t="s">
        <v>14443</v>
      </c>
      <c r="F2125" t="s">
        <v>14444</v>
      </c>
      <c r="G2125" t="s">
        <v>19195</v>
      </c>
      <c r="I2125" t="s">
        <v>18780</v>
      </c>
      <c r="K2125" t="str">
        <f>HYPERLINK("http://tuberculist.epfl.ch/quicksearch.php?gene+name=Rv2070c&amp;submit=Search")</f>
        <v>http://tuberculist.epfl.ch/quicksearch.php?gene+name=Rv2070c&amp;submit=Search</v>
      </c>
    </row>
    <row r="2126" spans="1:11">
      <c r="A2126" t="s">
        <v>14445</v>
      </c>
      <c r="B2126" t="s">
        <v>14446</v>
      </c>
      <c r="C2126" t="s">
        <v>9567</v>
      </c>
      <c r="D2126" t="s">
        <v>10173</v>
      </c>
      <c r="E2126" t="s">
        <v>14447</v>
      </c>
      <c r="F2126" t="s">
        <v>14448</v>
      </c>
      <c r="G2126" t="s">
        <v>19195</v>
      </c>
      <c r="H2126" t="s">
        <v>19214</v>
      </c>
      <c r="I2126" t="s">
        <v>18780</v>
      </c>
      <c r="K2126" t="str">
        <f>HYPERLINK("http://tuberculist.epfl.ch/quicksearch.php?gene+name=Rv2071c&amp;submit=Search")</f>
        <v>http://tuberculist.epfl.ch/quicksearch.php?gene+name=Rv2071c&amp;submit=Search</v>
      </c>
    </row>
    <row r="2127" spans="1:11">
      <c r="A2127" t="s">
        <v>14449</v>
      </c>
      <c r="B2127" t="s">
        <v>14450</v>
      </c>
      <c r="C2127" t="s">
        <v>9567</v>
      </c>
      <c r="D2127" t="s">
        <v>10173</v>
      </c>
      <c r="E2127" t="s">
        <v>14451</v>
      </c>
      <c r="F2127" t="s">
        <v>14452</v>
      </c>
      <c r="G2127" t="s">
        <v>19195</v>
      </c>
      <c r="H2127" t="s">
        <v>19205</v>
      </c>
      <c r="I2127" t="s">
        <v>18810</v>
      </c>
      <c r="K2127" t="str">
        <f>HYPERLINK("http://tuberculist.epfl.ch/quicksearch.php?gene+name=Rv2072c&amp;submit=Search")</f>
        <v>http://tuberculist.epfl.ch/quicksearch.php?gene+name=Rv2072c&amp;submit=Search</v>
      </c>
    </row>
    <row r="2128" spans="1:11">
      <c r="A2128" t="s">
        <v>14453</v>
      </c>
      <c r="B2128" t="s">
        <v>14453</v>
      </c>
      <c r="C2128" t="s">
        <v>9567</v>
      </c>
      <c r="D2128" t="s">
        <v>9587</v>
      </c>
      <c r="E2128" t="s">
        <v>14454</v>
      </c>
      <c r="F2128" t="s">
        <v>14455</v>
      </c>
      <c r="G2128" t="s">
        <v>19195</v>
      </c>
      <c r="H2128" t="s">
        <v>19213</v>
      </c>
      <c r="I2128" t="s">
        <v>18793</v>
      </c>
      <c r="K2128" t="str">
        <f>HYPERLINK("http://tuberculist.epfl.ch/quicksearch.php?gene+name=Rv2073c&amp;submit=Search")</f>
        <v>http://tuberculist.epfl.ch/quicksearch.php?gene+name=Rv2073c&amp;submit=Search</v>
      </c>
    </row>
    <row r="2129" spans="1:11">
      <c r="A2129" t="s">
        <v>14456</v>
      </c>
      <c r="B2129" t="s">
        <v>14456</v>
      </c>
      <c r="C2129" t="s">
        <v>9567</v>
      </c>
      <c r="D2129" t="s">
        <v>12292</v>
      </c>
      <c r="E2129" t="s">
        <v>12293</v>
      </c>
      <c r="F2129" t="s">
        <v>14457</v>
      </c>
      <c r="G2129" t="s">
        <v>19195</v>
      </c>
      <c r="H2129" t="s">
        <v>19814</v>
      </c>
      <c r="I2129" t="s">
        <v>18793</v>
      </c>
      <c r="K2129" t="str">
        <f>HYPERLINK("http://tuberculist.epfl.ch/quicksearch.php?gene+name=Rv2074&amp;submit=Search")</f>
        <v>http://tuberculist.epfl.ch/quicksearch.php?gene+name=Rv2074&amp;submit=Search</v>
      </c>
    </row>
    <row r="2130" spans="1:11">
      <c r="A2130" t="s">
        <v>14458</v>
      </c>
      <c r="B2130" t="s">
        <v>14458</v>
      </c>
      <c r="C2130" t="s">
        <v>9567</v>
      </c>
      <c r="D2130" t="s">
        <v>9587</v>
      </c>
      <c r="E2130" t="s">
        <v>14459</v>
      </c>
      <c r="F2130" t="s">
        <v>14460</v>
      </c>
      <c r="G2130" t="s">
        <v>19188</v>
      </c>
      <c r="H2130" t="s">
        <v>19211</v>
      </c>
      <c r="I2130" t="s">
        <v>18792</v>
      </c>
      <c r="K2130" t="str">
        <f>HYPERLINK("http://tuberculist.epfl.ch/quicksearch.php?gene+name=Rv2075c&amp;submit=Search")</f>
        <v>http://tuberculist.epfl.ch/quicksearch.php?gene+name=Rv2075c&amp;submit=Search</v>
      </c>
    </row>
    <row r="2131" spans="1:11">
      <c r="A2131" t="s">
        <v>14461</v>
      </c>
      <c r="B2131" t="s">
        <v>14461</v>
      </c>
      <c r="C2131" t="s">
        <v>9567</v>
      </c>
      <c r="D2131" t="s">
        <v>9587</v>
      </c>
      <c r="E2131" t="s">
        <v>9579</v>
      </c>
      <c r="F2131" t="s">
        <v>14462</v>
      </c>
      <c r="G2131" t="s">
        <v>19210</v>
      </c>
      <c r="I2131" t="s">
        <v>18789</v>
      </c>
      <c r="K2131" t="str">
        <f>HYPERLINK("http://tuberculist.epfl.ch/quicksearch.php?gene+name=Rv2076c&amp;submit=Search")</f>
        <v>http://tuberculist.epfl.ch/quicksearch.php?gene+name=Rv2076c&amp;submit=Search</v>
      </c>
    </row>
    <row r="2132" spans="1:11">
      <c r="A2132" t="s">
        <v>14463</v>
      </c>
      <c r="B2132" t="s">
        <v>14463</v>
      </c>
      <c r="C2132" t="s">
        <v>9567</v>
      </c>
      <c r="D2132" t="s">
        <v>9587</v>
      </c>
      <c r="E2132" t="s">
        <v>9579</v>
      </c>
      <c r="F2132" t="s">
        <v>14464</v>
      </c>
      <c r="G2132" t="s">
        <v>19210</v>
      </c>
      <c r="I2132" t="s">
        <v>18773</v>
      </c>
      <c r="K2132" t="str">
        <f>HYPERLINK("http://tuberculist.epfl.ch/quicksearch.php?gene+name=Rv2077A&amp;submit=Search")</f>
        <v>http://tuberculist.epfl.ch/quicksearch.php?gene+name=Rv2077A&amp;submit=Search</v>
      </c>
    </row>
    <row r="2133" spans="1:11">
      <c r="A2133" t="s">
        <v>572</v>
      </c>
      <c r="B2133" t="s">
        <v>572</v>
      </c>
      <c r="C2133" t="s">
        <v>9567</v>
      </c>
      <c r="D2133" t="s">
        <v>9587</v>
      </c>
      <c r="E2133" t="s">
        <v>9671</v>
      </c>
      <c r="F2133" t="s">
        <v>14465</v>
      </c>
      <c r="G2133" t="s">
        <v>19188</v>
      </c>
      <c r="H2133" t="s">
        <v>19215</v>
      </c>
      <c r="I2133" t="s">
        <v>18777</v>
      </c>
      <c r="K2133" t="str">
        <f>HYPERLINK("http://tuberculist.epfl.ch/quicksearch.php?gene+name=Rv2077c&amp;submit=Search")</f>
        <v>http://tuberculist.epfl.ch/quicksearch.php?gene+name=Rv2077c&amp;submit=Search</v>
      </c>
    </row>
    <row r="2134" spans="1:11">
      <c r="A2134" t="s">
        <v>14466</v>
      </c>
      <c r="B2134" t="s">
        <v>14466</v>
      </c>
      <c r="C2134" t="s">
        <v>9567</v>
      </c>
      <c r="D2134" t="s">
        <v>9587</v>
      </c>
      <c r="E2134" t="s">
        <v>9579</v>
      </c>
      <c r="F2134" t="s">
        <v>14467</v>
      </c>
      <c r="G2134" t="s">
        <v>19210</v>
      </c>
      <c r="I2134" t="s">
        <v>18779</v>
      </c>
      <c r="K2134" t="str">
        <f>HYPERLINK("http://tuberculist.epfl.ch/quicksearch.php?gene+name=Rv2078&amp;submit=Search")</f>
        <v>http://tuberculist.epfl.ch/quicksearch.php?gene+name=Rv2078&amp;submit=Search</v>
      </c>
    </row>
    <row r="2135" spans="1:11">
      <c r="A2135" t="s">
        <v>1504</v>
      </c>
      <c r="B2135" t="s">
        <v>1504</v>
      </c>
      <c r="C2135" t="s">
        <v>9567</v>
      </c>
      <c r="D2135" t="s">
        <v>9587</v>
      </c>
      <c r="E2135" t="s">
        <v>9579</v>
      </c>
      <c r="F2135" t="s">
        <v>14468</v>
      </c>
      <c r="G2135" t="s">
        <v>19210</v>
      </c>
      <c r="H2135" t="s">
        <v>19254</v>
      </c>
      <c r="I2135" t="s">
        <v>18777</v>
      </c>
      <c r="K2135" t="str">
        <f>HYPERLINK("http://tuberculist.epfl.ch/quicksearch.php?gene+name=Rv2079&amp;submit=Search")</f>
        <v>http://tuberculist.epfl.ch/quicksearch.php?gene+name=Rv2079&amp;submit=Search</v>
      </c>
    </row>
    <row r="2136" spans="1:11">
      <c r="A2136" t="s">
        <v>4990</v>
      </c>
      <c r="B2136" t="s">
        <v>1251</v>
      </c>
      <c r="C2136" t="s">
        <v>9567</v>
      </c>
      <c r="D2136" t="s">
        <v>9587</v>
      </c>
      <c r="E2136" t="s">
        <v>14469</v>
      </c>
      <c r="F2136" t="s">
        <v>14470</v>
      </c>
      <c r="G2136" t="s">
        <v>19188</v>
      </c>
      <c r="H2136" t="s">
        <v>19340</v>
      </c>
      <c r="I2136" t="s">
        <v>18789</v>
      </c>
      <c r="K2136" t="str">
        <f>HYPERLINK("http://tuberculist.epfl.ch/quicksearch.php?gene+name=Rv2080&amp;submit=Search")</f>
        <v>http://tuberculist.epfl.ch/quicksearch.php?gene+name=Rv2080&amp;submit=Search</v>
      </c>
    </row>
    <row r="2137" spans="1:11">
      <c r="A2137" t="s">
        <v>768</v>
      </c>
      <c r="B2137" t="s">
        <v>768</v>
      </c>
      <c r="C2137" t="s">
        <v>9567</v>
      </c>
      <c r="D2137" t="s">
        <v>9587</v>
      </c>
      <c r="E2137" t="s">
        <v>14369</v>
      </c>
      <c r="F2137" t="s">
        <v>14471</v>
      </c>
      <c r="G2137" t="s">
        <v>19188</v>
      </c>
      <c r="I2137" t="s">
        <v>18780</v>
      </c>
      <c r="K2137" t="str">
        <f>HYPERLINK("http://tuberculist.epfl.ch/quicksearch.php?gene+name=Rv2081c&amp;submit=Search")</f>
        <v>http://tuberculist.epfl.ch/quicksearch.php?gene+name=Rv2081c&amp;submit=Search</v>
      </c>
    </row>
    <row r="2138" spans="1:11">
      <c r="A2138" t="s">
        <v>3017</v>
      </c>
      <c r="B2138" t="s">
        <v>3017</v>
      </c>
      <c r="C2138" t="s">
        <v>9567</v>
      </c>
      <c r="D2138" t="s">
        <v>9587</v>
      </c>
      <c r="E2138" t="s">
        <v>9579</v>
      </c>
      <c r="F2138" t="s">
        <v>14472</v>
      </c>
      <c r="G2138" t="s">
        <v>19212</v>
      </c>
      <c r="H2138" t="s">
        <v>19254</v>
      </c>
      <c r="I2138" t="s">
        <v>18777</v>
      </c>
      <c r="K2138" t="str">
        <f>HYPERLINK("http://tuberculist.epfl.ch/quicksearch.php?gene+name=Rv2082&amp;submit=Search")</f>
        <v>http://tuberculist.epfl.ch/quicksearch.php?gene+name=Rv2082&amp;submit=Search</v>
      </c>
    </row>
    <row r="2139" spans="1:11">
      <c r="A2139" t="s">
        <v>1535</v>
      </c>
      <c r="B2139" t="s">
        <v>1535</v>
      </c>
      <c r="C2139" t="s">
        <v>9567</v>
      </c>
      <c r="D2139" t="s">
        <v>9587</v>
      </c>
      <c r="E2139" t="s">
        <v>9579</v>
      </c>
      <c r="F2139" t="s">
        <v>14473</v>
      </c>
      <c r="G2139" t="s">
        <v>19210</v>
      </c>
      <c r="H2139" t="s">
        <v>19257</v>
      </c>
      <c r="I2139" t="s">
        <v>18780</v>
      </c>
      <c r="K2139" t="str">
        <f>HYPERLINK("http://tuberculist.epfl.ch/quicksearch.php?gene+name=Rv2083&amp;submit=Search")</f>
        <v>http://tuberculist.epfl.ch/quicksearch.php?gene+name=Rv2083&amp;submit=Search</v>
      </c>
    </row>
    <row r="2140" spans="1:11">
      <c r="A2140" t="s">
        <v>2846</v>
      </c>
      <c r="B2140" t="s">
        <v>2846</v>
      </c>
      <c r="C2140" t="s">
        <v>9567</v>
      </c>
      <c r="D2140" t="s">
        <v>9587</v>
      </c>
      <c r="E2140" t="s">
        <v>9713</v>
      </c>
      <c r="F2140" t="s">
        <v>14474</v>
      </c>
      <c r="G2140" t="s">
        <v>19363</v>
      </c>
      <c r="H2140" t="s">
        <v>19207</v>
      </c>
      <c r="I2140" t="s">
        <v>18789</v>
      </c>
      <c r="K2140" t="str">
        <f>HYPERLINK("http://tuberculist.epfl.ch/quicksearch.php?gene+name=Rv2084&amp;submit=Search")</f>
        <v>http://tuberculist.epfl.ch/quicksearch.php?gene+name=Rv2084&amp;submit=Search</v>
      </c>
    </row>
    <row r="2141" spans="1:11">
      <c r="A2141" t="s">
        <v>14475</v>
      </c>
      <c r="B2141" t="s">
        <v>14475</v>
      </c>
      <c r="C2141" t="s">
        <v>9567</v>
      </c>
      <c r="D2141" t="s">
        <v>9587</v>
      </c>
      <c r="E2141" t="s">
        <v>9579</v>
      </c>
      <c r="F2141" t="s">
        <v>14476</v>
      </c>
      <c r="G2141" t="s">
        <v>19217</v>
      </c>
      <c r="I2141" t="s">
        <v>18779</v>
      </c>
      <c r="K2141" t="str">
        <f>HYPERLINK("http://tuberculist.epfl.ch/quicksearch.php?gene+name=Rv2085&amp;submit=Search")</f>
        <v>http://tuberculist.epfl.ch/quicksearch.php?gene+name=Rv2085&amp;submit=Search</v>
      </c>
    </row>
    <row r="2142" spans="1:11">
      <c r="A2142" t="s">
        <v>1371</v>
      </c>
      <c r="B2142" t="s">
        <v>1371</v>
      </c>
      <c r="C2142" t="s">
        <v>9567</v>
      </c>
      <c r="D2142" t="s">
        <v>9587</v>
      </c>
      <c r="E2142" t="s">
        <v>9579</v>
      </c>
      <c r="F2142" t="s">
        <v>14477</v>
      </c>
      <c r="G2142" t="s">
        <v>19217</v>
      </c>
      <c r="I2142" t="s">
        <v>18780</v>
      </c>
      <c r="K2142" t="str">
        <f>HYPERLINK("http://tuberculist.epfl.ch/quicksearch.php?gene+name=Rv2086&amp;submit=Search")</f>
        <v>http://tuberculist.epfl.ch/quicksearch.php?gene+name=Rv2086&amp;submit=Search</v>
      </c>
    </row>
    <row r="2143" spans="1:11">
      <c r="A2143" t="s">
        <v>14478</v>
      </c>
      <c r="B2143" t="s">
        <v>14478</v>
      </c>
      <c r="C2143" t="s">
        <v>9567</v>
      </c>
      <c r="D2143" t="s">
        <v>9587</v>
      </c>
      <c r="E2143" t="s">
        <v>9579</v>
      </c>
      <c r="F2143" t="s">
        <v>14479</v>
      </c>
      <c r="G2143" t="s">
        <v>19217</v>
      </c>
      <c r="I2143" t="s">
        <v>18788</v>
      </c>
      <c r="K2143" t="str">
        <f>HYPERLINK("http://tuberculist.epfl.ch/quicksearch.php?gene+name=Rv2087&amp;submit=Search")</f>
        <v>http://tuberculist.epfl.ch/quicksearch.php?gene+name=Rv2087&amp;submit=Search</v>
      </c>
    </row>
    <row r="2144" spans="1:11">
      <c r="A2144" t="s">
        <v>4765</v>
      </c>
      <c r="B2144" t="s">
        <v>1141</v>
      </c>
      <c r="C2144" t="s">
        <v>9567</v>
      </c>
      <c r="D2144" t="s">
        <v>14480</v>
      </c>
      <c r="E2144" t="s">
        <v>14481</v>
      </c>
      <c r="F2144" t="s">
        <v>14482</v>
      </c>
      <c r="G2144" t="s">
        <v>19197</v>
      </c>
      <c r="H2144" t="s">
        <v>19546</v>
      </c>
      <c r="I2144" t="s">
        <v>19029</v>
      </c>
      <c r="K2144" t="str">
        <f>HYPERLINK("http://tuberculist.epfl.ch/quicksearch.php?gene+name=Rv2088&amp;submit=Search")</f>
        <v>http://tuberculist.epfl.ch/quicksearch.php?gene+name=Rv2088&amp;submit=Search</v>
      </c>
    </row>
    <row r="2145" spans="1:11">
      <c r="A2145" t="s">
        <v>8972</v>
      </c>
      <c r="B2145" t="s">
        <v>3217</v>
      </c>
      <c r="C2145" t="s">
        <v>9567</v>
      </c>
      <c r="D2145" t="s">
        <v>14483</v>
      </c>
      <c r="E2145" t="s">
        <v>14484</v>
      </c>
      <c r="F2145" t="s">
        <v>14485</v>
      </c>
      <c r="G2145" t="s">
        <v>19195</v>
      </c>
      <c r="H2145" t="s">
        <v>19213</v>
      </c>
      <c r="I2145" t="s">
        <v>19030</v>
      </c>
      <c r="K2145" t="str">
        <f>HYPERLINK("http://tuberculist.epfl.ch/quicksearch.php?gene+name=Rv2089c&amp;submit=Search")</f>
        <v>http://tuberculist.epfl.ch/quicksearch.php?gene+name=Rv2089c&amp;submit=Search</v>
      </c>
    </row>
    <row r="2146" spans="1:11">
      <c r="A2146" t="s">
        <v>3098</v>
      </c>
      <c r="B2146" t="s">
        <v>3098</v>
      </c>
      <c r="C2146" t="s">
        <v>9567</v>
      </c>
      <c r="D2146" t="s">
        <v>14486</v>
      </c>
      <c r="E2146" t="s">
        <v>14487</v>
      </c>
      <c r="F2146" t="s">
        <v>14488</v>
      </c>
      <c r="G2146" t="s">
        <v>19181</v>
      </c>
      <c r="H2146" t="s">
        <v>19474</v>
      </c>
      <c r="I2146" t="s">
        <v>18780</v>
      </c>
      <c r="K2146" t="str">
        <f>HYPERLINK("http://tuberculist.epfl.ch/quicksearch.php?gene+name=Rv2090&amp;submit=Search")</f>
        <v>http://tuberculist.epfl.ch/quicksearch.php?gene+name=Rv2090&amp;submit=Search</v>
      </c>
    </row>
    <row r="2147" spans="1:11">
      <c r="A2147" t="s">
        <v>1522</v>
      </c>
      <c r="B2147" t="s">
        <v>1522</v>
      </c>
      <c r="C2147" t="s">
        <v>9567</v>
      </c>
      <c r="D2147" t="s">
        <v>9587</v>
      </c>
      <c r="E2147" t="s">
        <v>9758</v>
      </c>
      <c r="F2147" t="s">
        <v>14489</v>
      </c>
      <c r="G2147" t="s">
        <v>19188</v>
      </c>
      <c r="H2147" t="s">
        <v>19815</v>
      </c>
      <c r="I2147" t="s">
        <v>18780</v>
      </c>
      <c r="K2147" t="str">
        <f>HYPERLINK("http://tuberculist.epfl.ch/quicksearch.php?gene+name=Rv2091c&amp;submit=Search")</f>
        <v>http://tuberculist.epfl.ch/quicksearch.php?gene+name=Rv2091c&amp;submit=Search</v>
      </c>
    </row>
    <row r="2148" spans="1:11">
      <c r="A2148" t="s">
        <v>6649</v>
      </c>
      <c r="B2148" t="s">
        <v>2086</v>
      </c>
      <c r="C2148" t="s">
        <v>9567</v>
      </c>
      <c r="D2148" t="s">
        <v>14490</v>
      </c>
      <c r="E2148" t="s">
        <v>14491</v>
      </c>
      <c r="F2148" t="s">
        <v>14492</v>
      </c>
      <c r="G2148" t="s">
        <v>19181</v>
      </c>
      <c r="H2148" t="s">
        <v>19726</v>
      </c>
      <c r="I2148" t="s">
        <v>18789</v>
      </c>
      <c r="K2148" t="str">
        <f>HYPERLINK("http://tuberculist.epfl.ch/quicksearch.php?gene+name=Rv2092c&amp;submit=Search")</f>
        <v>http://tuberculist.epfl.ch/quicksearch.php?gene+name=Rv2092c&amp;submit=Search</v>
      </c>
    </row>
    <row r="2149" spans="1:11">
      <c r="A2149" t="s">
        <v>4362</v>
      </c>
      <c r="B2149" t="s">
        <v>942</v>
      </c>
      <c r="C2149" t="s">
        <v>9567</v>
      </c>
      <c r="D2149" t="s">
        <v>14493</v>
      </c>
      <c r="E2149" t="s">
        <v>14494</v>
      </c>
      <c r="F2149" t="s">
        <v>14495</v>
      </c>
      <c r="G2149" t="s">
        <v>19188</v>
      </c>
      <c r="H2149" t="s">
        <v>19750</v>
      </c>
      <c r="I2149" t="s">
        <v>19031</v>
      </c>
      <c r="K2149" t="str">
        <f>HYPERLINK("http://tuberculist.epfl.ch/quicksearch.php?gene+name=Rv2093c&amp;submit=Search")</f>
        <v>http://tuberculist.epfl.ch/quicksearch.php?gene+name=Rv2093c&amp;submit=Search</v>
      </c>
    </row>
    <row r="2150" spans="1:11">
      <c r="A2150" t="s">
        <v>4517</v>
      </c>
      <c r="B2150" t="s">
        <v>1021</v>
      </c>
      <c r="C2150" t="s">
        <v>9567</v>
      </c>
      <c r="D2150" t="s">
        <v>14496</v>
      </c>
      <c r="E2150" t="s">
        <v>14497</v>
      </c>
      <c r="F2150" t="s">
        <v>14498</v>
      </c>
      <c r="G2150" t="s">
        <v>19188</v>
      </c>
      <c r="H2150" t="s">
        <v>19233</v>
      </c>
      <c r="I2150" t="s">
        <v>19032</v>
      </c>
      <c r="J2150" t="s">
        <v>18873</v>
      </c>
      <c r="K2150" t="str">
        <f>HYPERLINK("http://tuberculist.epfl.ch/quicksearch.php?gene+name=Rv2094c&amp;submit=Search")</f>
        <v>http://tuberculist.epfl.ch/quicksearch.php?gene+name=Rv2094c&amp;submit=Search</v>
      </c>
    </row>
    <row r="2151" spans="1:11">
      <c r="A2151" t="s">
        <v>14499</v>
      </c>
      <c r="B2151" t="s">
        <v>749</v>
      </c>
      <c r="C2151" t="s">
        <v>9567</v>
      </c>
      <c r="D2151" t="s">
        <v>9587</v>
      </c>
      <c r="E2151" t="s">
        <v>14500</v>
      </c>
      <c r="F2151" t="s">
        <v>14501</v>
      </c>
      <c r="G2151" t="s">
        <v>19195</v>
      </c>
      <c r="H2151" t="s">
        <v>19233</v>
      </c>
      <c r="I2151" t="s">
        <v>19033</v>
      </c>
      <c r="K2151" t="str">
        <f>HYPERLINK("http://tuberculist.epfl.ch/quicksearch.php?gene+name=Rv2095c&amp;submit=Search")</f>
        <v>http://tuberculist.epfl.ch/quicksearch.php?gene+name=Rv2095c&amp;submit=Search</v>
      </c>
    </row>
    <row r="2152" spans="1:11">
      <c r="A2152" t="s">
        <v>14502</v>
      </c>
      <c r="B2152" t="s">
        <v>1033</v>
      </c>
      <c r="C2152" t="s">
        <v>9567</v>
      </c>
      <c r="D2152" t="s">
        <v>9587</v>
      </c>
      <c r="E2152" t="s">
        <v>14503</v>
      </c>
      <c r="F2152" t="s">
        <v>14504</v>
      </c>
      <c r="G2152" t="s">
        <v>19195</v>
      </c>
      <c r="H2152" t="s">
        <v>19250</v>
      </c>
      <c r="I2152" t="s">
        <v>19034</v>
      </c>
      <c r="K2152" t="str">
        <f>HYPERLINK("http://tuberculist.epfl.ch/quicksearch.php?gene+name=Rv2096c&amp;submit=Search")</f>
        <v>http://tuberculist.epfl.ch/quicksearch.php?gene+name=Rv2096c&amp;submit=Search</v>
      </c>
    </row>
    <row r="2153" spans="1:11">
      <c r="A2153" t="s">
        <v>14505</v>
      </c>
      <c r="B2153" t="s">
        <v>1282</v>
      </c>
      <c r="C2153" t="s">
        <v>9567</v>
      </c>
      <c r="D2153" t="s">
        <v>14506</v>
      </c>
      <c r="E2153" t="s">
        <v>14507</v>
      </c>
      <c r="F2153" t="s">
        <v>14508</v>
      </c>
      <c r="G2153" t="s">
        <v>19195</v>
      </c>
      <c r="H2153" t="s">
        <v>19687</v>
      </c>
      <c r="I2153" t="s">
        <v>19035</v>
      </c>
      <c r="K2153" t="str">
        <f>HYPERLINK("http://tuberculist.epfl.ch/quicksearch.php?gene+name=Rv2097c&amp;submit=Search")</f>
        <v>http://tuberculist.epfl.ch/quicksearch.php?gene+name=Rv2097c&amp;submit=Search</v>
      </c>
    </row>
    <row r="2154" spans="1:11">
      <c r="A2154" t="s">
        <v>14509</v>
      </c>
      <c r="B2154" t="s">
        <v>14510</v>
      </c>
      <c r="C2154" t="s">
        <v>10216</v>
      </c>
      <c r="D2154" t="s">
        <v>9578</v>
      </c>
      <c r="E2154" t="s">
        <v>14511</v>
      </c>
      <c r="F2154" t="s">
        <v>14512</v>
      </c>
      <c r="G2154" t="s">
        <v>19253</v>
      </c>
      <c r="I2154" t="s">
        <v>18805</v>
      </c>
      <c r="K2154" t="str">
        <f>HYPERLINK("http://tuberculist.epfl.ch/quicksearch.php?gene+name=Rv2098c&amp;submit=Search")</f>
        <v>http://tuberculist.epfl.ch/quicksearch.php?gene+name=Rv2098c&amp;submit=Search</v>
      </c>
    </row>
    <row r="2155" spans="1:11">
      <c r="A2155" t="s">
        <v>14513</v>
      </c>
      <c r="B2155" t="s">
        <v>14514</v>
      </c>
      <c r="C2155" t="s">
        <v>10216</v>
      </c>
      <c r="D2155" t="s">
        <v>9578</v>
      </c>
      <c r="E2155" t="s">
        <v>14515</v>
      </c>
      <c r="F2155" t="s">
        <v>14516</v>
      </c>
      <c r="G2155" t="s">
        <v>19262</v>
      </c>
      <c r="I2155" t="s">
        <v>18773</v>
      </c>
      <c r="K2155" t="str">
        <f>HYPERLINK("http://tuberculist.epfl.ch/quicksearch.php?gene+name=Rv2099c&amp;submit=Search")</f>
        <v>http://tuberculist.epfl.ch/quicksearch.php?gene+name=Rv2099c&amp;submit=Search</v>
      </c>
    </row>
    <row r="2156" spans="1:11">
      <c r="A2156" t="s">
        <v>1031</v>
      </c>
      <c r="B2156" t="s">
        <v>1031</v>
      </c>
      <c r="C2156" t="s">
        <v>9567</v>
      </c>
      <c r="D2156" t="s">
        <v>9587</v>
      </c>
      <c r="E2156" t="s">
        <v>9579</v>
      </c>
      <c r="F2156" t="s">
        <v>14517</v>
      </c>
      <c r="G2156" t="s">
        <v>19217</v>
      </c>
      <c r="H2156" t="s">
        <v>19207</v>
      </c>
      <c r="I2156" t="s">
        <v>18780</v>
      </c>
      <c r="J2156" t="s">
        <v>18855</v>
      </c>
      <c r="K2156" t="str">
        <f>HYPERLINK("http://tuberculist.epfl.ch/quicksearch.php?gene+name=Rv2100&amp;submit=Search")</f>
        <v>http://tuberculist.epfl.ch/quicksearch.php?gene+name=Rv2100&amp;submit=Search</v>
      </c>
    </row>
    <row r="2157" spans="1:11">
      <c r="A2157" t="s">
        <v>8607</v>
      </c>
      <c r="B2157" t="s">
        <v>3045</v>
      </c>
      <c r="C2157" t="s">
        <v>9567</v>
      </c>
      <c r="D2157" t="s">
        <v>14518</v>
      </c>
      <c r="E2157" t="s">
        <v>14519</v>
      </c>
      <c r="F2157" t="s">
        <v>14520</v>
      </c>
      <c r="G2157" t="s">
        <v>19181</v>
      </c>
      <c r="H2157" t="s">
        <v>19358</v>
      </c>
      <c r="I2157" t="s">
        <v>18821</v>
      </c>
      <c r="K2157" t="str">
        <f>HYPERLINK("http://tuberculist.epfl.ch/quicksearch.php?gene+name=Rv2101&amp;submit=Search")</f>
        <v>http://tuberculist.epfl.ch/quicksearch.php?gene+name=Rv2101&amp;submit=Search</v>
      </c>
    </row>
    <row r="2158" spans="1:11">
      <c r="A2158" t="s">
        <v>1536</v>
      </c>
      <c r="B2158" t="s">
        <v>1536</v>
      </c>
      <c r="C2158" t="s">
        <v>9567</v>
      </c>
      <c r="D2158" t="s">
        <v>9587</v>
      </c>
      <c r="E2158" t="s">
        <v>9579</v>
      </c>
      <c r="F2158" t="s">
        <v>14521</v>
      </c>
      <c r="G2158" t="s">
        <v>19212</v>
      </c>
      <c r="I2158" t="s">
        <v>18797</v>
      </c>
      <c r="K2158" t="str">
        <f>HYPERLINK("http://tuberculist.epfl.ch/quicksearch.php?gene+name=Rv2102&amp;submit=Search")</f>
        <v>http://tuberculist.epfl.ch/quicksearch.php?gene+name=Rv2102&amp;submit=Search</v>
      </c>
    </row>
    <row r="2159" spans="1:11">
      <c r="A2159" t="s">
        <v>14522</v>
      </c>
      <c r="B2159" t="s">
        <v>2428</v>
      </c>
      <c r="C2159" t="s">
        <v>9567</v>
      </c>
      <c r="D2159" t="s">
        <v>9587</v>
      </c>
      <c r="E2159" t="s">
        <v>14523</v>
      </c>
      <c r="F2159" t="s">
        <v>14524</v>
      </c>
      <c r="G2159" t="s">
        <v>19206</v>
      </c>
      <c r="H2159" t="s">
        <v>19213</v>
      </c>
      <c r="I2159" t="s">
        <v>18780</v>
      </c>
      <c r="K2159" t="str">
        <f>HYPERLINK("http://tuberculist.epfl.ch/quicksearch.php?gene+name=Rv2103c&amp;submit=Search")</f>
        <v>http://tuberculist.epfl.ch/quicksearch.php?gene+name=Rv2103c&amp;submit=Search</v>
      </c>
    </row>
    <row r="2160" spans="1:11">
      <c r="A2160" t="s">
        <v>14525</v>
      </c>
      <c r="B2160" t="s">
        <v>14526</v>
      </c>
      <c r="C2160" t="s">
        <v>9567</v>
      </c>
      <c r="D2160" t="s">
        <v>9587</v>
      </c>
      <c r="E2160" t="s">
        <v>14527</v>
      </c>
      <c r="F2160" t="s">
        <v>14528</v>
      </c>
      <c r="G2160" t="s">
        <v>19206</v>
      </c>
      <c r="I2160" t="s">
        <v>18780</v>
      </c>
      <c r="K2160" t="str">
        <f>HYPERLINK("http://tuberculist.epfl.ch/quicksearch.php?gene+name=Rv2104c&amp;submit=Search")</f>
        <v>http://tuberculist.epfl.ch/quicksearch.php?gene+name=Rv2104c&amp;submit=Search</v>
      </c>
    </row>
    <row r="2161" spans="1:11">
      <c r="A2161" t="s">
        <v>14529</v>
      </c>
      <c r="B2161" t="s">
        <v>14529</v>
      </c>
      <c r="C2161" t="s">
        <v>9567</v>
      </c>
      <c r="D2161" t="s">
        <v>11446</v>
      </c>
      <c r="E2161" t="s">
        <v>11447</v>
      </c>
      <c r="F2161" t="s">
        <v>14530</v>
      </c>
      <c r="G2161" t="s">
        <v>19217</v>
      </c>
      <c r="I2161" t="s">
        <v>18934</v>
      </c>
      <c r="K2161" t="str">
        <f>HYPERLINK("http://tuberculist.epfl.ch/quicksearch.php?gene+name=Rv2105&amp;submit=Search")</f>
        <v>http://tuberculist.epfl.ch/quicksearch.php?gene+name=Rv2105&amp;submit=Search</v>
      </c>
    </row>
    <row r="2162" spans="1:11">
      <c r="A2162" t="s">
        <v>14531</v>
      </c>
      <c r="B2162" t="s">
        <v>14531</v>
      </c>
      <c r="C2162" t="s">
        <v>9567</v>
      </c>
      <c r="D2162" t="s">
        <v>11446</v>
      </c>
      <c r="E2162" t="s">
        <v>11730</v>
      </c>
      <c r="F2162" t="s">
        <v>14532</v>
      </c>
      <c r="G2162" t="s">
        <v>19217</v>
      </c>
      <c r="I2162" t="s">
        <v>18773</v>
      </c>
      <c r="K2162" t="str">
        <f>HYPERLINK("http://tuberculist.epfl.ch/quicksearch.php?gene+name=Rv2106&amp;submit=Search")</f>
        <v>http://tuberculist.epfl.ch/quicksearch.php?gene+name=Rv2106&amp;submit=Search</v>
      </c>
    </row>
    <row r="2163" spans="1:11">
      <c r="A2163" t="s">
        <v>14533</v>
      </c>
      <c r="B2163" t="s">
        <v>14534</v>
      </c>
      <c r="C2163" t="s">
        <v>9567</v>
      </c>
      <c r="D2163" t="s">
        <v>9578</v>
      </c>
      <c r="E2163" t="s">
        <v>14535</v>
      </c>
      <c r="F2163" t="s">
        <v>14536</v>
      </c>
      <c r="G2163" t="s">
        <v>19262</v>
      </c>
      <c r="I2163" t="s">
        <v>18780</v>
      </c>
      <c r="J2163" t="s">
        <v>18844</v>
      </c>
      <c r="K2163" t="str">
        <f>HYPERLINK("http://tuberculist.epfl.ch/quicksearch.php?gene+name=Rv2107&amp;submit=Search")</f>
        <v>http://tuberculist.epfl.ch/quicksearch.php?gene+name=Rv2107&amp;submit=Search</v>
      </c>
    </row>
    <row r="2164" spans="1:11">
      <c r="A2164" t="s">
        <v>4987</v>
      </c>
      <c r="B2164" t="s">
        <v>1249</v>
      </c>
      <c r="C2164" t="s">
        <v>9567</v>
      </c>
      <c r="D2164" t="s">
        <v>9578</v>
      </c>
      <c r="E2164" t="s">
        <v>14537</v>
      </c>
      <c r="F2164" t="s">
        <v>14538</v>
      </c>
      <c r="G2164" t="s">
        <v>19262</v>
      </c>
      <c r="I2164" t="s">
        <v>18789</v>
      </c>
      <c r="K2164" t="str">
        <f>HYPERLINK("http://tuberculist.epfl.ch/quicksearch.php?gene+name=Rv2108&amp;submit=Search")</f>
        <v>http://tuberculist.epfl.ch/quicksearch.php?gene+name=Rv2108&amp;submit=Search</v>
      </c>
    </row>
    <row r="2165" spans="1:11">
      <c r="A2165" t="s">
        <v>4318</v>
      </c>
      <c r="B2165" t="s">
        <v>918</v>
      </c>
      <c r="C2165" t="s">
        <v>9567</v>
      </c>
      <c r="D2165" t="s">
        <v>14539</v>
      </c>
      <c r="E2165" t="s">
        <v>14540</v>
      </c>
      <c r="F2165" t="s">
        <v>14541</v>
      </c>
      <c r="G2165" t="s">
        <v>19195</v>
      </c>
      <c r="H2165" t="s">
        <v>19816</v>
      </c>
      <c r="I2165" t="s">
        <v>19036</v>
      </c>
      <c r="K2165" t="str">
        <f>HYPERLINK("http://tuberculist.epfl.ch/quicksearch.php?gene+name=Rv2109c&amp;submit=Search")</f>
        <v>http://tuberculist.epfl.ch/quicksearch.php?gene+name=Rv2109c&amp;submit=Search</v>
      </c>
    </row>
    <row r="2166" spans="1:11">
      <c r="A2166" t="s">
        <v>3835</v>
      </c>
      <c r="B2166" t="s">
        <v>675</v>
      </c>
      <c r="C2166" t="s">
        <v>9567</v>
      </c>
      <c r="D2166" t="s">
        <v>14539</v>
      </c>
      <c r="E2166" t="s">
        <v>14542</v>
      </c>
      <c r="F2166" t="s">
        <v>14543</v>
      </c>
      <c r="G2166" t="s">
        <v>19195</v>
      </c>
      <c r="H2166" t="s">
        <v>19817</v>
      </c>
      <c r="I2166" t="s">
        <v>19036</v>
      </c>
      <c r="K2166" t="str">
        <f>HYPERLINK("http://tuberculist.epfl.ch/quicksearch.php?gene+name=Rv2110c&amp;submit=Search")</f>
        <v>http://tuberculist.epfl.ch/quicksearch.php?gene+name=Rv2110c&amp;submit=Search</v>
      </c>
    </row>
    <row r="2167" spans="1:11">
      <c r="A2167" t="s">
        <v>14544</v>
      </c>
      <c r="B2167" t="s">
        <v>2664</v>
      </c>
      <c r="C2167" t="s">
        <v>9567</v>
      </c>
      <c r="D2167" t="s">
        <v>14545</v>
      </c>
      <c r="E2167" t="s">
        <v>14546</v>
      </c>
      <c r="F2167" t="s">
        <v>14547</v>
      </c>
      <c r="G2167" t="s">
        <v>19195</v>
      </c>
      <c r="I2167" t="s">
        <v>18800</v>
      </c>
      <c r="J2167" t="s">
        <v>18965</v>
      </c>
      <c r="K2167" t="str">
        <f>HYPERLINK("http://tuberculist.epfl.ch/quicksearch.php?gene+name=Rv2111c&amp;submit=Search")</f>
        <v>http://tuberculist.epfl.ch/quicksearch.php?gene+name=Rv2111c&amp;submit=Search</v>
      </c>
    </row>
    <row r="2168" spans="1:11">
      <c r="A2168" t="s">
        <v>14548</v>
      </c>
      <c r="B2168" t="s">
        <v>2636</v>
      </c>
      <c r="C2168" t="s">
        <v>9567</v>
      </c>
      <c r="D2168" t="s">
        <v>14549</v>
      </c>
      <c r="E2168" t="s">
        <v>14550</v>
      </c>
      <c r="F2168" t="s">
        <v>14551</v>
      </c>
      <c r="G2168" t="s">
        <v>19195</v>
      </c>
      <c r="H2168" t="s">
        <v>19233</v>
      </c>
      <c r="I2168" t="s">
        <v>18819</v>
      </c>
      <c r="K2168" t="str">
        <f>HYPERLINK("http://tuberculist.epfl.ch/quicksearch.php?gene+name=Rv2112c&amp;submit=Search")</f>
        <v>http://tuberculist.epfl.ch/quicksearch.php?gene+name=Rv2112c&amp;submit=Search</v>
      </c>
    </row>
    <row r="2169" spans="1:11">
      <c r="A2169" t="s">
        <v>1574</v>
      </c>
      <c r="B2169" t="s">
        <v>1574</v>
      </c>
      <c r="C2169" t="s">
        <v>9567</v>
      </c>
      <c r="D2169" t="s">
        <v>9587</v>
      </c>
      <c r="E2169" t="s">
        <v>10806</v>
      </c>
      <c r="F2169" t="s">
        <v>14552</v>
      </c>
      <c r="G2169" t="s">
        <v>19188</v>
      </c>
      <c r="H2169" t="s">
        <v>19634</v>
      </c>
      <c r="I2169" t="s">
        <v>18789</v>
      </c>
      <c r="K2169" t="str">
        <f>HYPERLINK("http://tuberculist.epfl.ch/quicksearch.php?gene+name=Rv2113&amp;submit=Search")</f>
        <v>http://tuberculist.epfl.ch/quicksearch.php?gene+name=Rv2113&amp;submit=Search</v>
      </c>
    </row>
    <row r="2170" spans="1:11">
      <c r="A2170" t="s">
        <v>2441</v>
      </c>
      <c r="B2170" t="s">
        <v>2441</v>
      </c>
      <c r="C2170" t="s">
        <v>9567</v>
      </c>
      <c r="D2170" t="s">
        <v>9587</v>
      </c>
      <c r="E2170" t="s">
        <v>9665</v>
      </c>
      <c r="F2170" t="s">
        <v>14553</v>
      </c>
      <c r="G2170" t="s">
        <v>19212</v>
      </c>
      <c r="H2170" t="s">
        <v>19326</v>
      </c>
      <c r="I2170" t="s">
        <v>18789</v>
      </c>
      <c r="K2170" t="str">
        <f>HYPERLINK("http://tuberculist.epfl.ch/quicksearch.php?gene+name=Rv2114&amp;submit=Search")</f>
        <v>http://tuberculist.epfl.ch/quicksearch.php?gene+name=Rv2114&amp;submit=Search</v>
      </c>
    </row>
    <row r="2171" spans="1:11">
      <c r="A2171" t="s">
        <v>14554</v>
      </c>
      <c r="B2171" t="s">
        <v>1639</v>
      </c>
      <c r="C2171" t="s">
        <v>9567</v>
      </c>
      <c r="D2171" t="s">
        <v>14555</v>
      </c>
      <c r="E2171" t="s">
        <v>14556</v>
      </c>
      <c r="F2171" t="s">
        <v>14557</v>
      </c>
      <c r="G2171" t="s">
        <v>19188</v>
      </c>
      <c r="H2171" t="s">
        <v>19818</v>
      </c>
      <c r="I2171" t="s">
        <v>19037</v>
      </c>
      <c r="J2171" t="s">
        <v>18965</v>
      </c>
      <c r="K2171" t="str">
        <f>HYPERLINK("http://tuberculist.epfl.ch/quicksearch.php?gene+name=Rv2115c&amp;submit=Search")</f>
        <v>http://tuberculist.epfl.ch/quicksearch.php?gene+name=Rv2115c&amp;submit=Search</v>
      </c>
    </row>
    <row r="2172" spans="1:11">
      <c r="A2172" t="s">
        <v>7119</v>
      </c>
      <c r="B2172" t="s">
        <v>2323</v>
      </c>
      <c r="C2172" t="s">
        <v>9567</v>
      </c>
      <c r="D2172" t="s">
        <v>9587</v>
      </c>
      <c r="E2172" t="s">
        <v>14558</v>
      </c>
      <c r="F2172" t="s">
        <v>14559</v>
      </c>
      <c r="G2172" t="s">
        <v>19188</v>
      </c>
      <c r="H2172" t="s">
        <v>19819</v>
      </c>
      <c r="I2172" t="s">
        <v>18780</v>
      </c>
      <c r="K2172" t="str">
        <f>HYPERLINK("http://tuberculist.epfl.ch/quicksearch.php?gene+name=Rv2116&amp;submit=Search")</f>
        <v>http://tuberculist.epfl.ch/quicksearch.php?gene+name=Rv2116&amp;submit=Search</v>
      </c>
    </row>
    <row r="2173" spans="1:11">
      <c r="A2173" t="s">
        <v>14560</v>
      </c>
      <c r="B2173" t="s">
        <v>14560</v>
      </c>
      <c r="C2173" t="s">
        <v>9567</v>
      </c>
      <c r="D2173" t="s">
        <v>9587</v>
      </c>
      <c r="E2173" t="s">
        <v>9579</v>
      </c>
      <c r="F2173" t="s">
        <v>14561</v>
      </c>
      <c r="G2173" t="s">
        <v>19210</v>
      </c>
      <c r="H2173" t="s">
        <v>19213</v>
      </c>
      <c r="I2173" t="s">
        <v>18780</v>
      </c>
      <c r="K2173" t="str">
        <f>HYPERLINK("http://tuberculist.epfl.ch/quicksearch.php?gene+name=Rv2117&amp;submit=Search")</f>
        <v>http://tuberculist.epfl.ch/quicksearch.php?gene+name=Rv2117&amp;submit=Search</v>
      </c>
    </row>
    <row r="2174" spans="1:11">
      <c r="A2174" t="s">
        <v>856</v>
      </c>
      <c r="B2174" t="s">
        <v>856</v>
      </c>
      <c r="C2174" t="s">
        <v>9567</v>
      </c>
      <c r="D2174" t="s">
        <v>14562</v>
      </c>
      <c r="E2174" t="s">
        <v>4196</v>
      </c>
      <c r="F2174" t="s">
        <v>14563</v>
      </c>
      <c r="G2174" t="s">
        <v>19195</v>
      </c>
      <c r="H2174" t="s">
        <v>19225</v>
      </c>
      <c r="I2174" t="s">
        <v>18836</v>
      </c>
      <c r="K2174" t="str">
        <f>HYPERLINK("http://tuberculist.epfl.ch/quicksearch.php?gene+name=Rv2118c&amp;submit=Search")</f>
        <v>http://tuberculist.epfl.ch/quicksearch.php?gene+name=Rv2118c&amp;submit=Search</v>
      </c>
    </row>
    <row r="2175" spans="1:11">
      <c r="A2175" t="s">
        <v>2517</v>
      </c>
      <c r="B2175" t="s">
        <v>2517</v>
      </c>
      <c r="C2175" t="s">
        <v>9567</v>
      </c>
      <c r="D2175" t="s">
        <v>9587</v>
      </c>
      <c r="E2175" t="s">
        <v>9579</v>
      </c>
      <c r="F2175" t="s">
        <v>14564</v>
      </c>
      <c r="G2175" t="s">
        <v>19204</v>
      </c>
      <c r="H2175" t="s">
        <v>19207</v>
      </c>
      <c r="I2175" t="s">
        <v>18789</v>
      </c>
      <c r="K2175" t="str">
        <f>HYPERLINK("http://tuberculist.epfl.ch/quicksearch.php?gene+name=Rv2119&amp;submit=Search")</f>
        <v>http://tuberculist.epfl.ch/quicksearch.php?gene+name=Rv2119&amp;submit=Search</v>
      </c>
    </row>
    <row r="2176" spans="1:11">
      <c r="A2176" t="s">
        <v>488</v>
      </c>
      <c r="B2176" t="s">
        <v>488</v>
      </c>
      <c r="C2176" t="s">
        <v>9567</v>
      </c>
      <c r="D2176" t="s">
        <v>9587</v>
      </c>
      <c r="E2176" t="s">
        <v>9668</v>
      </c>
      <c r="F2176" t="s">
        <v>14565</v>
      </c>
      <c r="G2176" t="s">
        <v>19188</v>
      </c>
      <c r="H2176" t="s">
        <v>19192</v>
      </c>
      <c r="I2176" t="s">
        <v>18777</v>
      </c>
      <c r="K2176" t="str">
        <f>HYPERLINK("http://tuberculist.epfl.ch/quicksearch.php?gene+name=Rv2120c&amp;submit=Search")</f>
        <v>http://tuberculist.epfl.ch/quicksearch.php?gene+name=Rv2120c&amp;submit=Search</v>
      </c>
    </row>
    <row r="2177" spans="1:11">
      <c r="A2177" t="s">
        <v>3482</v>
      </c>
      <c r="B2177" t="s">
        <v>499</v>
      </c>
      <c r="C2177" t="s">
        <v>9567</v>
      </c>
      <c r="D2177" t="s">
        <v>14566</v>
      </c>
      <c r="E2177" t="s">
        <v>14567</v>
      </c>
      <c r="F2177" t="s">
        <v>14568</v>
      </c>
      <c r="G2177" t="s">
        <v>19195</v>
      </c>
      <c r="H2177" t="s">
        <v>19225</v>
      </c>
      <c r="I2177" t="s">
        <v>18774</v>
      </c>
      <c r="K2177" t="str">
        <f>HYPERLINK("http://tuberculist.epfl.ch/quicksearch.php?gene+name=Rv2121c&amp;submit=Search")</f>
        <v>http://tuberculist.epfl.ch/quicksearch.php?gene+name=Rv2121c&amp;submit=Search</v>
      </c>
    </row>
    <row r="2178" spans="1:11">
      <c r="A2178" t="s">
        <v>7811</v>
      </c>
      <c r="B2178" t="s">
        <v>181</v>
      </c>
      <c r="C2178" t="s">
        <v>9567</v>
      </c>
      <c r="D2178" t="s">
        <v>14566</v>
      </c>
      <c r="E2178" t="s">
        <v>14569</v>
      </c>
      <c r="F2178" t="s">
        <v>14570</v>
      </c>
      <c r="G2178" t="s">
        <v>19195</v>
      </c>
      <c r="I2178" t="s">
        <v>18800</v>
      </c>
      <c r="J2178" t="s">
        <v>19038</v>
      </c>
      <c r="K2178" t="str">
        <f>HYPERLINK("http://tuberculist.epfl.ch/quicksearch.php?gene+name=Rv2122c&amp;submit=Search")</f>
        <v>http://tuberculist.epfl.ch/quicksearch.php?gene+name=Rv2122c&amp;submit=Search</v>
      </c>
    </row>
    <row r="2179" spans="1:11">
      <c r="A2179" t="s">
        <v>188</v>
      </c>
      <c r="B2179" t="s">
        <v>187</v>
      </c>
      <c r="C2179" t="s">
        <v>9567</v>
      </c>
      <c r="D2179" t="s">
        <v>9578</v>
      </c>
      <c r="E2179" t="s">
        <v>14571</v>
      </c>
      <c r="F2179" t="s">
        <v>14572</v>
      </c>
      <c r="G2179" t="s">
        <v>19262</v>
      </c>
      <c r="I2179" t="s">
        <v>18818</v>
      </c>
      <c r="J2179" t="s">
        <v>19038</v>
      </c>
      <c r="K2179" t="str">
        <f>HYPERLINK("http://tuberculist.epfl.ch/quicksearch.php?gene+name=Rv2123&amp;submit=Search")</f>
        <v>http://tuberculist.epfl.ch/quicksearch.php?gene+name=Rv2123&amp;submit=Search</v>
      </c>
    </row>
    <row r="2180" spans="1:11">
      <c r="A2180" t="s">
        <v>6646</v>
      </c>
      <c r="B2180" t="s">
        <v>2085</v>
      </c>
      <c r="C2180" t="s">
        <v>9567</v>
      </c>
      <c r="D2180" t="s">
        <v>14573</v>
      </c>
      <c r="E2180" t="s">
        <v>14574</v>
      </c>
      <c r="F2180" t="s">
        <v>14575</v>
      </c>
      <c r="G2180" t="s">
        <v>19195</v>
      </c>
      <c r="H2180" t="s">
        <v>19820</v>
      </c>
      <c r="I2180" t="s">
        <v>18789</v>
      </c>
      <c r="K2180" t="str">
        <f>HYPERLINK("http://tuberculist.epfl.ch/quicksearch.php?gene+name=Rv2124c&amp;submit=Search")</f>
        <v>http://tuberculist.epfl.ch/quicksearch.php?gene+name=Rv2124c&amp;submit=Search</v>
      </c>
    </row>
    <row r="2181" spans="1:11">
      <c r="A2181" t="s">
        <v>1018</v>
      </c>
      <c r="B2181" t="s">
        <v>1018</v>
      </c>
      <c r="C2181" t="s">
        <v>9567</v>
      </c>
      <c r="D2181" t="s">
        <v>9587</v>
      </c>
      <c r="E2181" t="s">
        <v>9579</v>
      </c>
      <c r="F2181" t="s">
        <v>14576</v>
      </c>
      <c r="G2181" t="s">
        <v>19212</v>
      </c>
      <c r="I2181" t="s">
        <v>18780</v>
      </c>
      <c r="K2181" t="str">
        <f>HYPERLINK("http://tuberculist.epfl.ch/quicksearch.php?gene+name=Rv2125&amp;submit=Search")</f>
        <v>http://tuberculist.epfl.ch/quicksearch.php?gene+name=Rv2125&amp;submit=Search</v>
      </c>
    </row>
    <row r="2182" spans="1:11">
      <c r="A2182" t="s">
        <v>14577</v>
      </c>
      <c r="B2182" t="s">
        <v>14578</v>
      </c>
      <c r="C2182" t="s">
        <v>9567</v>
      </c>
      <c r="D2182" t="s">
        <v>9578</v>
      </c>
      <c r="E2182" t="s">
        <v>14579</v>
      </c>
      <c r="F2182" t="s">
        <v>14580</v>
      </c>
      <c r="G2182" t="s">
        <v>19262</v>
      </c>
      <c r="H2182" t="s">
        <v>19254</v>
      </c>
      <c r="I2182" t="s">
        <v>18780</v>
      </c>
      <c r="K2182" t="str">
        <f>HYPERLINK("http://tuberculist.epfl.ch/quicksearch.php?gene+name=Rv2126c&amp;submit=Search")</f>
        <v>http://tuberculist.epfl.ch/quicksearch.php?gene+name=Rv2126c&amp;submit=Search</v>
      </c>
    </row>
    <row r="2183" spans="1:11">
      <c r="A2183" t="s">
        <v>9070</v>
      </c>
      <c r="B2183" t="s">
        <v>3264</v>
      </c>
      <c r="C2183" t="s">
        <v>9567</v>
      </c>
      <c r="D2183" t="s">
        <v>14581</v>
      </c>
      <c r="E2183" t="s">
        <v>14582</v>
      </c>
      <c r="F2183" t="s">
        <v>14583</v>
      </c>
      <c r="G2183" t="s">
        <v>19188</v>
      </c>
      <c r="H2183" t="s">
        <v>19192</v>
      </c>
      <c r="I2183" t="s">
        <v>18789</v>
      </c>
      <c r="K2183" t="str">
        <f>HYPERLINK("http://tuberculist.epfl.ch/quicksearch.php?gene+name=Rv2127&amp;submit=Search")</f>
        <v>http://tuberculist.epfl.ch/quicksearch.php?gene+name=Rv2127&amp;submit=Search</v>
      </c>
    </row>
    <row r="2184" spans="1:11">
      <c r="A2184" t="s">
        <v>1305</v>
      </c>
      <c r="B2184" t="s">
        <v>1305</v>
      </c>
      <c r="C2184" t="s">
        <v>9567</v>
      </c>
      <c r="D2184" t="s">
        <v>9587</v>
      </c>
      <c r="E2184" t="s">
        <v>14369</v>
      </c>
      <c r="F2184" t="s">
        <v>14584</v>
      </c>
      <c r="G2184" t="s">
        <v>19188</v>
      </c>
      <c r="I2184" t="s">
        <v>18779</v>
      </c>
      <c r="K2184" t="str">
        <f>HYPERLINK("http://tuberculist.epfl.ch/quicksearch.php?gene+name=Rv2128&amp;submit=Search")</f>
        <v>http://tuberculist.epfl.ch/quicksearch.php?gene+name=Rv2128&amp;submit=Search</v>
      </c>
    </row>
    <row r="2185" spans="1:11">
      <c r="A2185" t="s">
        <v>2701</v>
      </c>
      <c r="B2185" t="s">
        <v>2701</v>
      </c>
      <c r="C2185" t="s">
        <v>9567</v>
      </c>
      <c r="D2185" t="s">
        <v>9587</v>
      </c>
      <c r="E2185" t="s">
        <v>9739</v>
      </c>
      <c r="F2185" t="s">
        <v>14585</v>
      </c>
      <c r="G2185" t="s">
        <v>19195</v>
      </c>
      <c r="H2185" t="s">
        <v>19821</v>
      </c>
      <c r="I2185" t="s">
        <v>18789</v>
      </c>
      <c r="J2185" t="s">
        <v>18775</v>
      </c>
      <c r="K2185" t="str">
        <f>HYPERLINK("http://tuberculist.epfl.ch/quicksearch.php?gene+name=Rv2129c&amp;submit=Search")</f>
        <v>http://tuberculist.epfl.ch/quicksearch.php?gene+name=Rv2129c&amp;submit=Search</v>
      </c>
    </row>
    <row r="2186" spans="1:11">
      <c r="A2186" t="s">
        <v>14586</v>
      </c>
      <c r="B2186" t="s">
        <v>320</v>
      </c>
      <c r="C2186" t="s">
        <v>9567</v>
      </c>
      <c r="D2186" t="s">
        <v>14587</v>
      </c>
      <c r="E2186" t="s">
        <v>14588</v>
      </c>
      <c r="F2186" t="s">
        <v>14589</v>
      </c>
      <c r="G2186" t="s">
        <v>19195</v>
      </c>
      <c r="H2186" t="s">
        <v>19403</v>
      </c>
      <c r="I2186" t="s">
        <v>18774</v>
      </c>
      <c r="K2186" t="str">
        <f>HYPERLINK("http://tuberculist.epfl.ch/quicksearch.php?gene+name=Rv2130c&amp;submit=Search")</f>
        <v>http://tuberculist.epfl.ch/quicksearch.php?gene+name=Rv2130c&amp;submit=Search</v>
      </c>
    </row>
    <row r="2187" spans="1:11">
      <c r="A2187" t="s">
        <v>325</v>
      </c>
      <c r="B2187" t="s">
        <v>324</v>
      </c>
      <c r="C2187" t="s">
        <v>9567</v>
      </c>
      <c r="D2187" t="s">
        <v>14590</v>
      </c>
      <c r="E2187" t="s">
        <v>14591</v>
      </c>
      <c r="F2187" t="s">
        <v>14592</v>
      </c>
      <c r="G2187" t="s">
        <v>19195</v>
      </c>
      <c r="H2187" t="s">
        <v>19780</v>
      </c>
      <c r="I2187" t="s">
        <v>19039</v>
      </c>
      <c r="K2187" t="str">
        <f>HYPERLINK("http://tuberculist.epfl.ch/quicksearch.php?gene+name=Rv2131c&amp;submit=Search")</f>
        <v>http://tuberculist.epfl.ch/quicksearch.php?gene+name=Rv2131c&amp;submit=Search</v>
      </c>
    </row>
    <row r="2188" spans="1:11">
      <c r="A2188" t="s">
        <v>3344</v>
      </c>
      <c r="B2188" t="s">
        <v>3344</v>
      </c>
      <c r="C2188" t="s">
        <v>9567</v>
      </c>
      <c r="D2188" t="s">
        <v>9587</v>
      </c>
      <c r="E2188" t="s">
        <v>9579</v>
      </c>
      <c r="F2188" t="s">
        <v>14593</v>
      </c>
      <c r="G2188" t="s">
        <v>19212</v>
      </c>
      <c r="H2188" t="s">
        <v>19213</v>
      </c>
      <c r="I2188" t="s">
        <v>18780</v>
      </c>
      <c r="K2188" t="str">
        <f>HYPERLINK("http://tuberculist.epfl.ch/quicksearch.php?gene+name=Rv2132&amp;submit=Search")</f>
        <v>http://tuberculist.epfl.ch/quicksearch.php?gene+name=Rv2132&amp;submit=Search</v>
      </c>
    </row>
    <row r="2189" spans="1:11">
      <c r="A2189" t="s">
        <v>1510</v>
      </c>
      <c r="B2189" t="s">
        <v>1510</v>
      </c>
      <c r="C2189" t="s">
        <v>9567</v>
      </c>
      <c r="D2189" t="s">
        <v>9587</v>
      </c>
      <c r="E2189" t="s">
        <v>9579</v>
      </c>
      <c r="F2189" t="s">
        <v>14594</v>
      </c>
      <c r="G2189" t="s">
        <v>19204</v>
      </c>
      <c r="I2189" t="s">
        <v>18780</v>
      </c>
      <c r="K2189" t="str">
        <f>HYPERLINK("http://tuberculist.epfl.ch/quicksearch.php?gene+name=Rv2133c&amp;submit=Search")</f>
        <v>http://tuberculist.epfl.ch/quicksearch.php?gene+name=Rv2133c&amp;submit=Search</v>
      </c>
    </row>
    <row r="2190" spans="1:11">
      <c r="A2190" t="s">
        <v>2835</v>
      </c>
      <c r="B2190" t="s">
        <v>2835</v>
      </c>
      <c r="C2190" t="s">
        <v>9567</v>
      </c>
      <c r="D2190" t="s">
        <v>9587</v>
      </c>
      <c r="E2190" t="s">
        <v>9665</v>
      </c>
      <c r="F2190" t="s">
        <v>14595</v>
      </c>
      <c r="G2190" t="s">
        <v>19204</v>
      </c>
      <c r="H2190" t="s">
        <v>19192</v>
      </c>
      <c r="I2190" t="s">
        <v>18780</v>
      </c>
      <c r="K2190" t="str">
        <f>HYPERLINK("http://tuberculist.epfl.ch/quicksearch.php?gene+name=Rv2134c&amp;submit=Search")</f>
        <v>http://tuberculist.epfl.ch/quicksearch.php?gene+name=Rv2134c&amp;submit=Search</v>
      </c>
    </row>
    <row r="2191" spans="1:11">
      <c r="A2191" t="s">
        <v>2793</v>
      </c>
      <c r="B2191" t="s">
        <v>2793</v>
      </c>
      <c r="C2191" t="s">
        <v>9567</v>
      </c>
      <c r="D2191" t="s">
        <v>9587</v>
      </c>
      <c r="E2191" t="s">
        <v>9665</v>
      </c>
      <c r="F2191" t="s">
        <v>14596</v>
      </c>
      <c r="G2191" t="s">
        <v>19204</v>
      </c>
      <c r="H2191" t="s">
        <v>19233</v>
      </c>
      <c r="I2191" t="s">
        <v>18780</v>
      </c>
      <c r="K2191" t="str">
        <f>HYPERLINK("http://tuberculist.epfl.ch/quicksearch.php?gene+name=Rv2135c&amp;submit=Search")</f>
        <v>http://tuberculist.epfl.ch/quicksearch.php?gene+name=Rv2135c&amp;submit=Search</v>
      </c>
    </row>
    <row r="2192" spans="1:11">
      <c r="A2192" t="s">
        <v>2158</v>
      </c>
      <c r="B2192" t="s">
        <v>2158</v>
      </c>
      <c r="C2192" t="s">
        <v>9567</v>
      </c>
      <c r="D2192" t="s">
        <v>9587</v>
      </c>
      <c r="E2192" t="s">
        <v>9671</v>
      </c>
      <c r="F2192" t="s">
        <v>14597</v>
      </c>
      <c r="G2192" t="s">
        <v>19188</v>
      </c>
      <c r="H2192" t="s">
        <v>19192</v>
      </c>
      <c r="I2192" t="s">
        <v>19040</v>
      </c>
      <c r="K2192" t="str">
        <f>HYPERLINK("http://tuberculist.epfl.ch/quicksearch.php?gene+name=Rv2136c&amp;submit=Search")</f>
        <v>http://tuberculist.epfl.ch/quicksearch.php?gene+name=Rv2136c&amp;submit=Search</v>
      </c>
    </row>
    <row r="2193" spans="1:11">
      <c r="A2193" t="s">
        <v>189</v>
      </c>
      <c r="B2193" t="s">
        <v>189</v>
      </c>
      <c r="C2193" t="s">
        <v>9567</v>
      </c>
      <c r="D2193" t="s">
        <v>9587</v>
      </c>
      <c r="E2193" t="s">
        <v>9579</v>
      </c>
      <c r="F2193" t="s">
        <v>14598</v>
      </c>
      <c r="G2193" t="s">
        <v>19210</v>
      </c>
      <c r="H2193" t="s">
        <v>19213</v>
      </c>
      <c r="I2193" t="s">
        <v>18780</v>
      </c>
      <c r="J2193" t="s">
        <v>18965</v>
      </c>
      <c r="K2193" t="str">
        <f>HYPERLINK("http://tuberculist.epfl.ch/quicksearch.php?gene+name=Rv2137c&amp;submit=Search")</f>
        <v>http://tuberculist.epfl.ch/quicksearch.php?gene+name=Rv2137c&amp;submit=Search</v>
      </c>
    </row>
    <row r="2194" spans="1:11">
      <c r="A2194" t="s">
        <v>5928</v>
      </c>
      <c r="B2194" t="s">
        <v>1717</v>
      </c>
      <c r="C2194" t="s">
        <v>9567</v>
      </c>
      <c r="D2194" t="s">
        <v>9587</v>
      </c>
      <c r="E2194" t="s">
        <v>14599</v>
      </c>
      <c r="F2194" t="s">
        <v>14600</v>
      </c>
      <c r="G2194" t="s">
        <v>19188</v>
      </c>
      <c r="H2194" t="s">
        <v>19601</v>
      </c>
      <c r="I2194" t="s">
        <v>18774</v>
      </c>
      <c r="K2194" t="str">
        <f>HYPERLINK("http://tuberculist.epfl.ch/quicksearch.php?gene+name=Rv2138&amp;submit=Search")</f>
        <v>http://tuberculist.epfl.ch/quicksearch.php?gene+name=Rv2138&amp;submit=Search</v>
      </c>
    </row>
    <row r="2195" spans="1:11">
      <c r="A2195" t="s">
        <v>4342</v>
      </c>
      <c r="B2195" t="s">
        <v>929</v>
      </c>
      <c r="C2195" t="s">
        <v>9567</v>
      </c>
      <c r="D2195" t="s">
        <v>14601</v>
      </c>
      <c r="E2195" t="s">
        <v>14602</v>
      </c>
      <c r="F2195" t="s">
        <v>14603</v>
      </c>
      <c r="G2195" t="s">
        <v>19195</v>
      </c>
      <c r="H2195" t="s">
        <v>19429</v>
      </c>
      <c r="I2195" t="s">
        <v>18788</v>
      </c>
      <c r="K2195" t="str">
        <f>HYPERLINK("http://tuberculist.epfl.ch/quicksearch.php?gene+name=Rv2139&amp;submit=Search")</f>
        <v>http://tuberculist.epfl.ch/quicksearch.php?gene+name=Rv2139&amp;submit=Search</v>
      </c>
    </row>
    <row r="2196" spans="1:11">
      <c r="A2196" t="s">
        <v>5979</v>
      </c>
      <c r="B2196" t="s">
        <v>1746</v>
      </c>
      <c r="C2196" t="s">
        <v>9567</v>
      </c>
      <c r="D2196" t="s">
        <v>9587</v>
      </c>
      <c r="E2196" t="s">
        <v>14604</v>
      </c>
      <c r="F2196" t="s">
        <v>14605</v>
      </c>
      <c r="G2196" t="s">
        <v>19204</v>
      </c>
      <c r="H2196" t="s">
        <v>19822</v>
      </c>
      <c r="I2196" t="s">
        <v>18789</v>
      </c>
      <c r="J2196" t="s">
        <v>18839</v>
      </c>
      <c r="K2196" t="str">
        <f>HYPERLINK("http://tuberculist.epfl.ch/quicksearch.php?gene+name=Rv2140c&amp;submit=Search")</f>
        <v>http://tuberculist.epfl.ch/quicksearch.php?gene+name=Rv2140c&amp;submit=Search</v>
      </c>
    </row>
    <row r="2197" spans="1:11">
      <c r="A2197" t="s">
        <v>2920</v>
      </c>
      <c r="B2197" t="s">
        <v>2920</v>
      </c>
      <c r="C2197" t="s">
        <v>9567</v>
      </c>
      <c r="D2197" t="s">
        <v>9587</v>
      </c>
      <c r="E2197" t="s">
        <v>9665</v>
      </c>
      <c r="F2197" t="s">
        <v>14606</v>
      </c>
      <c r="G2197" t="s">
        <v>19195</v>
      </c>
      <c r="H2197" t="s">
        <v>19272</v>
      </c>
      <c r="I2197" t="s">
        <v>18789</v>
      </c>
      <c r="K2197" t="str">
        <f>HYPERLINK("http://tuberculist.epfl.ch/quicksearch.php?gene+name=Rv2141c&amp;submit=Search")</f>
        <v>http://tuberculist.epfl.ch/quicksearch.php?gene+name=Rv2141c&amp;submit=Search</v>
      </c>
    </row>
    <row r="2198" spans="1:11">
      <c r="A2198" t="s">
        <v>14607</v>
      </c>
      <c r="B2198" t="s">
        <v>14608</v>
      </c>
      <c r="C2198" t="s">
        <v>9567</v>
      </c>
      <c r="D2198" t="s">
        <v>9587</v>
      </c>
      <c r="E2198" t="s">
        <v>14609</v>
      </c>
      <c r="F2198" t="s">
        <v>14610</v>
      </c>
      <c r="G2198" t="s">
        <v>19206</v>
      </c>
      <c r="I2198" t="s">
        <v>18773</v>
      </c>
      <c r="K2198" t="str">
        <f>HYPERLINK("http://tuberculist.epfl.ch/quicksearch.php?gene+name=Rv2142A&amp;submit=Search")</f>
        <v>http://tuberculist.epfl.ch/quicksearch.php?gene+name=Rv2142A&amp;submit=Search</v>
      </c>
    </row>
    <row r="2199" spans="1:11">
      <c r="A2199" t="s">
        <v>14611</v>
      </c>
      <c r="B2199" t="s">
        <v>14612</v>
      </c>
      <c r="C2199" t="s">
        <v>9567</v>
      </c>
      <c r="D2199" t="s">
        <v>9587</v>
      </c>
      <c r="E2199" t="s">
        <v>14613</v>
      </c>
      <c r="F2199" t="s">
        <v>14614</v>
      </c>
      <c r="G2199" t="s">
        <v>19206</v>
      </c>
      <c r="H2199" t="s">
        <v>19233</v>
      </c>
      <c r="I2199" t="s">
        <v>18780</v>
      </c>
      <c r="K2199" t="str">
        <f>HYPERLINK("http://tuberculist.epfl.ch/quicksearch.php?gene+name=Rv2142c&amp;submit=Search")</f>
        <v>http://tuberculist.epfl.ch/quicksearch.php?gene+name=Rv2142c&amp;submit=Search</v>
      </c>
    </row>
    <row r="2200" spans="1:11">
      <c r="A2200" t="s">
        <v>1352</v>
      </c>
      <c r="B2200" t="s">
        <v>1352</v>
      </c>
      <c r="C2200" t="s">
        <v>9567</v>
      </c>
      <c r="D2200" t="s">
        <v>9587</v>
      </c>
      <c r="E2200" t="s">
        <v>9579</v>
      </c>
      <c r="F2200" t="s">
        <v>14615</v>
      </c>
      <c r="G2200" t="s">
        <v>19204</v>
      </c>
      <c r="H2200" t="s">
        <v>19213</v>
      </c>
      <c r="I2200" t="s">
        <v>18789</v>
      </c>
      <c r="K2200" t="str">
        <f>HYPERLINK("http://tuberculist.epfl.ch/quicksearch.php?gene+name=Rv2143&amp;submit=Search")</f>
        <v>http://tuberculist.epfl.ch/quicksearch.php?gene+name=Rv2143&amp;submit=Search</v>
      </c>
    </row>
    <row r="2201" spans="1:11">
      <c r="A2201" t="s">
        <v>1499</v>
      </c>
      <c r="B2201" t="s">
        <v>1499</v>
      </c>
      <c r="C2201" t="s">
        <v>9567</v>
      </c>
      <c r="D2201" t="s">
        <v>9587</v>
      </c>
      <c r="E2201" t="s">
        <v>10632</v>
      </c>
      <c r="F2201" t="s">
        <v>14616</v>
      </c>
      <c r="G2201" t="s">
        <v>19188</v>
      </c>
      <c r="I2201" t="s">
        <v>18780</v>
      </c>
      <c r="K2201" t="str">
        <f>HYPERLINK("http://tuberculist.epfl.ch/quicksearch.php?gene+name=Rv2144c&amp;submit=Search")</f>
        <v>http://tuberculist.epfl.ch/quicksearch.php?gene+name=Rv2144c&amp;submit=Search</v>
      </c>
    </row>
    <row r="2202" spans="1:11">
      <c r="A2202" t="s">
        <v>5292</v>
      </c>
      <c r="B2202" t="s">
        <v>1400</v>
      </c>
      <c r="C2202" t="s">
        <v>9567</v>
      </c>
      <c r="D2202" t="s">
        <v>9587</v>
      </c>
      <c r="E2202" t="s">
        <v>14617</v>
      </c>
      <c r="F2202" t="s">
        <v>14618</v>
      </c>
      <c r="G2202" t="s">
        <v>19188</v>
      </c>
      <c r="H2202" t="s">
        <v>19823</v>
      </c>
      <c r="I2202" t="s">
        <v>18774</v>
      </c>
      <c r="K2202" t="str">
        <f>HYPERLINK("http://tuberculist.epfl.ch/quicksearch.php?gene+name=Rv2145c&amp;submit=Search")</f>
        <v>http://tuberculist.epfl.ch/quicksearch.php?gene+name=Rv2145c&amp;submit=Search</v>
      </c>
    </row>
    <row r="2203" spans="1:11">
      <c r="A2203" t="s">
        <v>2964</v>
      </c>
      <c r="B2203" t="s">
        <v>2964</v>
      </c>
      <c r="C2203" t="s">
        <v>9567</v>
      </c>
      <c r="D2203" t="s">
        <v>9587</v>
      </c>
      <c r="E2203" t="s">
        <v>9671</v>
      </c>
      <c r="F2203" t="s">
        <v>14619</v>
      </c>
      <c r="G2203" t="s">
        <v>19188</v>
      </c>
      <c r="H2203" t="s">
        <v>19192</v>
      </c>
      <c r="I2203" t="s">
        <v>18779</v>
      </c>
      <c r="K2203" t="str">
        <f>HYPERLINK("http://tuberculist.epfl.ch/quicksearch.php?gene+name=Rv2146c&amp;submit=Search")</f>
        <v>http://tuberculist.epfl.ch/quicksearch.php?gene+name=Rv2146c&amp;submit=Search</v>
      </c>
    </row>
    <row r="2204" spans="1:11">
      <c r="A2204" t="s">
        <v>3322</v>
      </c>
      <c r="B2204" t="s">
        <v>3322</v>
      </c>
      <c r="C2204" t="s">
        <v>9567</v>
      </c>
      <c r="D2204" t="s">
        <v>9587</v>
      </c>
      <c r="E2204" t="s">
        <v>9579</v>
      </c>
      <c r="F2204" t="s">
        <v>14620</v>
      </c>
      <c r="G2204" t="s">
        <v>19210</v>
      </c>
      <c r="H2204" t="s">
        <v>19207</v>
      </c>
      <c r="I2204" t="s">
        <v>18845</v>
      </c>
      <c r="K2204" t="str">
        <f>HYPERLINK("http://tuberculist.epfl.ch/quicksearch.php?gene+name=Rv2147c&amp;submit=Search")</f>
        <v>http://tuberculist.epfl.ch/quicksearch.php?gene+name=Rv2147c&amp;submit=Search</v>
      </c>
    </row>
    <row r="2205" spans="1:11">
      <c r="A2205" t="s">
        <v>812</v>
      </c>
      <c r="B2205" t="s">
        <v>812</v>
      </c>
      <c r="C2205" t="s">
        <v>9567</v>
      </c>
      <c r="D2205" t="s">
        <v>9587</v>
      </c>
      <c r="E2205" t="s">
        <v>9665</v>
      </c>
      <c r="F2205" t="s">
        <v>14621</v>
      </c>
      <c r="G2205" t="s">
        <v>19210</v>
      </c>
      <c r="H2205" t="s">
        <v>19233</v>
      </c>
      <c r="I2205" t="s">
        <v>18779</v>
      </c>
      <c r="K2205" t="str">
        <f>HYPERLINK("http://tuberculist.epfl.ch/quicksearch.php?gene+name=Rv2148c&amp;submit=Search")</f>
        <v>http://tuberculist.epfl.ch/quicksearch.php?gene+name=Rv2148c&amp;submit=Search</v>
      </c>
    </row>
    <row r="2206" spans="1:11">
      <c r="A2206" t="s">
        <v>5981</v>
      </c>
      <c r="B2206" t="s">
        <v>1747</v>
      </c>
      <c r="C2206" t="s">
        <v>9567</v>
      </c>
      <c r="D2206" t="s">
        <v>9587</v>
      </c>
      <c r="E2206" t="s">
        <v>14622</v>
      </c>
      <c r="F2206" t="s">
        <v>14623</v>
      </c>
      <c r="G2206" t="s">
        <v>19210</v>
      </c>
      <c r="H2206" t="s">
        <v>19417</v>
      </c>
      <c r="I2206" t="s">
        <v>18780</v>
      </c>
      <c r="K2206" t="str">
        <f>HYPERLINK("http://tuberculist.epfl.ch/quicksearch.php?gene+name=Rv2149c&amp;submit=Search")</f>
        <v>http://tuberculist.epfl.ch/quicksearch.php?gene+name=Rv2149c&amp;submit=Search</v>
      </c>
    </row>
    <row r="2207" spans="1:11">
      <c r="A2207" t="s">
        <v>7834</v>
      </c>
      <c r="B2207" t="s">
        <v>2675</v>
      </c>
      <c r="C2207" t="s">
        <v>9567</v>
      </c>
      <c r="D2207" t="s">
        <v>14624</v>
      </c>
      <c r="E2207" t="s">
        <v>14625</v>
      </c>
      <c r="F2207" t="s">
        <v>14626</v>
      </c>
      <c r="G2207" t="s">
        <v>19188</v>
      </c>
      <c r="H2207" t="s">
        <v>19339</v>
      </c>
      <c r="I2207" t="s">
        <v>18774</v>
      </c>
      <c r="K2207" t="str">
        <f>HYPERLINK("http://tuberculist.epfl.ch/quicksearch.php?gene+name=Rv2150c&amp;submit=Search")</f>
        <v>http://tuberculist.epfl.ch/quicksearch.php?gene+name=Rv2150c&amp;submit=Search</v>
      </c>
    </row>
    <row r="2208" spans="1:11">
      <c r="A2208" t="s">
        <v>6453</v>
      </c>
      <c r="B2208" t="s">
        <v>1977</v>
      </c>
      <c r="C2208" t="s">
        <v>9567</v>
      </c>
      <c r="D2208" t="s">
        <v>14627</v>
      </c>
      <c r="E2208" t="s">
        <v>14628</v>
      </c>
      <c r="F2208" t="s">
        <v>14629</v>
      </c>
      <c r="G2208" t="s">
        <v>19188</v>
      </c>
      <c r="H2208" t="s">
        <v>19824</v>
      </c>
      <c r="I2208" t="s">
        <v>18774</v>
      </c>
      <c r="K2208" t="str">
        <f>HYPERLINK("http://tuberculist.epfl.ch/quicksearch.php?gene+name=Rv2151c&amp;submit=Search")</f>
        <v>http://tuberculist.epfl.ch/quicksearch.php?gene+name=Rv2151c&amp;submit=Search</v>
      </c>
    </row>
    <row r="2209" spans="1:11">
      <c r="A2209" t="s">
        <v>4652</v>
      </c>
      <c r="B2209" t="s">
        <v>1084</v>
      </c>
      <c r="C2209" t="s">
        <v>9567</v>
      </c>
      <c r="D2209" t="s">
        <v>14630</v>
      </c>
      <c r="E2209" t="s">
        <v>14631</v>
      </c>
      <c r="F2209" t="s">
        <v>14632</v>
      </c>
      <c r="G2209" t="s">
        <v>19188</v>
      </c>
      <c r="I2209" t="s">
        <v>18774</v>
      </c>
      <c r="K2209" t="str">
        <f>HYPERLINK("http://tuberculist.epfl.ch/quicksearch.php?gene+name=Rv2152c&amp;submit=Search")</f>
        <v>http://tuberculist.epfl.ch/quicksearch.php?gene+name=Rv2152c&amp;submit=Search</v>
      </c>
    </row>
    <row r="2210" spans="1:11">
      <c r="A2210" t="s">
        <v>4825</v>
      </c>
      <c r="B2210" t="s">
        <v>1172</v>
      </c>
      <c r="C2210" t="s">
        <v>9567</v>
      </c>
      <c r="D2210" t="s">
        <v>14633</v>
      </c>
      <c r="E2210" t="s">
        <v>14634</v>
      </c>
      <c r="F2210" t="s">
        <v>14635</v>
      </c>
      <c r="G2210" t="s">
        <v>19188</v>
      </c>
      <c r="H2210" t="s">
        <v>19254</v>
      </c>
      <c r="I2210" t="s">
        <v>18774</v>
      </c>
      <c r="K2210" t="str">
        <f>HYPERLINK("http://tuberculist.epfl.ch/quicksearch.php?gene+name=Rv2153c&amp;submit=Search")</f>
        <v>http://tuberculist.epfl.ch/quicksearch.php?gene+name=Rv2153c&amp;submit=Search</v>
      </c>
    </row>
    <row r="2211" spans="1:11">
      <c r="A2211" t="s">
        <v>5468</v>
      </c>
      <c r="B2211" t="s">
        <v>1496</v>
      </c>
      <c r="C2211" t="s">
        <v>9567</v>
      </c>
      <c r="D2211" t="s">
        <v>9587</v>
      </c>
      <c r="E2211" t="s">
        <v>5469</v>
      </c>
      <c r="F2211" t="s">
        <v>14636</v>
      </c>
      <c r="G2211" t="s">
        <v>19188</v>
      </c>
      <c r="I2211" t="s">
        <v>18774</v>
      </c>
      <c r="K2211" t="str">
        <f>HYPERLINK("http://tuberculist.epfl.ch/quicksearch.php?gene+name=Rv2154c&amp;submit=Search")</f>
        <v>http://tuberculist.epfl.ch/quicksearch.php?gene+name=Rv2154c&amp;submit=Search</v>
      </c>
    </row>
    <row r="2212" spans="1:11">
      <c r="A2212" t="s">
        <v>8280</v>
      </c>
      <c r="B2212" t="s">
        <v>2893</v>
      </c>
      <c r="C2212" t="s">
        <v>9567</v>
      </c>
      <c r="D2212" t="s">
        <v>14633</v>
      </c>
      <c r="E2212" t="s">
        <v>14637</v>
      </c>
      <c r="F2212" t="s">
        <v>14638</v>
      </c>
      <c r="G2212" t="s">
        <v>19188</v>
      </c>
      <c r="H2212" t="s">
        <v>19825</v>
      </c>
      <c r="I2212" t="s">
        <v>18774</v>
      </c>
      <c r="K2212" t="str">
        <f>HYPERLINK("http://tuberculist.epfl.ch/quicksearch.php?gene+name=Rv2155c&amp;submit=Search")</f>
        <v>http://tuberculist.epfl.ch/quicksearch.php?gene+name=Rv2155c&amp;submit=Search</v>
      </c>
    </row>
    <row r="2213" spans="1:11">
      <c r="A2213" t="s">
        <v>14639</v>
      </c>
      <c r="B2213" t="s">
        <v>1475</v>
      </c>
      <c r="C2213" t="s">
        <v>9567</v>
      </c>
      <c r="D2213" t="s">
        <v>14633</v>
      </c>
      <c r="E2213" t="s">
        <v>14640</v>
      </c>
      <c r="F2213" t="s">
        <v>14641</v>
      </c>
      <c r="G2213" t="s">
        <v>19188</v>
      </c>
      <c r="I2213" t="s">
        <v>18774</v>
      </c>
      <c r="K2213" t="str">
        <f>HYPERLINK("http://tuberculist.epfl.ch/quicksearch.php?gene+name=Rv2156c&amp;submit=Search")</f>
        <v>http://tuberculist.epfl.ch/quicksearch.php?gene+name=Rv2156c&amp;submit=Search</v>
      </c>
    </row>
    <row r="2214" spans="1:11">
      <c r="A2214" t="s">
        <v>8902</v>
      </c>
      <c r="B2214" t="s">
        <v>3182</v>
      </c>
      <c r="C2214" t="s">
        <v>9567</v>
      </c>
      <c r="D2214" t="s">
        <v>14633</v>
      </c>
      <c r="E2214" t="s">
        <v>14642</v>
      </c>
      <c r="F2214" t="s">
        <v>14643</v>
      </c>
      <c r="G2214" t="s">
        <v>19188</v>
      </c>
      <c r="H2214" t="s">
        <v>19213</v>
      </c>
      <c r="I2214" t="s">
        <v>18774</v>
      </c>
      <c r="K2214" t="str">
        <f>HYPERLINK("http://tuberculist.epfl.ch/quicksearch.php?gene+name=Rv2157c&amp;submit=Search")</f>
        <v>http://tuberculist.epfl.ch/quicksearch.php?gene+name=Rv2157c&amp;submit=Search</v>
      </c>
    </row>
    <row r="2215" spans="1:11">
      <c r="A2215" t="s">
        <v>6950</v>
      </c>
      <c r="B2215" t="s">
        <v>2239</v>
      </c>
      <c r="C2215" t="s">
        <v>9567</v>
      </c>
      <c r="D2215" t="s">
        <v>14633</v>
      </c>
      <c r="E2215" t="s">
        <v>14644</v>
      </c>
      <c r="F2215" t="s">
        <v>14645</v>
      </c>
      <c r="G2215" t="s">
        <v>19188</v>
      </c>
      <c r="H2215" t="s">
        <v>19826</v>
      </c>
      <c r="I2215" t="s">
        <v>18776</v>
      </c>
      <c r="J2215" t="s">
        <v>18775</v>
      </c>
      <c r="K2215" t="str">
        <f>HYPERLINK("http://tuberculist.epfl.ch/quicksearch.php?gene+name=Rv2158c&amp;submit=Search")</f>
        <v>http://tuberculist.epfl.ch/quicksearch.php?gene+name=Rv2158c&amp;submit=Search</v>
      </c>
    </row>
    <row r="2216" spans="1:11">
      <c r="A2216" t="s">
        <v>14646</v>
      </c>
      <c r="B2216" t="s">
        <v>14646</v>
      </c>
      <c r="C2216" t="s">
        <v>9567</v>
      </c>
      <c r="D2216" t="s">
        <v>9587</v>
      </c>
      <c r="E2216" t="s">
        <v>9665</v>
      </c>
      <c r="F2216" t="s">
        <v>14647</v>
      </c>
      <c r="G2216" t="s">
        <v>19210</v>
      </c>
      <c r="H2216" t="s">
        <v>19827</v>
      </c>
      <c r="I2216" t="s">
        <v>18780</v>
      </c>
      <c r="K2216" t="str">
        <f>HYPERLINK("http://tuberculist.epfl.ch/quicksearch.php?gene+name=Rv2159c&amp;submit=Search")</f>
        <v>http://tuberculist.epfl.ch/quicksearch.php?gene+name=Rv2159c&amp;submit=Search</v>
      </c>
    </row>
    <row r="2217" spans="1:11">
      <c r="A2217" t="s">
        <v>14648</v>
      </c>
      <c r="B2217" t="s">
        <v>14648</v>
      </c>
      <c r="C2217" t="s">
        <v>9567</v>
      </c>
      <c r="D2217" t="s">
        <v>9587</v>
      </c>
      <c r="E2217" t="s">
        <v>9579</v>
      </c>
      <c r="F2217" t="s">
        <v>14649</v>
      </c>
      <c r="G2217" t="s">
        <v>19197</v>
      </c>
      <c r="I2217" t="s">
        <v>18773</v>
      </c>
      <c r="K2217" t="str">
        <f>HYPERLINK("http://tuberculist.epfl.ch/quicksearch.php?gene+name=Rv2160A&amp;submit=Search")</f>
        <v>http://tuberculist.epfl.ch/quicksearch.php?gene+name=Rv2160A&amp;submit=Search</v>
      </c>
    </row>
    <row r="2218" spans="1:11">
      <c r="A2218" t="s">
        <v>14650</v>
      </c>
      <c r="B2218" t="s">
        <v>14650</v>
      </c>
      <c r="C2218" t="s">
        <v>9567</v>
      </c>
      <c r="D2218" t="s">
        <v>9587</v>
      </c>
      <c r="E2218" t="s">
        <v>9579</v>
      </c>
      <c r="F2218" t="s">
        <v>14651</v>
      </c>
      <c r="G2218" t="s">
        <v>19197</v>
      </c>
      <c r="I2218" t="s">
        <v>18773</v>
      </c>
      <c r="K2218" t="str">
        <f>HYPERLINK("http://tuberculist.epfl.ch/quicksearch.php?gene+name=Rv2160c&amp;submit=Search")</f>
        <v>http://tuberculist.epfl.ch/quicksearch.php?gene+name=Rv2160c&amp;submit=Search</v>
      </c>
    </row>
    <row r="2219" spans="1:11">
      <c r="A2219" t="s">
        <v>14652</v>
      </c>
      <c r="B2219" t="s">
        <v>14652</v>
      </c>
      <c r="C2219" t="s">
        <v>9567</v>
      </c>
      <c r="D2219" t="s">
        <v>9587</v>
      </c>
      <c r="E2219" t="s">
        <v>9665</v>
      </c>
      <c r="F2219" t="s">
        <v>14653</v>
      </c>
      <c r="G2219" t="s">
        <v>19195</v>
      </c>
      <c r="H2219" t="s">
        <v>19230</v>
      </c>
      <c r="I2219" t="s">
        <v>18780</v>
      </c>
      <c r="K2219" t="str">
        <f>HYPERLINK("http://tuberculist.epfl.ch/quicksearch.php?gene+name=Rv2161c&amp;submit=Search")</f>
        <v>http://tuberculist.epfl.ch/quicksearch.php?gene+name=Rv2161c&amp;submit=Search</v>
      </c>
    </row>
    <row r="2220" spans="1:11">
      <c r="A2220" t="s">
        <v>5737</v>
      </c>
      <c r="B2220" t="s">
        <v>1629</v>
      </c>
      <c r="C2220" t="s">
        <v>9567</v>
      </c>
      <c r="D2220" t="s">
        <v>9578</v>
      </c>
      <c r="E2220" t="s">
        <v>14654</v>
      </c>
      <c r="F2220" t="s">
        <v>14655</v>
      </c>
      <c r="G2220" t="s">
        <v>19253</v>
      </c>
      <c r="H2220" t="s">
        <v>19267</v>
      </c>
      <c r="I2220" t="s">
        <v>18780</v>
      </c>
      <c r="K2220" t="str">
        <f>HYPERLINK("http://tuberculist.epfl.ch/quicksearch.php?gene+name=Rv2162c&amp;submit=Search")</f>
        <v>http://tuberculist.epfl.ch/quicksearch.php?gene+name=Rv2162c&amp;submit=Search</v>
      </c>
    </row>
    <row r="2221" spans="1:11">
      <c r="A2221" t="s">
        <v>7989</v>
      </c>
      <c r="B2221" t="s">
        <v>2752</v>
      </c>
      <c r="C2221" t="s">
        <v>9567</v>
      </c>
      <c r="D2221" t="s">
        <v>14656</v>
      </c>
      <c r="E2221" t="s">
        <v>14657</v>
      </c>
      <c r="F2221" t="s">
        <v>14658</v>
      </c>
      <c r="G2221" t="s">
        <v>19188</v>
      </c>
      <c r="H2221" t="s">
        <v>19267</v>
      </c>
      <c r="I2221" t="s">
        <v>18774</v>
      </c>
      <c r="J2221" t="s">
        <v>18775</v>
      </c>
      <c r="K2221" t="str">
        <f>HYPERLINK("http://tuberculist.epfl.ch/quicksearch.php?gene+name=Rv2163c&amp;submit=Search")</f>
        <v>http://tuberculist.epfl.ch/quicksearch.php?gene+name=Rv2163c&amp;submit=Search</v>
      </c>
    </row>
    <row r="2222" spans="1:11">
      <c r="A2222" t="s">
        <v>2297</v>
      </c>
      <c r="B2222" t="s">
        <v>2297</v>
      </c>
      <c r="C2222" t="s">
        <v>9567</v>
      </c>
      <c r="D2222" t="s">
        <v>9587</v>
      </c>
      <c r="E2222" t="s">
        <v>14659</v>
      </c>
      <c r="F2222" t="s">
        <v>14660</v>
      </c>
      <c r="G2222" t="s">
        <v>19188</v>
      </c>
      <c r="I2222" t="s">
        <v>18774</v>
      </c>
      <c r="K2222" t="str">
        <f>HYPERLINK("http://tuberculist.epfl.ch/quicksearch.php?gene+name=Rv2164c&amp;submit=Search")</f>
        <v>http://tuberculist.epfl.ch/quicksearch.php?gene+name=Rv2164c&amp;submit=Search</v>
      </c>
    </row>
    <row r="2223" spans="1:11">
      <c r="A2223" t="s">
        <v>2924</v>
      </c>
      <c r="B2223" t="s">
        <v>2924</v>
      </c>
      <c r="C2223" t="s">
        <v>9567</v>
      </c>
      <c r="D2223" t="s">
        <v>9587</v>
      </c>
      <c r="E2223" t="s">
        <v>9665</v>
      </c>
      <c r="F2223" t="s">
        <v>14661</v>
      </c>
      <c r="G2223" t="s">
        <v>19210</v>
      </c>
      <c r="H2223" t="s">
        <v>19305</v>
      </c>
      <c r="I2223" t="s">
        <v>18774</v>
      </c>
      <c r="K2223" t="str">
        <f>HYPERLINK("http://tuberculist.epfl.ch/quicksearch.php?gene+name=Rv2165c&amp;submit=Search")</f>
        <v>http://tuberculist.epfl.ch/quicksearch.php?gene+name=Rv2165c&amp;submit=Search</v>
      </c>
    </row>
    <row r="2224" spans="1:11">
      <c r="A2224" t="s">
        <v>1569</v>
      </c>
      <c r="B2224" t="s">
        <v>1569</v>
      </c>
      <c r="C2224" t="s">
        <v>9567</v>
      </c>
      <c r="D2224" t="s">
        <v>9587</v>
      </c>
      <c r="E2224" t="s">
        <v>9665</v>
      </c>
      <c r="F2224" t="s">
        <v>14662</v>
      </c>
      <c r="G2224" t="s">
        <v>19210</v>
      </c>
      <c r="H2224" t="s">
        <v>19272</v>
      </c>
      <c r="I2224" t="s">
        <v>18774</v>
      </c>
      <c r="K2224" t="str">
        <f>HYPERLINK("http://tuberculist.epfl.ch/quicksearch.php?gene+name=Rv2166c&amp;submit=Search")</f>
        <v>http://tuberculist.epfl.ch/quicksearch.php?gene+name=Rv2166c&amp;submit=Search</v>
      </c>
    </row>
    <row r="2225" spans="1:11">
      <c r="A2225" t="s">
        <v>14663</v>
      </c>
      <c r="B2225" t="s">
        <v>14663</v>
      </c>
      <c r="C2225" t="s">
        <v>9567</v>
      </c>
      <c r="D2225" t="s">
        <v>11446</v>
      </c>
      <c r="E2225" t="s">
        <v>11730</v>
      </c>
      <c r="F2225" t="s">
        <v>14664</v>
      </c>
      <c r="G2225" t="s">
        <v>19217</v>
      </c>
      <c r="I2225" t="s">
        <v>18773</v>
      </c>
      <c r="K2225" t="str">
        <f>HYPERLINK("http://tuberculist.epfl.ch/quicksearch.php?gene+name=Rv2167c&amp;submit=Search")</f>
        <v>http://tuberculist.epfl.ch/quicksearch.php?gene+name=Rv2167c&amp;submit=Search</v>
      </c>
    </row>
    <row r="2226" spans="1:11">
      <c r="A2226" t="s">
        <v>14665</v>
      </c>
      <c r="B2226" t="s">
        <v>14665</v>
      </c>
      <c r="C2226" t="s">
        <v>9567</v>
      </c>
      <c r="D2226" t="s">
        <v>11446</v>
      </c>
      <c r="E2226" t="s">
        <v>11447</v>
      </c>
      <c r="F2226" t="s">
        <v>14666</v>
      </c>
      <c r="G2226" t="s">
        <v>19217</v>
      </c>
      <c r="I2226" t="s">
        <v>18773</v>
      </c>
      <c r="K2226" t="str">
        <f>HYPERLINK("http://tuberculist.epfl.ch/quicksearch.php?gene+name=Rv2168c&amp;submit=Search")</f>
        <v>http://tuberculist.epfl.ch/quicksearch.php?gene+name=Rv2168c&amp;submit=Search</v>
      </c>
    </row>
    <row r="2227" spans="1:11">
      <c r="A2227" t="s">
        <v>2205</v>
      </c>
      <c r="B2227" t="s">
        <v>2205</v>
      </c>
      <c r="C2227" t="s">
        <v>9567</v>
      </c>
      <c r="D2227" t="s">
        <v>9587</v>
      </c>
      <c r="E2227" t="s">
        <v>9597</v>
      </c>
      <c r="F2227" t="s">
        <v>14667</v>
      </c>
      <c r="G2227" t="s">
        <v>19188</v>
      </c>
      <c r="H2227" t="s">
        <v>19233</v>
      </c>
      <c r="I2227" t="s">
        <v>18818</v>
      </c>
      <c r="J2227" t="s">
        <v>18775</v>
      </c>
      <c r="K2227" t="str">
        <f>HYPERLINK("http://tuberculist.epfl.ch/quicksearch.php?gene+name=Rv2169c&amp;submit=Search")</f>
        <v>http://tuberculist.epfl.ch/quicksearch.php?gene+name=Rv2169c&amp;submit=Search</v>
      </c>
    </row>
    <row r="2228" spans="1:11">
      <c r="A2228" t="s">
        <v>14668</v>
      </c>
      <c r="B2228" t="s">
        <v>14668</v>
      </c>
      <c r="C2228" t="s">
        <v>9567</v>
      </c>
      <c r="D2228" t="s">
        <v>9898</v>
      </c>
      <c r="E2228" t="s">
        <v>9899</v>
      </c>
      <c r="F2228" t="s">
        <v>14669</v>
      </c>
      <c r="G2228" t="s">
        <v>19195</v>
      </c>
      <c r="I2228" t="s">
        <v>18780</v>
      </c>
      <c r="K2228" t="str">
        <f>HYPERLINK("http://tuberculist.epfl.ch/quicksearch.php?gene+name=Rv2170&amp;submit=Search")</f>
        <v>http://tuberculist.epfl.ch/quicksearch.php?gene+name=Rv2170&amp;submit=Search</v>
      </c>
    </row>
    <row r="2229" spans="1:11">
      <c r="A2229" t="s">
        <v>7021</v>
      </c>
      <c r="B2229" t="s">
        <v>2267</v>
      </c>
      <c r="C2229" t="s">
        <v>9567</v>
      </c>
      <c r="D2229" t="s">
        <v>9587</v>
      </c>
      <c r="E2229" t="s">
        <v>14670</v>
      </c>
      <c r="F2229" t="s">
        <v>14671</v>
      </c>
      <c r="G2229" t="s">
        <v>19188</v>
      </c>
      <c r="H2229" t="s">
        <v>19229</v>
      </c>
      <c r="I2229" t="s">
        <v>18789</v>
      </c>
      <c r="K2229" t="str">
        <f>HYPERLINK("http://tuberculist.epfl.ch/quicksearch.php?gene+name=Rv2171&amp;submit=Search")</f>
        <v>http://tuberculist.epfl.ch/quicksearch.php?gene+name=Rv2171&amp;submit=Search</v>
      </c>
    </row>
    <row r="2230" spans="1:11">
      <c r="A2230" t="s">
        <v>1327</v>
      </c>
      <c r="B2230" t="s">
        <v>1327</v>
      </c>
      <c r="C2230" t="s">
        <v>9567</v>
      </c>
      <c r="D2230" t="s">
        <v>9587</v>
      </c>
      <c r="E2230" t="s">
        <v>9665</v>
      </c>
      <c r="F2230" t="s">
        <v>14672</v>
      </c>
      <c r="G2230" t="s">
        <v>19212</v>
      </c>
      <c r="H2230" t="s">
        <v>19272</v>
      </c>
      <c r="I2230" t="s">
        <v>18788</v>
      </c>
      <c r="K2230" t="str">
        <f>HYPERLINK("http://tuberculist.epfl.ch/quicksearch.php?gene+name=Rv2172c&amp;submit=Search")</f>
        <v>http://tuberculist.epfl.ch/quicksearch.php?gene+name=Rv2172c&amp;submit=Search</v>
      </c>
    </row>
    <row r="2231" spans="1:11">
      <c r="A2231" t="s">
        <v>5159</v>
      </c>
      <c r="B2231" t="s">
        <v>1331</v>
      </c>
      <c r="C2231" t="s">
        <v>9567</v>
      </c>
      <c r="D2231" t="s">
        <v>14673</v>
      </c>
      <c r="E2231" t="s">
        <v>14674</v>
      </c>
      <c r="F2231" t="s">
        <v>14675</v>
      </c>
      <c r="G2231" t="s">
        <v>19219</v>
      </c>
      <c r="I2231" t="s">
        <v>18793</v>
      </c>
      <c r="K2231" t="str">
        <f>HYPERLINK("http://tuberculist.epfl.ch/quicksearch.php?gene+name=Rv2173&amp;submit=Search")</f>
        <v>http://tuberculist.epfl.ch/quicksearch.php?gene+name=Rv2173&amp;submit=Search</v>
      </c>
    </row>
    <row r="2232" spans="1:11">
      <c r="A2232" t="s">
        <v>14676</v>
      </c>
      <c r="B2232" t="s">
        <v>2677</v>
      </c>
      <c r="C2232" t="s">
        <v>9567</v>
      </c>
      <c r="D2232" t="s">
        <v>14677</v>
      </c>
      <c r="E2232" t="s">
        <v>14678</v>
      </c>
      <c r="F2232" t="s">
        <v>14679</v>
      </c>
      <c r="G2232" t="s">
        <v>19188</v>
      </c>
      <c r="H2232" t="s">
        <v>19192</v>
      </c>
      <c r="I2232" t="s">
        <v>18774</v>
      </c>
      <c r="K2232" t="str">
        <f>HYPERLINK("http://tuberculist.epfl.ch/quicksearch.php?gene+name=Rv2174&amp;submit=Search")</f>
        <v>http://tuberculist.epfl.ch/quicksearch.php?gene+name=Rv2174&amp;submit=Search</v>
      </c>
    </row>
    <row r="2233" spans="1:11">
      <c r="A2233" t="s">
        <v>1168</v>
      </c>
      <c r="B2233" t="s">
        <v>1168</v>
      </c>
      <c r="C2233" t="s">
        <v>9567</v>
      </c>
      <c r="D2233" t="s">
        <v>9587</v>
      </c>
      <c r="E2233" t="s">
        <v>14680</v>
      </c>
      <c r="F2233" t="s">
        <v>14681</v>
      </c>
      <c r="G2233" t="s">
        <v>19197</v>
      </c>
      <c r="H2233" t="s">
        <v>19233</v>
      </c>
      <c r="I2233" t="s">
        <v>18780</v>
      </c>
      <c r="K2233" t="str">
        <f>HYPERLINK("http://tuberculist.epfl.ch/quicksearch.php?gene+name=Rv2175c&amp;submit=Search")</f>
        <v>http://tuberculist.epfl.ch/quicksearch.php?gene+name=Rv2175c&amp;submit=Search</v>
      </c>
    </row>
    <row r="2234" spans="1:11">
      <c r="A2234" t="s">
        <v>9310</v>
      </c>
      <c r="B2234" t="s">
        <v>3377</v>
      </c>
      <c r="C2234" t="s">
        <v>9567</v>
      </c>
      <c r="D2234" t="s">
        <v>14682</v>
      </c>
      <c r="E2234" t="s">
        <v>14683</v>
      </c>
      <c r="F2234" t="s">
        <v>14684</v>
      </c>
      <c r="G2234" t="s">
        <v>19197</v>
      </c>
      <c r="H2234" t="s">
        <v>19207</v>
      </c>
      <c r="I2234" t="s">
        <v>18789</v>
      </c>
      <c r="K2234" t="str">
        <f>HYPERLINK("http://tuberculist.epfl.ch/quicksearch.php?gene+name=Rv2176&amp;submit=Search")</f>
        <v>http://tuberculist.epfl.ch/quicksearch.php?gene+name=Rv2176&amp;submit=Search</v>
      </c>
    </row>
    <row r="2235" spans="1:11">
      <c r="A2235" t="s">
        <v>714</v>
      </c>
      <c r="B2235" t="s">
        <v>714</v>
      </c>
      <c r="C2235" t="s">
        <v>9567</v>
      </c>
      <c r="D2235" t="s">
        <v>14685</v>
      </c>
      <c r="E2235" t="s">
        <v>11734</v>
      </c>
      <c r="F2235" t="s">
        <v>14686</v>
      </c>
      <c r="G2235" t="s">
        <v>19217</v>
      </c>
      <c r="I2235" t="s">
        <v>18780</v>
      </c>
      <c r="K2235" t="str">
        <f>HYPERLINK("http://tuberculist.epfl.ch/quicksearch.php?gene+name=Rv2177c&amp;submit=Search")</f>
        <v>http://tuberculist.epfl.ch/quicksearch.php?gene+name=Rv2177c&amp;submit=Search</v>
      </c>
    </row>
    <row r="2236" spans="1:11">
      <c r="A2236" t="s">
        <v>9362</v>
      </c>
      <c r="B2236" t="s">
        <v>3400</v>
      </c>
      <c r="C2236" t="s">
        <v>9567</v>
      </c>
      <c r="D2236" t="s">
        <v>14687</v>
      </c>
      <c r="E2236" t="s">
        <v>14688</v>
      </c>
      <c r="F2236" t="s">
        <v>14689</v>
      </c>
      <c r="G2236" t="s">
        <v>19195</v>
      </c>
      <c r="H2236" t="s">
        <v>19828</v>
      </c>
      <c r="I2236" t="s">
        <v>18774</v>
      </c>
      <c r="K2236" t="str">
        <f>HYPERLINK("http://tuberculist.epfl.ch/quicksearch.php?gene+name=Rv2178c&amp;submit=Search")</f>
        <v>http://tuberculist.epfl.ch/quicksearch.php?gene+name=Rv2178c&amp;submit=Search</v>
      </c>
    </row>
    <row r="2237" spans="1:11">
      <c r="A2237" t="s">
        <v>14690</v>
      </c>
      <c r="B2237" t="s">
        <v>14690</v>
      </c>
      <c r="C2237" t="s">
        <v>9567</v>
      </c>
      <c r="D2237" t="s">
        <v>9587</v>
      </c>
      <c r="E2237" t="s">
        <v>9579</v>
      </c>
      <c r="F2237" t="s">
        <v>14691</v>
      </c>
      <c r="G2237" t="s">
        <v>19204</v>
      </c>
      <c r="H2237" t="s">
        <v>19213</v>
      </c>
      <c r="I2237" t="s">
        <v>18800</v>
      </c>
      <c r="K2237" t="str">
        <f>HYPERLINK("http://tuberculist.epfl.ch/quicksearch.php?gene+name=Rv2179c&amp;submit=Search")</f>
        <v>http://tuberculist.epfl.ch/quicksearch.php?gene+name=Rv2179c&amp;submit=Search</v>
      </c>
    </row>
    <row r="2238" spans="1:11">
      <c r="A2238" t="s">
        <v>2827</v>
      </c>
      <c r="B2238" t="s">
        <v>2827</v>
      </c>
      <c r="C2238" t="s">
        <v>9567</v>
      </c>
      <c r="D2238" t="s">
        <v>9587</v>
      </c>
      <c r="E2238" t="s">
        <v>9668</v>
      </c>
      <c r="F2238" t="s">
        <v>14692</v>
      </c>
      <c r="G2238" t="s">
        <v>19188</v>
      </c>
      <c r="I2238" t="s">
        <v>18780</v>
      </c>
      <c r="K2238" t="str">
        <f>HYPERLINK("http://tuberculist.epfl.ch/quicksearch.php?gene+name=Rv2180c&amp;submit=Search")</f>
        <v>http://tuberculist.epfl.ch/quicksearch.php?gene+name=Rv2180c&amp;submit=Search</v>
      </c>
    </row>
    <row r="2239" spans="1:11">
      <c r="A2239" t="s">
        <v>1843</v>
      </c>
      <c r="B2239" t="s">
        <v>1843</v>
      </c>
      <c r="C2239" t="s">
        <v>9567</v>
      </c>
      <c r="D2239" t="s">
        <v>14693</v>
      </c>
      <c r="E2239" t="s">
        <v>14694</v>
      </c>
      <c r="F2239" t="s">
        <v>14695</v>
      </c>
      <c r="G2239" t="s">
        <v>19188</v>
      </c>
      <c r="H2239" t="s">
        <v>19233</v>
      </c>
      <c r="I2239" t="s">
        <v>18780</v>
      </c>
      <c r="K2239" t="str">
        <f>HYPERLINK("http://tuberculist.epfl.ch/quicksearch.php?gene+name=Rv2181&amp;submit=Search")</f>
        <v>http://tuberculist.epfl.ch/quicksearch.php?gene+name=Rv2181&amp;submit=Search</v>
      </c>
    </row>
    <row r="2240" spans="1:11">
      <c r="A2240" t="s">
        <v>1726</v>
      </c>
      <c r="B2240" t="s">
        <v>1726</v>
      </c>
      <c r="C2240" t="s">
        <v>9567</v>
      </c>
      <c r="D2240" t="s">
        <v>14696</v>
      </c>
      <c r="E2240" t="s">
        <v>5945</v>
      </c>
      <c r="F2240" t="s">
        <v>14697</v>
      </c>
      <c r="G2240" t="s">
        <v>19204</v>
      </c>
      <c r="H2240" t="s">
        <v>19597</v>
      </c>
      <c r="I2240" t="s">
        <v>18774</v>
      </c>
      <c r="K2240" t="str">
        <f>HYPERLINK("http://tuberculist.epfl.ch/quicksearch.php?gene+name=Rv2182c&amp;submit=Search")</f>
        <v>http://tuberculist.epfl.ch/quicksearch.php?gene+name=Rv2182c&amp;submit=Search</v>
      </c>
    </row>
    <row r="2241" spans="1:11">
      <c r="A2241" t="s">
        <v>2409</v>
      </c>
      <c r="B2241" t="s">
        <v>2409</v>
      </c>
      <c r="C2241" t="s">
        <v>9567</v>
      </c>
      <c r="D2241" t="s">
        <v>9587</v>
      </c>
      <c r="E2241" t="s">
        <v>9665</v>
      </c>
      <c r="F2241" t="s">
        <v>14698</v>
      </c>
      <c r="G2241" t="s">
        <v>19212</v>
      </c>
      <c r="H2241" t="s">
        <v>19192</v>
      </c>
      <c r="I2241" t="s">
        <v>18780</v>
      </c>
      <c r="K2241" t="str">
        <f>HYPERLINK("http://tuberculist.epfl.ch/quicksearch.php?gene+name=Rv2183c&amp;submit=Search")</f>
        <v>http://tuberculist.epfl.ch/quicksearch.php?gene+name=Rv2183c&amp;submit=Search</v>
      </c>
    </row>
    <row r="2242" spans="1:11">
      <c r="A2242" t="s">
        <v>677</v>
      </c>
      <c r="B2242" t="s">
        <v>677</v>
      </c>
      <c r="C2242" t="s">
        <v>9567</v>
      </c>
      <c r="D2242" t="s">
        <v>9587</v>
      </c>
      <c r="E2242" t="s">
        <v>9579</v>
      </c>
      <c r="F2242" t="s">
        <v>14699</v>
      </c>
      <c r="G2242" t="s">
        <v>19212</v>
      </c>
      <c r="I2242" t="s">
        <v>18789</v>
      </c>
      <c r="K2242" t="str">
        <f>HYPERLINK("http://tuberculist.epfl.ch/quicksearch.php?gene+name=Rv2184c&amp;submit=Search")</f>
        <v>http://tuberculist.epfl.ch/quicksearch.php?gene+name=Rv2184c&amp;submit=Search</v>
      </c>
    </row>
    <row r="2243" spans="1:11">
      <c r="A2243" t="s">
        <v>5850</v>
      </c>
      <c r="B2243" t="s">
        <v>1677</v>
      </c>
      <c r="C2243" t="s">
        <v>9567</v>
      </c>
      <c r="D2243" t="s">
        <v>9587</v>
      </c>
      <c r="E2243" t="s">
        <v>14700</v>
      </c>
      <c r="F2243" t="s">
        <v>14701</v>
      </c>
      <c r="G2243" t="s">
        <v>19220</v>
      </c>
      <c r="H2243" t="s">
        <v>19829</v>
      </c>
      <c r="I2243" t="s">
        <v>18780</v>
      </c>
      <c r="K2243" t="str">
        <f>HYPERLINK("http://tuberculist.epfl.ch/quicksearch.php?gene+name=Rv2185c&amp;submit=Search")</f>
        <v>http://tuberculist.epfl.ch/quicksearch.php?gene+name=Rv2185c&amp;submit=Search</v>
      </c>
    </row>
    <row r="2244" spans="1:11">
      <c r="A2244" t="s">
        <v>2470</v>
      </c>
      <c r="B2244" t="s">
        <v>2470</v>
      </c>
      <c r="C2244" t="s">
        <v>9567</v>
      </c>
      <c r="D2244" t="s">
        <v>9587</v>
      </c>
      <c r="E2244" t="s">
        <v>9579</v>
      </c>
      <c r="F2244" t="s">
        <v>14702</v>
      </c>
      <c r="G2244" t="s">
        <v>19220</v>
      </c>
      <c r="H2244" t="s">
        <v>19211</v>
      </c>
      <c r="I2244" t="s">
        <v>18776</v>
      </c>
      <c r="K2244" t="str">
        <f>HYPERLINK("http://tuberculist.epfl.ch/quicksearch.php?gene+name=Rv2186c&amp;submit=Search")</f>
        <v>http://tuberculist.epfl.ch/quicksearch.php?gene+name=Rv2186c&amp;submit=Search</v>
      </c>
    </row>
    <row r="2245" spans="1:11">
      <c r="A2245" t="s">
        <v>5783</v>
      </c>
      <c r="B2245" t="s">
        <v>1450</v>
      </c>
      <c r="C2245" t="s">
        <v>9567</v>
      </c>
      <c r="D2245" t="s">
        <v>9662</v>
      </c>
      <c r="E2245" t="s">
        <v>14703</v>
      </c>
      <c r="F2245" t="s">
        <v>14704</v>
      </c>
      <c r="G2245" t="s">
        <v>19219</v>
      </c>
      <c r="H2245" t="s">
        <v>19830</v>
      </c>
      <c r="I2245" t="s">
        <v>18789</v>
      </c>
      <c r="K2245" t="str">
        <f>HYPERLINK("http://tuberculist.epfl.ch/quicksearch.php?gene+name=Rv2187&amp;submit=Search")</f>
        <v>http://tuberculist.epfl.ch/quicksearch.php?gene+name=Rv2187&amp;submit=Search</v>
      </c>
    </row>
    <row r="2246" spans="1:11">
      <c r="A2246" t="s">
        <v>8261</v>
      </c>
      <c r="B2246" t="s">
        <v>2713</v>
      </c>
      <c r="C2246" t="s">
        <v>9567</v>
      </c>
      <c r="D2246" t="s">
        <v>14705</v>
      </c>
      <c r="E2246" t="s">
        <v>14706</v>
      </c>
      <c r="F2246" t="s">
        <v>14707</v>
      </c>
      <c r="G2246" t="s">
        <v>19219</v>
      </c>
      <c r="H2246" t="s">
        <v>19207</v>
      </c>
      <c r="I2246" t="s">
        <v>18774</v>
      </c>
      <c r="K2246" t="str">
        <f>HYPERLINK("http://tuberculist.epfl.ch/quicksearch.php?gene+name=Rv2188c&amp;submit=Search")</f>
        <v>http://tuberculist.epfl.ch/quicksearch.php?gene+name=Rv2188c&amp;submit=Search</v>
      </c>
    </row>
    <row r="2247" spans="1:11">
      <c r="A2247" t="s">
        <v>3099</v>
      </c>
      <c r="B2247" t="s">
        <v>3099</v>
      </c>
      <c r="C2247" t="s">
        <v>9567</v>
      </c>
      <c r="D2247" t="s">
        <v>9587</v>
      </c>
      <c r="E2247" t="s">
        <v>9579</v>
      </c>
      <c r="F2247" t="s">
        <v>14708</v>
      </c>
      <c r="G2247" t="s">
        <v>19298</v>
      </c>
      <c r="I2247" t="s">
        <v>18780</v>
      </c>
      <c r="K2247" t="str">
        <f>HYPERLINK("http://tuberculist.epfl.ch/quicksearch.php?gene+name=Rv2189c&amp;submit=Search")</f>
        <v>http://tuberculist.epfl.ch/quicksearch.php?gene+name=Rv2189c&amp;submit=Search</v>
      </c>
    </row>
    <row r="2248" spans="1:11">
      <c r="A2248" t="s">
        <v>1743</v>
      </c>
      <c r="B2248" t="s">
        <v>1743</v>
      </c>
      <c r="C2248" t="s">
        <v>9567</v>
      </c>
      <c r="D2248" t="s">
        <v>9587</v>
      </c>
      <c r="E2248" t="s">
        <v>9579</v>
      </c>
      <c r="F2248" t="s">
        <v>14709</v>
      </c>
      <c r="G2248" t="s">
        <v>19206</v>
      </c>
      <c r="H2248" t="s">
        <v>19613</v>
      </c>
      <c r="I2248" t="s">
        <v>18795</v>
      </c>
      <c r="K2248" t="str">
        <f>HYPERLINK("http://tuberculist.epfl.ch/quicksearch.php?gene+name=Rv2190c&amp;submit=Search")</f>
        <v>http://tuberculist.epfl.ch/quicksearch.php?gene+name=Rv2190c&amp;submit=Search</v>
      </c>
    </row>
    <row r="2249" spans="1:11">
      <c r="A2249" t="s">
        <v>2530</v>
      </c>
      <c r="B2249" t="s">
        <v>2530</v>
      </c>
      <c r="C2249" t="s">
        <v>9567</v>
      </c>
      <c r="D2249" t="s">
        <v>9587</v>
      </c>
      <c r="E2249" t="s">
        <v>9579</v>
      </c>
      <c r="F2249" t="s">
        <v>14710</v>
      </c>
      <c r="G2249" t="s">
        <v>19181</v>
      </c>
      <c r="H2249" t="s">
        <v>19831</v>
      </c>
      <c r="I2249" t="s">
        <v>18789</v>
      </c>
      <c r="K2249" t="str">
        <f>HYPERLINK("http://tuberculist.epfl.ch/quicksearch.php?gene+name=Rv2191&amp;submit=Search")</f>
        <v>http://tuberculist.epfl.ch/quicksearch.php?gene+name=Rv2191&amp;submit=Search</v>
      </c>
    </row>
    <row r="2250" spans="1:11">
      <c r="A2250" t="s">
        <v>9220</v>
      </c>
      <c r="B2250" t="s">
        <v>3333</v>
      </c>
      <c r="C2250" t="s">
        <v>9567</v>
      </c>
      <c r="D2250" t="s">
        <v>14711</v>
      </c>
      <c r="E2250" t="s">
        <v>14712</v>
      </c>
      <c r="F2250" t="s">
        <v>14713</v>
      </c>
      <c r="G2250" t="s">
        <v>19195</v>
      </c>
      <c r="H2250" t="s">
        <v>19832</v>
      </c>
      <c r="I2250" t="s">
        <v>18876</v>
      </c>
      <c r="K2250" t="str">
        <f>HYPERLINK("http://tuberculist.epfl.ch/quicksearch.php?gene+name=Rv2192c&amp;submit=Search")</f>
        <v>http://tuberculist.epfl.ch/quicksearch.php?gene+name=Rv2192c&amp;submit=Search</v>
      </c>
    </row>
    <row r="2251" spans="1:11">
      <c r="A2251" t="s">
        <v>9285</v>
      </c>
      <c r="B2251" t="s">
        <v>3367</v>
      </c>
      <c r="C2251" t="s">
        <v>9567</v>
      </c>
      <c r="D2251" t="s">
        <v>12987</v>
      </c>
      <c r="E2251" t="s">
        <v>14714</v>
      </c>
      <c r="F2251" t="s">
        <v>14715</v>
      </c>
      <c r="G2251" t="s">
        <v>19195</v>
      </c>
      <c r="H2251" t="s">
        <v>19214</v>
      </c>
      <c r="I2251" t="s">
        <v>18774</v>
      </c>
      <c r="K2251" t="str">
        <f>HYPERLINK("http://tuberculist.epfl.ch/quicksearch.php?gene+name=Rv2193&amp;submit=Search")</f>
        <v>http://tuberculist.epfl.ch/quicksearch.php?gene+name=Rv2193&amp;submit=Search</v>
      </c>
    </row>
    <row r="2252" spans="1:11">
      <c r="A2252" t="s">
        <v>5894</v>
      </c>
      <c r="B2252" t="s">
        <v>1699</v>
      </c>
      <c r="C2252" t="s">
        <v>9567</v>
      </c>
      <c r="D2252" t="s">
        <v>400</v>
      </c>
      <c r="E2252" t="s">
        <v>14716</v>
      </c>
      <c r="F2252" t="s">
        <v>14717</v>
      </c>
      <c r="G2252" t="s">
        <v>19195</v>
      </c>
      <c r="H2252" t="s">
        <v>19634</v>
      </c>
      <c r="I2252" t="s">
        <v>18774</v>
      </c>
      <c r="K2252" t="str">
        <f>HYPERLINK("http://tuberculist.epfl.ch/quicksearch.php?gene+name=Rv2194&amp;submit=Search")</f>
        <v>http://tuberculist.epfl.ch/quicksearch.php?gene+name=Rv2194&amp;submit=Search</v>
      </c>
    </row>
    <row r="2253" spans="1:11">
      <c r="A2253" t="s">
        <v>9367</v>
      </c>
      <c r="B2253" t="s">
        <v>3402</v>
      </c>
      <c r="C2253" t="s">
        <v>9567</v>
      </c>
      <c r="D2253" t="s">
        <v>400</v>
      </c>
      <c r="E2253" t="s">
        <v>14718</v>
      </c>
      <c r="F2253" t="s">
        <v>14719</v>
      </c>
      <c r="G2253" t="s">
        <v>19195</v>
      </c>
      <c r="H2253" t="s">
        <v>19833</v>
      </c>
      <c r="I2253" t="s">
        <v>18774</v>
      </c>
      <c r="K2253" t="str">
        <f>HYPERLINK("http://tuberculist.epfl.ch/quicksearch.php?gene+name=Rv2195&amp;submit=Search")</f>
        <v>http://tuberculist.epfl.ch/quicksearch.php?gene+name=Rv2195&amp;submit=Search</v>
      </c>
    </row>
    <row r="2254" spans="1:11">
      <c r="A2254" t="s">
        <v>9485</v>
      </c>
      <c r="B2254" t="s">
        <v>459</v>
      </c>
      <c r="C2254" t="s">
        <v>9567</v>
      </c>
      <c r="D2254" t="s">
        <v>400</v>
      </c>
      <c r="E2254" t="s">
        <v>14720</v>
      </c>
      <c r="F2254" t="s">
        <v>14721</v>
      </c>
      <c r="G2254" t="s">
        <v>19195</v>
      </c>
      <c r="H2254" t="s">
        <v>19834</v>
      </c>
      <c r="I2254" t="s">
        <v>18774</v>
      </c>
      <c r="K2254" t="str">
        <f>HYPERLINK("http://tuberculist.epfl.ch/quicksearch.php?gene+name=Rv2196&amp;submit=Search")</f>
        <v>http://tuberculist.epfl.ch/quicksearch.php?gene+name=Rv2196&amp;submit=Search</v>
      </c>
    </row>
    <row r="2255" spans="1:11">
      <c r="A2255" t="s">
        <v>930</v>
      </c>
      <c r="B2255" t="s">
        <v>930</v>
      </c>
      <c r="C2255" t="s">
        <v>9567</v>
      </c>
      <c r="D2255" t="s">
        <v>9587</v>
      </c>
      <c r="E2255" t="s">
        <v>9597</v>
      </c>
      <c r="F2255" t="s">
        <v>14722</v>
      </c>
      <c r="G2255" t="s">
        <v>19188</v>
      </c>
      <c r="H2255" t="s">
        <v>19233</v>
      </c>
      <c r="I2255" t="s">
        <v>18780</v>
      </c>
      <c r="K2255" t="str">
        <f>HYPERLINK("http://tuberculist.epfl.ch/quicksearch.php?gene+name=Rv2197c&amp;submit=Search")</f>
        <v>http://tuberculist.epfl.ch/quicksearch.php?gene+name=Rv2197c&amp;submit=Search</v>
      </c>
    </row>
    <row r="2256" spans="1:11">
      <c r="A2256" t="s">
        <v>5461</v>
      </c>
      <c r="B2256" t="s">
        <v>1493</v>
      </c>
      <c r="C2256" t="s">
        <v>9567</v>
      </c>
      <c r="D2256" t="s">
        <v>9587</v>
      </c>
      <c r="E2256" t="s">
        <v>14723</v>
      </c>
      <c r="F2256" t="s">
        <v>14724</v>
      </c>
      <c r="G2256" t="s">
        <v>19188</v>
      </c>
      <c r="H2256" t="s">
        <v>19835</v>
      </c>
      <c r="I2256" t="s">
        <v>18819</v>
      </c>
      <c r="K2256" t="str">
        <f>HYPERLINK("http://tuberculist.epfl.ch/quicksearch.php?gene+name=Rv2198c&amp;submit=Search")</f>
        <v>http://tuberculist.epfl.ch/quicksearch.php?gene+name=Rv2198c&amp;submit=Search</v>
      </c>
    </row>
    <row r="2257" spans="1:11">
      <c r="A2257" t="s">
        <v>2898</v>
      </c>
      <c r="B2257" t="s">
        <v>2898</v>
      </c>
      <c r="C2257" t="s">
        <v>9567</v>
      </c>
      <c r="D2257" t="s">
        <v>9587</v>
      </c>
      <c r="E2257" t="s">
        <v>11631</v>
      </c>
      <c r="F2257" t="s">
        <v>14725</v>
      </c>
      <c r="G2257" t="s">
        <v>19188</v>
      </c>
      <c r="I2257" t="s">
        <v>18779</v>
      </c>
      <c r="K2257" t="str">
        <f>HYPERLINK("http://tuberculist.epfl.ch/quicksearch.php?gene+name=Rv2199c&amp;submit=Search")</f>
        <v>http://tuberculist.epfl.ch/quicksearch.php?gene+name=Rv2199c&amp;submit=Search</v>
      </c>
    </row>
    <row r="2258" spans="1:11">
      <c r="A2258" t="s">
        <v>6249</v>
      </c>
      <c r="B2258" t="s">
        <v>1877</v>
      </c>
      <c r="C2258" t="s">
        <v>9567</v>
      </c>
      <c r="D2258" t="s">
        <v>14726</v>
      </c>
      <c r="E2258" t="s">
        <v>14727</v>
      </c>
      <c r="F2258" t="s">
        <v>14728</v>
      </c>
      <c r="G2258" t="s">
        <v>19195</v>
      </c>
      <c r="H2258" t="s">
        <v>19836</v>
      </c>
      <c r="I2258" t="s">
        <v>18842</v>
      </c>
      <c r="K2258" t="str">
        <f>HYPERLINK("http://tuberculist.epfl.ch/quicksearch.php?gene+name=Rv2200c&amp;submit=Search")</f>
        <v>http://tuberculist.epfl.ch/quicksearch.php?gene+name=Rv2200c&amp;submit=Search</v>
      </c>
    </row>
    <row r="2259" spans="1:11">
      <c r="A2259" t="s">
        <v>8235</v>
      </c>
      <c r="B2259" t="s">
        <v>2874</v>
      </c>
      <c r="C2259" t="s">
        <v>9567</v>
      </c>
      <c r="D2259" t="s">
        <v>14729</v>
      </c>
      <c r="E2259" t="s">
        <v>14730</v>
      </c>
      <c r="F2259" t="s">
        <v>14731</v>
      </c>
      <c r="G2259" t="s">
        <v>19195</v>
      </c>
      <c r="H2259" t="s">
        <v>19837</v>
      </c>
      <c r="I2259" t="s">
        <v>18774</v>
      </c>
      <c r="K2259" t="str">
        <f>HYPERLINK("http://tuberculist.epfl.ch/quicksearch.php?gene+name=Rv2201&amp;submit=Search")</f>
        <v>http://tuberculist.epfl.ch/quicksearch.php?gene+name=Rv2201&amp;submit=Search</v>
      </c>
    </row>
    <row r="2260" spans="1:11">
      <c r="A2260" t="s">
        <v>4935</v>
      </c>
      <c r="B2260" t="s">
        <v>1225</v>
      </c>
      <c r="C2260" t="s">
        <v>9567</v>
      </c>
      <c r="D2260" t="s">
        <v>14732</v>
      </c>
      <c r="E2260" t="s">
        <v>14733</v>
      </c>
      <c r="F2260" t="s">
        <v>14734</v>
      </c>
      <c r="G2260" t="s">
        <v>19195</v>
      </c>
      <c r="H2260" t="s">
        <v>19838</v>
      </c>
      <c r="I2260" t="s">
        <v>18776</v>
      </c>
      <c r="K2260" t="str">
        <f>HYPERLINK("http://tuberculist.epfl.ch/quicksearch.php?gene+name=Rv2202c&amp;submit=Search")</f>
        <v>http://tuberculist.epfl.ch/quicksearch.php?gene+name=Rv2202c&amp;submit=Search</v>
      </c>
    </row>
    <row r="2261" spans="1:11">
      <c r="A2261" t="s">
        <v>1283</v>
      </c>
      <c r="B2261" t="s">
        <v>1283</v>
      </c>
      <c r="C2261" t="s">
        <v>9567</v>
      </c>
      <c r="D2261" t="s">
        <v>9587</v>
      </c>
      <c r="E2261" t="s">
        <v>9588</v>
      </c>
      <c r="F2261" t="s">
        <v>14735</v>
      </c>
      <c r="G2261" t="s">
        <v>19188</v>
      </c>
      <c r="H2261" t="s">
        <v>19233</v>
      </c>
      <c r="I2261" t="s">
        <v>18780</v>
      </c>
      <c r="K2261" t="str">
        <f>HYPERLINK("http://tuberculist.epfl.ch/quicksearch.php?gene+name=Rv2203&amp;submit=Search")</f>
        <v>http://tuberculist.epfl.ch/quicksearch.php?gene+name=Rv2203&amp;submit=Search</v>
      </c>
    </row>
    <row r="2262" spans="1:11">
      <c r="A2262" t="s">
        <v>625</v>
      </c>
      <c r="B2262" t="s">
        <v>625</v>
      </c>
      <c r="C2262" t="s">
        <v>9567</v>
      </c>
      <c r="D2262" t="s">
        <v>9587</v>
      </c>
      <c r="E2262" t="s">
        <v>9665</v>
      </c>
      <c r="F2262" t="s">
        <v>14736</v>
      </c>
      <c r="G2262" t="s">
        <v>19204</v>
      </c>
      <c r="H2262" t="s">
        <v>19839</v>
      </c>
      <c r="I2262" t="s">
        <v>18779</v>
      </c>
      <c r="J2262" t="s">
        <v>18965</v>
      </c>
      <c r="K2262" t="str">
        <f>HYPERLINK("http://tuberculist.epfl.ch/quicksearch.php?gene+name=Rv2204c&amp;submit=Search")</f>
        <v>http://tuberculist.epfl.ch/quicksearch.php?gene+name=Rv2204c&amp;submit=Search</v>
      </c>
    </row>
    <row r="2263" spans="1:11">
      <c r="A2263" t="s">
        <v>835</v>
      </c>
      <c r="B2263" t="s">
        <v>835</v>
      </c>
      <c r="C2263" t="s">
        <v>9567</v>
      </c>
      <c r="D2263" t="s">
        <v>9587</v>
      </c>
      <c r="E2263" t="s">
        <v>9579</v>
      </c>
      <c r="F2263" t="s">
        <v>14737</v>
      </c>
      <c r="G2263" t="s">
        <v>19204</v>
      </c>
      <c r="H2263" t="s">
        <v>19213</v>
      </c>
      <c r="I2263" t="s">
        <v>18780</v>
      </c>
      <c r="K2263" t="str">
        <f>HYPERLINK("http://tuberculist.epfl.ch/quicksearch.php?gene+name=Rv2205c&amp;submit=Search")</f>
        <v>http://tuberculist.epfl.ch/quicksearch.php?gene+name=Rv2205c&amp;submit=Search</v>
      </c>
    </row>
    <row r="2264" spans="1:11">
      <c r="A2264" t="s">
        <v>2021</v>
      </c>
      <c r="B2264" t="s">
        <v>2021</v>
      </c>
      <c r="C2264" t="s">
        <v>9567</v>
      </c>
      <c r="D2264" t="s">
        <v>9587</v>
      </c>
      <c r="E2264" t="s">
        <v>9597</v>
      </c>
      <c r="F2264" t="s">
        <v>14738</v>
      </c>
      <c r="G2264" t="s">
        <v>19188</v>
      </c>
      <c r="H2264" t="s">
        <v>19213</v>
      </c>
      <c r="I2264" t="s">
        <v>19041</v>
      </c>
      <c r="K2264" t="str">
        <f>HYPERLINK("http://tuberculist.epfl.ch/quicksearch.php?gene+name=Rv2206&amp;submit=Search")</f>
        <v>http://tuberculist.epfl.ch/quicksearch.php?gene+name=Rv2206&amp;submit=Search</v>
      </c>
    </row>
    <row r="2265" spans="1:11">
      <c r="A2265" t="s">
        <v>8934</v>
      </c>
      <c r="B2265" t="s">
        <v>3195</v>
      </c>
      <c r="C2265" t="s">
        <v>9567</v>
      </c>
      <c r="D2265" t="s">
        <v>10176</v>
      </c>
      <c r="E2265" t="s">
        <v>14739</v>
      </c>
      <c r="F2265" t="s">
        <v>14740</v>
      </c>
      <c r="G2265" t="s">
        <v>19195</v>
      </c>
      <c r="H2265" t="s">
        <v>19287</v>
      </c>
      <c r="I2265" t="s">
        <v>18773</v>
      </c>
      <c r="K2265" t="str">
        <f>HYPERLINK("http://tuberculist.epfl.ch/quicksearch.php?gene+name=Rv2207&amp;submit=Search")</f>
        <v>http://tuberculist.epfl.ch/quicksearch.php?gene+name=Rv2207&amp;submit=Search</v>
      </c>
    </row>
    <row r="2266" spans="1:11">
      <c r="A2266" t="s">
        <v>3507</v>
      </c>
      <c r="B2266" t="s">
        <v>512</v>
      </c>
      <c r="C2266" t="s">
        <v>9567</v>
      </c>
      <c r="D2266" t="s">
        <v>10176</v>
      </c>
      <c r="E2266" t="s">
        <v>14741</v>
      </c>
      <c r="F2266" t="s">
        <v>14742</v>
      </c>
      <c r="G2266" t="s">
        <v>19195</v>
      </c>
      <c r="I2266" t="s">
        <v>18780</v>
      </c>
      <c r="K2266" t="str">
        <f>HYPERLINK("http://tuberculist.epfl.ch/quicksearch.php?gene+name=Rv2208&amp;submit=Search")</f>
        <v>http://tuberculist.epfl.ch/quicksearch.php?gene+name=Rv2208&amp;submit=Search</v>
      </c>
    </row>
    <row r="2267" spans="1:11">
      <c r="A2267" t="s">
        <v>1089</v>
      </c>
      <c r="B2267" t="s">
        <v>1089</v>
      </c>
      <c r="C2267" t="s">
        <v>9567</v>
      </c>
      <c r="D2267" t="s">
        <v>9587</v>
      </c>
      <c r="E2267" t="s">
        <v>9668</v>
      </c>
      <c r="F2267" t="s">
        <v>14743</v>
      </c>
      <c r="G2267" t="s">
        <v>19188</v>
      </c>
      <c r="H2267" t="s">
        <v>19211</v>
      </c>
      <c r="I2267" t="s">
        <v>18789</v>
      </c>
      <c r="K2267" t="str">
        <f>HYPERLINK("http://tuberculist.epfl.ch/quicksearch.php?gene+name=Rv2209&amp;submit=Search")</f>
        <v>http://tuberculist.epfl.ch/quicksearch.php?gene+name=Rv2209&amp;submit=Search</v>
      </c>
    </row>
    <row r="2268" spans="1:11">
      <c r="A2268" t="s">
        <v>7498</v>
      </c>
      <c r="B2268" t="s">
        <v>2506</v>
      </c>
      <c r="C2268" t="s">
        <v>9567</v>
      </c>
      <c r="D2268" t="s">
        <v>14744</v>
      </c>
      <c r="E2268" t="s">
        <v>14745</v>
      </c>
      <c r="F2268" t="s">
        <v>14746</v>
      </c>
      <c r="G2268" t="s">
        <v>19195</v>
      </c>
      <c r="H2268" t="s">
        <v>19840</v>
      </c>
      <c r="I2268" t="s">
        <v>18774</v>
      </c>
      <c r="K2268" t="str">
        <f>HYPERLINK("http://tuberculist.epfl.ch/quicksearch.php?gene+name=Rv2210c&amp;submit=Search")</f>
        <v>http://tuberculist.epfl.ch/quicksearch.php?gene+name=Rv2210c&amp;submit=Search</v>
      </c>
    </row>
    <row r="2269" spans="1:11">
      <c r="A2269" t="s">
        <v>8704</v>
      </c>
      <c r="B2269" t="s">
        <v>3092</v>
      </c>
      <c r="C2269" t="s">
        <v>9567</v>
      </c>
      <c r="D2269" t="s">
        <v>14747</v>
      </c>
      <c r="E2269" t="s">
        <v>14748</v>
      </c>
      <c r="F2269" t="s">
        <v>14749</v>
      </c>
      <c r="G2269" t="s">
        <v>19195</v>
      </c>
      <c r="H2269" t="s">
        <v>19229</v>
      </c>
      <c r="I2269" t="s">
        <v>18885</v>
      </c>
      <c r="K2269" t="str">
        <f>HYPERLINK("http://tuberculist.epfl.ch/quicksearch.php?gene+name=Rv2211c&amp;submit=Search")</f>
        <v>http://tuberculist.epfl.ch/quicksearch.php?gene+name=Rv2211c&amp;submit=Search</v>
      </c>
    </row>
    <row r="2270" spans="1:11">
      <c r="A2270" t="s">
        <v>2745</v>
      </c>
      <c r="B2270" t="s">
        <v>2745</v>
      </c>
      <c r="C2270" t="s">
        <v>9567</v>
      </c>
      <c r="D2270" t="s">
        <v>9546</v>
      </c>
      <c r="E2270" t="s">
        <v>12554</v>
      </c>
      <c r="F2270" t="s">
        <v>14750</v>
      </c>
      <c r="G2270" t="s">
        <v>19195</v>
      </c>
      <c r="H2270" t="s">
        <v>19841</v>
      </c>
      <c r="I2270" t="s">
        <v>18780</v>
      </c>
      <c r="K2270" t="str">
        <f>HYPERLINK("http://tuberculist.epfl.ch/quicksearch.php?gene+name=Rv2212&amp;submit=Search")</f>
        <v>http://tuberculist.epfl.ch/quicksearch.php?gene+name=Rv2212&amp;submit=Search</v>
      </c>
    </row>
    <row r="2271" spans="1:11">
      <c r="A2271" t="s">
        <v>7907</v>
      </c>
      <c r="B2271" t="s">
        <v>2717</v>
      </c>
      <c r="C2271" t="s">
        <v>9567</v>
      </c>
      <c r="D2271" t="s">
        <v>14539</v>
      </c>
      <c r="E2271" t="s">
        <v>14751</v>
      </c>
      <c r="F2271" t="s">
        <v>14752</v>
      </c>
      <c r="G2271" t="s">
        <v>19195</v>
      </c>
      <c r="H2271" t="s">
        <v>19842</v>
      </c>
      <c r="I2271" t="s">
        <v>18779</v>
      </c>
      <c r="J2271" t="s">
        <v>18775</v>
      </c>
      <c r="K2271" t="str">
        <f>HYPERLINK("http://tuberculist.epfl.ch/quicksearch.php?gene+name=Rv2213&amp;submit=Search")</f>
        <v>http://tuberculist.epfl.ch/quicksearch.php?gene+name=Rv2213&amp;submit=Search</v>
      </c>
    </row>
    <row r="2272" spans="1:11">
      <c r="A2272" t="s">
        <v>9385</v>
      </c>
      <c r="B2272" t="s">
        <v>3410</v>
      </c>
      <c r="C2272" t="s">
        <v>9567</v>
      </c>
      <c r="D2272" t="s">
        <v>14753</v>
      </c>
      <c r="E2272" t="s">
        <v>14754</v>
      </c>
      <c r="F2272" t="s">
        <v>14755</v>
      </c>
      <c r="G2272" t="s">
        <v>19206</v>
      </c>
      <c r="H2272" t="s">
        <v>19843</v>
      </c>
      <c r="I2272" t="s">
        <v>18829</v>
      </c>
      <c r="K2272" t="str">
        <f>HYPERLINK("http://tuberculist.epfl.ch/quicksearch.php?gene+name=Rv2214c&amp;submit=Search")</f>
        <v>http://tuberculist.epfl.ch/quicksearch.php?gene+name=Rv2214c&amp;submit=Search</v>
      </c>
    </row>
    <row r="2273" spans="1:11">
      <c r="A2273" t="s">
        <v>3840</v>
      </c>
      <c r="B2273" t="s">
        <v>678</v>
      </c>
      <c r="C2273" t="s">
        <v>9567</v>
      </c>
      <c r="D2273" t="s">
        <v>14756</v>
      </c>
      <c r="E2273" t="s">
        <v>14757</v>
      </c>
      <c r="F2273" t="s">
        <v>14758</v>
      </c>
      <c r="G2273" t="s">
        <v>19195</v>
      </c>
      <c r="H2273" t="s">
        <v>19844</v>
      </c>
      <c r="I2273" t="s">
        <v>19042</v>
      </c>
      <c r="K2273" t="str">
        <f>HYPERLINK("http://tuberculist.epfl.ch/quicksearch.php?gene+name=Rv2215&amp;submit=Search")</f>
        <v>http://tuberculist.epfl.ch/quicksearch.php?gene+name=Rv2215&amp;submit=Search</v>
      </c>
    </row>
    <row r="2274" spans="1:11">
      <c r="A2274" t="s">
        <v>1280</v>
      </c>
      <c r="B2274" t="s">
        <v>1280</v>
      </c>
      <c r="C2274" t="s">
        <v>9567</v>
      </c>
      <c r="D2274" t="s">
        <v>9587</v>
      </c>
      <c r="E2274" t="s">
        <v>9665</v>
      </c>
      <c r="F2274" t="s">
        <v>14759</v>
      </c>
      <c r="G2274" t="s">
        <v>19204</v>
      </c>
      <c r="H2274" t="s">
        <v>19845</v>
      </c>
      <c r="I2274" t="s">
        <v>18779</v>
      </c>
      <c r="K2274" t="str">
        <f>HYPERLINK("http://tuberculist.epfl.ch/quicksearch.php?gene+name=Rv2216&amp;submit=Search")</f>
        <v>http://tuberculist.epfl.ch/quicksearch.php?gene+name=Rv2216&amp;submit=Search</v>
      </c>
    </row>
    <row r="2275" spans="1:11">
      <c r="A2275" t="s">
        <v>4259</v>
      </c>
      <c r="B2275" t="s">
        <v>888</v>
      </c>
      <c r="C2275" t="s">
        <v>9567</v>
      </c>
      <c r="D2275" t="s">
        <v>14760</v>
      </c>
      <c r="E2275" t="s">
        <v>14761</v>
      </c>
      <c r="F2275" t="s">
        <v>14762</v>
      </c>
      <c r="G2275" t="s">
        <v>19195</v>
      </c>
      <c r="H2275" t="s">
        <v>19250</v>
      </c>
      <c r="I2275" t="s">
        <v>18774</v>
      </c>
      <c r="K2275" t="str">
        <f>HYPERLINK("http://tuberculist.epfl.ch/quicksearch.php?gene+name=Rv2217&amp;submit=Search")</f>
        <v>http://tuberculist.epfl.ch/quicksearch.php?gene+name=Rv2217&amp;submit=Search</v>
      </c>
    </row>
    <row r="2276" spans="1:11">
      <c r="A2276" t="s">
        <v>4244</v>
      </c>
      <c r="B2276" t="s">
        <v>881</v>
      </c>
      <c r="C2276" t="s">
        <v>9567</v>
      </c>
      <c r="D2276" t="s">
        <v>14760</v>
      </c>
      <c r="E2276" t="s">
        <v>14763</v>
      </c>
      <c r="F2276" t="s">
        <v>14764</v>
      </c>
      <c r="G2276" t="s">
        <v>19195</v>
      </c>
      <c r="I2276" t="s">
        <v>18774</v>
      </c>
      <c r="K2276" t="str">
        <f>HYPERLINK("http://tuberculist.epfl.ch/quicksearch.php?gene+name=Rv2218&amp;submit=Search")</f>
        <v>http://tuberculist.epfl.ch/quicksearch.php?gene+name=Rv2218&amp;submit=Search</v>
      </c>
    </row>
    <row r="2277" spans="1:11">
      <c r="A2277" t="s">
        <v>685</v>
      </c>
      <c r="B2277" t="s">
        <v>685</v>
      </c>
      <c r="C2277" t="s">
        <v>9567</v>
      </c>
      <c r="D2277" t="s">
        <v>9587</v>
      </c>
      <c r="E2277" t="s">
        <v>9597</v>
      </c>
      <c r="F2277" t="s">
        <v>14765</v>
      </c>
      <c r="G2277" t="s">
        <v>19188</v>
      </c>
      <c r="H2277" t="s">
        <v>19763</v>
      </c>
      <c r="I2277" t="s">
        <v>18774</v>
      </c>
      <c r="K2277" t="str">
        <f>HYPERLINK("http://tuberculist.epfl.ch/quicksearch.php?gene+name=Rv2219&amp;submit=Search")</f>
        <v>http://tuberculist.epfl.ch/quicksearch.php?gene+name=Rv2219&amp;submit=Search</v>
      </c>
    </row>
    <row r="2278" spans="1:11">
      <c r="A2278" t="s">
        <v>14766</v>
      </c>
      <c r="B2278" t="s">
        <v>14766</v>
      </c>
      <c r="C2278" t="s">
        <v>9567</v>
      </c>
      <c r="D2278" t="s">
        <v>9587</v>
      </c>
      <c r="E2278" t="s">
        <v>9595</v>
      </c>
      <c r="F2278" t="s">
        <v>14767</v>
      </c>
      <c r="G2278" t="s">
        <v>19188</v>
      </c>
      <c r="H2278" t="s">
        <v>19233</v>
      </c>
      <c r="I2278" t="s">
        <v>18793</v>
      </c>
      <c r="K2278" t="str">
        <f>HYPERLINK("http://tuberculist.epfl.ch/quicksearch.php?gene+name=Rv2219A&amp;submit=Search")</f>
        <v>http://tuberculist.epfl.ch/quicksearch.php?gene+name=Rv2219A&amp;submit=Search</v>
      </c>
    </row>
    <row r="2279" spans="1:11">
      <c r="A2279" t="s">
        <v>5396</v>
      </c>
      <c r="B2279" t="s">
        <v>1460</v>
      </c>
      <c r="C2279" t="s">
        <v>9567</v>
      </c>
      <c r="D2279" t="s">
        <v>13989</v>
      </c>
      <c r="E2279" t="s">
        <v>14768</v>
      </c>
      <c r="F2279" t="s">
        <v>14769</v>
      </c>
      <c r="G2279" t="s">
        <v>19195</v>
      </c>
      <c r="H2279" t="s">
        <v>19846</v>
      </c>
      <c r="I2279" t="s">
        <v>18774</v>
      </c>
      <c r="K2279" t="str">
        <f>HYPERLINK("http://tuberculist.epfl.ch/quicksearch.php?gene+name=Rv2220&amp;submit=Search")</f>
        <v>http://tuberculist.epfl.ch/quicksearch.php?gene+name=Rv2220&amp;submit=Search</v>
      </c>
    </row>
    <row r="2280" spans="1:11">
      <c r="A2280" t="s">
        <v>7586</v>
      </c>
      <c r="B2280" t="s">
        <v>2545</v>
      </c>
      <c r="C2280" t="s">
        <v>9567</v>
      </c>
      <c r="D2280" t="s">
        <v>14770</v>
      </c>
      <c r="E2280" t="s">
        <v>14771</v>
      </c>
      <c r="F2280" t="s">
        <v>14772</v>
      </c>
      <c r="G2280" t="s">
        <v>19195</v>
      </c>
      <c r="H2280" t="s">
        <v>19196</v>
      </c>
      <c r="I2280" t="s">
        <v>18774</v>
      </c>
      <c r="K2280" t="str">
        <f>HYPERLINK("http://tuberculist.epfl.ch/quicksearch.php?gene+name=Rv2221c&amp;submit=Search")</f>
        <v>http://tuberculist.epfl.ch/quicksearch.php?gene+name=Rv2221c&amp;submit=Search</v>
      </c>
    </row>
    <row r="2281" spans="1:11">
      <c r="A2281" t="s">
        <v>9279</v>
      </c>
      <c r="B2281" t="s">
        <v>3365</v>
      </c>
      <c r="C2281" t="s">
        <v>9567</v>
      </c>
      <c r="D2281" t="s">
        <v>13989</v>
      </c>
      <c r="E2281" t="s">
        <v>14773</v>
      </c>
      <c r="F2281" t="s">
        <v>14774</v>
      </c>
      <c r="G2281" t="s">
        <v>19195</v>
      </c>
      <c r="H2281" t="s">
        <v>19847</v>
      </c>
      <c r="I2281" t="s">
        <v>18818</v>
      </c>
      <c r="K2281" t="str">
        <f>HYPERLINK("http://tuberculist.epfl.ch/quicksearch.php?gene+name=Rv2222c&amp;submit=Search")</f>
        <v>http://tuberculist.epfl.ch/quicksearch.php?gene+name=Rv2222c&amp;submit=Search</v>
      </c>
    </row>
    <row r="2282" spans="1:11">
      <c r="A2282" t="s">
        <v>2191</v>
      </c>
      <c r="B2282" t="s">
        <v>2191</v>
      </c>
      <c r="C2282" t="s">
        <v>9567</v>
      </c>
      <c r="D2282" t="s">
        <v>14775</v>
      </c>
      <c r="E2282" t="s">
        <v>14776</v>
      </c>
      <c r="F2282" t="s">
        <v>14777</v>
      </c>
      <c r="G2282" t="s">
        <v>19188</v>
      </c>
      <c r="H2282" t="s">
        <v>19848</v>
      </c>
      <c r="I2282" t="s">
        <v>18789</v>
      </c>
      <c r="K2282" t="str">
        <f>HYPERLINK("http://tuberculist.epfl.ch/quicksearch.php?gene+name=Rv2223c&amp;submit=Search")</f>
        <v>http://tuberculist.epfl.ch/quicksearch.php?gene+name=Rv2223c&amp;submit=Search</v>
      </c>
    </row>
    <row r="2283" spans="1:11">
      <c r="A2283" t="s">
        <v>14778</v>
      </c>
      <c r="B2283" t="s">
        <v>1818</v>
      </c>
      <c r="C2283" t="s">
        <v>9567</v>
      </c>
      <c r="D2283" t="s">
        <v>14386</v>
      </c>
      <c r="E2283" t="s">
        <v>14779</v>
      </c>
      <c r="F2283" t="s">
        <v>14780</v>
      </c>
      <c r="G2283" t="s">
        <v>19188</v>
      </c>
      <c r="H2283" t="s">
        <v>19849</v>
      </c>
      <c r="I2283" t="s">
        <v>19043</v>
      </c>
      <c r="K2283" t="str">
        <f>HYPERLINK("http://tuberculist.epfl.ch/quicksearch.php?gene+name=Rv2224c&amp;submit=Search")</f>
        <v>http://tuberculist.epfl.ch/quicksearch.php?gene+name=Rv2224c&amp;submit=Search</v>
      </c>
    </row>
    <row r="2284" spans="1:11">
      <c r="A2284" t="s">
        <v>5063</v>
      </c>
      <c r="B2284" t="s">
        <v>1285</v>
      </c>
      <c r="C2284" t="s">
        <v>9567</v>
      </c>
      <c r="D2284" t="s">
        <v>14781</v>
      </c>
      <c r="E2284" t="s">
        <v>14782</v>
      </c>
      <c r="F2284" t="s">
        <v>14783</v>
      </c>
      <c r="G2284" t="s">
        <v>19195</v>
      </c>
      <c r="H2284" t="s">
        <v>19561</v>
      </c>
      <c r="I2284" t="s">
        <v>18774</v>
      </c>
      <c r="K2284" t="str">
        <f>HYPERLINK("http://tuberculist.epfl.ch/quicksearch.php?gene+name=Rv2225&amp;submit=Search")</f>
        <v>http://tuberculist.epfl.ch/quicksearch.php?gene+name=Rv2225&amp;submit=Search</v>
      </c>
    </row>
    <row r="2285" spans="1:11">
      <c r="A2285" t="s">
        <v>628</v>
      </c>
      <c r="B2285" t="s">
        <v>628</v>
      </c>
      <c r="C2285" t="s">
        <v>9567</v>
      </c>
      <c r="D2285" t="s">
        <v>9587</v>
      </c>
      <c r="E2285" t="s">
        <v>9665</v>
      </c>
      <c r="F2285" t="s">
        <v>14784</v>
      </c>
      <c r="G2285" t="s">
        <v>19210</v>
      </c>
      <c r="H2285" t="s">
        <v>19685</v>
      </c>
      <c r="I2285" t="s">
        <v>18780</v>
      </c>
      <c r="K2285" t="str">
        <f>HYPERLINK("http://tuberculist.epfl.ch/quicksearch.php?gene+name=Rv2226&amp;submit=Search")</f>
        <v>http://tuberculist.epfl.ch/quicksearch.php?gene+name=Rv2226&amp;submit=Search</v>
      </c>
    </row>
    <row r="2286" spans="1:11">
      <c r="A2286" t="s">
        <v>2039</v>
      </c>
      <c r="B2286" t="s">
        <v>2039</v>
      </c>
      <c r="C2286" t="s">
        <v>9567</v>
      </c>
      <c r="D2286" t="s">
        <v>9587</v>
      </c>
      <c r="E2286" t="s">
        <v>9579</v>
      </c>
      <c r="F2286" t="s">
        <v>14785</v>
      </c>
      <c r="G2286" t="s">
        <v>19185</v>
      </c>
      <c r="I2286" t="s">
        <v>18793</v>
      </c>
      <c r="K2286" t="str">
        <f>HYPERLINK("http://tuberculist.epfl.ch/quicksearch.php?gene+name=Rv2227&amp;submit=Search")</f>
        <v>http://tuberculist.epfl.ch/quicksearch.php?gene+name=Rv2227&amp;submit=Search</v>
      </c>
    </row>
    <row r="2287" spans="1:11">
      <c r="A2287" t="s">
        <v>1544</v>
      </c>
      <c r="B2287" t="s">
        <v>1544</v>
      </c>
      <c r="C2287" t="s">
        <v>9567</v>
      </c>
      <c r="D2287" t="s">
        <v>9587</v>
      </c>
      <c r="E2287" t="s">
        <v>14786</v>
      </c>
      <c r="F2287" t="s">
        <v>14787</v>
      </c>
      <c r="G2287" t="s">
        <v>19181</v>
      </c>
      <c r="H2287" t="s">
        <v>19233</v>
      </c>
      <c r="I2287" t="s">
        <v>18845</v>
      </c>
      <c r="K2287" t="str">
        <f>HYPERLINK("http://tuberculist.epfl.ch/quicksearch.php?gene+name=Rv2228c&amp;submit=Search")</f>
        <v>http://tuberculist.epfl.ch/quicksearch.php?gene+name=Rv2228c&amp;submit=Search</v>
      </c>
    </row>
    <row r="2288" spans="1:11">
      <c r="A2288" t="s">
        <v>3054</v>
      </c>
      <c r="B2288" t="s">
        <v>3054</v>
      </c>
      <c r="C2288" t="s">
        <v>9567</v>
      </c>
      <c r="D2288" t="s">
        <v>9587</v>
      </c>
      <c r="E2288" t="s">
        <v>9665</v>
      </c>
      <c r="F2288" t="s">
        <v>14788</v>
      </c>
      <c r="G2288" t="s">
        <v>19204</v>
      </c>
      <c r="H2288" t="s">
        <v>19374</v>
      </c>
      <c r="I2288" t="s">
        <v>18800</v>
      </c>
      <c r="K2288" t="str">
        <f>HYPERLINK("http://tuberculist.epfl.ch/quicksearch.php?gene+name=Rv2229c&amp;submit=Search")</f>
        <v>http://tuberculist.epfl.ch/quicksearch.php?gene+name=Rv2229c&amp;submit=Search</v>
      </c>
    </row>
    <row r="2289" spans="1:11">
      <c r="A2289" t="s">
        <v>1786</v>
      </c>
      <c r="B2289" t="s">
        <v>1786</v>
      </c>
      <c r="C2289" t="s">
        <v>9567</v>
      </c>
      <c r="D2289" t="s">
        <v>9587</v>
      </c>
      <c r="E2289" t="s">
        <v>9665</v>
      </c>
      <c r="F2289" t="s">
        <v>14789</v>
      </c>
      <c r="G2289" t="s">
        <v>19185</v>
      </c>
      <c r="H2289" t="s">
        <v>19287</v>
      </c>
      <c r="I2289" t="s">
        <v>18777</v>
      </c>
      <c r="K2289" t="str">
        <f>HYPERLINK("http://tuberculist.epfl.ch/quicksearch.php?gene+name=Rv2230c&amp;submit=Search")</f>
        <v>http://tuberculist.epfl.ch/quicksearch.php?gene+name=Rv2230c&amp;submit=Search</v>
      </c>
    </row>
    <row r="2290" spans="1:11">
      <c r="A2290" t="s">
        <v>14790</v>
      </c>
      <c r="B2290" t="s">
        <v>14791</v>
      </c>
      <c r="C2290" t="s">
        <v>9567</v>
      </c>
      <c r="D2290" t="s">
        <v>9587</v>
      </c>
      <c r="E2290" t="s">
        <v>14792</v>
      </c>
      <c r="F2290" t="s">
        <v>14793</v>
      </c>
      <c r="G2290" t="s">
        <v>19206</v>
      </c>
      <c r="I2290" t="s">
        <v>18773</v>
      </c>
      <c r="K2290" t="str">
        <f>HYPERLINK("http://tuberculist.epfl.ch/quicksearch.php?gene+name=Rv2231A&amp;submit=Search")</f>
        <v>http://tuberculist.epfl.ch/quicksearch.php?gene+name=Rv2231A&amp;submit=Search</v>
      </c>
    </row>
    <row r="2291" spans="1:11">
      <c r="A2291" t="s">
        <v>14794</v>
      </c>
      <c r="B2291" t="s">
        <v>14795</v>
      </c>
      <c r="C2291" t="s">
        <v>9567</v>
      </c>
      <c r="D2291" t="s">
        <v>9587</v>
      </c>
      <c r="E2291" t="s">
        <v>14796</v>
      </c>
      <c r="F2291" t="s">
        <v>14797</v>
      </c>
      <c r="G2291" t="s">
        <v>19206</v>
      </c>
      <c r="I2291" t="s">
        <v>18773</v>
      </c>
      <c r="K2291" t="str">
        <f>HYPERLINK("http://tuberculist.epfl.ch/quicksearch.php?gene+name=Rv2231B&amp;submit=Search")</f>
        <v>http://tuberculist.epfl.ch/quicksearch.php?gene+name=Rv2231B&amp;submit=Search</v>
      </c>
    </row>
    <row r="2292" spans="1:11">
      <c r="A2292" t="s">
        <v>7888</v>
      </c>
      <c r="B2292" t="s">
        <v>2706</v>
      </c>
      <c r="C2292" t="s">
        <v>9567</v>
      </c>
      <c r="D2292" t="s">
        <v>10176</v>
      </c>
      <c r="E2292" t="s">
        <v>14798</v>
      </c>
      <c r="F2292" t="s">
        <v>14799</v>
      </c>
      <c r="G2292" t="s">
        <v>19195</v>
      </c>
      <c r="I2292" t="s">
        <v>18930</v>
      </c>
      <c r="K2292" t="str">
        <f>HYPERLINK("http://tuberculist.epfl.ch/quicksearch.php?gene+name=Rv2231c&amp;submit=Search")</f>
        <v>http://tuberculist.epfl.ch/quicksearch.php?gene+name=Rv2231c&amp;submit=Search</v>
      </c>
    </row>
    <row r="2293" spans="1:11">
      <c r="A2293" t="s">
        <v>14800</v>
      </c>
      <c r="B2293" t="s">
        <v>2358</v>
      </c>
      <c r="C2293" t="s">
        <v>9567</v>
      </c>
      <c r="D2293" t="s">
        <v>14801</v>
      </c>
      <c r="E2293" t="s">
        <v>14802</v>
      </c>
      <c r="F2293" t="s">
        <v>14803</v>
      </c>
      <c r="G2293" t="s">
        <v>19197</v>
      </c>
      <c r="I2293" t="s">
        <v>18780</v>
      </c>
      <c r="K2293" t="str">
        <f>HYPERLINK("http://tuberculist.epfl.ch/quicksearch.php?gene+name=Rv2232&amp;submit=Search")</f>
        <v>http://tuberculist.epfl.ch/quicksearch.php?gene+name=Rv2232&amp;submit=Search</v>
      </c>
    </row>
    <row r="2294" spans="1:11">
      <c r="A2294" t="s">
        <v>14804</v>
      </c>
      <c r="B2294" t="s">
        <v>14805</v>
      </c>
      <c r="C2294" t="s">
        <v>9567</v>
      </c>
      <c r="D2294" t="s">
        <v>14806</v>
      </c>
      <c r="E2294" t="s">
        <v>14807</v>
      </c>
      <c r="F2294" t="s">
        <v>14808</v>
      </c>
      <c r="G2294" t="s">
        <v>19197</v>
      </c>
      <c r="H2294" t="s">
        <v>19379</v>
      </c>
      <c r="I2294" t="s">
        <v>19044</v>
      </c>
      <c r="K2294" t="str">
        <f>HYPERLINK("http://tuberculist.epfl.ch/quicksearch.php?gene+name=Rv2234&amp;submit=Search")</f>
        <v>http://tuberculist.epfl.ch/quicksearch.php?gene+name=Rv2234&amp;submit=Search</v>
      </c>
    </row>
    <row r="2295" spans="1:11">
      <c r="A2295" t="s">
        <v>2171</v>
      </c>
      <c r="B2295" t="s">
        <v>2171</v>
      </c>
      <c r="C2295" t="s">
        <v>9567</v>
      </c>
      <c r="D2295" t="s">
        <v>10406</v>
      </c>
      <c r="E2295" t="s">
        <v>9597</v>
      </c>
      <c r="F2295" t="s">
        <v>14809</v>
      </c>
      <c r="G2295" t="s">
        <v>19188</v>
      </c>
      <c r="H2295" t="s">
        <v>19361</v>
      </c>
      <c r="I2295" t="s">
        <v>18774</v>
      </c>
      <c r="K2295" t="str">
        <f>HYPERLINK("http://tuberculist.epfl.ch/quicksearch.php?gene+name=Rv2235&amp;submit=Search")</f>
        <v>http://tuberculist.epfl.ch/quicksearch.php?gene+name=Rv2235&amp;submit=Search</v>
      </c>
    </row>
    <row r="2296" spans="1:11">
      <c r="A2296" t="s">
        <v>7749</v>
      </c>
      <c r="B2296" t="s">
        <v>2628</v>
      </c>
      <c r="C2296" t="s">
        <v>9567</v>
      </c>
      <c r="D2296" t="s">
        <v>14810</v>
      </c>
      <c r="E2296" t="s">
        <v>14811</v>
      </c>
      <c r="F2296" t="s">
        <v>14812</v>
      </c>
      <c r="G2296" t="s">
        <v>19195</v>
      </c>
      <c r="H2296" t="s">
        <v>19539</v>
      </c>
      <c r="I2296" t="s">
        <v>18773</v>
      </c>
      <c r="K2296" t="str">
        <f>HYPERLINK("http://tuberculist.epfl.ch/quicksearch.php?gene+name=Rv2236c&amp;submit=Search")</f>
        <v>http://tuberculist.epfl.ch/quicksearch.php?gene+name=Rv2236c&amp;submit=Search</v>
      </c>
    </row>
    <row r="2297" spans="1:11">
      <c r="A2297" t="s">
        <v>1220</v>
      </c>
      <c r="B2297" t="s">
        <v>1220</v>
      </c>
      <c r="C2297" t="s">
        <v>9567</v>
      </c>
      <c r="D2297" t="s">
        <v>9587</v>
      </c>
      <c r="E2297" t="s">
        <v>9665</v>
      </c>
      <c r="F2297" t="s">
        <v>14813</v>
      </c>
      <c r="G2297" t="s">
        <v>19210</v>
      </c>
      <c r="H2297" t="s">
        <v>19246</v>
      </c>
      <c r="I2297" t="s">
        <v>18780</v>
      </c>
      <c r="K2297" t="str">
        <f>HYPERLINK("http://tuberculist.epfl.ch/quicksearch.php?gene+name=Rv2237&amp;submit=Search")</f>
        <v>http://tuberculist.epfl.ch/quicksearch.php?gene+name=Rv2237&amp;submit=Search</v>
      </c>
    </row>
    <row r="2298" spans="1:11">
      <c r="A2298" t="s">
        <v>14814</v>
      </c>
      <c r="B2298" t="s">
        <v>14814</v>
      </c>
      <c r="C2298" t="s">
        <v>9567</v>
      </c>
      <c r="D2298" t="s">
        <v>9587</v>
      </c>
      <c r="E2298" t="s">
        <v>9665</v>
      </c>
      <c r="F2298" t="s">
        <v>14815</v>
      </c>
      <c r="G2298" t="s">
        <v>19212</v>
      </c>
      <c r="H2298" t="s">
        <v>19434</v>
      </c>
      <c r="I2298" t="s">
        <v>18773</v>
      </c>
      <c r="K2298" t="str">
        <f>HYPERLINK("http://tuberculist.epfl.ch/quicksearch.php?gene+name=Rv2237A&amp;submit=Search")</f>
        <v>http://tuberculist.epfl.ch/quicksearch.php?gene+name=Rv2237A&amp;submit=Search</v>
      </c>
    </row>
    <row r="2299" spans="1:11">
      <c r="A2299" t="s">
        <v>7455</v>
      </c>
      <c r="B2299" t="s">
        <v>2489</v>
      </c>
      <c r="C2299" t="s">
        <v>9567</v>
      </c>
      <c r="D2299" t="s">
        <v>14816</v>
      </c>
      <c r="E2299" t="s">
        <v>14817</v>
      </c>
      <c r="F2299" t="s">
        <v>14818</v>
      </c>
      <c r="G2299" t="s">
        <v>19206</v>
      </c>
      <c r="H2299" t="s">
        <v>19552</v>
      </c>
      <c r="I2299" t="s">
        <v>18793</v>
      </c>
      <c r="K2299" t="str">
        <f>HYPERLINK("http://tuberculist.epfl.ch/quicksearch.php?gene+name=Rv2238c&amp;submit=Search")</f>
        <v>http://tuberculist.epfl.ch/quicksearch.php?gene+name=Rv2238c&amp;submit=Search</v>
      </c>
    </row>
    <row r="2300" spans="1:11">
      <c r="A2300" t="s">
        <v>2995</v>
      </c>
      <c r="B2300" t="s">
        <v>2995</v>
      </c>
      <c r="C2300" t="s">
        <v>9567</v>
      </c>
      <c r="D2300" t="s">
        <v>9587</v>
      </c>
      <c r="E2300" t="s">
        <v>9579</v>
      </c>
      <c r="F2300" t="s">
        <v>14819</v>
      </c>
      <c r="G2300" t="s">
        <v>19210</v>
      </c>
      <c r="H2300" t="s">
        <v>19265</v>
      </c>
      <c r="I2300" t="s">
        <v>18843</v>
      </c>
      <c r="K2300" t="str">
        <f>HYPERLINK("http://tuberculist.epfl.ch/quicksearch.php?gene+name=Rv2239c&amp;submit=Search")</f>
        <v>http://tuberculist.epfl.ch/quicksearch.php?gene+name=Rv2239c&amp;submit=Search</v>
      </c>
    </row>
    <row r="2301" spans="1:11">
      <c r="A2301" t="s">
        <v>2022</v>
      </c>
      <c r="B2301" t="s">
        <v>2022</v>
      </c>
      <c r="C2301" t="s">
        <v>9567</v>
      </c>
      <c r="D2301" t="s">
        <v>9587</v>
      </c>
      <c r="E2301" t="s">
        <v>9768</v>
      </c>
      <c r="F2301" t="s">
        <v>14820</v>
      </c>
      <c r="G2301" t="s">
        <v>19204</v>
      </c>
      <c r="H2301" t="s">
        <v>19850</v>
      </c>
      <c r="I2301" t="s">
        <v>18777</v>
      </c>
      <c r="K2301" t="str">
        <f>HYPERLINK("http://tuberculist.epfl.ch/quicksearch.php?gene+name=Rv2240c&amp;submit=Search")</f>
        <v>http://tuberculist.epfl.ch/quicksearch.php?gene+name=Rv2240c&amp;submit=Search</v>
      </c>
    </row>
    <row r="2302" spans="1:11">
      <c r="A2302" t="s">
        <v>4993</v>
      </c>
      <c r="B2302" t="s">
        <v>1252</v>
      </c>
      <c r="C2302" t="s">
        <v>9567</v>
      </c>
      <c r="D2302" t="s">
        <v>14821</v>
      </c>
      <c r="E2302" t="s">
        <v>14822</v>
      </c>
      <c r="F2302" t="s">
        <v>14823</v>
      </c>
      <c r="G2302" t="s">
        <v>19195</v>
      </c>
      <c r="H2302" t="s">
        <v>19851</v>
      </c>
      <c r="I2302" t="s">
        <v>19045</v>
      </c>
      <c r="K2302" t="str">
        <f>HYPERLINK("http://tuberculist.epfl.ch/quicksearch.php?gene+name=Rv2241&amp;submit=Search")</f>
        <v>http://tuberculist.epfl.ch/quicksearch.php?gene+name=Rv2241&amp;submit=Search</v>
      </c>
    </row>
    <row r="2303" spans="1:11">
      <c r="A2303" t="s">
        <v>2612</v>
      </c>
      <c r="B2303" t="s">
        <v>2612</v>
      </c>
      <c r="C2303" t="s">
        <v>9567</v>
      </c>
      <c r="D2303" t="s">
        <v>9587</v>
      </c>
      <c r="E2303" t="s">
        <v>9579</v>
      </c>
      <c r="F2303" t="s">
        <v>14824</v>
      </c>
      <c r="G2303" t="s">
        <v>19220</v>
      </c>
      <c r="I2303" t="s">
        <v>18842</v>
      </c>
      <c r="K2303" t="str">
        <f>HYPERLINK("http://tuberculist.epfl.ch/quicksearch.php?gene+name=Rv2242&amp;submit=Search")</f>
        <v>http://tuberculist.epfl.ch/quicksearch.php?gene+name=Rv2242&amp;submit=Search</v>
      </c>
    </row>
    <row r="2304" spans="1:11">
      <c r="A2304" t="s">
        <v>8131</v>
      </c>
      <c r="B2304" t="s">
        <v>2820</v>
      </c>
      <c r="C2304" t="s">
        <v>9567</v>
      </c>
      <c r="D2304" t="s">
        <v>14825</v>
      </c>
      <c r="E2304" t="s">
        <v>14826</v>
      </c>
      <c r="F2304" t="s">
        <v>14827</v>
      </c>
      <c r="G2304" t="s">
        <v>19219</v>
      </c>
      <c r="H2304" t="s">
        <v>19211</v>
      </c>
      <c r="I2304" t="s">
        <v>18773</v>
      </c>
      <c r="K2304" t="str">
        <f>HYPERLINK("http://tuberculist.epfl.ch/quicksearch.php?gene+name=Rv2243&amp;submit=Search")</f>
        <v>http://tuberculist.epfl.ch/quicksearch.php?gene+name=Rv2243&amp;submit=Search</v>
      </c>
    </row>
    <row r="2305" spans="1:11">
      <c r="A2305" t="s">
        <v>14828</v>
      </c>
      <c r="B2305" t="s">
        <v>3063</v>
      </c>
      <c r="C2305" t="s">
        <v>9567</v>
      </c>
      <c r="D2305" t="s">
        <v>14829</v>
      </c>
      <c r="E2305" t="s">
        <v>14830</v>
      </c>
      <c r="F2305" t="s">
        <v>14831</v>
      </c>
      <c r="G2305" t="s">
        <v>19219</v>
      </c>
      <c r="H2305" t="s">
        <v>19852</v>
      </c>
      <c r="I2305" t="s">
        <v>18774</v>
      </c>
      <c r="K2305" t="str">
        <f>HYPERLINK("http://tuberculist.epfl.ch/quicksearch.php?gene+name=Rv2244&amp;submit=Search")</f>
        <v>http://tuberculist.epfl.ch/quicksearch.php?gene+name=Rv2244&amp;submit=Search</v>
      </c>
    </row>
    <row r="2306" spans="1:11">
      <c r="A2306" t="s">
        <v>8833</v>
      </c>
      <c r="B2306" t="s">
        <v>3152</v>
      </c>
      <c r="C2306" t="s">
        <v>9567</v>
      </c>
      <c r="D2306" t="s">
        <v>14832</v>
      </c>
      <c r="E2306" t="s">
        <v>14833</v>
      </c>
      <c r="F2306" t="s">
        <v>14834</v>
      </c>
      <c r="G2306" t="s">
        <v>19219</v>
      </c>
      <c r="H2306" t="s">
        <v>19853</v>
      </c>
      <c r="I2306" t="s">
        <v>18774</v>
      </c>
      <c r="K2306" t="str">
        <f>HYPERLINK("http://tuberculist.epfl.ch/quicksearch.php?gene+name=Rv2245&amp;submit=Search")</f>
        <v>http://tuberculist.epfl.ch/quicksearch.php?gene+name=Rv2245&amp;submit=Search</v>
      </c>
    </row>
    <row r="2307" spans="1:11">
      <c r="A2307" t="s">
        <v>9277</v>
      </c>
      <c r="B2307" t="s">
        <v>3364</v>
      </c>
      <c r="C2307" t="s">
        <v>9567</v>
      </c>
      <c r="D2307" t="s">
        <v>14832</v>
      </c>
      <c r="E2307" t="s">
        <v>14835</v>
      </c>
      <c r="F2307" t="s">
        <v>14836</v>
      </c>
      <c r="G2307" t="s">
        <v>19219</v>
      </c>
      <c r="H2307" t="s">
        <v>19854</v>
      </c>
      <c r="I2307" t="s">
        <v>18774</v>
      </c>
      <c r="K2307" t="str">
        <f>HYPERLINK("http://tuberculist.epfl.ch/quicksearch.php?gene+name=Rv2246&amp;submit=Search")</f>
        <v>http://tuberculist.epfl.ch/quicksearch.php?gene+name=Rv2246&amp;submit=Search</v>
      </c>
    </row>
    <row r="2308" spans="1:11">
      <c r="A2308" t="s">
        <v>9163</v>
      </c>
      <c r="B2308" t="s">
        <v>3308</v>
      </c>
      <c r="C2308" t="s">
        <v>9567</v>
      </c>
      <c r="D2308" t="s">
        <v>14837</v>
      </c>
      <c r="E2308" t="s">
        <v>14838</v>
      </c>
      <c r="F2308" t="s">
        <v>14839</v>
      </c>
      <c r="G2308" t="s">
        <v>19219</v>
      </c>
      <c r="H2308" t="s">
        <v>19804</v>
      </c>
      <c r="I2308" t="s">
        <v>18774</v>
      </c>
      <c r="K2308" t="str">
        <f>HYPERLINK("http://tuberculist.epfl.ch/quicksearch.php?gene+name=Rv2247&amp;submit=Search")</f>
        <v>http://tuberculist.epfl.ch/quicksearch.php?gene+name=Rv2247&amp;submit=Search</v>
      </c>
    </row>
    <row r="2309" spans="1:11">
      <c r="A2309" t="s">
        <v>1839</v>
      </c>
      <c r="B2309" t="s">
        <v>1839</v>
      </c>
      <c r="C2309" t="s">
        <v>9567</v>
      </c>
      <c r="D2309" t="s">
        <v>9587</v>
      </c>
      <c r="E2309" t="s">
        <v>9579</v>
      </c>
      <c r="F2309" t="s">
        <v>14840</v>
      </c>
      <c r="G2309" t="s">
        <v>19220</v>
      </c>
      <c r="H2309" t="s">
        <v>19207</v>
      </c>
      <c r="I2309" t="s">
        <v>18773</v>
      </c>
      <c r="K2309" t="str">
        <f>HYPERLINK("http://tuberculist.epfl.ch/quicksearch.php?gene+name=Rv2248&amp;submit=Search")</f>
        <v>http://tuberculist.epfl.ch/quicksearch.php?gene+name=Rv2248&amp;submit=Search</v>
      </c>
    </row>
    <row r="2310" spans="1:11">
      <c r="A2310" t="s">
        <v>4412</v>
      </c>
      <c r="B2310" t="s">
        <v>975</v>
      </c>
      <c r="C2310" t="s">
        <v>9567</v>
      </c>
      <c r="D2310" t="s">
        <v>14841</v>
      </c>
      <c r="E2310" t="s">
        <v>14842</v>
      </c>
      <c r="F2310" t="s">
        <v>14843</v>
      </c>
      <c r="G2310" t="s">
        <v>19195</v>
      </c>
      <c r="H2310" t="s">
        <v>19374</v>
      </c>
      <c r="I2310" t="s">
        <v>18793</v>
      </c>
      <c r="K2310" t="str">
        <f>HYPERLINK("http://tuberculist.epfl.ch/quicksearch.php?gene+name=Rv2249c&amp;submit=Search")</f>
        <v>http://tuberculist.epfl.ch/quicksearch.php?gene+name=Rv2249c&amp;submit=Search</v>
      </c>
    </row>
    <row r="2311" spans="1:11">
      <c r="A2311" t="s">
        <v>14844</v>
      </c>
      <c r="B2311" t="s">
        <v>14844</v>
      </c>
      <c r="C2311" t="s">
        <v>9567</v>
      </c>
      <c r="D2311" t="s">
        <v>14845</v>
      </c>
      <c r="E2311" t="s">
        <v>13859</v>
      </c>
      <c r="F2311" t="s">
        <v>14846</v>
      </c>
      <c r="G2311" t="s">
        <v>19195</v>
      </c>
      <c r="I2311" t="s">
        <v>18773</v>
      </c>
      <c r="K2311" t="str">
        <f>HYPERLINK("http://tuberculist.epfl.ch/quicksearch.php?gene+name=Rv2250A&amp;submit=Search")</f>
        <v>http://tuberculist.epfl.ch/quicksearch.php?gene+name=Rv2250A&amp;submit=Search</v>
      </c>
    </row>
    <row r="2312" spans="1:11">
      <c r="A2312" t="s">
        <v>1380</v>
      </c>
      <c r="B2312" t="s">
        <v>1380</v>
      </c>
      <c r="C2312" t="s">
        <v>9567</v>
      </c>
      <c r="D2312" t="s">
        <v>14847</v>
      </c>
      <c r="E2312" t="s">
        <v>9633</v>
      </c>
      <c r="F2312" t="s">
        <v>14848</v>
      </c>
      <c r="G2312" t="s">
        <v>19197</v>
      </c>
      <c r="H2312" t="s">
        <v>19213</v>
      </c>
      <c r="I2312" t="s">
        <v>18780</v>
      </c>
      <c r="K2312" t="str">
        <f>HYPERLINK("http://tuberculist.epfl.ch/quicksearch.php?gene+name=Rv2250c&amp;submit=Search")</f>
        <v>http://tuberculist.epfl.ch/quicksearch.php?gene+name=Rv2250c&amp;submit=Search</v>
      </c>
    </row>
    <row r="2313" spans="1:11">
      <c r="A2313" t="s">
        <v>3312</v>
      </c>
      <c r="B2313" t="s">
        <v>3312</v>
      </c>
      <c r="C2313" t="s">
        <v>9567</v>
      </c>
      <c r="D2313" t="s">
        <v>14845</v>
      </c>
      <c r="E2313" t="s">
        <v>13859</v>
      </c>
      <c r="F2313" t="s">
        <v>14849</v>
      </c>
      <c r="G2313" t="s">
        <v>19195</v>
      </c>
      <c r="H2313" t="s">
        <v>19855</v>
      </c>
      <c r="I2313" t="s">
        <v>18801</v>
      </c>
      <c r="K2313" t="str">
        <f>HYPERLINK("http://tuberculist.epfl.ch/quicksearch.php?gene+name=Rv2251&amp;submit=Search")</f>
        <v>http://tuberculist.epfl.ch/quicksearch.php?gene+name=Rv2251&amp;submit=Search</v>
      </c>
    </row>
    <row r="2314" spans="1:11">
      <c r="A2314" t="s">
        <v>2796</v>
      </c>
      <c r="B2314" t="s">
        <v>2796</v>
      </c>
      <c r="C2314" t="s">
        <v>9567</v>
      </c>
      <c r="D2314" t="s">
        <v>14850</v>
      </c>
      <c r="E2314" t="s">
        <v>14851</v>
      </c>
      <c r="F2314" t="s">
        <v>14852</v>
      </c>
      <c r="G2314" t="s">
        <v>19219</v>
      </c>
      <c r="H2314" t="s">
        <v>19316</v>
      </c>
      <c r="I2314" t="s">
        <v>19046</v>
      </c>
      <c r="K2314" t="str">
        <f>HYPERLINK("http://tuberculist.epfl.ch/quicksearch.php?gene+name=Rv2252&amp;submit=Search")</f>
        <v>http://tuberculist.epfl.ch/quicksearch.php?gene+name=Rv2252&amp;submit=Search</v>
      </c>
    </row>
    <row r="2315" spans="1:11">
      <c r="A2315" t="s">
        <v>14853</v>
      </c>
      <c r="B2315" t="s">
        <v>14853</v>
      </c>
      <c r="C2315" t="s">
        <v>9567</v>
      </c>
      <c r="D2315" t="s">
        <v>9587</v>
      </c>
      <c r="E2315" t="s">
        <v>14854</v>
      </c>
      <c r="F2315" t="s">
        <v>14855</v>
      </c>
      <c r="G2315" t="s">
        <v>19188</v>
      </c>
      <c r="H2315" t="s">
        <v>19700</v>
      </c>
      <c r="I2315" t="s">
        <v>18792</v>
      </c>
      <c r="K2315" t="str">
        <f>HYPERLINK("http://tuberculist.epfl.ch/quicksearch.php?gene+name=Rv2253&amp;submit=Search")</f>
        <v>http://tuberculist.epfl.ch/quicksearch.php?gene+name=Rv2253&amp;submit=Search</v>
      </c>
    </row>
    <row r="2316" spans="1:11">
      <c r="A2316" t="s">
        <v>2665</v>
      </c>
      <c r="B2316" t="s">
        <v>2665</v>
      </c>
      <c r="C2316" t="s">
        <v>9567</v>
      </c>
      <c r="D2316" t="s">
        <v>9587</v>
      </c>
      <c r="E2316" t="s">
        <v>10806</v>
      </c>
      <c r="F2316" t="s">
        <v>14856</v>
      </c>
      <c r="G2316" t="s">
        <v>19188</v>
      </c>
      <c r="I2316" t="s">
        <v>18789</v>
      </c>
      <c r="K2316" t="str">
        <f>HYPERLINK("http://tuberculist.epfl.ch/quicksearch.php?gene+name=Rv2254c&amp;submit=Search")</f>
        <v>http://tuberculist.epfl.ch/quicksearch.php?gene+name=Rv2254c&amp;submit=Search</v>
      </c>
    </row>
    <row r="2317" spans="1:11">
      <c r="A2317" t="s">
        <v>14857</v>
      </c>
      <c r="B2317" t="s">
        <v>14857</v>
      </c>
      <c r="C2317" t="s">
        <v>9567</v>
      </c>
      <c r="D2317" t="s">
        <v>9587</v>
      </c>
      <c r="E2317" t="s">
        <v>9713</v>
      </c>
      <c r="F2317" t="s">
        <v>14858</v>
      </c>
      <c r="G2317" t="s">
        <v>19212</v>
      </c>
      <c r="I2317" t="s">
        <v>18780</v>
      </c>
      <c r="K2317" t="str">
        <f>HYPERLINK("http://tuberculist.epfl.ch/quicksearch.php?gene+name=Rv2255c&amp;submit=Search")</f>
        <v>http://tuberculist.epfl.ch/quicksearch.php?gene+name=Rv2255c&amp;submit=Search</v>
      </c>
    </row>
    <row r="2318" spans="1:11">
      <c r="A2318" t="s">
        <v>2543</v>
      </c>
      <c r="B2318" t="s">
        <v>2543</v>
      </c>
      <c r="C2318" t="s">
        <v>9567</v>
      </c>
      <c r="D2318" t="s">
        <v>9587</v>
      </c>
      <c r="E2318" t="s">
        <v>9579</v>
      </c>
      <c r="F2318" t="s">
        <v>14859</v>
      </c>
      <c r="G2318" t="s">
        <v>19210</v>
      </c>
      <c r="I2318" t="s">
        <v>18773</v>
      </c>
      <c r="K2318" t="str">
        <f>HYPERLINK("http://tuberculist.epfl.ch/quicksearch.php?gene+name=Rv2256c&amp;submit=Search")</f>
        <v>http://tuberculist.epfl.ch/quicksearch.php?gene+name=Rv2256c&amp;submit=Search</v>
      </c>
    </row>
    <row r="2319" spans="1:11">
      <c r="A2319" t="s">
        <v>931</v>
      </c>
      <c r="B2319" t="s">
        <v>931</v>
      </c>
      <c r="C2319" t="s">
        <v>9567</v>
      </c>
      <c r="D2319" t="s">
        <v>9587</v>
      </c>
      <c r="E2319" t="s">
        <v>9665</v>
      </c>
      <c r="F2319" t="s">
        <v>14860</v>
      </c>
      <c r="G2319" t="s">
        <v>19210</v>
      </c>
      <c r="H2319" t="s">
        <v>19287</v>
      </c>
      <c r="I2319" t="s">
        <v>18780</v>
      </c>
      <c r="K2319" t="str">
        <f>HYPERLINK("http://tuberculist.epfl.ch/quicksearch.php?gene+name=Rv2257c&amp;submit=Search")</f>
        <v>http://tuberculist.epfl.ch/quicksearch.php?gene+name=Rv2257c&amp;submit=Search</v>
      </c>
    </row>
    <row r="2320" spans="1:11">
      <c r="A2320" t="s">
        <v>1545</v>
      </c>
      <c r="B2320" t="s">
        <v>1545</v>
      </c>
      <c r="C2320" t="s">
        <v>9567</v>
      </c>
      <c r="D2320" t="s">
        <v>14847</v>
      </c>
      <c r="E2320" t="s">
        <v>9633</v>
      </c>
      <c r="F2320" t="s">
        <v>14861</v>
      </c>
      <c r="G2320" t="s">
        <v>19197</v>
      </c>
      <c r="H2320" t="s">
        <v>19269</v>
      </c>
      <c r="I2320" t="s">
        <v>18780</v>
      </c>
      <c r="K2320" t="str">
        <f>HYPERLINK("http://tuberculist.epfl.ch/quicksearch.php?gene+name=Rv2258c&amp;submit=Search")</f>
        <v>http://tuberculist.epfl.ch/quicksearch.php?gene+name=Rv2258c&amp;submit=Search</v>
      </c>
    </row>
    <row r="2321" spans="1:11">
      <c r="A2321" t="s">
        <v>14862</v>
      </c>
      <c r="B2321" t="s">
        <v>1660</v>
      </c>
      <c r="C2321" t="s">
        <v>9567</v>
      </c>
      <c r="D2321" t="s">
        <v>14863</v>
      </c>
      <c r="E2321" t="s">
        <v>14864</v>
      </c>
      <c r="F2321" t="s">
        <v>14865</v>
      </c>
      <c r="G2321" t="s">
        <v>19195</v>
      </c>
      <c r="H2321" t="s">
        <v>19309</v>
      </c>
      <c r="I2321" t="s">
        <v>18773</v>
      </c>
      <c r="K2321" t="str">
        <f>HYPERLINK("http://tuberculist.epfl.ch/quicksearch.php?gene+name=Rv2259&amp;submit=Search")</f>
        <v>http://tuberculist.epfl.ch/quicksearch.php?gene+name=Rv2259&amp;submit=Search</v>
      </c>
    </row>
    <row r="2322" spans="1:11">
      <c r="A2322" t="s">
        <v>538</v>
      </c>
      <c r="B2322" t="s">
        <v>538</v>
      </c>
      <c r="C2322" t="s">
        <v>9567</v>
      </c>
      <c r="D2322" t="s">
        <v>9587</v>
      </c>
      <c r="E2322" t="s">
        <v>9579</v>
      </c>
      <c r="F2322" t="s">
        <v>14866</v>
      </c>
      <c r="G2322" t="s">
        <v>19212</v>
      </c>
      <c r="I2322" t="s">
        <v>18801</v>
      </c>
      <c r="K2322" t="str">
        <f>HYPERLINK("http://tuberculist.epfl.ch/quicksearch.php?gene+name=Rv2260&amp;submit=Search")</f>
        <v>http://tuberculist.epfl.ch/quicksearch.php?gene+name=Rv2260&amp;submit=Search</v>
      </c>
    </row>
    <row r="2323" spans="1:11">
      <c r="A2323" t="s">
        <v>14867</v>
      </c>
      <c r="B2323" t="s">
        <v>14867</v>
      </c>
      <c r="C2323" t="s">
        <v>9567</v>
      </c>
      <c r="D2323" t="s">
        <v>12362</v>
      </c>
      <c r="E2323" t="s">
        <v>9579</v>
      </c>
      <c r="F2323" t="s">
        <v>14868</v>
      </c>
      <c r="G2323" t="s">
        <v>19219</v>
      </c>
      <c r="I2323" t="s">
        <v>18780</v>
      </c>
      <c r="K2323" t="str">
        <f>HYPERLINK("http://tuberculist.epfl.ch/quicksearch.php?gene+name=Rv2261c&amp;submit=Search")</f>
        <v>http://tuberculist.epfl.ch/quicksearch.php?gene+name=Rv2261c&amp;submit=Search</v>
      </c>
    </row>
    <row r="2324" spans="1:11">
      <c r="A2324" t="s">
        <v>956</v>
      </c>
      <c r="B2324" t="s">
        <v>956</v>
      </c>
      <c r="C2324" t="s">
        <v>9567</v>
      </c>
      <c r="D2324" t="s">
        <v>12362</v>
      </c>
      <c r="E2324" t="s">
        <v>9579</v>
      </c>
      <c r="F2324" t="s">
        <v>14869</v>
      </c>
      <c r="G2324" t="s">
        <v>19219</v>
      </c>
      <c r="I2324" t="s">
        <v>18860</v>
      </c>
      <c r="K2324" t="str">
        <f>HYPERLINK("http://tuberculist.epfl.ch/quicksearch.php?gene+name=Rv2262c&amp;submit=Search")</f>
        <v>http://tuberculist.epfl.ch/quicksearch.php?gene+name=Rv2262c&amp;submit=Search</v>
      </c>
    </row>
    <row r="2325" spans="1:11">
      <c r="A2325" t="s">
        <v>2666</v>
      </c>
      <c r="B2325" t="s">
        <v>2666</v>
      </c>
      <c r="C2325" t="s">
        <v>9567</v>
      </c>
      <c r="D2325" t="s">
        <v>14870</v>
      </c>
      <c r="E2325" t="s">
        <v>9683</v>
      </c>
      <c r="F2325" t="s">
        <v>14871</v>
      </c>
      <c r="G2325" t="s">
        <v>19195</v>
      </c>
      <c r="H2325" t="s">
        <v>19334</v>
      </c>
      <c r="I2325" t="s">
        <v>18797</v>
      </c>
      <c r="K2325" t="str">
        <f>HYPERLINK("http://tuberculist.epfl.ch/quicksearch.php?gene+name=Rv2263&amp;submit=Search")</f>
        <v>http://tuberculist.epfl.ch/quicksearch.php?gene+name=Rv2263&amp;submit=Search</v>
      </c>
    </row>
    <row r="2326" spans="1:11">
      <c r="A2326" t="s">
        <v>2001</v>
      </c>
      <c r="B2326" t="s">
        <v>2001</v>
      </c>
      <c r="C2326" t="s">
        <v>9567</v>
      </c>
      <c r="D2326" t="s">
        <v>9587</v>
      </c>
      <c r="E2326" t="s">
        <v>14872</v>
      </c>
      <c r="F2326" t="s">
        <v>14873</v>
      </c>
      <c r="G2326" t="s">
        <v>19210</v>
      </c>
      <c r="I2326" t="s">
        <v>18789</v>
      </c>
      <c r="K2326" t="str">
        <f>HYPERLINK("http://tuberculist.epfl.ch/quicksearch.php?gene+name=Rv2264c&amp;submit=Search")</f>
        <v>http://tuberculist.epfl.ch/quicksearch.php?gene+name=Rv2264c&amp;submit=Search</v>
      </c>
    </row>
    <row r="2327" spans="1:11">
      <c r="A2327" t="s">
        <v>14874</v>
      </c>
      <c r="B2327" t="s">
        <v>14874</v>
      </c>
      <c r="C2327" t="s">
        <v>9567</v>
      </c>
      <c r="D2327" t="s">
        <v>9587</v>
      </c>
      <c r="E2327" t="s">
        <v>11631</v>
      </c>
      <c r="F2327" t="s">
        <v>14875</v>
      </c>
      <c r="G2327" t="s">
        <v>19188</v>
      </c>
      <c r="I2327" t="s">
        <v>18780</v>
      </c>
      <c r="K2327" t="str">
        <f>HYPERLINK("http://tuberculist.epfl.ch/quicksearch.php?gene+name=Rv2265&amp;submit=Search")</f>
        <v>http://tuberculist.epfl.ch/quicksearch.php?gene+name=Rv2265&amp;submit=Search</v>
      </c>
    </row>
    <row r="2328" spans="1:11">
      <c r="A2328" t="s">
        <v>8999</v>
      </c>
      <c r="B2328" t="s">
        <v>3229</v>
      </c>
      <c r="C2328" t="s">
        <v>9567</v>
      </c>
      <c r="D2328" t="s">
        <v>9908</v>
      </c>
      <c r="E2328" t="s">
        <v>14876</v>
      </c>
      <c r="F2328" t="s">
        <v>14877</v>
      </c>
      <c r="G2328" t="s">
        <v>19195</v>
      </c>
      <c r="H2328" t="s">
        <v>19213</v>
      </c>
      <c r="I2328" t="s">
        <v>18780</v>
      </c>
      <c r="K2328" t="str">
        <f>HYPERLINK("http://tuberculist.epfl.ch/quicksearch.php?gene+name=Rv2266&amp;submit=Search")</f>
        <v>http://tuberculist.epfl.ch/quicksearch.php?gene+name=Rv2266&amp;submit=Search</v>
      </c>
    </row>
    <row r="2329" spans="1:11">
      <c r="A2329" t="s">
        <v>3296</v>
      </c>
      <c r="B2329" t="s">
        <v>3296</v>
      </c>
      <c r="C2329" t="s">
        <v>9567</v>
      </c>
      <c r="D2329" t="s">
        <v>9587</v>
      </c>
      <c r="E2329" t="s">
        <v>9579</v>
      </c>
      <c r="F2329" t="s">
        <v>14878</v>
      </c>
      <c r="G2329" t="s">
        <v>19204</v>
      </c>
      <c r="I2329" t="s">
        <v>18777</v>
      </c>
      <c r="K2329" t="str">
        <f>HYPERLINK("http://tuberculist.epfl.ch/quicksearch.php?gene+name=Rv2267c&amp;submit=Search")</f>
        <v>http://tuberculist.epfl.ch/quicksearch.php?gene+name=Rv2267c&amp;submit=Search</v>
      </c>
    </row>
    <row r="2330" spans="1:11">
      <c r="A2330" t="s">
        <v>7437</v>
      </c>
      <c r="B2330" t="s">
        <v>2481</v>
      </c>
      <c r="C2330" t="s">
        <v>9567</v>
      </c>
      <c r="D2330" t="s">
        <v>9908</v>
      </c>
      <c r="E2330" t="s">
        <v>14879</v>
      </c>
      <c r="F2330" t="s">
        <v>14880</v>
      </c>
      <c r="G2330" t="s">
        <v>19195</v>
      </c>
      <c r="I2330" t="s">
        <v>18800</v>
      </c>
      <c r="K2330" t="str">
        <f>HYPERLINK("http://tuberculist.epfl.ch/quicksearch.php?gene+name=Rv2268c&amp;submit=Search")</f>
        <v>http://tuberculist.epfl.ch/quicksearch.php?gene+name=Rv2268c&amp;submit=Search</v>
      </c>
    </row>
    <row r="2331" spans="1:11">
      <c r="A2331" t="s">
        <v>1946</v>
      </c>
      <c r="B2331" t="s">
        <v>1946</v>
      </c>
      <c r="C2331" t="s">
        <v>9567</v>
      </c>
      <c r="D2331" t="s">
        <v>9587</v>
      </c>
      <c r="E2331" t="s">
        <v>9713</v>
      </c>
      <c r="F2331" t="s">
        <v>14881</v>
      </c>
      <c r="G2331" t="s">
        <v>19204</v>
      </c>
      <c r="I2331" t="s">
        <v>18789</v>
      </c>
      <c r="K2331" t="str">
        <f>HYPERLINK("http://tuberculist.epfl.ch/quicksearch.php?gene+name=Rv2269c&amp;submit=Search")</f>
        <v>http://tuberculist.epfl.ch/quicksearch.php?gene+name=Rv2269c&amp;submit=Search</v>
      </c>
    </row>
    <row r="2332" spans="1:11">
      <c r="A2332" t="s">
        <v>14882</v>
      </c>
      <c r="B2332" t="s">
        <v>14883</v>
      </c>
      <c r="C2332" t="s">
        <v>9567</v>
      </c>
      <c r="D2332" t="s">
        <v>9587</v>
      </c>
      <c r="E2332" t="s">
        <v>14884</v>
      </c>
      <c r="F2332" t="s">
        <v>14885</v>
      </c>
      <c r="G2332" t="s">
        <v>19188</v>
      </c>
      <c r="I2332" t="s">
        <v>18821</v>
      </c>
      <c r="K2332" t="str">
        <f>HYPERLINK("http://tuberculist.epfl.ch/quicksearch.php?gene+name=Rv2270&amp;submit=Search")</f>
        <v>http://tuberculist.epfl.ch/quicksearch.php?gene+name=Rv2270&amp;submit=Search</v>
      </c>
    </row>
    <row r="2333" spans="1:11">
      <c r="A2333" t="s">
        <v>715</v>
      </c>
      <c r="B2333" t="s">
        <v>715</v>
      </c>
      <c r="C2333" t="s">
        <v>9567</v>
      </c>
      <c r="D2333" t="s">
        <v>9587</v>
      </c>
      <c r="E2333" t="s">
        <v>9579</v>
      </c>
      <c r="F2333" t="s">
        <v>14886</v>
      </c>
      <c r="G2333" t="s">
        <v>19210</v>
      </c>
      <c r="I2333" t="s">
        <v>18821</v>
      </c>
      <c r="J2333" t="s">
        <v>19047</v>
      </c>
      <c r="K2333" t="str">
        <f>HYPERLINK("http://tuberculist.epfl.ch/quicksearch.php?gene+name=Rv2271&amp;submit=Search")</f>
        <v>http://tuberculist.epfl.ch/quicksearch.php?gene+name=Rv2271&amp;submit=Search</v>
      </c>
    </row>
    <row r="2334" spans="1:11">
      <c r="A2334" t="s">
        <v>857</v>
      </c>
      <c r="B2334" t="s">
        <v>857</v>
      </c>
      <c r="C2334" t="s">
        <v>9567</v>
      </c>
      <c r="D2334" t="s">
        <v>9587</v>
      </c>
      <c r="E2334" t="s">
        <v>9597</v>
      </c>
      <c r="F2334" t="s">
        <v>14887</v>
      </c>
      <c r="G2334" t="s">
        <v>19188</v>
      </c>
      <c r="H2334" t="s">
        <v>19436</v>
      </c>
      <c r="I2334" t="s">
        <v>18804</v>
      </c>
      <c r="J2334" t="s">
        <v>19047</v>
      </c>
      <c r="K2334" t="str">
        <f>HYPERLINK("http://tuberculist.epfl.ch/quicksearch.php?gene+name=Rv2272&amp;submit=Search")</f>
        <v>http://tuberculist.epfl.ch/quicksearch.php?gene+name=Rv2272&amp;submit=Search</v>
      </c>
    </row>
    <row r="2335" spans="1:11">
      <c r="A2335" t="s">
        <v>14888</v>
      </c>
      <c r="B2335" t="s">
        <v>14888</v>
      </c>
      <c r="C2335" t="s">
        <v>9567</v>
      </c>
      <c r="D2335" t="s">
        <v>9587</v>
      </c>
      <c r="E2335" t="s">
        <v>9597</v>
      </c>
      <c r="F2335" t="s">
        <v>14889</v>
      </c>
      <c r="G2335" t="s">
        <v>19188</v>
      </c>
      <c r="I2335" t="s">
        <v>18821</v>
      </c>
      <c r="K2335" t="str">
        <f>HYPERLINK("http://tuberculist.epfl.ch/quicksearch.php?gene+name=Rv2273&amp;submit=Search")</f>
        <v>http://tuberculist.epfl.ch/quicksearch.php?gene+name=Rv2273&amp;submit=Search</v>
      </c>
    </row>
    <row r="2336" spans="1:11">
      <c r="A2336" t="s">
        <v>14890</v>
      </c>
      <c r="B2336" t="s">
        <v>14891</v>
      </c>
      <c r="C2336" t="s">
        <v>9567</v>
      </c>
      <c r="D2336" t="s">
        <v>9587</v>
      </c>
      <c r="E2336" t="s">
        <v>14892</v>
      </c>
      <c r="F2336" t="s">
        <v>14893</v>
      </c>
      <c r="G2336" t="s">
        <v>19206</v>
      </c>
      <c r="I2336" t="s">
        <v>18773</v>
      </c>
      <c r="K2336" t="str">
        <f>HYPERLINK("http://tuberculist.epfl.ch/quicksearch.php?gene+name=Rv2274A&amp;submit=Search")</f>
        <v>http://tuberculist.epfl.ch/quicksearch.php?gene+name=Rv2274A&amp;submit=Search</v>
      </c>
    </row>
    <row r="2337" spans="1:11">
      <c r="A2337" t="s">
        <v>14894</v>
      </c>
      <c r="B2337" t="s">
        <v>2040</v>
      </c>
      <c r="C2337" t="s">
        <v>9567</v>
      </c>
      <c r="D2337" t="s">
        <v>9587</v>
      </c>
      <c r="E2337" t="s">
        <v>14895</v>
      </c>
      <c r="F2337" t="s">
        <v>14896</v>
      </c>
      <c r="G2337" t="s">
        <v>19206</v>
      </c>
      <c r="I2337" t="s">
        <v>18821</v>
      </c>
      <c r="J2337" t="s">
        <v>18809</v>
      </c>
      <c r="K2337" t="str">
        <f>HYPERLINK("http://tuberculist.epfl.ch/quicksearch.php?gene+name=Rv2274c&amp;submit=Search")</f>
        <v>http://tuberculist.epfl.ch/quicksearch.php?gene+name=Rv2274c&amp;submit=Search</v>
      </c>
    </row>
    <row r="2338" spans="1:11">
      <c r="A2338" t="s">
        <v>2088</v>
      </c>
      <c r="B2338" t="s">
        <v>2088</v>
      </c>
      <c r="C2338" t="s">
        <v>9567</v>
      </c>
      <c r="D2338" t="s">
        <v>9587</v>
      </c>
      <c r="E2338" t="s">
        <v>9579</v>
      </c>
      <c r="F2338" t="s">
        <v>14897</v>
      </c>
      <c r="G2338" t="s">
        <v>19204</v>
      </c>
      <c r="I2338" t="s">
        <v>19048</v>
      </c>
      <c r="K2338" t="str">
        <f>HYPERLINK("http://tuberculist.epfl.ch/quicksearch.php?gene+name=Rv2275&amp;submit=Search")</f>
        <v>http://tuberculist.epfl.ch/quicksearch.php?gene+name=Rv2275&amp;submit=Search</v>
      </c>
    </row>
    <row r="2339" spans="1:11">
      <c r="A2339" t="s">
        <v>7238</v>
      </c>
      <c r="B2339" t="s">
        <v>2379</v>
      </c>
      <c r="C2339" t="s">
        <v>9567</v>
      </c>
      <c r="D2339" t="s">
        <v>14898</v>
      </c>
      <c r="E2339" t="s">
        <v>14899</v>
      </c>
      <c r="F2339" t="s">
        <v>14900</v>
      </c>
      <c r="G2339" t="s">
        <v>19195</v>
      </c>
      <c r="I2339" t="s">
        <v>18802</v>
      </c>
      <c r="J2339" t="s">
        <v>18873</v>
      </c>
      <c r="K2339" t="str">
        <f>HYPERLINK("http://tuberculist.epfl.ch/quicksearch.php?gene+name=Rv2276&amp;submit=Search")</f>
        <v>http://tuberculist.epfl.ch/quicksearch.php?gene+name=Rv2276&amp;submit=Search</v>
      </c>
    </row>
    <row r="2340" spans="1:11">
      <c r="A2340" t="s">
        <v>1119</v>
      </c>
      <c r="B2340" t="s">
        <v>1119</v>
      </c>
      <c r="C2340" t="s">
        <v>9567</v>
      </c>
      <c r="D2340" t="s">
        <v>9587</v>
      </c>
      <c r="E2340" t="s">
        <v>14901</v>
      </c>
      <c r="F2340" t="s">
        <v>14902</v>
      </c>
      <c r="G2340" t="s">
        <v>19195</v>
      </c>
      <c r="H2340" t="s">
        <v>19211</v>
      </c>
      <c r="I2340" t="s">
        <v>19048</v>
      </c>
      <c r="K2340" t="str">
        <f>HYPERLINK("http://tuberculist.epfl.ch/quicksearch.php?gene+name=Rv2277c&amp;submit=Search")</f>
        <v>http://tuberculist.epfl.ch/quicksearch.php?gene+name=Rv2277c&amp;submit=Search</v>
      </c>
    </row>
    <row r="2341" spans="1:11">
      <c r="A2341" t="s">
        <v>14903</v>
      </c>
      <c r="B2341" t="s">
        <v>14903</v>
      </c>
      <c r="C2341" t="s">
        <v>9567</v>
      </c>
      <c r="D2341" t="s">
        <v>11446</v>
      </c>
      <c r="E2341" t="s">
        <v>11447</v>
      </c>
      <c r="F2341" t="s">
        <v>14904</v>
      </c>
      <c r="G2341" t="s">
        <v>19217</v>
      </c>
      <c r="I2341" t="s">
        <v>18802</v>
      </c>
      <c r="K2341" t="str">
        <f>HYPERLINK("http://tuberculist.epfl.ch/quicksearch.php?gene+name=Rv2278&amp;submit=Search")</f>
        <v>http://tuberculist.epfl.ch/quicksearch.php?gene+name=Rv2278&amp;submit=Search</v>
      </c>
    </row>
    <row r="2342" spans="1:11">
      <c r="A2342" t="s">
        <v>14905</v>
      </c>
      <c r="B2342" t="s">
        <v>14905</v>
      </c>
      <c r="C2342" t="s">
        <v>9567</v>
      </c>
      <c r="D2342" t="s">
        <v>11446</v>
      </c>
      <c r="E2342" t="s">
        <v>11730</v>
      </c>
      <c r="F2342" t="s">
        <v>14906</v>
      </c>
      <c r="G2342" t="s">
        <v>19217</v>
      </c>
      <c r="I2342" t="s">
        <v>18802</v>
      </c>
      <c r="K2342" t="str">
        <f>HYPERLINK("http://tuberculist.epfl.ch/quicksearch.php?gene+name=Rv2279&amp;submit=Search")</f>
        <v>http://tuberculist.epfl.ch/quicksearch.php?gene+name=Rv2279&amp;submit=Search</v>
      </c>
    </row>
    <row r="2343" spans="1:11">
      <c r="A2343" t="s">
        <v>2785</v>
      </c>
      <c r="B2343" t="s">
        <v>2785</v>
      </c>
      <c r="C2343" t="s">
        <v>9567</v>
      </c>
      <c r="D2343" t="s">
        <v>14870</v>
      </c>
      <c r="E2343" t="s">
        <v>11202</v>
      </c>
      <c r="F2343" t="s">
        <v>14907</v>
      </c>
      <c r="G2343" t="s">
        <v>19195</v>
      </c>
      <c r="H2343" t="s">
        <v>19319</v>
      </c>
      <c r="I2343" t="s">
        <v>18797</v>
      </c>
      <c r="K2343" t="str">
        <f>HYPERLINK("http://tuberculist.epfl.ch/quicksearch.php?gene+name=Rv2280&amp;submit=Search")</f>
        <v>http://tuberculist.epfl.ch/quicksearch.php?gene+name=Rv2280&amp;submit=Search</v>
      </c>
    </row>
    <row r="2344" spans="1:11">
      <c r="A2344" t="s">
        <v>7072</v>
      </c>
      <c r="B2344" t="s">
        <v>2295</v>
      </c>
      <c r="C2344" t="s">
        <v>9567</v>
      </c>
      <c r="D2344" t="s">
        <v>14908</v>
      </c>
      <c r="E2344" t="s">
        <v>14909</v>
      </c>
      <c r="F2344" t="s">
        <v>14910</v>
      </c>
      <c r="G2344" t="s">
        <v>19188</v>
      </c>
      <c r="I2344" t="s">
        <v>18773</v>
      </c>
      <c r="J2344" t="s">
        <v>18832</v>
      </c>
      <c r="K2344" t="str">
        <f>HYPERLINK("http://tuberculist.epfl.ch/quicksearch.php?gene+name=Rv2281&amp;submit=Search")</f>
        <v>http://tuberculist.epfl.ch/quicksearch.php?gene+name=Rv2281&amp;submit=Search</v>
      </c>
    </row>
    <row r="2345" spans="1:11">
      <c r="A2345" t="s">
        <v>3270</v>
      </c>
      <c r="B2345" t="s">
        <v>3270</v>
      </c>
      <c r="C2345" t="s">
        <v>9567</v>
      </c>
      <c r="D2345" t="s">
        <v>9587</v>
      </c>
      <c r="E2345" t="s">
        <v>14911</v>
      </c>
      <c r="F2345" t="s">
        <v>14912</v>
      </c>
      <c r="G2345" t="s">
        <v>19197</v>
      </c>
      <c r="H2345" t="s">
        <v>19856</v>
      </c>
      <c r="I2345" t="s">
        <v>18786</v>
      </c>
      <c r="K2345" t="str">
        <f>HYPERLINK("http://tuberculist.epfl.ch/quicksearch.php?gene+name=Rv2282c&amp;submit=Search")</f>
        <v>http://tuberculist.epfl.ch/quicksearch.php?gene+name=Rv2282c&amp;submit=Search</v>
      </c>
    </row>
    <row r="2346" spans="1:11">
      <c r="A2346" t="s">
        <v>14913</v>
      </c>
      <c r="B2346" t="s">
        <v>14913</v>
      </c>
      <c r="C2346" t="s">
        <v>9567</v>
      </c>
      <c r="D2346" t="s">
        <v>9587</v>
      </c>
      <c r="E2346" t="s">
        <v>9713</v>
      </c>
      <c r="F2346" t="s">
        <v>14914</v>
      </c>
      <c r="G2346" t="s">
        <v>19204</v>
      </c>
      <c r="I2346" t="s">
        <v>18800</v>
      </c>
      <c r="K2346" t="str">
        <f>HYPERLINK("http://tuberculist.epfl.ch/quicksearch.php?gene+name=Rv2283&amp;submit=Search")</f>
        <v>http://tuberculist.epfl.ch/quicksearch.php?gene+name=Rv2283&amp;submit=Search</v>
      </c>
    </row>
    <row r="2347" spans="1:11">
      <c r="A2347" t="s">
        <v>4247</v>
      </c>
      <c r="B2347" t="s">
        <v>882</v>
      </c>
      <c r="C2347" t="s">
        <v>9567</v>
      </c>
      <c r="D2347" t="s">
        <v>14915</v>
      </c>
      <c r="E2347" t="s">
        <v>14916</v>
      </c>
      <c r="F2347" t="s">
        <v>14917</v>
      </c>
      <c r="G2347" t="s">
        <v>19195</v>
      </c>
      <c r="H2347" t="s">
        <v>19857</v>
      </c>
      <c r="I2347" t="s">
        <v>18793</v>
      </c>
      <c r="K2347" t="str">
        <f>HYPERLINK("http://tuberculist.epfl.ch/quicksearch.php?gene+name=Rv2284&amp;submit=Search")</f>
        <v>http://tuberculist.epfl.ch/quicksearch.php?gene+name=Rv2284&amp;submit=Search</v>
      </c>
    </row>
    <row r="2348" spans="1:11">
      <c r="A2348" t="s">
        <v>2269</v>
      </c>
      <c r="B2348" t="s">
        <v>2269</v>
      </c>
      <c r="C2348" t="s">
        <v>9567</v>
      </c>
      <c r="D2348" t="s">
        <v>10087</v>
      </c>
      <c r="E2348" t="s">
        <v>10088</v>
      </c>
      <c r="F2348" t="s">
        <v>14918</v>
      </c>
      <c r="G2348" t="s">
        <v>19219</v>
      </c>
      <c r="H2348" t="s">
        <v>19233</v>
      </c>
      <c r="I2348" t="s">
        <v>18780</v>
      </c>
      <c r="K2348" t="str">
        <f>HYPERLINK("http://tuberculist.epfl.ch/quicksearch.php?gene+name=Rv2285&amp;submit=Search")</f>
        <v>http://tuberculist.epfl.ch/quicksearch.php?gene+name=Rv2285&amp;submit=Search</v>
      </c>
    </row>
    <row r="2349" spans="1:11">
      <c r="A2349" t="s">
        <v>2041</v>
      </c>
      <c r="B2349" t="s">
        <v>2041</v>
      </c>
      <c r="C2349" t="s">
        <v>9567</v>
      </c>
      <c r="D2349" t="s">
        <v>9587</v>
      </c>
      <c r="E2349" t="s">
        <v>9579</v>
      </c>
      <c r="F2349" t="s">
        <v>14919</v>
      </c>
      <c r="G2349" t="s">
        <v>19204</v>
      </c>
      <c r="I2349" t="s">
        <v>18780</v>
      </c>
      <c r="K2349" t="str">
        <f>HYPERLINK("http://tuberculist.epfl.ch/quicksearch.php?gene+name=Rv2286c&amp;submit=Search")</f>
        <v>http://tuberculist.epfl.ch/quicksearch.php?gene+name=Rv2286c&amp;submit=Search</v>
      </c>
    </row>
    <row r="2350" spans="1:11">
      <c r="A2350" t="s">
        <v>6396</v>
      </c>
      <c r="B2350" t="s">
        <v>1947</v>
      </c>
      <c r="C2350" t="s">
        <v>9567</v>
      </c>
      <c r="D2350" t="s">
        <v>14920</v>
      </c>
      <c r="E2350" t="s">
        <v>14921</v>
      </c>
      <c r="F2350" t="s">
        <v>14922</v>
      </c>
      <c r="G2350" t="s">
        <v>19188</v>
      </c>
      <c r="I2350" t="s">
        <v>18777</v>
      </c>
      <c r="K2350" t="str">
        <f>HYPERLINK("http://tuberculist.epfl.ch/quicksearch.php?gene+name=Rv2287&amp;submit=Search")</f>
        <v>http://tuberculist.epfl.ch/quicksearch.php?gene+name=Rv2287&amp;submit=Search</v>
      </c>
    </row>
    <row r="2351" spans="1:11">
      <c r="A2351" t="s">
        <v>14923</v>
      </c>
      <c r="B2351" t="s">
        <v>14923</v>
      </c>
      <c r="C2351" t="s">
        <v>9567</v>
      </c>
      <c r="D2351" t="s">
        <v>9587</v>
      </c>
      <c r="E2351" t="s">
        <v>9713</v>
      </c>
      <c r="F2351" t="s">
        <v>14924</v>
      </c>
      <c r="G2351" t="s">
        <v>19210</v>
      </c>
      <c r="H2351" t="s">
        <v>19205</v>
      </c>
      <c r="I2351" t="s">
        <v>18780</v>
      </c>
      <c r="K2351" t="str">
        <f>HYPERLINK("http://tuberculist.epfl.ch/quicksearch.php?gene+name=Rv2288&amp;submit=Search")</f>
        <v>http://tuberculist.epfl.ch/quicksearch.php?gene+name=Rv2288&amp;submit=Search</v>
      </c>
    </row>
    <row r="2352" spans="1:11">
      <c r="A2352" t="s">
        <v>3634</v>
      </c>
      <c r="B2352" t="s">
        <v>578</v>
      </c>
      <c r="C2352" t="s">
        <v>9567</v>
      </c>
      <c r="D2352" t="s">
        <v>14925</v>
      </c>
      <c r="E2352" t="s">
        <v>14926</v>
      </c>
      <c r="F2352" t="s">
        <v>14927</v>
      </c>
      <c r="G2352" t="s">
        <v>19219</v>
      </c>
      <c r="H2352" t="s">
        <v>19858</v>
      </c>
      <c r="I2352" t="s">
        <v>18780</v>
      </c>
      <c r="K2352" t="str">
        <f>HYPERLINK("http://tuberculist.epfl.ch/quicksearch.php?gene+name=Rv2289&amp;submit=Search")</f>
        <v>http://tuberculist.epfl.ch/quicksearch.php?gene+name=Rv2289&amp;submit=Search</v>
      </c>
    </row>
    <row r="2353" spans="1:11">
      <c r="A2353" t="s">
        <v>14928</v>
      </c>
      <c r="B2353" t="s">
        <v>1237</v>
      </c>
      <c r="C2353" t="s">
        <v>9567</v>
      </c>
      <c r="D2353" t="s">
        <v>9587</v>
      </c>
      <c r="E2353" t="s">
        <v>14929</v>
      </c>
      <c r="F2353" t="s">
        <v>14930</v>
      </c>
      <c r="G2353" t="s">
        <v>19188</v>
      </c>
      <c r="H2353" t="s">
        <v>19247</v>
      </c>
      <c r="I2353" t="s">
        <v>18789</v>
      </c>
      <c r="K2353" t="str">
        <f>HYPERLINK("http://tuberculist.epfl.ch/quicksearch.php?gene+name=Rv2290&amp;submit=Search")</f>
        <v>http://tuberculist.epfl.ch/quicksearch.php?gene+name=Rv2290&amp;submit=Search</v>
      </c>
    </row>
    <row r="2354" spans="1:11">
      <c r="A2354" t="s">
        <v>9422</v>
      </c>
      <c r="B2354" t="s">
        <v>3426</v>
      </c>
      <c r="C2354" t="s">
        <v>9567</v>
      </c>
      <c r="D2354" t="s">
        <v>9587</v>
      </c>
      <c r="E2354" t="s">
        <v>14931</v>
      </c>
      <c r="F2354" t="s">
        <v>14932</v>
      </c>
      <c r="G2354" t="s">
        <v>19195</v>
      </c>
      <c r="H2354" t="s">
        <v>19213</v>
      </c>
      <c r="I2354" t="s">
        <v>18779</v>
      </c>
      <c r="K2354" t="str">
        <f>HYPERLINK("http://tuberculist.epfl.ch/quicksearch.php?gene+name=Rv2291&amp;submit=Search")</f>
        <v>http://tuberculist.epfl.ch/quicksearch.php?gene+name=Rv2291&amp;submit=Search</v>
      </c>
    </row>
    <row r="2355" spans="1:11">
      <c r="A2355" t="s">
        <v>14933</v>
      </c>
      <c r="B2355" t="s">
        <v>14933</v>
      </c>
      <c r="C2355" t="s">
        <v>9567</v>
      </c>
      <c r="D2355" t="s">
        <v>9587</v>
      </c>
      <c r="E2355" t="s">
        <v>9713</v>
      </c>
      <c r="F2355" t="s">
        <v>14934</v>
      </c>
      <c r="G2355" t="s">
        <v>19363</v>
      </c>
      <c r="I2355" t="s">
        <v>18793</v>
      </c>
      <c r="K2355" t="str">
        <f>HYPERLINK("http://tuberculist.epfl.ch/quicksearch.php?gene+name=Rv2292c&amp;submit=Search")</f>
        <v>http://tuberculist.epfl.ch/quicksearch.php?gene+name=Rv2292c&amp;submit=Search</v>
      </c>
    </row>
    <row r="2356" spans="1:11">
      <c r="A2356" t="s">
        <v>1575</v>
      </c>
      <c r="B2356" t="s">
        <v>1575</v>
      </c>
      <c r="C2356" t="s">
        <v>9567</v>
      </c>
      <c r="D2356" t="s">
        <v>9587</v>
      </c>
      <c r="E2356" t="s">
        <v>9579</v>
      </c>
      <c r="F2356" t="s">
        <v>14935</v>
      </c>
      <c r="G2356" t="s">
        <v>19204</v>
      </c>
      <c r="H2356" t="s">
        <v>19267</v>
      </c>
      <c r="I2356" t="s">
        <v>18780</v>
      </c>
      <c r="K2356" t="str">
        <f>HYPERLINK("http://tuberculist.epfl.ch/quicksearch.php?gene+name=Rv2293c&amp;submit=Search")</f>
        <v>http://tuberculist.epfl.ch/quicksearch.php?gene+name=Rv2293c&amp;submit=Search</v>
      </c>
    </row>
    <row r="2357" spans="1:11">
      <c r="A2357" t="s">
        <v>590</v>
      </c>
      <c r="B2357" t="s">
        <v>590</v>
      </c>
      <c r="C2357" t="s">
        <v>9567</v>
      </c>
      <c r="D2357" t="s">
        <v>9587</v>
      </c>
      <c r="E2357" t="s">
        <v>9756</v>
      </c>
      <c r="F2357" t="s">
        <v>14936</v>
      </c>
      <c r="G2357" t="s">
        <v>19195</v>
      </c>
      <c r="H2357" t="s">
        <v>19459</v>
      </c>
      <c r="I2357" t="s">
        <v>18789</v>
      </c>
      <c r="K2357" t="str">
        <f>HYPERLINK("http://tuberculist.epfl.ch/quicksearch.php?gene+name=Rv2294&amp;submit=Search")</f>
        <v>http://tuberculist.epfl.ch/quicksearch.php?gene+name=Rv2294&amp;submit=Search</v>
      </c>
    </row>
    <row r="2358" spans="1:11">
      <c r="A2358" t="s">
        <v>1085</v>
      </c>
      <c r="B2358" t="s">
        <v>1085</v>
      </c>
      <c r="C2358" t="s">
        <v>9567</v>
      </c>
      <c r="D2358" t="s">
        <v>9587</v>
      </c>
      <c r="E2358" t="s">
        <v>9579</v>
      </c>
      <c r="F2358" t="s">
        <v>14937</v>
      </c>
      <c r="G2358" t="s">
        <v>19204</v>
      </c>
      <c r="I2358" t="s">
        <v>18789</v>
      </c>
      <c r="K2358" t="str">
        <f>HYPERLINK("http://tuberculist.epfl.ch/quicksearch.php?gene+name=Rv2295&amp;submit=Search")</f>
        <v>http://tuberculist.epfl.ch/quicksearch.php?gene+name=Rv2295&amp;submit=Search</v>
      </c>
    </row>
    <row r="2359" spans="1:11">
      <c r="A2359" t="s">
        <v>2235</v>
      </c>
      <c r="B2359" t="s">
        <v>2235</v>
      </c>
      <c r="C2359" t="s">
        <v>9567</v>
      </c>
      <c r="D2359" t="s">
        <v>14938</v>
      </c>
      <c r="E2359" t="s">
        <v>14939</v>
      </c>
      <c r="F2359" t="s">
        <v>14940</v>
      </c>
      <c r="G2359" t="s">
        <v>19195</v>
      </c>
      <c r="H2359" t="s">
        <v>19859</v>
      </c>
      <c r="I2359" t="s">
        <v>18789</v>
      </c>
      <c r="K2359" t="str">
        <f>HYPERLINK("http://tuberculist.epfl.ch/quicksearch.php?gene+name=Rv2296&amp;submit=Search")</f>
        <v>http://tuberculist.epfl.ch/quicksearch.php?gene+name=Rv2296&amp;submit=Search</v>
      </c>
    </row>
    <row r="2360" spans="1:11">
      <c r="A2360" t="s">
        <v>957</v>
      </c>
      <c r="B2360" t="s">
        <v>957</v>
      </c>
      <c r="C2360" t="s">
        <v>9567</v>
      </c>
      <c r="D2360" t="s">
        <v>9587</v>
      </c>
      <c r="E2360" t="s">
        <v>9768</v>
      </c>
      <c r="F2360" t="s">
        <v>14941</v>
      </c>
      <c r="G2360" t="s">
        <v>19204</v>
      </c>
      <c r="H2360" t="s">
        <v>19860</v>
      </c>
      <c r="I2360" t="s">
        <v>18779</v>
      </c>
      <c r="K2360" t="str">
        <f>HYPERLINK("http://tuberculist.epfl.ch/quicksearch.php?gene+name=Rv2297&amp;submit=Search")</f>
        <v>http://tuberculist.epfl.ch/quicksearch.php?gene+name=Rv2297&amp;submit=Search</v>
      </c>
    </row>
    <row r="2361" spans="1:11">
      <c r="A2361" t="s">
        <v>583</v>
      </c>
      <c r="B2361" t="s">
        <v>583</v>
      </c>
      <c r="C2361" t="s">
        <v>9567</v>
      </c>
      <c r="D2361" t="s">
        <v>9587</v>
      </c>
      <c r="E2361" t="s">
        <v>9665</v>
      </c>
      <c r="F2361" t="s">
        <v>14942</v>
      </c>
      <c r="G2361" t="s">
        <v>19204</v>
      </c>
      <c r="H2361" t="s">
        <v>19469</v>
      </c>
      <c r="I2361" t="s">
        <v>18789</v>
      </c>
      <c r="K2361" t="str">
        <f>HYPERLINK("http://tuberculist.epfl.ch/quicksearch.php?gene+name=Rv2298&amp;submit=Search")</f>
        <v>http://tuberculist.epfl.ch/quicksearch.php?gene+name=Rv2298&amp;submit=Search</v>
      </c>
    </row>
    <row r="2362" spans="1:11">
      <c r="A2362" t="s">
        <v>8309</v>
      </c>
      <c r="B2362" t="s">
        <v>2907</v>
      </c>
      <c r="C2362" t="s">
        <v>9567</v>
      </c>
      <c r="D2362" t="s">
        <v>14943</v>
      </c>
      <c r="E2362" t="s">
        <v>14944</v>
      </c>
      <c r="F2362" t="s">
        <v>14945</v>
      </c>
      <c r="G2362" t="s">
        <v>19206</v>
      </c>
      <c r="H2362" t="s">
        <v>19861</v>
      </c>
      <c r="I2362" t="s">
        <v>18780</v>
      </c>
      <c r="K2362" t="str">
        <f>HYPERLINK("http://tuberculist.epfl.ch/quicksearch.php?gene+name=Rv2299c&amp;submit=Search")</f>
        <v>http://tuberculist.epfl.ch/quicksearch.php?gene+name=Rv2299c&amp;submit=Search</v>
      </c>
    </row>
    <row r="2363" spans="1:11">
      <c r="A2363" t="s">
        <v>1212</v>
      </c>
      <c r="B2363" t="s">
        <v>1212</v>
      </c>
      <c r="C2363" t="s">
        <v>9567</v>
      </c>
      <c r="D2363" t="s">
        <v>9578</v>
      </c>
      <c r="E2363" t="s">
        <v>9665</v>
      </c>
      <c r="F2363" t="s">
        <v>14946</v>
      </c>
      <c r="G2363" t="s">
        <v>19204</v>
      </c>
      <c r="H2363" t="s">
        <v>19252</v>
      </c>
      <c r="I2363" t="s">
        <v>18789</v>
      </c>
      <c r="K2363" t="str">
        <f>HYPERLINK("http://tuberculist.epfl.ch/quicksearch.php?gene+name=Rv2300c&amp;submit=Search")</f>
        <v>http://tuberculist.epfl.ch/quicksearch.php?gene+name=Rv2300c&amp;submit=Search</v>
      </c>
    </row>
    <row r="2364" spans="1:11">
      <c r="A2364" t="s">
        <v>4385</v>
      </c>
      <c r="B2364" t="s">
        <v>958</v>
      </c>
      <c r="C2364" t="s">
        <v>9567</v>
      </c>
      <c r="D2364" t="s">
        <v>14947</v>
      </c>
      <c r="E2364" t="s">
        <v>14948</v>
      </c>
      <c r="F2364" t="s">
        <v>14949</v>
      </c>
      <c r="G2364" t="s">
        <v>19188</v>
      </c>
      <c r="H2364" t="s">
        <v>19862</v>
      </c>
      <c r="I2364" t="s">
        <v>18780</v>
      </c>
      <c r="K2364" t="str">
        <f>HYPERLINK("http://tuberculist.epfl.ch/quicksearch.php?gene+name=Rv2301&amp;submit=Search")</f>
        <v>http://tuberculist.epfl.ch/quicksearch.php?gene+name=Rv2301&amp;submit=Search</v>
      </c>
    </row>
    <row r="2365" spans="1:11">
      <c r="A2365" t="s">
        <v>14950</v>
      </c>
      <c r="B2365" t="s">
        <v>14950</v>
      </c>
      <c r="C2365" t="s">
        <v>9567</v>
      </c>
      <c r="D2365" t="s">
        <v>9578</v>
      </c>
      <c r="E2365" t="s">
        <v>9665</v>
      </c>
      <c r="F2365" t="s">
        <v>14951</v>
      </c>
      <c r="G2365" t="s">
        <v>19210</v>
      </c>
      <c r="H2365" t="s">
        <v>19532</v>
      </c>
      <c r="I2365" t="s">
        <v>18780</v>
      </c>
      <c r="K2365" t="str">
        <f>HYPERLINK("http://tuberculist.epfl.ch/quicksearch.php?gene+name=Rv2302&amp;submit=Search")</f>
        <v>http://tuberculist.epfl.ch/quicksearch.php?gene+name=Rv2302&amp;submit=Search</v>
      </c>
    </row>
    <row r="2366" spans="1:11">
      <c r="A2366" t="s">
        <v>3175</v>
      </c>
      <c r="B2366" t="s">
        <v>3175</v>
      </c>
      <c r="C2366" t="s">
        <v>9567</v>
      </c>
      <c r="D2366" t="s">
        <v>14952</v>
      </c>
      <c r="E2366" t="s">
        <v>14953</v>
      </c>
      <c r="F2366" t="s">
        <v>14954</v>
      </c>
      <c r="G2366" t="s">
        <v>19206</v>
      </c>
      <c r="H2366" t="s">
        <v>19214</v>
      </c>
      <c r="I2366" t="s">
        <v>18780</v>
      </c>
      <c r="K2366" t="str">
        <f>HYPERLINK("http://tuberculist.epfl.ch/quicksearch.php?gene+name=Rv2303c&amp;submit=Search")</f>
        <v>http://tuberculist.epfl.ch/quicksearch.php?gene+name=Rv2303c&amp;submit=Search</v>
      </c>
    </row>
    <row r="2367" spans="1:11">
      <c r="A2367" t="s">
        <v>14955</v>
      </c>
      <c r="B2367" t="s">
        <v>14955</v>
      </c>
      <c r="C2367" t="s">
        <v>9567</v>
      </c>
      <c r="D2367" t="s">
        <v>9587</v>
      </c>
      <c r="E2367" t="s">
        <v>9713</v>
      </c>
      <c r="F2367" t="s">
        <v>14956</v>
      </c>
      <c r="G2367" t="s">
        <v>19298</v>
      </c>
      <c r="I2367" t="s">
        <v>18779</v>
      </c>
      <c r="K2367" t="str">
        <f>HYPERLINK("http://tuberculist.epfl.ch/quicksearch.php?gene+name=Rv2304c&amp;submit=Search")</f>
        <v>http://tuberculist.epfl.ch/quicksearch.php?gene+name=Rv2304c&amp;submit=Search</v>
      </c>
    </row>
    <row r="2368" spans="1:11">
      <c r="A2368" t="s">
        <v>2689</v>
      </c>
      <c r="B2368" t="s">
        <v>2689</v>
      </c>
      <c r="C2368" t="s">
        <v>9567</v>
      </c>
      <c r="D2368" t="s">
        <v>9587</v>
      </c>
      <c r="E2368" t="s">
        <v>9768</v>
      </c>
      <c r="F2368" t="s">
        <v>14957</v>
      </c>
      <c r="G2368" t="s">
        <v>19220</v>
      </c>
      <c r="H2368" t="s">
        <v>19401</v>
      </c>
      <c r="I2368" t="s">
        <v>18780</v>
      </c>
      <c r="K2368" t="str">
        <f>HYPERLINK("http://tuberculist.epfl.ch/quicksearch.php?gene+name=Rv2305&amp;submit=Search")</f>
        <v>http://tuberculist.epfl.ch/quicksearch.php?gene+name=Rv2305&amp;submit=Search</v>
      </c>
    </row>
    <row r="2369" spans="1:11">
      <c r="A2369" t="s">
        <v>14958</v>
      </c>
      <c r="B2369" t="s">
        <v>14958</v>
      </c>
      <c r="C2369" t="s">
        <v>9567</v>
      </c>
      <c r="D2369" t="s">
        <v>9587</v>
      </c>
      <c r="E2369" t="s">
        <v>9588</v>
      </c>
      <c r="F2369" t="s">
        <v>14959</v>
      </c>
      <c r="G2369" t="s">
        <v>19188</v>
      </c>
      <c r="I2369" t="s">
        <v>18793</v>
      </c>
      <c r="K2369" t="str">
        <f>HYPERLINK("http://tuberculist.epfl.ch/quicksearch.php?gene+name=Rv2306A&amp;submit=Search")</f>
        <v>http://tuberculist.epfl.ch/quicksearch.php?gene+name=Rv2306A&amp;submit=Search</v>
      </c>
    </row>
    <row r="2370" spans="1:11">
      <c r="A2370" t="s">
        <v>14960</v>
      </c>
      <c r="B2370" t="s">
        <v>14960</v>
      </c>
      <c r="C2370" t="s">
        <v>9567</v>
      </c>
      <c r="D2370" t="s">
        <v>9587</v>
      </c>
      <c r="E2370" t="s">
        <v>9588</v>
      </c>
      <c r="F2370" t="s">
        <v>14961</v>
      </c>
      <c r="G2370" t="s">
        <v>19188</v>
      </c>
      <c r="I2370" t="s">
        <v>18773</v>
      </c>
      <c r="K2370" t="str">
        <f>HYPERLINK("http://tuberculist.epfl.ch/quicksearch.php?gene+name=Rv2306B&amp;submit=Search")</f>
        <v>http://tuberculist.epfl.ch/quicksearch.php?gene+name=Rv2306B&amp;submit=Search</v>
      </c>
    </row>
    <row r="2371" spans="1:11">
      <c r="A2371" t="s">
        <v>14962</v>
      </c>
      <c r="B2371" t="s">
        <v>14962</v>
      </c>
      <c r="C2371" t="s">
        <v>9567</v>
      </c>
      <c r="D2371" t="s">
        <v>9587</v>
      </c>
      <c r="E2371" t="s">
        <v>14963</v>
      </c>
      <c r="F2371" t="s">
        <v>14964</v>
      </c>
      <c r="G2371" t="s">
        <v>19212</v>
      </c>
      <c r="I2371" t="s">
        <v>18793</v>
      </c>
      <c r="K2371" t="str">
        <f>HYPERLINK("http://tuberculist.epfl.ch/quicksearch.php?gene+name=Rv2307A&amp;submit=Search")</f>
        <v>http://tuberculist.epfl.ch/quicksearch.php?gene+name=Rv2307A&amp;submit=Search</v>
      </c>
    </row>
    <row r="2372" spans="1:11">
      <c r="A2372" t="s">
        <v>3118</v>
      </c>
      <c r="B2372" t="s">
        <v>3118</v>
      </c>
      <c r="C2372" t="s">
        <v>9567</v>
      </c>
      <c r="D2372" t="s">
        <v>9587</v>
      </c>
      <c r="E2372" t="s">
        <v>14963</v>
      </c>
      <c r="F2372" t="s">
        <v>14965</v>
      </c>
      <c r="G2372" t="s">
        <v>19212</v>
      </c>
      <c r="I2372" t="s">
        <v>18773</v>
      </c>
      <c r="K2372" t="str">
        <f>HYPERLINK("http://tuberculist.epfl.ch/quicksearch.php?gene+name=Rv2307B&amp;submit=Search")</f>
        <v>http://tuberculist.epfl.ch/quicksearch.php?gene+name=Rv2307B&amp;submit=Search</v>
      </c>
    </row>
    <row r="2373" spans="1:11">
      <c r="A2373" t="s">
        <v>14966</v>
      </c>
      <c r="B2373" t="s">
        <v>14966</v>
      </c>
      <c r="C2373" t="s">
        <v>9567</v>
      </c>
      <c r="D2373" t="s">
        <v>9587</v>
      </c>
      <c r="E2373" t="s">
        <v>9713</v>
      </c>
      <c r="F2373" t="s">
        <v>14967</v>
      </c>
      <c r="G2373" t="s">
        <v>19212</v>
      </c>
      <c r="I2373" t="s">
        <v>18793</v>
      </c>
      <c r="K2373" t="str">
        <f>HYPERLINK("http://tuberculist.epfl.ch/quicksearch.php?gene+name=Rv2307D&amp;submit=Search")</f>
        <v>http://tuberculist.epfl.ch/quicksearch.php?gene+name=Rv2307D&amp;submit=Search</v>
      </c>
    </row>
    <row r="2374" spans="1:11">
      <c r="A2374" t="s">
        <v>2590</v>
      </c>
      <c r="B2374" t="s">
        <v>2590</v>
      </c>
      <c r="C2374" t="s">
        <v>9567</v>
      </c>
      <c r="D2374" t="s">
        <v>9587</v>
      </c>
      <c r="E2374" t="s">
        <v>9579</v>
      </c>
      <c r="F2374" t="s">
        <v>14968</v>
      </c>
      <c r="G2374" t="s">
        <v>19204</v>
      </c>
      <c r="H2374" t="s">
        <v>19213</v>
      </c>
      <c r="I2374" t="s">
        <v>18789</v>
      </c>
      <c r="K2374" t="str">
        <f>HYPERLINK("http://tuberculist.epfl.ch/quicksearch.php?gene+name=Rv2307c&amp;submit=Search")</f>
        <v>http://tuberculist.epfl.ch/quicksearch.php?gene+name=Rv2307c&amp;submit=Search</v>
      </c>
    </row>
    <row r="2375" spans="1:11">
      <c r="A2375" t="s">
        <v>1718</v>
      </c>
      <c r="B2375" t="s">
        <v>1718</v>
      </c>
      <c r="C2375" t="s">
        <v>9567</v>
      </c>
      <c r="D2375" t="s">
        <v>9578</v>
      </c>
      <c r="E2375" t="s">
        <v>9579</v>
      </c>
      <c r="F2375" t="s">
        <v>14969</v>
      </c>
      <c r="G2375" t="s">
        <v>19185</v>
      </c>
      <c r="I2375" t="s">
        <v>18780</v>
      </c>
      <c r="J2375" t="s">
        <v>18809</v>
      </c>
      <c r="K2375" t="str">
        <f>HYPERLINK("http://tuberculist.epfl.ch/quicksearch.php?gene+name=Rv2308&amp;submit=Search")</f>
        <v>http://tuberculist.epfl.ch/quicksearch.php?gene+name=Rv2308&amp;submit=Search</v>
      </c>
    </row>
    <row r="2376" spans="1:11">
      <c r="A2376" t="s">
        <v>14970</v>
      </c>
      <c r="B2376" t="s">
        <v>14970</v>
      </c>
      <c r="C2376" t="s">
        <v>9567</v>
      </c>
      <c r="D2376" t="s">
        <v>9587</v>
      </c>
      <c r="E2376" t="s">
        <v>9713</v>
      </c>
      <c r="F2376" t="s">
        <v>14971</v>
      </c>
      <c r="G2376" t="s">
        <v>19216</v>
      </c>
      <c r="I2376" t="s">
        <v>18793</v>
      </c>
      <c r="K2376" t="str">
        <f>HYPERLINK("http://tuberculist.epfl.ch/quicksearch.php?gene+name=Rv2309A&amp;submit=Search")</f>
        <v>http://tuberculist.epfl.ch/quicksearch.php?gene+name=Rv2309A&amp;submit=Search</v>
      </c>
    </row>
    <row r="2377" spans="1:11">
      <c r="A2377" t="s">
        <v>754</v>
      </c>
      <c r="B2377" t="s">
        <v>754</v>
      </c>
      <c r="C2377" t="s">
        <v>9567</v>
      </c>
      <c r="D2377" t="s">
        <v>12039</v>
      </c>
      <c r="E2377" t="s">
        <v>12043</v>
      </c>
      <c r="F2377" t="s">
        <v>14972</v>
      </c>
      <c r="G2377" t="s">
        <v>19217</v>
      </c>
      <c r="I2377" t="s">
        <v>18779</v>
      </c>
      <c r="K2377" t="str">
        <f>HYPERLINK("http://tuberculist.epfl.ch/quicksearch.php?gene+name=Rv2309c&amp;submit=Search")</f>
        <v>http://tuberculist.epfl.ch/quicksearch.php?gene+name=Rv2309c&amp;submit=Search</v>
      </c>
    </row>
    <row r="2378" spans="1:11">
      <c r="A2378" t="s">
        <v>14973</v>
      </c>
      <c r="B2378" t="s">
        <v>14973</v>
      </c>
      <c r="C2378" t="s">
        <v>9567</v>
      </c>
      <c r="D2378" t="s">
        <v>14974</v>
      </c>
      <c r="E2378" t="s">
        <v>14975</v>
      </c>
      <c r="F2378" t="s">
        <v>14976</v>
      </c>
      <c r="G2378" t="s">
        <v>19217</v>
      </c>
      <c r="I2378" t="s">
        <v>18780</v>
      </c>
      <c r="K2378" t="str">
        <f>HYPERLINK("http://tuberculist.epfl.ch/quicksearch.php?gene+name=Rv2310&amp;submit=Search")</f>
        <v>http://tuberculist.epfl.ch/quicksearch.php?gene+name=Rv2310&amp;submit=Search</v>
      </c>
    </row>
    <row r="2379" spans="1:11">
      <c r="A2379" t="s">
        <v>14977</v>
      </c>
      <c r="B2379" t="s">
        <v>14977</v>
      </c>
      <c r="C2379" t="s">
        <v>9567</v>
      </c>
      <c r="D2379" t="s">
        <v>9578</v>
      </c>
      <c r="E2379" t="s">
        <v>9579</v>
      </c>
      <c r="F2379" t="s">
        <v>14978</v>
      </c>
      <c r="G2379" t="s">
        <v>19216</v>
      </c>
      <c r="I2379" t="s">
        <v>18789</v>
      </c>
      <c r="K2379" t="str">
        <f>HYPERLINK("http://tuberculist.epfl.ch/quicksearch.php?gene+name=Rv2311&amp;submit=Search")</f>
        <v>http://tuberculist.epfl.ch/quicksearch.php?gene+name=Rv2311&amp;submit=Search</v>
      </c>
    </row>
    <row r="2380" spans="1:11">
      <c r="A2380" t="s">
        <v>14979</v>
      </c>
      <c r="B2380" t="s">
        <v>14979</v>
      </c>
      <c r="C2380" t="s">
        <v>9567</v>
      </c>
      <c r="D2380" t="s">
        <v>9587</v>
      </c>
      <c r="E2380" t="s">
        <v>9713</v>
      </c>
      <c r="F2380" t="s">
        <v>14980</v>
      </c>
      <c r="G2380" t="s">
        <v>19216</v>
      </c>
      <c r="I2380" t="s">
        <v>18780</v>
      </c>
      <c r="K2380" t="str">
        <f>HYPERLINK("http://tuberculist.epfl.ch/quicksearch.php?gene+name=Rv2312&amp;submit=Search")</f>
        <v>http://tuberculist.epfl.ch/quicksearch.php?gene+name=Rv2312&amp;submit=Search</v>
      </c>
    </row>
    <row r="2381" spans="1:11">
      <c r="A2381" t="s">
        <v>648</v>
      </c>
      <c r="B2381" t="s">
        <v>648</v>
      </c>
      <c r="C2381" t="s">
        <v>9567</v>
      </c>
      <c r="D2381" t="s">
        <v>9587</v>
      </c>
      <c r="E2381" t="s">
        <v>9713</v>
      </c>
      <c r="F2381" t="s">
        <v>14981</v>
      </c>
      <c r="G2381" t="s">
        <v>19210</v>
      </c>
      <c r="I2381" t="s">
        <v>18821</v>
      </c>
      <c r="K2381" t="str">
        <f>HYPERLINK("http://tuberculist.epfl.ch/quicksearch.php?gene+name=Rv2313c&amp;submit=Search")</f>
        <v>http://tuberculist.epfl.ch/quicksearch.php?gene+name=Rv2313c&amp;submit=Search</v>
      </c>
    </row>
    <row r="2382" spans="1:11">
      <c r="A2382" t="s">
        <v>2380</v>
      </c>
      <c r="B2382" t="s">
        <v>2380</v>
      </c>
      <c r="C2382" t="s">
        <v>9567</v>
      </c>
      <c r="D2382" t="s">
        <v>9578</v>
      </c>
      <c r="E2382" t="s">
        <v>9665</v>
      </c>
      <c r="F2382" t="s">
        <v>14982</v>
      </c>
      <c r="G2382" t="s">
        <v>19210</v>
      </c>
      <c r="H2382" t="s">
        <v>19863</v>
      </c>
      <c r="I2382" t="s">
        <v>18821</v>
      </c>
      <c r="K2382" t="str">
        <f>HYPERLINK("http://tuberculist.epfl.ch/quicksearch.php?gene+name=Rv2314c&amp;submit=Search")</f>
        <v>http://tuberculist.epfl.ch/quicksearch.php?gene+name=Rv2314c&amp;submit=Search</v>
      </c>
    </row>
    <row r="2383" spans="1:11">
      <c r="A2383" t="s">
        <v>1647</v>
      </c>
      <c r="B2383" t="s">
        <v>1647</v>
      </c>
      <c r="C2383" t="s">
        <v>9567</v>
      </c>
      <c r="D2383" t="s">
        <v>9578</v>
      </c>
      <c r="E2383" t="s">
        <v>9665</v>
      </c>
      <c r="F2383" t="s">
        <v>14983</v>
      </c>
      <c r="G2383" t="s">
        <v>19210</v>
      </c>
      <c r="H2383" t="s">
        <v>19864</v>
      </c>
      <c r="I2383" t="s">
        <v>18860</v>
      </c>
      <c r="K2383" t="str">
        <f>HYPERLINK("http://tuberculist.epfl.ch/quicksearch.php?gene+name=Rv2315c&amp;submit=Search")</f>
        <v>http://tuberculist.epfl.ch/quicksearch.php?gene+name=Rv2315c&amp;submit=Search</v>
      </c>
    </row>
    <row r="2384" spans="1:11">
      <c r="A2384" t="s">
        <v>5242</v>
      </c>
      <c r="B2384" t="s">
        <v>1372</v>
      </c>
      <c r="C2384" t="s">
        <v>9567</v>
      </c>
      <c r="D2384" t="s">
        <v>14374</v>
      </c>
      <c r="E2384" t="s">
        <v>14984</v>
      </c>
      <c r="F2384" t="s">
        <v>14985</v>
      </c>
      <c r="G2384" t="s">
        <v>19188</v>
      </c>
      <c r="I2384" t="s">
        <v>18773</v>
      </c>
      <c r="K2384" t="str">
        <f>HYPERLINK("http://tuberculist.epfl.ch/quicksearch.php?gene+name=Rv2316&amp;submit=Search")</f>
        <v>http://tuberculist.epfl.ch/quicksearch.php?gene+name=Rv2316&amp;submit=Search</v>
      </c>
    </row>
    <row r="2385" spans="1:11">
      <c r="A2385" t="s">
        <v>14986</v>
      </c>
      <c r="B2385" t="s">
        <v>14987</v>
      </c>
      <c r="C2385" t="s">
        <v>9567</v>
      </c>
      <c r="D2385" t="s">
        <v>14374</v>
      </c>
      <c r="E2385" t="s">
        <v>14988</v>
      </c>
      <c r="F2385" t="s">
        <v>14989</v>
      </c>
      <c r="G2385" t="s">
        <v>19188</v>
      </c>
      <c r="I2385" t="s">
        <v>18776</v>
      </c>
      <c r="K2385" t="str">
        <f>HYPERLINK("http://tuberculist.epfl.ch/quicksearch.php?gene+name=Rv2317&amp;submit=Search")</f>
        <v>http://tuberculist.epfl.ch/quicksearch.php?gene+name=Rv2317&amp;submit=Search</v>
      </c>
    </row>
    <row r="2386" spans="1:11">
      <c r="A2386" t="s">
        <v>3918</v>
      </c>
      <c r="B2386" t="s">
        <v>716</v>
      </c>
      <c r="C2386" t="s">
        <v>9567</v>
      </c>
      <c r="D2386" t="s">
        <v>12478</v>
      </c>
      <c r="E2386" t="s">
        <v>14990</v>
      </c>
      <c r="F2386" t="s">
        <v>14991</v>
      </c>
      <c r="G2386" t="s">
        <v>19188</v>
      </c>
      <c r="I2386" t="s">
        <v>18776</v>
      </c>
      <c r="K2386" t="str">
        <f>HYPERLINK("http://tuberculist.epfl.ch/quicksearch.php?gene+name=Rv2318&amp;submit=Search")</f>
        <v>http://tuberculist.epfl.ch/quicksearch.php?gene+name=Rv2318&amp;submit=Search</v>
      </c>
    </row>
    <row r="2387" spans="1:11">
      <c r="A2387" t="s">
        <v>3208</v>
      </c>
      <c r="B2387" t="s">
        <v>3208</v>
      </c>
      <c r="C2387" t="s">
        <v>9567</v>
      </c>
      <c r="D2387" t="s">
        <v>9587</v>
      </c>
      <c r="E2387" t="s">
        <v>14288</v>
      </c>
      <c r="F2387" t="s">
        <v>14992</v>
      </c>
      <c r="G2387" t="s">
        <v>19206</v>
      </c>
      <c r="H2387" t="s">
        <v>19324</v>
      </c>
      <c r="I2387" t="s">
        <v>18801</v>
      </c>
      <c r="K2387" t="str">
        <f>HYPERLINK("http://tuberculist.epfl.ch/quicksearch.php?gene+name=Rv2319c&amp;submit=Search")</f>
        <v>http://tuberculist.epfl.ch/quicksearch.php?gene+name=Rv2319c&amp;submit=Search</v>
      </c>
    </row>
    <row r="2388" spans="1:11">
      <c r="A2388" t="s">
        <v>5044</v>
      </c>
      <c r="B2388" t="s">
        <v>1277</v>
      </c>
      <c r="C2388" t="s">
        <v>9567</v>
      </c>
      <c r="D2388" t="s">
        <v>14993</v>
      </c>
      <c r="E2388" t="s">
        <v>14994</v>
      </c>
      <c r="F2388" t="s">
        <v>14995</v>
      </c>
      <c r="G2388" t="s">
        <v>19188</v>
      </c>
      <c r="H2388" t="s">
        <v>19274</v>
      </c>
      <c r="I2388" t="s">
        <v>18780</v>
      </c>
      <c r="K2388" t="str">
        <f>HYPERLINK("http://tuberculist.epfl.ch/quicksearch.php?gene+name=Rv2320c&amp;submit=Search")</f>
        <v>http://tuberculist.epfl.ch/quicksearch.php?gene+name=Rv2320c&amp;submit=Search</v>
      </c>
    </row>
    <row r="2389" spans="1:11">
      <c r="A2389" t="s">
        <v>14996</v>
      </c>
      <c r="B2389" t="s">
        <v>14997</v>
      </c>
      <c r="C2389" t="s">
        <v>9567</v>
      </c>
      <c r="D2389" t="s">
        <v>14998</v>
      </c>
      <c r="E2389" t="s">
        <v>14999</v>
      </c>
      <c r="F2389" t="s">
        <v>15000</v>
      </c>
      <c r="G2389" t="s">
        <v>19195</v>
      </c>
      <c r="I2389" t="s">
        <v>18793</v>
      </c>
      <c r="K2389" t="str">
        <f>HYPERLINK("http://tuberculist.epfl.ch/quicksearch.php?gene+name=Rv2321c&amp;submit=Search")</f>
        <v>http://tuberculist.epfl.ch/quicksearch.php?gene+name=Rv2321c&amp;submit=Search</v>
      </c>
    </row>
    <row r="2390" spans="1:11">
      <c r="A2390" t="s">
        <v>5739</v>
      </c>
      <c r="B2390" t="s">
        <v>1630</v>
      </c>
      <c r="C2390" t="s">
        <v>9567</v>
      </c>
      <c r="D2390" t="s">
        <v>14998</v>
      </c>
      <c r="E2390" t="s">
        <v>15001</v>
      </c>
      <c r="F2390" t="s">
        <v>15002</v>
      </c>
      <c r="G2390" t="s">
        <v>19195</v>
      </c>
      <c r="I2390" t="s">
        <v>18779</v>
      </c>
      <c r="J2390" t="s">
        <v>18832</v>
      </c>
      <c r="K2390" t="str">
        <f>HYPERLINK("http://tuberculist.epfl.ch/quicksearch.php?gene+name=Rv2322c&amp;submit=Search")</f>
        <v>http://tuberculist.epfl.ch/quicksearch.php?gene+name=Rv2322c&amp;submit=Search</v>
      </c>
    </row>
    <row r="2391" spans="1:11">
      <c r="A2391" t="s">
        <v>702</v>
      </c>
      <c r="B2391" t="s">
        <v>702</v>
      </c>
      <c r="C2391" t="s">
        <v>9567</v>
      </c>
      <c r="D2391" t="s">
        <v>9578</v>
      </c>
      <c r="E2391" t="s">
        <v>9665</v>
      </c>
      <c r="F2391" t="s">
        <v>15003</v>
      </c>
      <c r="G2391" t="s">
        <v>19204</v>
      </c>
      <c r="H2391" t="s">
        <v>19546</v>
      </c>
      <c r="I2391" t="s">
        <v>18780</v>
      </c>
      <c r="K2391" t="str">
        <f>HYPERLINK("http://tuberculist.epfl.ch/quicksearch.php?gene+name=Rv2323c&amp;submit=Search")</f>
        <v>http://tuberculist.epfl.ch/quicksearch.php?gene+name=Rv2323c&amp;submit=Search</v>
      </c>
    </row>
    <row r="2392" spans="1:11">
      <c r="A2392" t="s">
        <v>15004</v>
      </c>
      <c r="B2392" t="s">
        <v>15004</v>
      </c>
      <c r="C2392" t="s">
        <v>9567</v>
      </c>
      <c r="D2392" t="s">
        <v>9629</v>
      </c>
      <c r="E2392" t="s">
        <v>15005</v>
      </c>
      <c r="F2392" t="s">
        <v>15006</v>
      </c>
      <c r="G2392" t="s">
        <v>19197</v>
      </c>
      <c r="H2392" t="s">
        <v>19233</v>
      </c>
      <c r="I2392" t="s">
        <v>18780</v>
      </c>
      <c r="K2392" t="str">
        <f>HYPERLINK("http://tuberculist.epfl.ch/quicksearch.php?gene+name=Rv2324&amp;submit=Search")</f>
        <v>http://tuberculist.epfl.ch/quicksearch.php?gene+name=Rv2324&amp;submit=Search</v>
      </c>
    </row>
    <row r="2393" spans="1:11">
      <c r="A2393" t="s">
        <v>2304</v>
      </c>
      <c r="B2393" t="s">
        <v>2304</v>
      </c>
      <c r="C2393" t="s">
        <v>9567</v>
      </c>
      <c r="D2393" t="s">
        <v>9578</v>
      </c>
      <c r="E2393" t="s">
        <v>9579</v>
      </c>
      <c r="F2393" t="s">
        <v>15007</v>
      </c>
      <c r="G2393" t="s">
        <v>19210</v>
      </c>
      <c r="H2393" t="s">
        <v>19865</v>
      </c>
      <c r="I2393" t="s">
        <v>18800</v>
      </c>
      <c r="K2393" t="str">
        <f>HYPERLINK("http://tuberculist.epfl.ch/quicksearch.php?gene+name=Rv2325c&amp;submit=Search")</f>
        <v>http://tuberculist.epfl.ch/quicksearch.php?gene+name=Rv2325c&amp;submit=Search</v>
      </c>
    </row>
    <row r="2394" spans="1:11">
      <c r="A2394" t="s">
        <v>1106</v>
      </c>
      <c r="B2394" t="s">
        <v>1106</v>
      </c>
      <c r="C2394" t="s">
        <v>9567</v>
      </c>
      <c r="D2394" t="s">
        <v>15008</v>
      </c>
      <c r="E2394" t="s">
        <v>15009</v>
      </c>
      <c r="F2394" t="s">
        <v>15010</v>
      </c>
      <c r="G2394" t="s">
        <v>19188</v>
      </c>
      <c r="H2394" t="s">
        <v>19866</v>
      </c>
      <c r="I2394" t="s">
        <v>18780</v>
      </c>
      <c r="K2394" t="str">
        <f>HYPERLINK("http://tuberculist.epfl.ch/quicksearch.php?gene+name=Rv2326c&amp;submit=Search")</f>
        <v>http://tuberculist.epfl.ch/quicksearch.php?gene+name=Rv2326c&amp;submit=Search</v>
      </c>
    </row>
    <row r="2395" spans="1:11">
      <c r="A2395" t="s">
        <v>3356</v>
      </c>
      <c r="B2395" t="s">
        <v>3356</v>
      </c>
      <c r="C2395" t="s">
        <v>9567</v>
      </c>
      <c r="D2395" t="s">
        <v>9578</v>
      </c>
      <c r="E2395" t="s">
        <v>9665</v>
      </c>
      <c r="F2395" t="s">
        <v>15011</v>
      </c>
      <c r="G2395" t="s">
        <v>19208</v>
      </c>
      <c r="H2395" t="s">
        <v>19287</v>
      </c>
      <c r="I2395" t="s">
        <v>18780</v>
      </c>
      <c r="K2395" t="str">
        <f>HYPERLINK("http://tuberculist.epfl.ch/quicksearch.php?gene+name=Rv2327&amp;submit=Search")</f>
        <v>http://tuberculist.epfl.ch/quicksearch.php?gene+name=Rv2327&amp;submit=Search</v>
      </c>
    </row>
    <row r="2396" spans="1:11">
      <c r="A2396" t="s">
        <v>3570</v>
      </c>
      <c r="B2396" t="s">
        <v>545</v>
      </c>
      <c r="C2396" t="s">
        <v>9567</v>
      </c>
      <c r="D2396" t="s">
        <v>9578</v>
      </c>
      <c r="E2396" t="s">
        <v>15012</v>
      </c>
      <c r="F2396" t="s">
        <v>15013</v>
      </c>
      <c r="G2396" t="s">
        <v>19262</v>
      </c>
      <c r="H2396" t="s">
        <v>19254</v>
      </c>
      <c r="I2396" t="s">
        <v>18780</v>
      </c>
      <c r="K2396" t="str">
        <f>HYPERLINK("http://tuberculist.epfl.ch/quicksearch.php?gene+name=Rv2328&amp;submit=Search")</f>
        <v>http://tuberculist.epfl.ch/quicksearch.php?gene+name=Rv2328&amp;submit=Search</v>
      </c>
    </row>
    <row r="2397" spans="1:11">
      <c r="A2397" t="s">
        <v>193</v>
      </c>
      <c r="B2397" t="s">
        <v>194</v>
      </c>
      <c r="C2397" t="s">
        <v>9567</v>
      </c>
      <c r="D2397" t="s">
        <v>15014</v>
      </c>
      <c r="E2397" t="s">
        <v>15015</v>
      </c>
      <c r="F2397" t="s">
        <v>15016</v>
      </c>
      <c r="G2397" t="s">
        <v>19188</v>
      </c>
      <c r="I2397" t="s">
        <v>18793</v>
      </c>
      <c r="K2397" t="str">
        <f>HYPERLINK("http://tuberculist.epfl.ch/quicksearch.php?gene+name=Rv2329c&amp;submit=Search")</f>
        <v>http://tuberculist.epfl.ch/quicksearch.php?gene+name=Rv2329c&amp;submit=Search</v>
      </c>
    </row>
    <row r="2398" spans="1:11">
      <c r="A2398" t="s">
        <v>7398</v>
      </c>
      <c r="B2398" t="s">
        <v>2458</v>
      </c>
      <c r="C2398" t="s">
        <v>9567</v>
      </c>
      <c r="D2398" t="s">
        <v>9587</v>
      </c>
      <c r="E2398" t="s">
        <v>15017</v>
      </c>
      <c r="F2398" t="s">
        <v>15018</v>
      </c>
      <c r="G2398" t="s">
        <v>19188</v>
      </c>
      <c r="H2398" t="s">
        <v>19233</v>
      </c>
      <c r="I2398" t="s">
        <v>19049</v>
      </c>
      <c r="K2398" t="str">
        <f>HYPERLINK("http://tuberculist.epfl.ch/quicksearch.php?gene+name=Rv2330c&amp;submit=Search")</f>
        <v>http://tuberculist.epfl.ch/quicksearch.php?gene+name=Rv2330c&amp;submit=Search</v>
      </c>
    </row>
    <row r="2399" spans="1:11">
      <c r="A2399" t="s">
        <v>868</v>
      </c>
      <c r="B2399" t="s">
        <v>868</v>
      </c>
      <c r="C2399" t="s">
        <v>9567</v>
      </c>
      <c r="D2399" t="s">
        <v>9587</v>
      </c>
      <c r="E2399" t="s">
        <v>9713</v>
      </c>
      <c r="F2399" t="s">
        <v>15019</v>
      </c>
      <c r="G2399" t="s">
        <v>19210</v>
      </c>
      <c r="H2399" t="s">
        <v>19211</v>
      </c>
      <c r="I2399" t="s">
        <v>18793</v>
      </c>
      <c r="K2399" t="str">
        <f>HYPERLINK("http://tuberculist.epfl.ch/quicksearch.php?gene+name=Rv2331&amp;submit=Search")</f>
        <v>http://tuberculist.epfl.ch/quicksearch.php?gene+name=Rv2331&amp;submit=Search</v>
      </c>
    </row>
    <row r="2400" spans="1:11">
      <c r="A2400" t="s">
        <v>3094</v>
      </c>
      <c r="B2400" t="s">
        <v>3094</v>
      </c>
      <c r="C2400" t="s">
        <v>9567</v>
      </c>
      <c r="D2400" t="s">
        <v>9587</v>
      </c>
      <c r="E2400" t="s">
        <v>9713</v>
      </c>
      <c r="F2400" t="s">
        <v>15020</v>
      </c>
      <c r="G2400" t="s">
        <v>19212</v>
      </c>
      <c r="I2400" t="s">
        <v>18793</v>
      </c>
      <c r="K2400" t="str">
        <f>HYPERLINK("http://tuberculist.epfl.ch/quicksearch.php?gene+name=Rv2331A&amp;submit=Search")</f>
        <v>http://tuberculist.epfl.ch/quicksearch.php?gene+name=Rv2331A&amp;submit=Search</v>
      </c>
    </row>
    <row r="2401" spans="1:11">
      <c r="A2401" t="s">
        <v>5509</v>
      </c>
      <c r="B2401" t="s">
        <v>1518</v>
      </c>
      <c r="C2401" t="s">
        <v>9567</v>
      </c>
      <c r="D2401" t="s">
        <v>15021</v>
      </c>
      <c r="E2401" t="s">
        <v>15022</v>
      </c>
      <c r="F2401" t="s">
        <v>15023</v>
      </c>
      <c r="G2401" t="s">
        <v>19195</v>
      </c>
      <c r="H2401" t="s">
        <v>19443</v>
      </c>
      <c r="I2401" t="s">
        <v>18789</v>
      </c>
      <c r="K2401" t="str">
        <f>HYPERLINK("http://tuberculist.epfl.ch/quicksearch.php?gene+name=Rv2332&amp;submit=Search")</f>
        <v>http://tuberculist.epfl.ch/quicksearch.php?gene+name=Rv2332&amp;submit=Search</v>
      </c>
    </row>
    <row r="2402" spans="1:11">
      <c r="A2402" t="s">
        <v>15024</v>
      </c>
      <c r="B2402" t="s">
        <v>1734</v>
      </c>
      <c r="C2402" t="s">
        <v>9567</v>
      </c>
      <c r="D2402" t="s">
        <v>15025</v>
      </c>
      <c r="E2402" t="s">
        <v>15026</v>
      </c>
      <c r="F2402" t="s">
        <v>15027</v>
      </c>
      <c r="G2402" t="s">
        <v>19188</v>
      </c>
      <c r="H2402" t="s">
        <v>19254</v>
      </c>
      <c r="I2402" t="s">
        <v>18789</v>
      </c>
      <c r="K2402" t="str">
        <f>HYPERLINK("http://tuberculist.epfl.ch/quicksearch.php?gene+name=Rv2333c&amp;submit=Search")</f>
        <v>http://tuberculist.epfl.ch/quicksearch.php?gene+name=Rv2333c&amp;submit=Search</v>
      </c>
    </row>
    <row r="2403" spans="1:11">
      <c r="A2403" t="s">
        <v>7880</v>
      </c>
      <c r="B2403" t="s">
        <v>2702</v>
      </c>
      <c r="C2403" t="s">
        <v>9567</v>
      </c>
      <c r="D2403" t="s">
        <v>15028</v>
      </c>
      <c r="E2403" t="s">
        <v>15029</v>
      </c>
      <c r="F2403" t="s">
        <v>15030</v>
      </c>
      <c r="G2403" t="s">
        <v>19195</v>
      </c>
      <c r="H2403" t="s">
        <v>19867</v>
      </c>
      <c r="I2403" t="s">
        <v>18779</v>
      </c>
      <c r="K2403" t="str">
        <f>HYPERLINK("http://tuberculist.epfl.ch/quicksearch.php?gene+name=Rv2334&amp;submit=Search")</f>
        <v>http://tuberculist.epfl.ch/quicksearch.php?gene+name=Rv2334&amp;submit=Search</v>
      </c>
    </row>
    <row r="2404" spans="1:11">
      <c r="A2404" t="s">
        <v>15031</v>
      </c>
      <c r="B2404" t="s">
        <v>1478</v>
      </c>
      <c r="C2404" t="s">
        <v>9567</v>
      </c>
      <c r="D2404" t="s">
        <v>15032</v>
      </c>
      <c r="E2404" t="s">
        <v>15033</v>
      </c>
      <c r="F2404" t="s">
        <v>15034</v>
      </c>
      <c r="G2404" t="s">
        <v>19195</v>
      </c>
      <c r="I2404" t="s">
        <v>19050</v>
      </c>
      <c r="K2404" t="str">
        <f>HYPERLINK("http://tuberculist.epfl.ch/quicksearch.php?gene+name=Rv2335&amp;submit=Search")</f>
        <v>http://tuberculist.epfl.ch/quicksearch.php?gene+name=Rv2335&amp;submit=Search</v>
      </c>
    </row>
    <row r="2405" spans="1:11">
      <c r="A2405" t="s">
        <v>2172</v>
      </c>
      <c r="B2405" t="s">
        <v>2172</v>
      </c>
      <c r="C2405" t="s">
        <v>9567</v>
      </c>
      <c r="D2405" t="s">
        <v>15035</v>
      </c>
      <c r="E2405" t="s">
        <v>9713</v>
      </c>
      <c r="F2405" t="s">
        <v>15036</v>
      </c>
      <c r="G2405" t="s">
        <v>19212</v>
      </c>
      <c r="H2405" t="s">
        <v>19207</v>
      </c>
      <c r="I2405" t="s">
        <v>18779</v>
      </c>
      <c r="J2405" t="s">
        <v>18778</v>
      </c>
      <c r="K2405" t="str">
        <f>HYPERLINK("http://tuberculist.epfl.ch/quicksearch.php?gene+name=Rv2336&amp;submit=Search")</f>
        <v>http://tuberculist.epfl.ch/quicksearch.php?gene+name=Rv2336&amp;submit=Search</v>
      </c>
    </row>
    <row r="2406" spans="1:11">
      <c r="A2406" t="s">
        <v>1238</v>
      </c>
      <c r="B2406" t="s">
        <v>1238</v>
      </c>
      <c r="C2406" t="s">
        <v>9567</v>
      </c>
      <c r="D2406" t="s">
        <v>9587</v>
      </c>
      <c r="E2406" t="s">
        <v>9713</v>
      </c>
      <c r="F2406" t="s">
        <v>15037</v>
      </c>
      <c r="G2406" t="s">
        <v>19212</v>
      </c>
      <c r="H2406" t="s">
        <v>19207</v>
      </c>
      <c r="I2406" t="s">
        <v>18780</v>
      </c>
      <c r="J2406" t="s">
        <v>18809</v>
      </c>
      <c r="K2406" t="str">
        <f>HYPERLINK("http://tuberculist.epfl.ch/quicksearch.php?gene+name=Rv2337c&amp;submit=Search")</f>
        <v>http://tuberculist.epfl.ch/quicksearch.php?gene+name=Rv2337c&amp;submit=Search</v>
      </c>
    </row>
    <row r="2407" spans="1:11">
      <c r="A2407" t="s">
        <v>15038</v>
      </c>
      <c r="B2407" t="s">
        <v>15039</v>
      </c>
      <c r="C2407" t="s">
        <v>9567</v>
      </c>
      <c r="D2407" t="s">
        <v>15040</v>
      </c>
      <c r="E2407" t="s">
        <v>15041</v>
      </c>
      <c r="F2407" t="s">
        <v>15042</v>
      </c>
      <c r="G2407" t="s">
        <v>19195</v>
      </c>
      <c r="I2407" t="s">
        <v>18800</v>
      </c>
      <c r="K2407" t="str">
        <f>HYPERLINK("http://tuberculist.epfl.ch/quicksearch.php?gene+name=Rv2338c&amp;submit=Search")</f>
        <v>http://tuberculist.epfl.ch/quicksearch.php?gene+name=Rv2338c&amp;submit=Search</v>
      </c>
    </row>
    <row r="2408" spans="1:11">
      <c r="A2408" t="s">
        <v>15043</v>
      </c>
      <c r="B2408" t="s">
        <v>2250</v>
      </c>
      <c r="C2408" t="s">
        <v>9567</v>
      </c>
      <c r="D2408" t="s">
        <v>10051</v>
      </c>
      <c r="E2408" t="s">
        <v>15044</v>
      </c>
      <c r="F2408" t="s">
        <v>15045</v>
      </c>
      <c r="G2408" t="s">
        <v>19188</v>
      </c>
      <c r="H2408" t="s">
        <v>19868</v>
      </c>
      <c r="I2408" t="s">
        <v>18795</v>
      </c>
      <c r="K2408" t="str">
        <f>HYPERLINK("http://tuberculist.epfl.ch/quicksearch.php?gene+name=Rv2339&amp;submit=Search")</f>
        <v>http://tuberculist.epfl.ch/quicksearch.php?gene+name=Rv2339&amp;submit=Search</v>
      </c>
    </row>
    <row r="2409" spans="1:11">
      <c r="A2409" t="s">
        <v>8432</v>
      </c>
      <c r="B2409" t="s">
        <v>2965</v>
      </c>
      <c r="C2409" t="s">
        <v>9567</v>
      </c>
      <c r="D2409" t="s">
        <v>9578</v>
      </c>
      <c r="E2409" t="s">
        <v>15046</v>
      </c>
      <c r="F2409" t="s">
        <v>15047</v>
      </c>
      <c r="G2409" t="s">
        <v>19262</v>
      </c>
      <c r="H2409" t="s">
        <v>19257</v>
      </c>
      <c r="I2409" t="s">
        <v>18789</v>
      </c>
      <c r="K2409" t="str">
        <f>HYPERLINK("http://tuberculist.epfl.ch/quicksearch.php?gene+name=Rv2340c&amp;submit=Search")</f>
        <v>http://tuberculist.epfl.ch/quicksearch.php?gene+name=Rv2340c&amp;submit=Search</v>
      </c>
    </row>
    <row r="2410" spans="1:11">
      <c r="A2410" t="s">
        <v>15048</v>
      </c>
      <c r="B2410" t="s">
        <v>15049</v>
      </c>
      <c r="C2410" t="s">
        <v>9567</v>
      </c>
      <c r="D2410" t="s">
        <v>9587</v>
      </c>
      <c r="E2410" t="s">
        <v>15050</v>
      </c>
      <c r="F2410" t="s">
        <v>15051</v>
      </c>
      <c r="G2410" t="s">
        <v>19188</v>
      </c>
      <c r="I2410" t="s">
        <v>18789</v>
      </c>
      <c r="K2410" t="str">
        <f>HYPERLINK("http://tuberculist.epfl.ch/quicksearch.php?gene+name=Rv2341&amp;submit=Search")</f>
        <v>http://tuberculist.epfl.ch/quicksearch.php?gene+name=Rv2341&amp;submit=Search</v>
      </c>
    </row>
    <row r="2411" spans="1:11">
      <c r="A2411" t="s">
        <v>15052</v>
      </c>
      <c r="B2411" t="s">
        <v>15052</v>
      </c>
      <c r="C2411" t="s">
        <v>9567</v>
      </c>
      <c r="D2411" t="s">
        <v>9578</v>
      </c>
      <c r="E2411" t="s">
        <v>9579</v>
      </c>
      <c r="F2411" t="s">
        <v>15053</v>
      </c>
      <c r="G2411" t="s">
        <v>19212</v>
      </c>
      <c r="I2411" t="s">
        <v>18789</v>
      </c>
      <c r="J2411" t="s">
        <v>18775</v>
      </c>
      <c r="K2411" t="str">
        <f>HYPERLINK("http://tuberculist.epfl.ch/quicksearch.php?gene+name=Rv2342&amp;submit=Search")</f>
        <v>http://tuberculist.epfl.ch/quicksearch.php?gene+name=Rv2342&amp;submit=Search</v>
      </c>
    </row>
    <row r="2412" spans="1:11">
      <c r="A2412" t="s">
        <v>3750</v>
      </c>
      <c r="B2412" t="s">
        <v>636</v>
      </c>
      <c r="C2412" t="s">
        <v>9567</v>
      </c>
      <c r="D2412" t="s">
        <v>15054</v>
      </c>
      <c r="E2412" t="s">
        <v>15055</v>
      </c>
      <c r="F2412" t="s">
        <v>15056</v>
      </c>
      <c r="G2412" t="s">
        <v>19181</v>
      </c>
      <c r="H2412" t="s">
        <v>19207</v>
      </c>
      <c r="I2412" t="s">
        <v>18774</v>
      </c>
      <c r="K2412" t="str">
        <f>HYPERLINK("http://tuberculist.epfl.ch/quicksearch.php?gene+name=Rv2343c&amp;submit=Search")</f>
        <v>http://tuberculist.epfl.ch/quicksearch.php?gene+name=Rv2343c&amp;submit=Search</v>
      </c>
    </row>
    <row r="2413" spans="1:11">
      <c r="A2413" t="s">
        <v>8939</v>
      </c>
      <c r="B2413" t="s">
        <v>3197</v>
      </c>
      <c r="C2413" t="s">
        <v>9567</v>
      </c>
      <c r="D2413" t="s">
        <v>15057</v>
      </c>
      <c r="E2413" t="s">
        <v>15058</v>
      </c>
      <c r="F2413" t="s">
        <v>15059</v>
      </c>
      <c r="G2413" t="s">
        <v>19195</v>
      </c>
      <c r="H2413" t="s">
        <v>19869</v>
      </c>
      <c r="I2413" t="s">
        <v>18780</v>
      </c>
      <c r="K2413" t="str">
        <f>HYPERLINK("http://tuberculist.epfl.ch/quicksearch.php?gene+name=Rv2344c&amp;submit=Search")</f>
        <v>http://tuberculist.epfl.ch/quicksearch.php?gene+name=Rv2344c&amp;submit=Search</v>
      </c>
    </row>
    <row r="2414" spans="1:11">
      <c r="A2414" t="s">
        <v>2877</v>
      </c>
      <c r="B2414" t="s">
        <v>2877</v>
      </c>
      <c r="C2414" t="s">
        <v>9567</v>
      </c>
      <c r="D2414" t="s">
        <v>9587</v>
      </c>
      <c r="E2414" t="s">
        <v>9671</v>
      </c>
      <c r="F2414" t="s">
        <v>15060</v>
      </c>
      <c r="G2414" t="s">
        <v>19188</v>
      </c>
      <c r="H2414" t="s">
        <v>19870</v>
      </c>
      <c r="I2414" t="s">
        <v>18789</v>
      </c>
      <c r="K2414" t="str">
        <f>HYPERLINK("http://tuberculist.epfl.ch/quicksearch.php?gene+name=Rv2345&amp;submit=Search")</f>
        <v>http://tuberculist.epfl.ch/quicksearch.php?gene+name=Rv2345&amp;submit=Search</v>
      </c>
    </row>
    <row r="2415" spans="1:11">
      <c r="A2415" t="s">
        <v>15061</v>
      </c>
      <c r="B2415" t="s">
        <v>15062</v>
      </c>
      <c r="C2415" t="s">
        <v>9567</v>
      </c>
      <c r="D2415" t="s">
        <v>9578</v>
      </c>
      <c r="E2415" t="s">
        <v>15063</v>
      </c>
      <c r="F2415" t="s">
        <v>15064</v>
      </c>
      <c r="G2415" t="s">
        <v>19188</v>
      </c>
      <c r="H2415" t="s">
        <v>19628</v>
      </c>
      <c r="I2415" t="s">
        <v>18818</v>
      </c>
      <c r="K2415" t="str">
        <f>HYPERLINK("http://tuberculist.epfl.ch/quicksearch.php?gene+name=Rv2346c&amp;submit=Search")</f>
        <v>http://tuberculist.epfl.ch/quicksearch.php?gene+name=Rv2346c&amp;submit=Search</v>
      </c>
    </row>
    <row r="2416" spans="1:11">
      <c r="A2416" t="s">
        <v>15065</v>
      </c>
      <c r="B2416" t="s">
        <v>15066</v>
      </c>
      <c r="C2416" t="s">
        <v>9567</v>
      </c>
      <c r="D2416" t="s">
        <v>9578</v>
      </c>
      <c r="E2416" t="s">
        <v>15067</v>
      </c>
      <c r="F2416" t="s">
        <v>15068</v>
      </c>
      <c r="G2416" t="s">
        <v>19188</v>
      </c>
      <c r="I2416" t="s">
        <v>18792</v>
      </c>
      <c r="K2416" t="str">
        <f>HYPERLINK("http://tuberculist.epfl.ch/quicksearch.php?gene+name=Rv2347c&amp;submit=Search")</f>
        <v>http://tuberculist.epfl.ch/quicksearch.php?gene+name=Rv2347c&amp;submit=Search</v>
      </c>
    </row>
    <row r="2417" spans="1:11">
      <c r="A2417" t="s">
        <v>15069</v>
      </c>
      <c r="B2417" t="s">
        <v>15069</v>
      </c>
      <c r="C2417" t="s">
        <v>9567</v>
      </c>
      <c r="D2417" t="s">
        <v>9587</v>
      </c>
      <c r="E2417" t="s">
        <v>9713</v>
      </c>
      <c r="F2417" t="s">
        <v>15070</v>
      </c>
      <c r="G2417" t="s">
        <v>19363</v>
      </c>
      <c r="H2417" t="s">
        <v>19542</v>
      </c>
      <c r="I2417" t="s">
        <v>18793</v>
      </c>
      <c r="K2417" t="str">
        <f>HYPERLINK("http://tuberculist.epfl.ch/quicksearch.php?gene+name=Rv2348c&amp;submit=Search")</f>
        <v>http://tuberculist.epfl.ch/quicksearch.php?gene+name=Rv2348c&amp;submit=Search</v>
      </c>
    </row>
    <row r="2418" spans="1:11">
      <c r="A2418" t="s">
        <v>15071</v>
      </c>
      <c r="B2418" t="s">
        <v>15072</v>
      </c>
      <c r="C2418" t="s">
        <v>9567</v>
      </c>
      <c r="D2418" t="s">
        <v>15073</v>
      </c>
      <c r="E2418" t="s">
        <v>15074</v>
      </c>
      <c r="F2418" t="s">
        <v>15075</v>
      </c>
      <c r="G2418" t="s">
        <v>19195</v>
      </c>
      <c r="H2418" t="s">
        <v>19864</v>
      </c>
      <c r="I2418" t="s">
        <v>18792</v>
      </c>
      <c r="K2418" t="str">
        <f>HYPERLINK("http://tuberculist.epfl.ch/quicksearch.php?gene+name=Rv2349c&amp;submit=Search")</f>
        <v>http://tuberculist.epfl.ch/quicksearch.php?gene+name=Rv2349c&amp;submit=Search</v>
      </c>
    </row>
    <row r="2419" spans="1:11">
      <c r="A2419" t="s">
        <v>15076</v>
      </c>
      <c r="B2419" t="s">
        <v>15077</v>
      </c>
      <c r="C2419" t="s">
        <v>9567</v>
      </c>
      <c r="D2419" t="s">
        <v>15073</v>
      </c>
      <c r="E2419" t="s">
        <v>15078</v>
      </c>
      <c r="F2419" t="s">
        <v>15079</v>
      </c>
      <c r="G2419" t="s">
        <v>19195</v>
      </c>
      <c r="H2419" t="s">
        <v>19233</v>
      </c>
      <c r="I2419" t="s">
        <v>18793</v>
      </c>
      <c r="K2419" t="str">
        <f>HYPERLINK("http://tuberculist.epfl.ch/quicksearch.php?gene+name=Rv2350c&amp;submit=Search")</f>
        <v>http://tuberculist.epfl.ch/quicksearch.php?gene+name=Rv2350c&amp;submit=Search</v>
      </c>
    </row>
    <row r="2420" spans="1:11">
      <c r="A2420" t="s">
        <v>15080</v>
      </c>
      <c r="B2420" t="s">
        <v>15081</v>
      </c>
      <c r="C2420" t="s">
        <v>9567</v>
      </c>
      <c r="D2420" t="s">
        <v>15073</v>
      </c>
      <c r="E2420" t="s">
        <v>15082</v>
      </c>
      <c r="F2420" t="s">
        <v>15083</v>
      </c>
      <c r="G2420" t="s">
        <v>19195</v>
      </c>
      <c r="H2420" t="s">
        <v>19278</v>
      </c>
      <c r="I2420" t="s">
        <v>18798</v>
      </c>
      <c r="K2420" t="str">
        <f>HYPERLINK("http://tuberculist.epfl.ch/quicksearch.php?gene+name=Rv2351c&amp;submit=Search")</f>
        <v>http://tuberculist.epfl.ch/quicksearch.php?gene+name=Rv2351c&amp;submit=Search</v>
      </c>
    </row>
    <row r="2421" spans="1:11">
      <c r="A2421" t="s">
        <v>15084</v>
      </c>
      <c r="B2421" t="s">
        <v>15085</v>
      </c>
      <c r="C2421" t="s">
        <v>9567</v>
      </c>
      <c r="D2421" t="s">
        <v>9578</v>
      </c>
      <c r="E2421" t="s">
        <v>15086</v>
      </c>
      <c r="F2421" t="s">
        <v>15087</v>
      </c>
      <c r="G2421" t="s">
        <v>19253</v>
      </c>
      <c r="H2421" t="s">
        <v>19871</v>
      </c>
      <c r="I2421" t="s">
        <v>18804</v>
      </c>
      <c r="J2421" t="s">
        <v>18775</v>
      </c>
      <c r="K2421" t="str">
        <f>HYPERLINK("http://tuberculist.epfl.ch/quicksearch.php?gene+name=Rv2352c&amp;submit=Search")</f>
        <v>http://tuberculist.epfl.ch/quicksearch.php?gene+name=Rv2352c&amp;submit=Search</v>
      </c>
    </row>
    <row r="2422" spans="1:11">
      <c r="A2422" t="s">
        <v>15088</v>
      </c>
      <c r="B2422" t="s">
        <v>480</v>
      </c>
      <c r="C2422" t="s">
        <v>9567</v>
      </c>
      <c r="D2422" t="s">
        <v>9578</v>
      </c>
      <c r="E2422" t="s">
        <v>15089</v>
      </c>
      <c r="F2422" t="s">
        <v>15090</v>
      </c>
      <c r="G2422" t="s">
        <v>19262</v>
      </c>
      <c r="I2422" t="s">
        <v>18964</v>
      </c>
      <c r="K2422" t="str">
        <f>HYPERLINK("http://tuberculist.epfl.ch/quicksearch.php?gene+name=Rv2353c&amp;submit=Search")</f>
        <v>http://tuberculist.epfl.ch/quicksearch.php?gene+name=Rv2353c&amp;submit=Search</v>
      </c>
    </row>
    <row r="2423" spans="1:11">
      <c r="A2423" t="s">
        <v>15091</v>
      </c>
      <c r="B2423" t="s">
        <v>15091</v>
      </c>
      <c r="C2423" t="s">
        <v>9567</v>
      </c>
      <c r="D2423" t="s">
        <v>15092</v>
      </c>
      <c r="E2423" t="s">
        <v>15093</v>
      </c>
      <c r="F2423" t="s">
        <v>15094</v>
      </c>
      <c r="G2423" t="s">
        <v>19217</v>
      </c>
      <c r="I2423" t="s">
        <v>18964</v>
      </c>
      <c r="K2423" t="str">
        <f>HYPERLINK("http://tuberculist.epfl.ch/quicksearch.php?gene+name=Rv2354&amp;submit=Search")</f>
        <v>http://tuberculist.epfl.ch/quicksearch.php?gene+name=Rv2354&amp;submit=Search</v>
      </c>
    </row>
    <row r="2424" spans="1:11">
      <c r="A2424" t="s">
        <v>15095</v>
      </c>
      <c r="B2424" t="s">
        <v>15095</v>
      </c>
      <c r="C2424" t="s">
        <v>9567</v>
      </c>
      <c r="D2424" t="s">
        <v>15092</v>
      </c>
      <c r="E2424" t="s">
        <v>11730</v>
      </c>
      <c r="F2424" t="s">
        <v>15096</v>
      </c>
      <c r="G2424" t="s">
        <v>19217</v>
      </c>
      <c r="I2424" t="s">
        <v>18802</v>
      </c>
      <c r="K2424" t="str">
        <f>HYPERLINK("http://tuberculist.epfl.ch/quicksearch.php?gene+name=Rv2355&amp;submit=Search")</f>
        <v>http://tuberculist.epfl.ch/quicksearch.php?gene+name=Rv2355&amp;submit=Search</v>
      </c>
    </row>
    <row r="2425" spans="1:11">
      <c r="A2425" t="s">
        <v>15097</v>
      </c>
      <c r="B2425" t="s">
        <v>15098</v>
      </c>
      <c r="C2425" t="s">
        <v>9567</v>
      </c>
      <c r="D2425" t="s">
        <v>9578</v>
      </c>
      <c r="E2425" t="s">
        <v>15099</v>
      </c>
      <c r="F2425" t="s">
        <v>15100</v>
      </c>
      <c r="G2425" t="s">
        <v>19253</v>
      </c>
      <c r="H2425" t="s">
        <v>19213</v>
      </c>
      <c r="I2425" t="s">
        <v>18776</v>
      </c>
      <c r="K2425" t="str">
        <f>HYPERLINK("http://tuberculist.epfl.ch/quicksearch.php?gene+name=Rv2356c&amp;submit=Search")</f>
        <v>http://tuberculist.epfl.ch/quicksearch.php?gene+name=Rv2356c&amp;submit=Search</v>
      </c>
    </row>
    <row r="2426" spans="1:11">
      <c r="A2426" t="s">
        <v>7956</v>
      </c>
      <c r="B2426" t="s">
        <v>2739</v>
      </c>
      <c r="C2426" t="s">
        <v>9567</v>
      </c>
      <c r="D2426" t="s">
        <v>15101</v>
      </c>
      <c r="E2426" t="s">
        <v>15102</v>
      </c>
      <c r="F2426" t="s">
        <v>15103</v>
      </c>
      <c r="G2426" t="s">
        <v>19181</v>
      </c>
      <c r="H2426" t="s">
        <v>19872</v>
      </c>
      <c r="I2426" t="s">
        <v>18774</v>
      </c>
      <c r="K2426" t="str">
        <f>HYPERLINK("http://tuberculist.epfl.ch/quicksearch.php?gene+name=Rv2357c&amp;submit=Search")</f>
        <v>http://tuberculist.epfl.ch/quicksearch.php?gene+name=Rv2357c&amp;submit=Search</v>
      </c>
    </row>
    <row r="2427" spans="1:11">
      <c r="A2427" t="s">
        <v>16</v>
      </c>
      <c r="B2427" t="s">
        <v>15</v>
      </c>
      <c r="C2427" t="s">
        <v>9567</v>
      </c>
      <c r="D2427" t="s">
        <v>9629</v>
      </c>
      <c r="E2427" t="s">
        <v>15104</v>
      </c>
      <c r="F2427" t="s">
        <v>15105</v>
      </c>
      <c r="G2427" t="s">
        <v>19197</v>
      </c>
      <c r="H2427" t="s">
        <v>19287</v>
      </c>
      <c r="I2427" t="s">
        <v>18779</v>
      </c>
      <c r="K2427" t="str">
        <f>HYPERLINK("http://tuberculist.epfl.ch/quicksearch.php?gene+name=Rv2358&amp;submit=Search")</f>
        <v>http://tuberculist.epfl.ch/quicksearch.php?gene+name=Rv2358&amp;submit=Search</v>
      </c>
    </row>
    <row r="2428" spans="1:11">
      <c r="A2428" t="s">
        <v>15106</v>
      </c>
      <c r="B2428" t="s">
        <v>25</v>
      </c>
      <c r="C2428" t="s">
        <v>9567</v>
      </c>
      <c r="D2428" t="s">
        <v>15107</v>
      </c>
      <c r="E2428" t="s">
        <v>15108</v>
      </c>
      <c r="F2428" t="s">
        <v>15109</v>
      </c>
      <c r="G2428" t="s">
        <v>19197</v>
      </c>
      <c r="H2428" t="s">
        <v>19225</v>
      </c>
      <c r="I2428" t="s">
        <v>19051</v>
      </c>
      <c r="K2428" t="str">
        <f>HYPERLINK("http://tuberculist.epfl.ch/quicksearch.php?gene+name=Rv2359&amp;submit=Search")</f>
        <v>http://tuberculist.epfl.ch/quicksearch.php?gene+name=Rv2359&amp;submit=Search</v>
      </c>
    </row>
    <row r="2429" spans="1:11">
      <c r="A2429" t="s">
        <v>2031</v>
      </c>
      <c r="B2429" t="s">
        <v>2031</v>
      </c>
      <c r="C2429" t="s">
        <v>9567</v>
      </c>
      <c r="D2429" t="s">
        <v>9587</v>
      </c>
      <c r="E2429" t="s">
        <v>9768</v>
      </c>
      <c r="F2429" t="s">
        <v>15110</v>
      </c>
      <c r="G2429" t="s">
        <v>19212</v>
      </c>
      <c r="H2429" t="s">
        <v>19250</v>
      </c>
      <c r="I2429" t="s">
        <v>18780</v>
      </c>
      <c r="K2429" t="str">
        <f>HYPERLINK("http://tuberculist.epfl.ch/quicksearch.php?gene+name=Rv2360c&amp;submit=Search")</f>
        <v>http://tuberculist.epfl.ch/quicksearch.php?gene+name=Rv2360c&amp;submit=Search</v>
      </c>
    </row>
    <row r="2430" spans="1:11">
      <c r="A2430" t="s">
        <v>1465</v>
      </c>
      <c r="B2430" t="s">
        <v>1465</v>
      </c>
      <c r="C2430" t="s">
        <v>9567</v>
      </c>
      <c r="D2430" t="s">
        <v>15111</v>
      </c>
      <c r="E2430" t="s">
        <v>15112</v>
      </c>
      <c r="F2430" t="s">
        <v>15113</v>
      </c>
      <c r="G2430" t="s">
        <v>19188</v>
      </c>
      <c r="H2430" t="s">
        <v>19377</v>
      </c>
      <c r="I2430" t="s">
        <v>18774</v>
      </c>
      <c r="K2430" t="str">
        <f>HYPERLINK("http://tuberculist.epfl.ch/quicksearch.php?gene+name=Rv2361c&amp;submit=Search")</f>
        <v>http://tuberculist.epfl.ch/quicksearch.php?gene+name=Rv2361c&amp;submit=Search</v>
      </c>
    </row>
    <row r="2431" spans="1:11">
      <c r="A2431" t="s">
        <v>4042</v>
      </c>
      <c r="B2431" t="s">
        <v>779</v>
      </c>
      <c r="C2431" t="s">
        <v>9567</v>
      </c>
      <c r="D2431" t="s">
        <v>15114</v>
      </c>
      <c r="E2431" t="s">
        <v>15115</v>
      </c>
      <c r="F2431" t="s">
        <v>15116</v>
      </c>
      <c r="G2431" t="s">
        <v>19181</v>
      </c>
      <c r="H2431" t="s">
        <v>19205</v>
      </c>
      <c r="I2431" t="s">
        <v>18773</v>
      </c>
      <c r="K2431" t="str">
        <f>HYPERLINK("http://tuberculist.epfl.ch/quicksearch.php?gene+name=Rv2362c&amp;submit=Search")</f>
        <v>http://tuberculist.epfl.ch/quicksearch.php?gene+name=Rv2362c&amp;submit=Search</v>
      </c>
    </row>
    <row r="2432" spans="1:11">
      <c r="A2432" t="s">
        <v>3610</v>
      </c>
      <c r="B2432" t="s">
        <v>566</v>
      </c>
      <c r="C2432" t="s">
        <v>9567</v>
      </c>
      <c r="D2432" t="s">
        <v>15117</v>
      </c>
      <c r="E2432" t="s">
        <v>15118</v>
      </c>
      <c r="F2432" t="s">
        <v>15119</v>
      </c>
      <c r="G2432" t="s">
        <v>19195</v>
      </c>
      <c r="H2432" t="s">
        <v>19529</v>
      </c>
      <c r="I2432" t="s">
        <v>18779</v>
      </c>
      <c r="K2432" t="str">
        <f>HYPERLINK("http://tuberculist.epfl.ch/quicksearch.php?gene+name=Rv2363&amp;submit=Search")</f>
        <v>http://tuberculist.epfl.ch/quicksearch.php?gene+name=Rv2363&amp;submit=Search</v>
      </c>
    </row>
    <row r="2433" spans="1:11">
      <c r="A2433" t="s">
        <v>7374</v>
      </c>
      <c r="B2433" t="s">
        <v>2448</v>
      </c>
      <c r="C2433" t="s">
        <v>9567</v>
      </c>
      <c r="D2433" t="s">
        <v>13626</v>
      </c>
      <c r="E2433" t="s">
        <v>15120</v>
      </c>
      <c r="F2433" t="s">
        <v>15121</v>
      </c>
      <c r="G2433" t="s">
        <v>19195</v>
      </c>
      <c r="H2433" t="s">
        <v>19873</v>
      </c>
      <c r="I2433" t="s">
        <v>18774</v>
      </c>
      <c r="K2433" t="str">
        <f>HYPERLINK("http://tuberculist.epfl.ch/quicksearch.php?gene+name=Rv2364c&amp;submit=Search")</f>
        <v>http://tuberculist.epfl.ch/quicksearch.php?gene+name=Rv2364c&amp;submit=Search</v>
      </c>
    </row>
    <row r="2434" spans="1:11">
      <c r="A2434" t="s">
        <v>15122</v>
      </c>
      <c r="B2434" t="s">
        <v>15122</v>
      </c>
      <c r="C2434" t="s">
        <v>9567</v>
      </c>
      <c r="D2434" t="s">
        <v>9578</v>
      </c>
      <c r="E2434" t="s">
        <v>9579</v>
      </c>
      <c r="F2434" t="s">
        <v>15123</v>
      </c>
      <c r="G2434" t="s">
        <v>19212</v>
      </c>
      <c r="I2434" t="s">
        <v>18801</v>
      </c>
      <c r="K2434" t="str">
        <f>HYPERLINK("http://tuberculist.epfl.ch/quicksearch.php?gene+name=Rv2365c&amp;submit=Search")</f>
        <v>http://tuberculist.epfl.ch/quicksearch.php?gene+name=Rv2365c&amp;submit=Search</v>
      </c>
    </row>
    <row r="2435" spans="1:11">
      <c r="A2435" t="s">
        <v>467</v>
      </c>
      <c r="B2435" t="s">
        <v>467</v>
      </c>
      <c r="C2435" t="s">
        <v>9567</v>
      </c>
      <c r="D2435" t="s">
        <v>9578</v>
      </c>
      <c r="E2435" t="s">
        <v>9597</v>
      </c>
      <c r="F2435" t="s">
        <v>15124</v>
      </c>
      <c r="G2435" t="s">
        <v>19188</v>
      </c>
      <c r="H2435" t="s">
        <v>19207</v>
      </c>
      <c r="I2435" t="s">
        <v>18780</v>
      </c>
      <c r="K2435" t="str">
        <f>HYPERLINK("http://tuberculist.epfl.ch/quicksearch.php?gene+name=Rv2366c&amp;submit=Search")</f>
        <v>http://tuberculist.epfl.ch/quicksearch.php?gene+name=Rv2366c&amp;submit=Search</v>
      </c>
    </row>
    <row r="2436" spans="1:11">
      <c r="A2436" t="s">
        <v>328</v>
      </c>
      <c r="B2436" t="s">
        <v>328</v>
      </c>
      <c r="C2436" t="s">
        <v>9567</v>
      </c>
      <c r="D2436" t="s">
        <v>9578</v>
      </c>
      <c r="E2436" t="s">
        <v>9579</v>
      </c>
      <c r="F2436" t="s">
        <v>15125</v>
      </c>
      <c r="G2436" t="s">
        <v>19204</v>
      </c>
      <c r="I2436" t="s">
        <v>18779</v>
      </c>
      <c r="K2436" t="str">
        <f>HYPERLINK("http://tuberculist.epfl.ch/quicksearch.php?gene+name=Rv2367c&amp;submit=Search")</f>
        <v>http://tuberculist.epfl.ch/quicksearch.php?gene+name=Rv2367c&amp;submit=Search</v>
      </c>
    </row>
    <row r="2437" spans="1:11">
      <c r="A2437" t="s">
        <v>8830</v>
      </c>
      <c r="B2437" t="s">
        <v>3151</v>
      </c>
      <c r="C2437" t="s">
        <v>9567</v>
      </c>
      <c r="D2437" t="s">
        <v>9587</v>
      </c>
      <c r="E2437" t="s">
        <v>15126</v>
      </c>
      <c r="F2437" t="s">
        <v>15127</v>
      </c>
      <c r="G2437" t="s">
        <v>19195</v>
      </c>
      <c r="H2437" t="s">
        <v>19256</v>
      </c>
      <c r="I2437" t="s">
        <v>18780</v>
      </c>
      <c r="K2437" t="str">
        <f>HYPERLINK("http://tuberculist.epfl.ch/quicksearch.php?gene+name=Rv2368c&amp;submit=Search")</f>
        <v>http://tuberculist.epfl.ch/quicksearch.php?gene+name=Rv2368c&amp;submit=Search</v>
      </c>
    </row>
    <row r="2438" spans="1:11">
      <c r="A2438" t="s">
        <v>15128</v>
      </c>
      <c r="B2438" t="s">
        <v>15128</v>
      </c>
      <c r="C2438" t="s">
        <v>9567</v>
      </c>
      <c r="D2438" t="s">
        <v>9587</v>
      </c>
      <c r="E2438" t="s">
        <v>9713</v>
      </c>
      <c r="F2438" t="s">
        <v>15129</v>
      </c>
      <c r="G2438" t="s">
        <v>19212</v>
      </c>
      <c r="H2438" t="s">
        <v>19215</v>
      </c>
      <c r="I2438" t="s">
        <v>18780</v>
      </c>
      <c r="K2438" t="str">
        <f>HYPERLINK("http://tuberculist.epfl.ch/quicksearch.php?gene+name=Rv2369c&amp;submit=Search")</f>
        <v>http://tuberculist.epfl.ch/quicksearch.php?gene+name=Rv2369c&amp;submit=Search</v>
      </c>
    </row>
    <row r="2439" spans="1:11">
      <c r="A2439" t="s">
        <v>15130</v>
      </c>
      <c r="B2439" t="s">
        <v>15130</v>
      </c>
      <c r="C2439" t="s">
        <v>9567</v>
      </c>
      <c r="D2439" t="s">
        <v>9578</v>
      </c>
      <c r="E2439" t="s">
        <v>9579</v>
      </c>
      <c r="F2439" t="s">
        <v>15131</v>
      </c>
      <c r="G2439" t="s">
        <v>19210</v>
      </c>
      <c r="I2439" t="s">
        <v>18793</v>
      </c>
      <c r="K2439" t="str">
        <f>HYPERLINK("http://tuberculist.epfl.ch/quicksearch.php?gene+name=Rv2370c&amp;submit=Search")</f>
        <v>http://tuberculist.epfl.ch/quicksearch.php?gene+name=Rv2370c&amp;submit=Search</v>
      </c>
    </row>
    <row r="2440" spans="1:11">
      <c r="A2440" t="s">
        <v>15132</v>
      </c>
      <c r="B2440" t="s">
        <v>15133</v>
      </c>
      <c r="C2440" t="s">
        <v>9567</v>
      </c>
      <c r="D2440" t="s">
        <v>9578</v>
      </c>
      <c r="E2440" t="s">
        <v>15134</v>
      </c>
      <c r="F2440" t="s">
        <v>15135</v>
      </c>
      <c r="G2440" t="s">
        <v>19262</v>
      </c>
      <c r="I2440" t="s">
        <v>18779</v>
      </c>
      <c r="K2440" t="str">
        <f>HYPERLINK("http://tuberculist.epfl.ch/quicksearch.php?gene+name=Rv2371&amp;submit=Search")</f>
        <v>http://tuberculist.epfl.ch/quicksearch.php?gene+name=Rv2371&amp;submit=Search</v>
      </c>
    </row>
    <row r="2441" spans="1:11">
      <c r="A2441" t="s">
        <v>2482</v>
      </c>
      <c r="B2441" t="s">
        <v>2482</v>
      </c>
      <c r="C2441" t="s">
        <v>9567</v>
      </c>
      <c r="D2441" t="s">
        <v>9578</v>
      </c>
      <c r="E2441" t="s">
        <v>9579</v>
      </c>
      <c r="F2441" t="s">
        <v>15136</v>
      </c>
      <c r="G2441" t="s">
        <v>19204</v>
      </c>
      <c r="I2441" t="s">
        <v>18780</v>
      </c>
      <c r="K2441" t="str">
        <f>HYPERLINK("http://tuberculist.epfl.ch/quicksearch.php?gene+name=Rv2372c&amp;submit=Search")</f>
        <v>http://tuberculist.epfl.ch/quicksearch.php?gene+name=Rv2372c&amp;submit=Search</v>
      </c>
    </row>
    <row r="2442" spans="1:11">
      <c r="A2442" t="s">
        <v>4545</v>
      </c>
      <c r="B2442" t="s">
        <v>1034</v>
      </c>
      <c r="C2442" t="s">
        <v>9567</v>
      </c>
      <c r="D2442" t="s">
        <v>15137</v>
      </c>
      <c r="E2442" t="s">
        <v>15138</v>
      </c>
      <c r="F2442" t="s">
        <v>15139</v>
      </c>
      <c r="G2442" t="s">
        <v>19206</v>
      </c>
      <c r="H2442" t="s">
        <v>19874</v>
      </c>
      <c r="I2442" t="s">
        <v>18774</v>
      </c>
      <c r="K2442" t="str">
        <f>HYPERLINK("http://tuberculist.epfl.ch/quicksearch.php?gene+name=Rv2373c&amp;submit=Search")</f>
        <v>http://tuberculist.epfl.ch/quicksearch.php?gene+name=Rv2373c&amp;submit=Search</v>
      </c>
    </row>
    <row r="2443" spans="1:11">
      <c r="A2443" t="s">
        <v>4572</v>
      </c>
      <c r="B2443" t="s">
        <v>1045</v>
      </c>
      <c r="C2443" t="s">
        <v>9567</v>
      </c>
      <c r="D2443" t="s">
        <v>15140</v>
      </c>
      <c r="E2443" t="s">
        <v>15141</v>
      </c>
      <c r="F2443" t="s">
        <v>15142</v>
      </c>
      <c r="G2443" t="s">
        <v>19206</v>
      </c>
      <c r="H2443" t="s">
        <v>19250</v>
      </c>
      <c r="I2443" t="s">
        <v>18950</v>
      </c>
      <c r="K2443" t="str">
        <f>HYPERLINK("http://tuberculist.epfl.ch/quicksearch.php?gene+name=Rv2374c&amp;submit=Search")</f>
        <v>http://tuberculist.epfl.ch/quicksearch.php?gene+name=Rv2374c&amp;submit=Search</v>
      </c>
    </row>
    <row r="2444" spans="1:11">
      <c r="A2444" t="s">
        <v>2315</v>
      </c>
      <c r="B2444" t="s">
        <v>2315</v>
      </c>
      <c r="C2444" t="s">
        <v>9567</v>
      </c>
      <c r="D2444" t="s">
        <v>9578</v>
      </c>
      <c r="E2444" t="s">
        <v>9579</v>
      </c>
      <c r="F2444" t="s">
        <v>15143</v>
      </c>
      <c r="G2444" t="s">
        <v>19298</v>
      </c>
      <c r="I2444" t="s">
        <v>18780</v>
      </c>
      <c r="K2444" t="str">
        <f>HYPERLINK("http://tuberculist.epfl.ch/quicksearch.php?gene+name=Rv2375&amp;submit=Search")</f>
        <v>http://tuberculist.epfl.ch/quicksearch.php?gene+name=Rv2375&amp;submit=Search</v>
      </c>
    </row>
    <row r="2445" spans="1:11">
      <c r="A2445" t="s">
        <v>6198</v>
      </c>
      <c r="B2445" t="s">
        <v>198</v>
      </c>
      <c r="C2445" t="s">
        <v>9567</v>
      </c>
      <c r="D2445" t="s">
        <v>15144</v>
      </c>
      <c r="E2445" t="s">
        <v>15145</v>
      </c>
      <c r="F2445" t="s">
        <v>15146</v>
      </c>
      <c r="G2445" t="s">
        <v>19188</v>
      </c>
      <c r="H2445" t="s">
        <v>19875</v>
      </c>
      <c r="I2445" t="s">
        <v>18780</v>
      </c>
      <c r="K2445" t="str">
        <f>HYPERLINK("http://tuberculist.epfl.ch/quicksearch.php?gene+name=Rv2376c&amp;submit=Search")</f>
        <v>http://tuberculist.epfl.ch/quicksearch.php?gene+name=Rv2376c&amp;submit=Search</v>
      </c>
    </row>
    <row r="2446" spans="1:11">
      <c r="A2446" t="s">
        <v>223</v>
      </c>
      <c r="B2446" t="s">
        <v>222</v>
      </c>
      <c r="C2446" t="s">
        <v>9567</v>
      </c>
      <c r="D2446" t="s">
        <v>15147</v>
      </c>
      <c r="E2446" t="s">
        <v>15148</v>
      </c>
      <c r="F2446" t="s">
        <v>15149</v>
      </c>
      <c r="G2446" t="s">
        <v>19219</v>
      </c>
      <c r="I2446" t="s">
        <v>18773</v>
      </c>
      <c r="K2446" t="str">
        <f>HYPERLINK("http://tuberculist.epfl.ch/quicksearch.php?gene+name=Rv2377c&amp;submit=Search")</f>
        <v>http://tuberculist.epfl.ch/quicksearch.php?gene+name=Rv2377c&amp;submit=Search</v>
      </c>
    </row>
    <row r="2447" spans="1:11">
      <c r="A2447" t="s">
        <v>219</v>
      </c>
      <c r="B2447" t="s">
        <v>218</v>
      </c>
      <c r="C2447" t="s">
        <v>9567</v>
      </c>
      <c r="D2447" t="s">
        <v>15150</v>
      </c>
      <c r="E2447" t="s">
        <v>15151</v>
      </c>
      <c r="F2447" t="s">
        <v>15152</v>
      </c>
      <c r="G2447" t="s">
        <v>19219</v>
      </c>
      <c r="H2447" t="s">
        <v>19214</v>
      </c>
      <c r="I2447" t="s">
        <v>18801</v>
      </c>
      <c r="K2447" t="str">
        <f>HYPERLINK("http://tuberculist.epfl.ch/quicksearch.php?gene+name=Rv2378c&amp;submit=Search")</f>
        <v>http://tuberculist.epfl.ch/quicksearch.php?gene+name=Rv2378c&amp;submit=Search</v>
      </c>
    </row>
    <row r="2448" spans="1:11">
      <c r="A2448" t="s">
        <v>214</v>
      </c>
      <c r="B2448" t="s">
        <v>449</v>
      </c>
      <c r="C2448" t="s">
        <v>9567</v>
      </c>
      <c r="D2448" t="s">
        <v>15153</v>
      </c>
      <c r="E2448" t="s">
        <v>15154</v>
      </c>
      <c r="F2448" t="s">
        <v>15155</v>
      </c>
      <c r="G2448" t="s">
        <v>19219</v>
      </c>
      <c r="H2448" t="s">
        <v>19358</v>
      </c>
      <c r="I2448" t="s">
        <v>18776</v>
      </c>
      <c r="K2448" t="str">
        <f>HYPERLINK("http://tuberculist.epfl.ch/quicksearch.php?gene+name=Rv2379c&amp;submit=Search")</f>
        <v>http://tuberculist.epfl.ch/quicksearch.php?gene+name=Rv2379c&amp;submit=Search</v>
      </c>
    </row>
    <row r="2449" spans="1:11">
      <c r="A2449" t="s">
        <v>209</v>
      </c>
      <c r="B2449" t="s">
        <v>208</v>
      </c>
      <c r="C2449" t="s">
        <v>9567</v>
      </c>
      <c r="D2449" t="s">
        <v>15153</v>
      </c>
      <c r="E2449" t="s">
        <v>15156</v>
      </c>
      <c r="F2449" t="s">
        <v>15157</v>
      </c>
      <c r="G2449" t="s">
        <v>19219</v>
      </c>
      <c r="H2449" t="s">
        <v>19876</v>
      </c>
      <c r="I2449" t="s">
        <v>18845</v>
      </c>
      <c r="K2449" t="str">
        <f>HYPERLINK("http://tuberculist.epfl.ch/quicksearch.php?gene+name=Rv2380c&amp;submit=Search")</f>
        <v>http://tuberculist.epfl.ch/quicksearch.php?gene+name=Rv2380c&amp;submit=Search</v>
      </c>
    </row>
    <row r="2450" spans="1:11">
      <c r="A2450" t="s">
        <v>205</v>
      </c>
      <c r="B2450" t="s">
        <v>204</v>
      </c>
      <c r="C2450" t="s">
        <v>9567</v>
      </c>
      <c r="D2450" t="s">
        <v>15158</v>
      </c>
      <c r="E2450" t="s">
        <v>15159</v>
      </c>
      <c r="F2450" t="s">
        <v>15160</v>
      </c>
      <c r="G2450" t="s">
        <v>19219</v>
      </c>
      <c r="H2450" t="s">
        <v>19877</v>
      </c>
      <c r="I2450" t="s">
        <v>18776</v>
      </c>
      <c r="K2450" t="str">
        <f>HYPERLINK("http://tuberculist.epfl.ch/quicksearch.php?gene+name=Rv2381c&amp;submit=Search")</f>
        <v>http://tuberculist.epfl.ch/quicksearch.php?gene+name=Rv2381c&amp;submit=Search</v>
      </c>
    </row>
    <row r="2451" spans="1:11">
      <c r="A2451" t="s">
        <v>201</v>
      </c>
      <c r="B2451" t="s">
        <v>200</v>
      </c>
      <c r="C2451" t="s">
        <v>9567</v>
      </c>
      <c r="D2451" t="s">
        <v>15158</v>
      </c>
      <c r="E2451" t="s">
        <v>15161</v>
      </c>
      <c r="F2451" t="s">
        <v>15162</v>
      </c>
      <c r="G2451" t="s">
        <v>19219</v>
      </c>
      <c r="H2451" t="s">
        <v>19211</v>
      </c>
      <c r="I2451" t="s">
        <v>18800</v>
      </c>
      <c r="K2451" t="str">
        <f>HYPERLINK("http://tuberculist.epfl.ch/quicksearch.php?gene+name=Rv2382c&amp;submit=Search")</f>
        <v>http://tuberculist.epfl.ch/quicksearch.php?gene+name=Rv2382c&amp;submit=Search</v>
      </c>
    </row>
    <row r="2452" spans="1:11">
      <c r="A2452" t="s">
        <v>197</v>
      </c>
      <c r="B2452" t="s">
        <v>196</v>
      </c>
      <c r="C2452" t="s">
        <v>9567</v>
      </c>
      <c r="D2452" t="s">
        <v>15163</v>
      </c>
      <c r="E2452" t="s">
        <v>15164</v>
      </c>
      <c r="F2452" t="s">
        <v>15165</v>
      </c>
      <c r="G2452" t="s">
        <v>19219</v>
      </c>
      <c r="H2452" t="s">
        <v>19674</v>
      </c>
      <c r="I2452" t="s">
        <v>18859</v>
      </c>
      <c r="J2452" t="s">
        <v>18998</v>
      </c>
      <c r="K2452" t="str">
        <f>HYPERLINK("http://tuberculist.epfl.ch/quicksearch.php?gene+name=Rv2383c&amp;submit=Search")</f>
        <v>http://tuberculist.epfl.ch/quicksearch.php?gene+name=Rv2383c&amp;submit=Search</v>
      </c>
    </row>
    <row r="2453" spans="1:11">
      <c r="A2453" t="s">
        <v>192</v>
      </c>
      <c r="B2453" t="s">
        <v>191</v>
      </c>
      <c r="C2453" t="s">
        <v>9567</v>
      </c>
      <c r="D2453" t="s">
        <v>15166</v>
      </c>
      <c r="E2453" t="s">
        <v>15167</v>
      </c>
      <c r="F2453" t="s">
        <v>15168</v>
      </c>
      <c r="G2453" t="s">
        <v>19219</v>
      </c>
      <c r="H2453" t="s">
        <v>19267</v>
      </c>
      <c r="I2453" t="s">
        <v>18818</v>
      </c>
      <c r="J2453" t="s">
        <v>18998</v>
      </c>
      <c r="K2453" t="str">
        <f>HYPERLINK("http://tuberculist.epfl.ch/quicksearch.php?gene+name=Rv2384&amp;submit=Search")</f>
        <v>http://tuberculist.epfl.ch/quicksearch.php?gene+name=Rv2384&amp;submit=Search</v>
      </c>
    </row>
    <row r="2454" spans="1:11">
      <c r="A2454" t="s">
        <v>233</v>
      </c>
      <c r="B2454" t="s">
        <v>232</v>
      </c>
      <c r="C2454" t="s">
        <v>9567</v>
      </c>
      <c r="D2454" t="s">
        <v>15169</v>
      </c>
      <c r="E2454" t="s">
        <v>15170</v>
      </c>
      <c r="F2454" t="s">
        <v>15171</v>
      </c>
      <c r="G2454" t="s">
        <v>19219</v>
      </c>
      <c r="I2454" t="s">
        <v>18780</v>
      </c>
      <c r="K2454" t="str">
        <f>HYPERLINK("http://tuberculist.epfl.ch/quicksearch.php?gene+name=Rv2385&amp;submit=Search")</f>
        <v>http://tuberculist.epfl.ch/quicksearch.php?gene+name=Rv2385&amp;submit=Search</v>
      </c>
    </row>
    <row r="2455" spans="1:11">
      <c r="A2455" t="s">
        <v>228</v>
      </c>
      <c r="B2455" t="s">
        <v>227</v>
      </c>
      <c r="C2455" t="s">
        <v>9567</v>
      </c>
      <c r="D2455" t="s">
        <v>15172</v>
      </c>
      <c r="E2455" t="s">
        <v>15173</v>
      </c>
      <c r="F2455" t="s">
        <v>15174</v>
      </c>
      <c r="G2455" t="s">
        <v>19219</v>
      </c>
      <c r="H2455" t="s">
        <v>19207</v>
      </c>
      <c r="I2455" t="s">
        <v>18774</v>
      </c>
      <c r="J2455" t="s">
        <v>19052</v>
      </c>
      <c r="K2455" t="str">
        <f>HYPERLINK("http://tuberculist.epfl.ch/quicksearch.php?gene+name=Rv2386c&amp;submit=Search")</f>
        <v>http://tuberculist.epfl.ch/quicksearch.php?gene+name=Rv2386c&amp;submit=Search</v>
      </c>
    </row>
    <row r="2456" spans="1:11">
      <c r="A2456" t="s">
        <v>3412</v>
      </c>
      <c r="B2456" t="s">
        <v>3412</v>
      </c>
      <c r="C2456" t="s">
        <v>9567</v>
      </c>
      <c r="D2456" t="s">
        <v>9578</v>
      </c>
      <c r="E2456" t="s">
        <v>9665</v>
      </c>
      <c r="F2456" t="s">
        <v>15175</v>
      </c>
      <c r="G2456" t="s">
        <v>19212</v>
      </c>
      <c r="H2456" t="s">
        <v>19192</v>
      </c>
      <c r="I2456" t="s">
        <v>18812</v>
      </c>
      <c r="J2456" t="s">
        <v>18806</v>
      </c>
      <c r="K2456" t="str">
        <f>HYPERLINK("http://tuberculist.epfl.ch/quicksearch.php?gene+name=Rv2387&amp;submit=Search")</f>
        <v>http://tuberculist.epfl.ch/quicksearch.php?gene+name=Rv2387&amp;submit=Search</v>
      </c>
    </row>
    <row r="2457" spans="1:11">
      <c r="A2457" t="s">
        <v>4078</v>
      </c>
      <c r="B2457" t="s">
        <v>797</v>
      </c>
      <c r="C2457" t="s">
        <v>9567</v>
      </c>
      <c r="D2457" t="s">
        <v>15176</v>
      </c>
      <c r="E2457" t="s">
        <v>15177</v>
      </c>
      <c r="F2457" t="s">
        <v>15178</v>
      </c>
      <c r="G2457" t="s">
        <v>19195</v>
      </c>
      <c r="I2457" t="s">
        <v>18812</v>
      </c>
      <c r="K2457" t="str">
        <f>HYPERLINK("http://tuberculist.epfl.ch/quicksearch.php?gene+name=Rv2388c&amp;submit=Search")</f>
        <v>http://tuberculist.epfl.ch/quicksearch.php?gene+name=Rv2388c&amp;submit=Search</v>
      </c>
    </row>
    <row r="2458" spans="1:11">
      <c r="A2458" t="s">
        <v>388</v>
      </c>
      <c r="B2458" t="s">
        <v>202</v>
      </c>
      <c r="C2458" t="s">
        <v>9567</v>
      </c>
      <c r="D2458" t="s">
        <v>15179</v>
      </c>
      <c r="E2458" t="s">
        <v>15180</v>
      </c>
      <c r="F2458" t="s">
        <v>15181</v>
      </c>
      <c r="G2458" t="s">
        <v>19188</v>
      </c>
      <c r="I2458" t="s">
        <v>18905</v>
      </c>
      <c r="J2458" t="s">
        <v>18832</v>
      </c>
      <c r="K2458" t="str">
        <f>HYPERLINK("http://tuberculist.epfl.ch/quicksearch.php?gene+name=Rv2389c&amp;submit=Search")</f>
        <v>http://tuberculist.epfl.ch/quicksearch.php?gene+name=Rv2389c&amp;submit=Search</v>
      </c>
    </row>
    <row r="2459" spans="1:11">
      <c r="A2459" t="s">
        <v>206</v>
      </c>
      <c r="B2459" t="s">
        <v>206</v>
      </c>
      <c r="C2459" t="s">
        <v>9567</v>
      </c>
      <c r="D2459" t="s">
        <v>9578</v>
      </c>
      <c r="E2459" t="s">
        <v>9579</v>
      </c>
      <c r="F2459" t="s">
        <v>15182</v>
      </c>
      <c r="G2459" t="s">
        <v>19204</v>
      </c>
      <c r="H2459" t="s">
        <v>19215</v>
      </c>
      <c r="I2459" t="s">
        <v>18789</v>
      </c>
      <c r="J2459" t="s">
        <v>18832</v>
      </c>
      <c r="K2459" t="str">
        <f>HYPERLINK("http://tuberculist.epfl.ch/quicksearch.php?gene+name=Rv2390c&amp;submit=Search")</f>
        <v>http://tuberculist.epfl.ch/quicksearch.php?gene+name=Rv2390c&amp;submit=Search</v>
      </c>
    </row>
    <row r="2460" spans="1:11">
      <c r="A2460" t="s">
        <v>15183</v>
      </c>
      <c r="B2460" t="s">
        <v>211</v>
      </c>
      <c r="C2460" t="s">
        <v>9567</v>
      </c>
      <c r="D2460" t="s">
        <v>15184</v>
      </c>
      <c r="E2460" t="s">
        <v>15185</v>
      </c>
      <c r="F2460" t="s">
        <v>15186</v>
      </c>
      <c r="G2460" t="s">
        <v>19195</v>
      </c>
      <c r="H2460" t="s">
        <v>19229</v>
      </c>
      <c r="I2460" t="s">
        <v>19053</v>
      </c>
      <c r="K2460" t="str">
        <f>HYPERLINK("http://tuberculist.epfl.ch/quicksearch.php?gene+name=Rv2391&amp;submit=Search")</f>
        <v>http://tuberculist.epfl.ch/quicksearch.php?gene+name=Rv2391&amp;submit=Search</v>
      </c>
    </row>
    <row r="2461" spans="1:11">
      <c r="A2461" t="s">
        <v>215</v>
      </c>
      <c r="B2461" t="s">
        <v>216</v>
      </c>
      <c r="C2461" t="s">
        <v>9567</v>
      </c>
      <c r="D2461" t="s">
        <v>15187</v>
      </c>
      <c r="E2461" t="s">
        <v>15188</v>
      </c>
      <c r="F2461" t="s">
        <v>15189</v>
      </c>
      <c r="G2461" t="s">
        <v>19195</v>
      </c>
      <c r="H2461" t="s">
        <v>19250</v>
      </c>
      <c r="I2461" t="s">
        <v>18774</v>
      </c>
      <c r="K2461" t="str">
        <f>HYPERLINK("http://tuberculist.epfl.ch/quicksearch.php?gene+name=Rv2392&amp;submit=Search")</f>
        <v>http://tuberculist.epfl.ch/quicksearch.php?gene+name=Rv2392&amp;submit=Search</v>
      </c>
    </row>
    <row r="2462" spans="1:11">
      <c r="A2462" t="s">
        <v>9549</v>
      </c>
      <c r="B2462" t="s">
        <v>220</v>
      </c>
      <c r="C2462" t="s">
        <v>9567</v>
      </c>
      <c r="D2462" t="s">
        <v>15190</v>
      </c>
      <c r="E2462" t="s">
        <v>15191</v>
      </c>
      <c r="F2462" t="s">
        <v>15192</v>
      </c>
      <c r="G2462" t="s">
        <v>19195</v>
      </c>
      <c r="H2462" t="s">
        <v>19214</v>
      </c>
      <c r="I2462" t="s">
        <v>18788</v>
      </c>
      <c r="K2462" t="str">
        <f>HYPERLINK("http://tuberculist.epfl.ch/quicksearch.php?gene+name=Rv2393&amp;submit=Search")</f>
        <v>http://tuberculist.epfl.ch/quicksearch.php?gene+name=Rv2393&amp;submit=Search</v>
      </c>
    </row>
    <row r="2463" spans="1:11">
      <c r="A2463" t="s">
        <v>7380</v>
      </c>
      <c r="B2463" t="s">
        <v>2451</v>
      </c>
      <c r="C2463" t="s">
        <v>9567</v>
      </c>
      <c r="D2463" t="s">
        <v>15193</v>
      </c>
      <c r="E2463" t="s">
        <v>15194</v>
      </c>
      <c r="F2463" t="s">
        <v>15195</v>
      </c>
      <c r="G2463" t="s">
        <v>19195</v>
      </c>
      <c r="H2463" t="s">
        <v>19878</v>
      </c>
      <c r="I2463" t="s">
        <v>18780</v>
      </c>
      <c r="K2463" t="str">
        <f>HYPERLINK("http://tuberculist.epfl.ch/quicksearch.php?gene+name=Rv2394&amp;submit=Search")</f>
        <v>http://tuberculist.epfl.ch/quicksearch.php?gene+name=Rv2394&amp;submit=Search</v>
      </c>
    </row>
    <row r="2464" spans="1:11">
      <c r="A2464" t="s">
        <v>489</v>
      </c>
      <c r="B2464" t="s">
        <v>489</v>
      </c>
      <c r="C2464" t="s">
        <v>9567</v>
      </c>
      <c r="D2464" t="s">
        <v>15196</v>
      </c>
      <c r="E2464" t="s">
        <v>9668</v>
      </c>
      <c r="F2464" t="s">
        <v>15197</v>
      </c>
      <c r="G2464" t="s">
        <v>19188</v>
      </c>
      <c r="H2464" t="s">
        <v>19211</v>
      </c>
      <c r="I2464" t="s">
        <v>18789</v>
      </c>
      <c r="K2464" t="str">
        <f>HYPERLINK("http://tuberculist.epfl.ch/quicksearch.php?gene+name=Rv2395&amp;submit=Search")</f>
        <v>http://tuberculist.epfl.ch/quicksearch.php?gene+name=Rv2395&amp;submit=Search</v>
      </c>
    </row>
    <row r="2465" spans="1:11">
      <c r="A2465" t="s">
        <v>15198</v>
      </c>
      <c r="B2465" t="s">
        <v>15199</v>
      </c>
      <c r="C2465" t="s">
        <v>9567</v>
      </c>
      <c r="D2465" t="s">
        <v>9587</v>
      </c>
      <c r="E2465" t="s">
        <v>15200</v>
      </c>
      <c r="F2465" t="s">
        <v>15201</v>
      </c>
      <c r="G2465" t="s">
        <v>19212</v>
      </c>
      <c r="I2465" t="s">
        <v>18773</v>
      </c>
      <c r="K2465" t="str">
        <f>HYPERLINK("http://tuberculist.epfl.ch/quicksearch.php?gene+name=Rv2395A&amp;submit=Search")</f>
        <v>http://tuberculist.epfl.ch/quicksearch.php?gene+name=Rv2395A&amp;submit=Search</v>
      </c>
    </row>
    <row r="2466" spans="1:11">
      <c r="A2466" t="s">
        <v>15202</v>
      </c>
      <c r="B2466" t="s">
        <v>15203</v>
      </c>
      <c r="C2466" t="s">
        <v>9567</v>
      </c>
      <c r="D2466" t="s">
        <v>9587</v>
      </c>
      <c r="E2466" t="s">
        <v>15204</v>
      </c>
      <c r="F2466" t="s">
        <v>15205</v>
      </c>
      <c r="G2466" t="s">
        <v>19212</v>
      </c>
      <c r="I2466" t="s">
        <v>18773</v>
      </c>
      <c r="K2466" t="str">
        <f>HYPERLINK("http://tuberculist.epfl.ch/quicksearch.php?gene+name=Rv2395B&amp;submit=Search")</f>
        <v>http://tuberculist.epfl.ch/quicksearch.php?gene+name=Rv2395B&amp;submit=Search</v>
      </c>
    </row>
    <row r="2467" spans="1:11">
      <c r="A2467" t="s">
        <v>4172</v>
      </c>
      <c r="B2467" t="s">
        <v>225</v>
      </c>
      <c r="C2467" t="s">
        <v>9567</v>
      </c>
      <c r="D2467" t="s">
        <v>9578</v>
      </c>
      <c r="E2467" t="s">
        <v>15206</v>
      </c>
      <c r="F2467" t="s">
        <v>15207</v>
      </c>
      <c r="G2467" t="s">
        <v>19262</v>
      </c>
      <c r="I2467" t="s">
        <v>18779</v>
      </c>
      <c r="K2467" t="str">
        <f>HYPERLINK("http://tuberculist.epfl.ch/quicksearch.php?gene+name=Rv2396&amp;submit=Search")</f>
        <v>http://tuberculist.epfl.ch/quicksearch.php?gene+name=Rv2396&amp;submit=Search</v>
      </c>
    </row>
    <row r="2468" spans="1:11">
      <c r="A2468" t="s">
        <v>6116</v>
      </c>
      <c r="B2468" t="s">
        <v>1812</v>
      </c>
      <c r="C2468" t="s">
        <v>9567</v>
      </c>
      <c r="D2468" t="s">
        <v>15208</v>
      </c>
      <c r="E2468" t="s">
        <v>15209</v>
      </c>
      <c r="F2468" t="s">
        <v>15210</v>
      </c>
      <c r="G2468" t="s">
        <v>19188</v>
      </c>
      <c r="H2468" t="s">
        <v>19214</v>
      </c>
      <c r="I2468" t="s">
        <v>18774</v>
      </c>
      <c r="K2468" t="str">
        <f>HYPERLINK("http://tuberculist.epfl.ch/quicksearch.php?gene+name=Rv2397c&amp;submit=Search")</f>
        <v>http://tuberculist.epfl.ch/quicksearch.php?gene+name=Rv2397c&amp;submit=Search</v>
      </c>
    </row>
    <row r="2469" spans="1:11">
      <c r="A2469" t="s">
        <v>7711</v>
      </c>
      <c r="B2469" t="s">
        <v>2608</v>
      </c>
      <c r="C2469" t="s">
        <v>9567</v>
      </c>
      <c r="D2469" t="s">
        <v>15211</v>
      </c>
      <c r="E2469" t="s">
        <v>15212</v>
      </c>
      <c r="F2469" t="s">
        <v>15213</v>
      </c>
      <c r="G2469" t="s">
        <v>19188</v>
      </c>
      <c r="I2469" t="s">
        <v>18774</v>
      </c>
      <c r="K2469" t="str">
        <f>HYPERLINK("http://tuberculist.epfl.ch/quicksearch.php?gene+name=Rv2398c&amp;submit=Search")</f>
        <v>http://tuberculist.epfl.ch/quicksearch.php?gene+name=Rv2398c&amp;submit=Search</v>
      </c>
    </row>
    <row r="2470" spans="1:11">
      <c r="A2470" t="s">
        <v>4667</v>
      </c>
      <c r="B2470" t="s">
        <v>1091</v>
      </c>
      <c r="C2470" t="s">
        <v>9567</v>
      </c>
      <c r="D2470" t="s">
        <v>15211</v>
      </c>
      <c r="E2470" t="s">
        <v>15214</v>
      </c>
      <c r="F2470" t="s">
        <v>15215</v>
      </c>
      <c r="G2470" t="s">
        <v>19188</v>
      </c>
      <c r="I2470" t="s">
        <v>18774</v>
      </c>
      <c r="K2470" t="str">
        <f>HYPERLINK("http://tuberculist.epfl.ch/quicksearch.php?gene+name=Rv2399c&amp;submit=Search")</f>
        <v>http://tuberculist.epfl.ch/quicksearch.php?gene+name=Rv2399c&amp;submit=Search</v>
      </c>
    </row>
    <row r="2471" spans="1:11">
      <c r="A2471" t="s">
        <v>8809</v>
      </c>
      <c r="B2471" t="s">
        <v>3141</v>
      </c>
      <c r="C2471" t="s">
        <v>9567</v>
      </c>
      <c r="D2471" t="s">
        <v>15216</v>
      </c>
      <c r="E2471" t="s">
        <v>15217</v>
      </c>
      <c r="F2471" t="s">
        <v>15218</v>
      </c>
      <c r="G2471" t="s">
        <v>19188</v>
      </c>
      <c r="H2471" t="s">
        <v>19375</v>
      </c>
      <c r="I2471" t="s">
        <v>18774</v>
      </c>
      <c r="K2471" t="str">
        <f>HYPERLINK("http://tuberculist.epfl.ch/quicksearch.php?gene+name=Rv2400c&amp;submit=Search")</f>
        <v>http://tuberculist.epfl.ch/quicksearch.php?gene+name=Rv2400c&amp;submit=Search</v>
      </c>
    </row>
    <row r="2472" spans="1:11">
      <c r="A2472" t="s">
        <v>1840</v>
      </c>
      <c r="B2472" t="s">
        <v>1840</v>
      </c>
      <c r="C2472" t="s">
        <v>9567</v>
      </c>
      <c r="D2472" t="s">
        <v>9587</v>
      </c>
      <c r="E2472" t="s">
        <v>9713</v>
      </c>
      <c r="F2472" t="s">
        <v>15219</v>
      </c>
      <c r="G2472" t="s">
        <v>19212</v>
      </c>
      <c r="H2472" t="s">
        <v>19308</v>
      </c>
      <c r="I2472" t="s">
        <v>18780</v>
      </c>
      <c r="K2472" t="str">
        <f>HYPERLINK("http://tuberculist.epfl.ch/quicksearch.php?gene+name=Rv2401&amp;submit=Search")</f>
        <v>http://tuberculist.epfl.ch/quicksearch.php?gene+name=Rv2401&amp;submit=Search</v>
      </c>
    </row>
    <row r="2473" spans="1:11">
      <c r="A2473" t="s">
        <v>15220</v>
      </c>
      <c r="B2473" t="s">
        <v>15220</v>
      </c>
      <c r="C2473" t="s">
        <v>9567</v>
      </c>
      <c r="D2473" t="s">
        <v>9587</v>
      </c>
      <c r="E2473" t="s">
        <v>9588</v>
      </c>
      <c r="F2473" t="s">
        <v>15221</v>
      </c>
      <c r="G2473" t="s">
        <v>19188</v>
      </c>
      <c r="I2473" t="s">
        <v>18773</v>
      </c>
      <c r="K2473" t="str">
        <f>HYPERLINK("http://tuberculist.epfl.ch/quicksearch.php?gene+name=Rv2401A&amp;submit=Search")</f>
        <v>http://tuberculist.epfl.ch/quicksearch.php?gene+name=Rv2401A&amp;submit=Search</v>
      </c>
    </row>
    <row r="2474" spans="1:11">
      <c r="A2474" t="s">
        <v>3031</v>
      </c>
      <c r="B2474" t="s">
        <v>3031</v>
      </c>
      <c r="C2474" t="s">
        <v>9567</v>
      </c>
      <c r="D2474" t="s">
        <v>9578</v>
      </c>
      <c r="E2474" t="s">
        <v>9665</v>
      </c>
      <c r="F2474" t="s">
        <v>15222</v>
      </c>
      <c r="G2474" t="s">
        <v>19212</v>
      </c>
      <c r="H2474" t="s">
        <v>19283</v>
      </c>
      <c r="I2474" t="s">
        <v>18780</v>
      </c>
      <c r="K2474" t="str">
        <f>HYPERLINK("http://tuberculist.epfl.ch/quicksearch.php?gene+name=Rv2402&amp;submit=Search")</f>
        <v>http://tuberculist.epfl.ch/quicksearch.php?gene+name=Rv2402&amp;submit=Search</v>
      </c>
    </row>
    <row r="2475" spans="1:11">
      <c r="A2475" t="s">
        <v>9307</v>
      </c>
      <c r="B2475" t="s">
        <v>3376</v>
      </c>
      <c r="C2475" t="s">
        <v>9567</v>
      </c>
      <c r="D2475" t="s">
        <v>9587</v>
      </c>
      <c r="E2475" t="s">
        <v>15223</v>
      </c>
      <c r="F2475" t="s">
        <v>15224</v>
      </c>
      <c r="G2475" t="s">
        <v>19188</v>
      </c>
      <c r="H2475" t="s">
        <v>19213</v>
      </c>
      <c r="I2475" t="s">
        <v>18793</v>
      </c>
      <c r="K2475" t="str">
        <f>HYPERLINK("http://tuberculist.epfl.ch/quicksearch.php?gene+name=Rv2403c&amp;submit=Search")</f>
        <v>http://tuberculist.epfl.ch/quicksearch.php?gene+name=Rv2403c&amp;submit=Search</v>
      </c>
    </row>
    <row r="2476" spans="1:11">
      <c r="A2476" t="s">
        <v>4569</v>
      </c>
      <c r="B2476" t="s">
        <v>1044</v>
      </c>
      <c r="C2476" t="s">
        <v>9567</v>
      </c>
      <c r="D2476" t="s">
        <v>15225</v>
      </c>
      <c r="E2476" t="s">
        <v>15226</v>
      </c>
      <c r="F2476" t="s">
        <v>15227</v>
      </c>
      <c r="G2476" t="s">
        <v>19195</v>
      </c>
      <c r="H2476" t="s">
        <v>19879</v>
      </c>
      <c r="I2476" t="s">
        <v>18780</v>
      </c>
      <c r="K2476" t="str">
        <f>HYPERLINK("http://tuberculist.epfl.ch/quicksearch.php?gene+name=Rv2404c&amp;submit=Search")</f>
        <v>http://tuberculist.epfl.ch/quicksearch.php?gene+name=Rv2404c&amp;submit=Search</v>
      </c>
    </row>
    <row r="2477" spans="1:11">
      <c r="A2477" t="s">
        <v>2136</v>
      </c>
      <c r="B2477" t="s">
        <v>2136</v>
      </c>
      <c r="C2477" t="s">
        <v>9567</v>
      </c>
      <c r="D2477" t="s">
        <v>9578</v>
      </c>
      <c r="E2477" t="s">
        <v>9665</v>
      </c>
      <c r="F2477" t="s">
        <v>15228</v>
      </c>
      <c r="G2477" t="s">
        <v>19212</v>
      </c>
      <c r="H2477" t="s">
        <v>19283</v>
      </c>
      <c r="I2477" t="s">
        <v>18780</v>
      </c>
      <c r="K2477" t="str">
        <f>HYPERLINK("http://tuberculist.epfl.ch/quicksearch.php?gene+name=Rv2405&amp;submit=Search")</f>
        <v>http://tuberculist.epfl.ch/quicksearch.php?gene+name=Rv2405&amp;submit=Search</v>
      </c>
    </row>
    <row r="2478" spans="1:11">
      <c r="A2478" t="s">
        <v>724</v>
      </c>
      <c r="B2478" t="s">
        <v>724</v>
      </c>
      <c r="C2478" t="s">
        <v>9567</v>
      </c>
      <c r="D2478" t="s">
        <v>9578</v>
      </c>
      <c r="E2478" t="s">
        <v>9665</v>
      </c>
      <c r="F2478" t="s">
        <v>15229</v>
      </c>
      <c r="G2478" t="s">
        <v>19212</v>
      </c>
      <c r="H2478" t="s">
        <v>19233</v>
      </c>
      <c r="I2478" t="s">
        <v>18797</v>
      </c>
      <c r="J2478" t="s">
        <v>18775</v>
      </c>
      <c r="K2478" t="str">
        <f>HYPERLINK("http://tuberculist.epfl.ch/quicksearch.php?gene+name=Rv2406c&amp;submit=Search")</f>
        <v>http://tuberculist.epfl.ch/quicksearch.php?gene+name=Rv2406c&amp;submit=Search</v>
      </c>
    </row>
    <row r="2479" spans="1:11">
      <c r="A2479" t="s">
        <v>2042</v>
      </c>
      <c r="B2479" t="s">
        <v>2042</v>
      </c>
      <c r="C2479" t="s">
        <v>9567</v>
      </c>
      <c r="D2479" t="s">
        <v>9578</v>
      </c>
      <c r="E2479" t="s">
        <v>9579</v>
      </c>
      <c r="F2479" t="s">
        <v>15230</v>
      </c>
      <c r="G2479" t="s">
        <v>19204</v>
      </c>
      <c r="I2479" t="s">
        <v>18821</v>
      </c>
      <c r="K2479" t="str">
        <f>HYPERLINK("http://tuberculist.epfl.ch/quicksearch.php?gene+name=Rv2407&amp;submit=Search")</f>
        <v>http://tuberculist.epfl.ch/quicksearch.php?gene+name=Rv2407&amp;submit=Search</v>
      </c>
    </row>
    <row r="2480" spans="1:11">
      <c r="A2480" t="s">
        <v>3921</v>
      </c>
      <c r="B2480" t="s">
        <v>717</v>
      </c>
      <c r="C2480" t="s">
        <v>9567</v>
      </c>
      <c r="D2480" t="s">
        <v>9578</v>
      </c>
      <c r="E2480" t="s">
        <v>15231</v>
      </c>
      <c r="F2480" t="s">
        <v>15232</v>
      </c>
      <c r="G2480" t="s">
        <v>19262</v>
      </c>
      <c r="I2480" t="s">
        <v>18789</v>
      </c>
      <c r="K2480" t="str">
        <f>HYPERLINK("http://tuberculist.epfl.ch/quicksearch.php?gene+name=Rv2408&amp;submit=Search")</f>
        <v>http://tuberculist.epfl.ch/quicksearch.php?gene+name=Rv2408&amp;submit=Search</v>
      </c>
    </row>
    <row r="2481" spans="1:11">
      <c r="A2481" t="s">
        <v>3110</v>
      </c>
      <c r="B2481" t="s">
        <v>3110</v>
      </c>
      <c r="C2481" t="s">
        <v>9567</v>
      </c>
      <c r="D2481" t="s">
        <v>9578</v>
      </c>
      <c r="E2481" t="s">
        <v>9665</v>
      </c>
      <c r="F2481" t="s">
        <v>15233</v>
      </c>
      <c r="G2481" t="s">
        <v>19204</v>
      </c>
      <c r="H2481" t="s">
        <v>19880</v>
      </c>
      <c r="I2481" t="s">
        <v>18780</v>
      </c>
      <c r="K2481" t="str">
        <f>HYPERLINK("http://tuberculist.epfl.ch/quicksearch.php?gene+name=Rv2409c&amp;submit=Search")</f>
        <v>http://tuberculist.epfl.ch/quicksearch.php?gene+name=Rv2409c&amp;submit=Search</v>
      </c>
    </row>
    <row r="2482" spans="1:11">
      <c r="A2482" t="s">
        <v>1841</v>
      </c>
      <c r="B2482" t="s">
        <v>1841</v>
      </c>
      <c r="C2482" t="s">
        <v>9567</v>
      </c>
      <c r="D2482" t="s">
        <v>9578</v>
      </c>
      <c r="E2482" t="s">
        <v>9665</v>
      </c>
      <c r="F2482" t="s">
        <v>15234</v>
      </c>
      <c r="G2482" t="s">
        <v>19204</v>
      </c>
      <c r="H2482" t="s">
        <v>19502</v>
      </c>
      <c r="I2482" t="s">
        <v>18777</v>
      </c>
      <c r="K2482" t="str">
        <f>HYPERLINK("http://tuberculist.epfl.ch/quicksearch.php?gene+name=Rv2410c&amp;submit=Search")</f>
        <v>http://tuberculist.epfl.ch/quicksearch.php?gene+name=Rv2410c&amp;submit=Search</v>
      </c>
    </row>
    <row r="2483" spans="1:11">
      <c r="A2483" t="s">
        <v>2979</v>
      </c>
      <c r="B2483" t="s">
        <v>2979</v>
      </c>
      <c r="C2483" t="s">
        <v>9567</v>
      </c>
      <c r="D2483" t="s">
        <v>9578</v>
      </c>
      <c r="E2483" t="s">
        <v>9579</v>
      </c>
      <c r="F2483" t="s">
        <v>15235</v>
      </c>
      <c r="G2483" t="s">
        <v>19204</v>
      </c>
      <c r="H2483" t="s">
        <v>19213</v>
      </c>
      <c r="I2483" t="s">
        <v>18789</v>
      </c>
      <c r="K2483" t="str">
        <f>HYPERLINK("http://tuberculist.epfl.ch/quicksearch.php?gene+name=Rv2411c&amp;submit=Search")</f>
        <v>http://tuberculist.epfl.ch/quicksearch.php?gene+name=Rv2411c&amp;submit=Search</v>
      </c>
    </row>
    <row r="2484" spans="1:11">
      <c r="A2484" t="s">
        <v>8156</v>
      </c>
      <c r="B2484" t="s">
        <v>2832</v>
      </c>
      <c r="C2484" t="s">
        <v>9567</v>
      </c>
      <c r="D2484" t="s">
        <v>15236</v>
      </c>
      <c r="E2484" t="s">
        <v>15237</v>
      </c>
      <c r="F2484" t="s">
        <v>15238</v>
      </c>
      <c r="G2484" t="s">
        <v>19181</v>
      </c>
      <c r="H2484" t="s">
        <v>19326</v>
      </c>
      <c r="I2484" t="s">
        <v>18800</v>
      </c>
      <c r="K2484" t="str">
        <f>HYPERLINK("http://tuberculist.epfl.ch/quicksearch.php?gene+name=Rv2412&amp;submit=Search")</f>
        <v>http://tuberculist.epfl.ch/quicksearch.php?gene+name=Rv2412&amp;submit=Search</v>
      </c>
    </row>
    <row r="2485" spans="1:11">
      <c r="A2485" t="s">
        <v>2714</v>
      </c>
      <c r="B2485" t="s">
        <v>2714</v>
      </c>
      <c r="C2485" t="s">
        <v>9567</v>
      </c>
      <c r="D2485" t="s">
        <v>9578</v>
      </c>
      <c r="E2485" t="s">
        <v>9579</v>
      </c>
      <c r="F2485" t="s">
        <v>15239</v>
      </c>
      <c r="G2485" t="s">
        <v>19212</v>
      </c>
      <c r="I2485" t="s">
        <v>18788</v>
      </c>
      <c r="K2485" t="str">
        <f>HYPERLINK("http://tuberculist.epfl.ch/quicksearch.php?gene+name=Rv2413c&amp;submit=Search")</f>
        <v>http://tuberculist.epfl.ch/quicksearch.php?gene+name=Rv2413c&amp;submit=Search</v>
      </c>
    </row>
    <row r="2486" spans="1:11">
      <c r="A2486" t="s">
        <v>546</v>
      </c>
      <c r="B2486" t="s">
        <v>546</v>
      </c>
      <c r="C2486" t="s">
        <v>9567</v>
      </c>
      <c r="D2486" t="s">
        <v>9578</v>
      </c>
      <c r="E2486" t="s">
        <v>9579</v>
      </c>
      <c r="F2486" t="s">
        <v>15240</v>
      </c>
      <c r="G2486" t="s">
        <v>19212</v>
      </c>
      <c r="H2486" t="s">
        <v>19211</v>
      </c>
      <c r="I2486" t="s">
        <v>18904</v>
      </c>
      <c r="K2486" t="str">
        <f>HYPERLINK("http://tuberculist.epfl.ch/quicksearch.php?gene+name=Rv2414c&amp;submit=Search")</f>
        <v>http://tuberculist.epfl.ch/quicksearch.php?gene+name=Rv2414c&amp;submit=Search</v>
      </c>
    </row>
    <row r="2487" spans="1:11">
      <c r="A2487" t="s">
        <v>3263</v>
      </c>
      <c r="B2487" t="s">
        <v>3263</v>
      </c>
      <c r="C2487" t="s">
        <v>9567</v>
      </c>
      <c r="D2487" t="s">
        <v>9578</v>
      </c>
      <c r="E2487" t="s">
        <v>9579</v>
      </c>
      <c r="F2487" t="s">
        <v>15241</v>
      </c>
      <c r="G2487" t="s">
        <v>19212</v>
      </c>
      <c r="H2487" t="s">
        <v>19215</v>
      </c>
      <c r="I2487" t="s">
        <v>18780</v>
      </c>
      <c r="K2487" t="str">
        <f>HYPERLINK("http://tuberculist.epfl.ch/quicksearch.php?gene+name=Rv2415c&amp;submit=Search")</f>
        <v>http://tuberculist.epfl.ch/quicksearch.php?gene+name=Rv2415c&amp;submit=Search</v>
      </c>
    </row>
    <row r="2488" spans="1:11">
      <c r="A2488" t="s">
        <v>15242</v>
      </c>
      <c r="B2488" t="s">
        <v>2918</v>
      </c>
      <c r="C2488" t="s">
        <v>9567</v>
      </c>
      <c r="D2488" t="s">
        <v>15243</v>
      </c>
      <c r="E2488" t="s">
        <v>15244</v>
      </c>
      <c r="F2488" t="s">
        <v>15245</v>
      </c>
      <c r="G2488" t="s">
        <v>19206</v>
      </c>
      <c r="H2488" t="s">
        <v>19881</v>
      </c>
      <c r="I2488" t="s">
        <v>19054</v>
      </c>
      <c r="K2488" t="str">
        <f>HYPERLINK("http://tuberculist.epfl.ch/quicksearch.php?gene+name=Rv2416c&amp;submit=Search")</f>
        <v>http://tuberculist.epfl.ch/quicksearch.php?gene+name=Rv2416c&amp;submit=Search</v>
      </c>
    </row>
    <row r="2489" spans="1:11">
      <c r="A2489" t="s">
        <v>1779</v>
      </c>
      <c r="B2489" t="s">
        <v>1779</v>
      </c>
      <c r="C2489" t="s">
        <v>9567</v>
      </c>
      <c r="D2489" t="s">
        <v>9578</v>
      </c>
      <c r="E2489" t="s">
        <v>9665</v>
      </c>
      <c r="F2489" t="s">
        <v>15246</v>
      </c>
      <c r="G2489" t="s">
        <v>19204</v>
      </c>
      <c r="H2489" t="s">
        <v>19561</v>
      </c>
      <c r="I2489" t="s">
        <v>18779</v>
      </c>
      <c r="K2489" t="str">
        <f>HYPERLINK("http://tuberculist.epfl.ch/quicksearch.php?gene+name=Rv2417c&amp;submit=Search")</f>
        <v>http://tuberculist.epfl.ch/quicksearch.php?gene+name=Rv2417c&amp;submit=Search</v>
      </c>
    </row>
    <row r="2490" spans="1:11">
      <c r="A2490" t="s">
        <v>1096</v>
      </c>
      <c r="B2490" t="s">
        <v>1096</v>
      </c>
      <c r="C2490" t="s">
        <v>9567</v>
      </c>
      <c r="D2490" t="s">
        <v>9587</v>
      </c>
      <c r="E2490" t="s">
        <v>9768</v>
      </c>
      <c r="F2490" t="s">
        <v>15247</v>
      </c>
      <c r="G2490" t="s">
        <v>19204</v>
      </c>
      <c r="H2490" t="s">
        <v>19882</v>
      </c>
      <c r="I2490" t="s">
        <v>18774</v>
      </c>
      <c r="K2490" t="str">
        <f>HYPERLINK("http://tuberculist.epfl.ch/quicksearch.php?gene+name=Rv2418c&amp;submit=Search")</f>
        <v>http://tuberculist.epfl.ch/quicksearch.php?gene+name=Rv2418c&amp;submit=Search</v>
      </c>
    </row>
    <row r="2491" spans="1:11">
      <c r="A2491" t="s">
        <v>15248</v>
      </c>
      <c r="B2491" t="s">
        <v>3226</v>
      </c>
      <c r="C2491" t="s">
        <v>9567</v>
      </c>
      <c r="D2491" t="s">
        <v>15249</v>
      </c>
      <c r="E2491" t="s">
        <v>15250</v>
      </c>
      <c r="F2491" t="s">
        <v>15251</v>
      </c>
      <c r="G2491" t="s">
        <v>19195</v>
      </c>
      <c r="H2491" t="s">
        <v>19213</v>
      </c>
      <c r="I2491" t="s">
        <v>18780</v>
      </c>
      <c r="K2491" t="str">
        <f>HYPERLINK("http://tuberculist.epfl.ch/quicksearch.php?gene+name=Rv2419c&amp;submit=Search")</f>
        <v>http://tuberculist.epfl.ch/quicksearch.php?gene+name=Rv2419c&amp;submit=Search</v>
      </c>
    </row>
    <row r="2492" spans="1:11">
      <c r="A2492" t="s">
        <v>718</v>
      </c>
      <c r="B2492" t="s">
        <v>718</v>
      </c>
      <c r="C2492" t="s">
        <v>9567</v>
      </c>
      <c r="D2492" t="s">
        <v>9578</v>
      </c>
      <c r="E2492" t="s">
        <v>9579</v>
      </c>
      <c r="F2492" t="s">
        <v>15252</v>
      </c>
      <c r="G2492" t="s">
        <v>19204</v>
      </c>
      <c r="H2492" t="s">
        <v>19213</v>
      </c>
      <c r="I2492" t="s">
        <v>18773</v>
      </c>
      <c r="K2492" t="str">
        <f>HYPERLINK("http://tuberculist.epfl.ch/quicksearch.php?gene+name=Rv2420c&amp;submit=Search")</f>
        <v>http://tuberculist.epfl.ch/quicksearch.php?gene+name=Rv2420c&amp;submit=Search</v>
      </c>
    </row>
    <row r="2493" spans="1:11">
      <c r="A2493" t="s">
        <v>8744</v>
      </c>
      <c r="B2493" t="s">
        <v>3112</v>
      </c>
      <c r="C2493" t="s">
        <v>9567</v>
      </c>
      <c r="D2493" t="s">
        <v>15253</v>
      </c>
      <c r="E2493" t="s">
        <v>15254</v>
      </c>
      <c r="F2493" t="s">
        <v>15255</v>
      </c>
      <c r="G2493" t="s">
        <v>19195</v>
      </c>
      <c r="H2493" t="s">
        <v>19213</v>
      </c>
      <c r="I2493" t="s">
        <v>18774</v>
      </c>
      <c r="K2493" t="str">
        <f>HYPERLINK("http://tuberculist.epfl.ch/quicksearch.php?gene+name=Rv2421c&amp;submit=Search")</f>
        <v>http://tuberculist.epfl.ch/quicksearch.php?gene+name=Rv2421c&amp;submit=Search</v>
      </c>
    </row>
    <row r="2494" spans="1:11">
      <c r="A2494" t="s">
        <v>15256</v>
      </c>
      <c r="B2494" t="s">
        <v>15256</v>
      </c>
      <c r="C2494" t="s">
        <v>9567</v>
      </c>
      <c r="D2494" t="s">
        <v>9587</v>
      </c>
      <c r="E2494" t="s">
        <v>9713</v>
      </c>
      <c r="F2494" t="s">
        <v>15257</v>
      </c>
      <c r="G2494" t="s">
        <v>19212</v>
      </c>
      <c r="I2494" t="s">
        <v>18780</v>
      </c>
      <c r="K2494" t="str">
        <f>HYPERLINK("http://tuberculist.epfl.ch/quicksearch.php?gene+name=Rv2422&amp;submit=Search")</f>
        <v>http://tuberculist.epfl.ch/quicksearch.php?gene+name=Rv2422&amp;submit=Search</v>
      </c>
    </row>
    <row r="2495" spans="1:11">
      <c r="A2495" t="s">
        <v>3049</v>
      </c>
      <c r="B2495" t="s">
        <v>3049</v>
      </c>
      <c r="C2495" t="s">
        <v>9567</v>
      </c>
      <c r="D2495" t="s">
        <v>9587</v>
      </c>
      <c r="E2495" t="s">
        <v>9713</v>
      </c>
      <c r="F2495" t="s">
        <v>15258</v>
      </c>
      <c r="G2495" t="s">
        <v>19204</v>
      </c>
      <c r="I2495" t="s">
        <v>18789</v>
      </c>
      <c r="K2495" t="str">
        <f>HYPERLINK("http://tuberculist.epfl.ch/quicksearch.php?gene+name=Rv2423&amp;submit=Search")</f>
        <v>http://tuberculist.epfl.ch/quicksearch.php?gene+name=Rv2423&amp;submit=Search</v>
      </c>
    </row>
    <row r="2496" spans="1:11">
      <c r="A2496" t="s">
        <v>15259</v>
      </c>
      <c r="B2496" t="s">
        <v>15259</v>
      </c>
      <c r="C2496" t="s">
        <v>9567</v>
      </c>
      <c r="D2496" t="s">
        <v>15260</v>
      </c>
      <c r="E2496" t="s">
        <v>11730</v>
      </c>
      <c r="F2496" t="s">
        <v>15261</v>
      </c>
      <c r="G2496" t="s">
        <v>19217</v>
      </c>
      <c r="I2496" t="s">
        <v>18780</v>
      </c>
      <c r="J2496" t="s">
        <v>18809</v>
      </c>
      <c r="K2496" t="str">
        <f>HYPERLINK("http://tuberculist.epfl.ch/quicksearch.php?gene+name=Rv2424c&amp;submit=Search")</f>
        <v>http://tuberculist.epfl.ch/quicksearch.php?gene+name=Rv2424c&amp;submit=Search</v>
      </c>
    </row>
    <row r="2497" spans="1:11">
      <c r="A2497" t="s">
        <v>632</v>
      </c>
      <c r="B2497" t="s">
        <v>632</v>
      </c>
      <c r="C2497" t="s">
        <v>9567</v>
      </c>
      <c r="D2497" t="s">
        <v>9578</v>
      </c>
      <c r="E2497" t="s">
        <v>9579</v>
      </c>
      <c r="F2497" t="s">
        <v>15262</v>
      </c>
      <c r="G2497" t="s">
        <v>19204</v>
      </c>
      <c r="H2497" t="s">
        <v>19211</v>
      </c>
      <c r="I2497" t="s">
        <v>18780</v>
      </c>
      <c r="K2497" t="str">
        <f>HYPERLINK("http://tuberculist.epfl.ch/quicksearch.php?gene+name=Rv2425c&amp;submit=Search")</f>
        <v>http://tuberculist.epfl.ch/quicksearch.php?gene+name=Rv2425c&amp;submit=Search</v>
      </c>
    </row>
    <row r="2498" spans="1:11">
      <c r="A2498" t="s">
        <v>2944</v>
      </c>
      <c r="B2498" t="s">
        <v>2944</v>
      </c>
      <c r="C2498" t="s">
        <v>9567</v>
      </c>
      <c r="D2498" t="s">
        <v>9578</v>
      </c>
      <c r="E2498" t="s">
        <v>9579</v>
      </c>
      <c r="F2498" t="s">
        <v>15263</v>
      </c>
      <c r="G2498" t="s">
        <v>19210</v>
      </c>
      <c r="H2498" t="s">
        <v>19339</v>
      </c>
      <c r="I2498" t="s">
        <v>18780</v>
      </c>
      <c r="K2498" t="str">
        <f>HYPERLINK("http://tuberculist.epfl.ch/quicksearch.php?gene+name=Rv2426c&amp;submit=Search")</f>
        <v>http://tuberculist.epfl.ch/quicksearch.php?gene+name=Rv2426c&amp;submit=Search</v>
      </c>
    </row>
    <row r="2499" spans="1:11">
      <c r="A2499" t="s">
        <v>15264</v>
      </c>
      <c r="B2499" t="s">
        <v>15265</v>
      </c>
      <c r="C2499" t="s">
        <v>10216</v>
      </c>
      <c r="D2499" t="s">
        <v>15266</v>
      </c>
      <c r="E2499" t="s">
        <v>15267</v>
      </c>
      <c r="F2499" t="s">
        <v>15268</v>
      </c>
      <c r="G2499" t="s">
        <v>19206</v>
      </c>
      <c r="I2499" t="s">
        <v>18773</v>
      </c>
      <c r="K2499" t="str">
        <f>HYPERLINK("http://tuberculist.epfl.ch/quicksearch.php?gene+name=Rv2427A&amp;submit=Search")</f>
        <v>http://tuberculist.epfl.ch/quicksearch.php?gene+name=Rv2427A&amp;submit=Search</v>
      </c>
    </row>
    <row r="2500" spans="1:11">
      <c r="A2500" t="s">
        <v>4940</v>
      </c>
      <c r="B2500" t="s">
        <v>1227</v>
      </c>
      <c r="C2500" t="s">
        <v>9567</v>
      </c>
      <c r="D2500" t="s">
        <v>15269</v>
      </c>
      <c r="E2500" t="s">
        <v>15270</v>
      </c>
      <c r="F2500" t="s">
        <v>15271</v>
      </c>
      <c r="G2500" t="s">
        <v>19195</v>
      </c>
      <c r="H2500" t="s">
        <v>19883</v>
      </c>
      <c r="I2500" t="s">
        <v>18780</v>
      </c>
      <c r="K2500" t="str">
        <f>HYPERLINK("http://tuberculist.epfl.ch/quicksearch.php?gene+name=Rv2427c&amp;submit=Search")</f>
        <v>http://tuberculist.epfl.ch/quicksearch.php?gene+name=Rv2427c&amp;submit=Search</v>
      </c>
    </row>
    <row r="2501" spans="1:11">
      <c r="A2501" t="s">
        <v>427</v>
      </c>
      <c r="B2501" t="s">
        <v>426</v>
      </c>
      <c r="C2501" t="s">
        <v>9567</v>
      </c>
      <c r="D2501" t="s">
        <v>15272</v>
      </c>
      <c r="E2501" t="s">
        <v>15273</v>
      </c>
      <c r="F2501" t="s">
        <v>15274</v>
      </c>
      <c r="G2501" t="s">
        <v>19206</v>
      </c>
      <c r="H2501" t="s">
        <v>19884</v>
      </c>
      <c r="I2501" t="s">
        <v>18773</v>
      </c>
      <c r="J2501" t="s">
        <v>18775</v>
      </c>
      <c r="K2501" t="str">
        <f>HYPERLINK("http://tuberculist.epfl.ch/quicksearch.php?gene+name=Rv2428&amp;submit=Search")</f>
        <v>http://tuberculist.epfl.ch/quicksearch.php?gene+name=Rv2428&amp;submit=Search</v>
      </c>
    </row>
    <row r="2502" spans="1:11">
      <c r="A2502" t="s">
        <v>7629</v>
      </c>
      <c r="B2502" t="s">
        <v>2568</v>
      </c>
      <c r="C2502" t="s">
        <v>9567</v>
      </c>
      <c r="D2502" t="s">
        <v>15272</v>
      </c>
      <c r="E2502" t="s">
        <v>15275</v>
      </c>
      <c r="F2502" t="s">
        <v>15276</v>
      </c>
      <c r="G2502" t="s">
        <v>19206</v>
      </c>
      <c r="H2502" t="s">
        <v>19885</v>
      </c>
      <c r="I2502" t="s">
        <v>18786</v>
      </c>
      <c r="J2502" t="s">
        <v>18809</v>
      </c>
      <c r="K2502" t="str">
        <f>HYPERLINK("http://tuberculist.epfl.ch/quicksearch.php?gene+name=Rv2429&amp;submit=Search")</f>
        <v>http://tuberculist.epfl.ch/quicksearch.php?gene+name=Rv2429&amp;submit=Search</v>
      </c>
    </row>
    <row r="2503" spans="1:11">
      <c r="A2503" t="s">
        <v>4434</v>
      </c>
      <c r="B2503" t="s">
        <v>984</v>
      </c>
      <c r="C2503" t="s">
        <v>9567</v>
      </c>
      <c r="D2503" t="s">
        <v>9578</v>
      </c>
      <c r="E2503" t="s">
        <v>15277</v>
      </c>
      <c r="F2503" t="s">
        <v>15278</v>
      </c>
      <c r="G2503" t="s">
        <v>19262</v>
      </c>
      <c r="H2503" t="s">
        <v>19886</v>
      </c>
      <c r="I2503" t="s">
        <v>18789</v>
      </c>
      <c r="J2503" t="s">
        <v>18900</v>
      </c>
      <c r="K2503" t="str">
        <f>HYPERLINK("http://tuberculist.epfl.ch/quicksearch.php?gene+name=Rv2430c&amp;submit=Search")</f>
        <v>http://tuberculist.epfl.ch/quicksearch.php?gene+name=Rv2430c&amp;submit=Search</v>
      </c>
    </row>
    <row r="2504" spans="1:11">
      <c r="A2504" t="s">
        <v>7358</v>
      </c>
      <c r="B2504" t="s">
        <v>2439</v>
      </c>
      <c r="C2504" t="s">
        <v>9567</v>
      </c>
      <c r="D2504" t="s">
        <v>9578</v>
      </c>
      <c r="E2504" t="s">
        <v>15279</v>
      </c>
      <c r="F2504" t="s">
        <v>15280</v>
      </c>
      <c r="G2504" t="s">
        <v>19262</v>
      </c>
      <c r="H2504" t="s">
        <v>19887</v>
      </c>
      <c r="I2504" t="s">
        <v>18780</v>
      </c>
      <c r="K2504" t="str">
        <f>HYPERLINK("http://tuberculist.epfl.ch/quicksearch.php?gene+name=Rv2431c&amp;submit=Search")</f>
        <v>http://tuberculist.epfl.ch/quicksearch.php?gene+name=Rv2431c&amp;submit=Search</v>
      </c>
    </row>
    <row r="2505" spans="1:11">
      <c r="A2505" t="s">
        <v>719</v>
      </c>
      <c r="B2505" t="s">
        <v>719</v>
      </c>
      <c r="C2505" t="s">
        <v>9567</v>
      </c>
      <c r="D2505" t="s">
        <v>9587</v>
      </c>
      <c r="E2505" t="s">
        <v>9713</v>
      </c>
      <c r="F2505" t="s">
        <v>15281</v>
      </c>
      <c r="G2505" t="s">
        <v>19212</v>
      </c>
      <c r="I2505" t="s">
        <v>18780</v>
      </c>
      <c r="K2505" t="str">
        <f>HYPERLINK("http://tuberculist.epfl.ch/quicksearch.php?gene+name=Rv2432c&amp;submit=Search")</f>
        <v>http://tuberculist.epfl.ch/quicksearch.php?gene+name=Rv2432c&amp;submit=Search</v>
      </c>
    </row>
    <row r="2506" spans="1:11">
      <c r="A2506" t="s">
        <v>15282</v>
      </c>
      <c r="B2506" t="s">
        <v>15282</v>
      </c>
      <c r="C2506" t="s">
        <v>9567</v>
      </c>
      <c r="D2506" t="s">
        <v>9587</v>
      </c>
      <c r="E2506" t="s">
        <v>9713</v>
      </c>
      <c r="F2506" t="s">
        <v>15283</v>
      </c>
      <c r="G2506" t="s">
        <v>19204</v>
      </c>
      <c r="I2506" t="s">
        <v>18779</v>
      </c>
      <c r="K2506" t="str">
        <f>HYPERLINK("http://tuberculist.epfl.ch/quicksearch.php?gene+name=Rv2433c&amp;submit=Search")</f>
        <v>http://tuberculist.epfl.ch/quicksearch.php?gene+name=Rv2433c&amp;submit=Search</v>
      </c>
    </row>
    <row r="2507" spans="1:11">
      <c r="A2507" t="s">
        <v>798</v>
      </c>
      <c r="B2507" t="s">
        <v>798</v>
      </c>
      <c r="C2507" t="s">
        <v>9567</v>
      </c>
      <c r="D2507" t="s">
        <v>9587</v>
      </c>
      <c r="E2507" t="s">
        <v>9597</v>
      </c>
      <c r="F2507" t="s">
        <v>15284</v>
      </c>
      <c r="G2507" t="s">
        <v>19188</v>
      </c>
      <c r="I2507" t="s">
        <v>18779</v>
      </c>
      <c r="K2507" t="str">
        <f>HYPERLINK("http://tuberculist.epfl.ch/quicksearch.php?gene+name=Rv2434c&amp;submit=Search")</f>
        <v>http://tuberculist.epfl.ch/quicksearch.php?gene+name=Rv2434c&amp;submit=Search</v>
      </c>
    </row>
    <row r="2508" spans="1:11">
      <c r="A2508" t="s">
        <v>2009</v>
      </c>
      <c r="B2508" t="s">
        <v>2009</v>
      </c>
      <c r="C2508" t="s">
        <v>9567</v>
      </c>
      <c r="D2508" t="s">
        <v>15285</v>
      </c>
      <c r="E2508" t="s">
        <v>15286</v>
      </c>
      <c r="F2508" t="s">
        <v>15287</v>
      </c>
      <c r="G2508" t="s">
        <v>19195</v>
      </c>
      <c r="I2508" t="s">
        <v>18779</v>
      </c>
      <c r="K2508" t="str">
        <f>HYPERLINK("http://tuberculist.epfl.ch/quicksearch.php?gene+name=Rv2435c&amp;submit=Search")</f>
        <v>http://tuberculist.epfl.ch/quicksearch.php?gene+name=Rv2435c&amp;submit=Search</v>
      </c>
    </row>
    <row r="2509" spans="1:11">
      <c r="A2509" t="s">
        <v>4365</v>
      </c>
      <c r="B2509" t="s">
        <v>943</v>
      </c>
      <c r="C2509" t="s">
        <v>9567</v>
      </c>
      <c r="D2509" t="s">
        <v>15288</v>
      </c>
      <c r="E2509" t="s">
        <v>15289</v>
      </c>
      <c r="F2509" t="s">
        <v>15290</v>
      </c>
      <c r="G2509" t="s">
        <v>19195</v>
      </c>
      <c r="I2509" t="s">
        <v>18773</v>
      </c>
      <c r="K2509" t="str">
        <f>HYPERLINK("http://tuberculist.epfl.ch/quicksearch.php?gene+name=Rv2436&amp;submit=Search")</f>
        <v>http://tuberculist.epfl.ch/quicksearch.php?gene+name=Rv2436&amp;submit=Search</v>
      </c>
    </row>
    <row r="2510" spans="1:11">
      <c r="A2510" t="s">
        <v>2062</v>
      </c>
      <c r="B2510" t="s">
        <v>2062</v>
      </c>
      <c r="C2510" t="s">
        <v>9567</v>
      </c>
      <c r="D2510" t="s">
        <v>9578</v>
      </c>
      <c r="E2510" t="s">
        <v>14369</v>
      </c>
      <c r="F2510" t="s">
        <v>15291</v>
      </c>
      <c r="G2510" t="s">
        <v>19188</v>
      </c>
      <c r="H2510" t="s">
        <v>19254</v>
      </c>
      <c r="I2510" t="s">
        <v>18930</v>
      </c>
      <c r="K2510" t="str">
        <f>HYPERLINK("http://tuberculist.epfl.ch/quicksearch.php?gene+name=Rv2437&amp;submit=Search")</f>
        <v>http://tuberculist.epfl.ch/quicksearch.php?gene+name=Rv2437&amp;submit=Search</v>
      </c>
    </row>
    <row r="2511" spans="1:11">
      <c r="A2511" t="s">
        <v>15292</v>
      </c>
      <c r="B2511" t="s">
        <v>15292</v>
      </c>
      <c r="C2511" t="s">
        <v>9567</v>
      </c>
      <c r="D2511" t="s">
        <v>9578</v>
      </c>
      <c r="E2511" t="s">
        <v>9579</v>
      </c>
      <c r="F2511" t="s">
        <v>15293</v>
      </c>
      <c r="G2511" t="s">
        <v>19212</v>
      </c>
      <c r="I2511" t="s">
        <v>18773</v>
      </c>
      <c r="K2511" t="str">
        <f>HYPERLINK("http://tuberculist.epfl.ch/quicksearch.php?gene+name=Rv2438A&amp;submit=Search")</f>
        <v>http://tuberculist.epfl.ch/quicksearch.php?gene+name=Rv2438A&amp;submit=Search</v>
      </c>
    </row>
    <row r="2512" spans="1:11">
      <c r="A2512" t="s">
        <v>8020</v>
      </c>
      <c r="B2512" t="s">
        <v>2770</v>
      </c>
      <c r="C2512" t="s">
        <v>9567</v>
      </c>
      <c r="D2512" t="s">
        <v>15294</v>
      </c>
      <c r="E2512" t="s">
        <v>15295</v>
      </c>
      <c r="F2512" t="s">
        <v>15296</v>
      </c>
      <c r="G2512" t="s">
        <v>19195</v>
      </c>
      <c r="H2512" t="s">
        <v>19888</v>
      </c>
      <c r="I2512" t="s">
        <v>18774</v>
      </c>
      <c r="K2512" t="str">
        <f>HYPERLINK("http://tuberculist.epfl.ch/quicksearch.php?gene+name=Rv2438c&amp;submit=Search")</f>
        <v>http://tuberculist.epfl.ch/quicksearch.php?gene+name=Rv2438c&amp;submit=Search</v>
      </c>
    </row>
    <row r="2513" spans="1:11">
      <c r="A2513" t="s">
        <v>4914</v>
      </c>
      <c r="B2513" t="s">
        <v>1213</v>
      </c>
      <c r="C2513" t="s">
        <v>9567</v>
      </c>
      <c r="D2513" t="s">
        <v>15297</v>
      </c>
      <c r="E2513" t="s">
        <v>15298</v>
      </c>
      <c r="F2513" t="s">
        <v>15299</v>
      </c>
      <c r="G2513" t="s">
        <v>19195</v>
      </c>
      <c r="I2513" t="s">
        <v>18774</v>
      </c>
      <c r="K2513" t="str">
        <f>HYPERLINK("http://tuberculist.epfl.ch/quicksearch.php?gene+name=Rv2439c&amp;submit=Search")</f>
        <v>http://tuberculist.epfl.ch/quicksearch.php?gene+name=Rv2439c&amp;submit=Search</v>
      </c>
    </row>
    <row r="2514" spans="1:11">
      <c r="A2514" t="s">
        <v>15300</v>
      </c>
      <c r="B2514" t="s">
        <v>2572</v>
      </c>
      <c r="C2514" t="s">
        <v>9567</v>
      </c>
      <c r="D2514" t="s">
        <v>15301</v>
      </c>
      <c r="E2514" t="s">
        <v>15302</v>
      </c>
      <c r="F2514" t="s">
        <v>15303</v>
      </c>
      <c r="G2514" t="s">
        <v>19195</v>
      </c>
      <c r="H2514" t="s">
        <v>19213</v>
      </c>
      <c r="I2514" t="s">
        <v>18774</v>
      </c>
      <c r="K2514" t="str">
        <f>HYPERLINK("http://tuberculist.epfl.ch/quicksearch.php?gene+name=Rv2440c&amp;submit=Search")</f>
        <v>http://tuberculist.epfl.ch/quicksearch.php?gene+name=Rv2440c&amp;submit=Search</v>
      </c>
    </row>
    <row r="2515" spans="1:11">
      <c r="A2515" t="s">
        <v>15304</v>
      </c>
      <c r="B2515" t="s">
        <v>15305</v>
      </c>
      <c r="C2515" t="s">
        <v>9567</v>
      </c>
      <c r="D2515" t="s">
        <v>11090</v>
      </c>
      <c r="E2515" t="s">
        <v>15306</v>
      </c>
      <c r="F2515" t="s">
        <v>15307</v>
      </c>
      <c r="G2515" t="s">
        <v>19181</v>
      </c>
      <c r="H2515" t="s">
        <v>19374</v>
      </c>
      <c r="I2515" t="s">
        <v>18800</v>
      </c>
      <c r="K2515" t="str">
        <f>HYPERLINK("http://tuberculist.epfl.ch/quicksearch.php?gene+name=Rv2441c&amp;submit=Search")</f>
        <v>http://tuberculist.epfl.ch/quicksearch.php?gene+name=Rv2441c&amp;submit=Search</v>
      </c>
    </row>
    <row r="2516" spans="1:11">
      <c r="A2516" t="s">
        <v>5742</v>
      </c>
      <c r="B2516" t="s">
        <v>1631</v>
      </c>
      <c r="C2516" t="s">
        <v>9567</v>
      </c>
      <c r="D2516" t="s">
        <v>11090</v>
      </c>
      <c r="E2516" t="s">
        <v>15308</v>
      </c>
      <c r="F2516" t="s">
        <v>15309</v>
      </c>
      <c r="G2516" t="s">
        <v>19181</v>
      </c>
      <c r="H2516" t="s">
        <v>19225</v>
      </c>
      <c r="I2516" t="s">
        <v>18800</v>
      </c>
      <c r="K2516" t="str">
        <f>HYPERLINK("http://tuberculist.epfl.ch/quicksearch.php?gene+name=Rv2442c&amp;submit=Search")</f>
        <v>http://tuberculist.epfl.ch/quicksearch.php?gene+name=Rv2442c&amp;submit=Search</v>
      </c>
    </row>
    <row r="2517" spans="1:11">
      <c r="A2517" t="s">
        <v>8827</v>
      </c>
      <c r="B2517" t="s">
        <v>3150</v>
      </c>
      <c r="C2517" t="s">
        <v>9567</v>
      </c>
      <c r="D2517" t="s">
        <v>15310</v>
      </c>
      <c r="E2517" t="s">
        <v>15311</v>
      </c>
      <c r="F2517" t="s">
        <v>15312</v>
      </c>
      <c r="G2517" t="s">
        <v>19188</v>
      </c>
      <c r="H2517" t="s">
        <v>19192</v>
      </c>
      <c r="I2517" t="s">
        <v>18780</v>
      </c>
      <c r="K2517" t="str">
        <f>HYPERLINK("http://tuberculist.epfl.ch/quicksearch.php?gene+name=Rv2443&amp;submit=Search")</f>
        <v>http://tuberculist.epfl.ch/quicksearch.php?gene+name=Rv2443&amp;submit=Search</v>
      </c>
    </row>
    <row r="2518" spans="1:11">
      <c r="A2518" t="s">
        <v>8782</v>
      </c>
      <c r="B2518" t="s">
        <v>3131</v>
      </c>
      <c r="C2518" t="s">
        <v>9567</v>
      </c>
      <c r="D2518" t="s">
        <v>15313</v>
      </c>
      <c r="E2518" t="s">
        <v>15314</v>
      </c>
      <c r="F2518" t="s">
        <v>15315</v>
      </c>
      <c r="G2518" t="s">
        <v>19181</v>
      </c>
      <c r="H2518" t="s">
        <v>19889</v>
      </c>
      <c r="I2518" t="s">
        <v>18774</v>
      </c>
      <c r="K2518" t="str">
        <f>HYPERLINK("http://tuberculist.epfl.ch/quicksearch.php?gene+name=Rv2444c&amp;submit=Search")</f>
        <v>http://tuberculist.epfl.ch/quicksearch.php?gene+name=Rv2444c&amp;submit=Search</v>
      </c>
    </row>
    <row r="2519" spans="1:11">
      <c r="A2519" t="s">
        <v>15316</v>
      </c>
      <c r="B2519" t="s">
        <v>2805</v>
      </c>
      <c r="C2519" t="s">
        <v>9567</v>
      </c>
      <c r="D2519" t="s">
        <v>15317</v>
      </c>
      <c r="E2519" t="s">
        <v>15318</v>
      </c>
      <c r="F2519" t="s">
        <v>15319</v>
      </c>
      <c r="G2519" t="s">
        <v>19195</v>
      </c>
      <c r="H2519" t="s">
        <v>19890</v>
      </c>
      <c r="I2519" t="s">
        <v>18779</v>
      </c>
      <c r="K2519" t="str">
        <f>HYPERLINK("http://tuberculist.epfl.ch/quicksearch.php?gene+name=Rv2445c&amp;submit=Search")</f>
        <v>http://tuberculist.epfl.ch/quicksearch.php?gene+name=Rv2445c&amp;submit=Search</v>
      </c>
    </row>
    <row r="2520" spans="1:11">
      <c r="A2520" t="s">
        <v>15320</v>
      </c>
      <c r="B2520" t="s">
        <v>15320</v>
      </c>
      <c r="C2520" t="s">
        <v>9567</v>
      </c>
      <c r="D2520" t="s">
        <v>9587</v>
      </c>
      <c r="E2520" t="s">
        <v>9668</v>
      </c>
      <c r="F2520" t="s">
        <v>15321</v>
      </c>
      <c r="G2520" t="s">
        <v>19188</v>
      </c>
      <c r="I2520" t="s">
        <v>18780</v>
      </c>
      <c r="K2520" t="str">
        <f>HYPERLINK("http://tuberculist.epfl.ch/quicksearch.php?gene+name=Rv2446c&amp;submit=Search")</f>
        <v>http://tuberculist.epfl.ch/quicksearch.php?gene+name=Rv2446c&amp;submit=Search</v>
      </c>
    </row>
    <row r="2521" spans="1:11">
      <c r="A2521" t="s">
        <v>8589</v>
      </c>
      <c r="B2521" t="s">
        <v>3036</v>
      </c>
      <c r="C2521" t="s">
        <v>9567</v>
      </c>
      <c r="D2521" t="s">
        <v>15322</v>
      </c>
      <c r="E2521" t="s">
        <v>15323</v>
      </c>
      <c r="F2521" t="s">
        <v>15324</v>
      </c>
      <c r="G2521" t="s">
        <v>19195</v>
      </c>
      <c r="H2521" t="s">
        <v>19265</v>
      </c>
      <c r="I2521" t="s">
        <v>18774</v>
      </c>
      <c r="K2521" t="str">
        <f>HYPERLINK("http://tuberculist.epfl.ch/quicksearch.php?gene+name=Rv2447c&amp;submit=Search")</f>
        <v>http://tuberculist.epfl.ch/quicksearch.php?gene+name=Rv2447c&amp;submit=Search</v>
      </c>
    </row>
    <row r="2522" spans="1:11">
      <c r="A2522" t="s">
        <v>5668</v>
      </c>
      <c r="B2522" t="s">
        <v>1597</v>
      </c>
      <c r="C2522" t="s">
        <v>9567</v>
      </c>
      <c r="D2522" t="s">
        <v>15325</v>
      </c>
      <c r="E2522" t="s">
        <v>15326</v>
      </c>
      <c r="F2522" t="s">
        <v>15327</v>
      </c>
      <c r="G2522" t="s">
        <v>19181</v>
      </c>
      <c r="H2522" t="s">
        <v>19891</v>
      </c>
      <c r="I2522" t="s">
        <v>18774</v>
      </c>
      <c r="K2522" t="str">
        <f>HYPERLINK("http://tuberculist.epfl.ch/quicksearch.php?gene+name=Rv2448c&amp;submit=Search")</f>
        <v>http://tuberculist.epfl.ch/quicksearch.php?gene+name=Rv2448c&amp;submit=Search</v>
      </c>
    </row>
    <row r="2523" spans="1:11">
      <c r="A2523" t="s">
        <v>1898</v>
      </c>
      <c r="B2523" t="s">
        <v>1898</v>
      </c>
      <c r="C2523" t="s">
        <v>9567</v>
      </c>
      <c r="D2523" t="s">
        <v>9587</v>
      </c>
      <c r="E2523" t="s">
        <v>9665</v>
      </c>
      <c r="F2523" t="s">
        <v>15328</v>
      </c>
      <c r="G2523" t="s">
        <v>19212</v>
      </c>
      <c r="H2523" t="s">
        <v>19892</v>
      </c>
      <c r="I2523" t="s">
        <v>18789</v>
      </c>
      <c r="K2523" t="str">
        <f>HYPERLINK("http://tuberculist.epfl.ch/quicksearch.php?gene+name=Rv2449c&amp;submit=Search")</f>
        <v>http://tuberculist.epfl.ch/quicksearch.php?gene+name=Rv2449c&amp;submit=Search</v>
      </c>
    </row>
    <row r="2524" spans="1:11">
      <c r="A2524" t="s">
        <v>3897</v>
      </c>
      <c r="B2524" t="s">
        <v>703</v>
      </c>
      <c r="C2524" t="s">
        <v>9567</v>
      </c>
      <c r="D2524" t="s">
        <v>11927</v>
      </c>
      <c r="E2524" t="s">
        <v>15329</v>
      </c>
      <c r="F2524" t="s">
        <v>15330</v>
      </c>
      <c r="G2524" t="s">
        <v>19188</v>
      </c>
      <c r="H2524" t="s">
        <v>19475</v>
      </c>
      <c r="I2524" t="s">
        <v>18905</v>
      </c>
      <c r="K2524" t="str">
        <f>HYPERLINK("http://tuberculist.epfl.ch/quicksearch.php?gene+name=Rv2450c&amp;submit=Search")</f>
        <v>http://tuberculist.epfl.ch/quicksearch.php?gene+name=Rv2450c&amp;submit=Search</v>
      </c>
    </row>
    <row r="2525" spans="1:11">
      <c r="A2525" t="s">
        <v>15331</v>
      </c>
      <c r="B2525" t="s">
        <v>15331</v>
      </c>
      <c r="C2525" t="s">
        <v>9567</v>
      </c>
      <c r="D2525" t="s">
        <v>9587</v>
      </c>
      <c r="E2525" t="s">
        <v>15332</v>
      </c>
      <c r="F2525" t="s">
        <v>15333</v>
      </c>
      <c r="G2525" t="s">
        <v>19212</v>
      </c>
      <c r="H2525" t="s">
        <v>19215</v>
      </c>
      <c r="I2525" t="s">
        <v>18793</v>
      </c>
      <c r="K2525" t="str">
        <f>HYPERLINK("http://tuberculist.epfl.ch/quicksearch.php?gene+name=Rv2451&amp;submit=Search")</f>
        <v>http://tuberculist.epfl.ch/quicksearch.php?gene+name=Rv2451&amp;submit=Search</v>
      </c>
    </row>
    <row r="2526" spans="1:11">
      <c r="A2526" t="s">
        <v>15334</v>
      </c>
      <c r="B2526" t="s">
        <v>15334</v>
      </c>
      <c r="C2526" t="s">
        <v>9567</v>
      </c>
      <c r="D2526" t="s">
        <v>9587</v>
      </c>
      <c r="E2526" t="s">
        <v>9713</v>
      </c>
      <c r="F2526" t="s">
        <v>15335</v>
      </c>
      <c r="G2526" t="s">
        <v>19204</v>
      </c>
      <c r="I2526" t="s">
        <v>18789</v>
      </c>
      <c r="K2526" t="str">
        <f>HYPERLINK("http://tuberculist.epfl.ch/quicksearch.php?gene+name=Rv2452c&amp;submit=Search")</f>
        <v>http://tuberculist.epfl.ch/quicksearch.php?gene+name=Rv2452c&amp;submit=Search</v>
      </c>
    </row>
    <row r="2527" spans="1:11">
      <c r="A2527" t="s">
        <v>6916</v>
      </c>
      <c r="B2527" t="s">
        <v>2224</v>
      </c>
      <c r="C2527" t="s">
        <v>9567</v>
      </c>
      <c r="D2527" t="s">
        <v>15336</v>
      </c>
      <c r="E2527" t="s">
        <v>15337</v>
      </c>
      <c r="F2527" t="s">
        <v>15338</v>
      </c>
      <c r="G2527" t="s">
        <v>19195</v>
      </c>
      <c r="H2527" t="s">
        <v>19653</v>
      </c>
      <c r="I2527" t="s">
        <v>18780</v>
      </c>
      <c r="K2527" t="str">
        <f>HYPERLINK("http://tuberculist.epfl.ch/quicksearch.php?gene+name=Rv2453c&amp;submit=Search")</f>
        <v>http://tuberculist.epfl.ch/quicksearch.php?gene+name=Rv2453c&amp;submit=Search</v>
      </c>
    </row>
    <row r="2528" spans="1:11">
      <c r="A2528" t="s">
        <v>2550</v>
      </c>
      <c r="B2528" t="s">
        <v>2550</v>
      </c>
      <c r="C2528" t="s">
        <v>9567</v>
      </c>
      <c r="D2528" t="s">
        <v>9682</v>
      </c>
      <c r="E2528" t="s">
        <v>15339</v>
      </c>
      <c r="F2528" t="s">
        <v>15340</v>
      </c>
      <c r="G2528" t="s">
        <v>19195</v>
      </c>
      <c r="H2528" t="s">
        <v>19893</v>
      </c>
      <c r="I2528" t="s">
        <v>18776</v>
      </c>
      <c r="K2528" t="str">
        <f>HYPERLINK("http://tuberculist.epfl.ch/quicksearch.php?gene+name=Rv2454c&amp;submit=Search")</f>
        <v>http://tuberculist.epfl.ch/quicksearch.php?gene+name=Rv2454c&amp;submit=Search</v>
      </c>
    </row>
    <row r="2529" spans="1:11">
      <c r="A2529" t="s">
        <v>2278</v>
      </c>
      <c r="B2529" t="s">
        <v>2278</v>
      </c>
      <c r="C2529" t="s">
        <v>9567</v>
      </c>
      <c r="D2529" t="s">
        <v>9682</v>
      </c>
      <c r="E2529" t="s">
        <v>15341</v>
      </c>
      <c r="F2529" t="s">
        <v>15342</v>
      </c>
      <c r="G2529" t="s">
        <v>19195</v>
      </c>
      <c r="H2529" t="s">
        <v>19187</v>
      </c>
      <c r="I2529" t="s">
        <v>18845</v>
      </c>
      <c r="K2529" t="str">
        <f>HYPERLINK("http://tuberculist.epfl.ch/quicksearch.php?gene+name=Rv2455c&amp;submit=Search")</f>
        <v>http://tuberculist.epfl.ch/quicksearch.php?gene+name=Rv2455c&amp;submit=Search</v>
      </c>
    </row>
    <row r="2530" spans="1:11">
      <c r="A2530" t="s">
        <v>649</v>
      </c>
      <c r="B2530" t="s">
        <v>649</v>
      </c>
      <c r="C2530" t="s">
        <v>9567</v>
      </c>
      <c r="D2530" t="s">
        <v>15343</v>
      </c>
      <c r="E2530" t="s">
        <v>11579</v>
      </c>
      <c r="F2530" t="s">
        <v>15344</v>
      </c>
      <c r="G2530" t="s">
        <v>19188</v>
      </c>
      <c r="I2530" t="s">
        <v>18780</v>
      </c>
      <c r="K2530" t="str">
        <f>HYPERLINK("http://tuberculist.epfl.ch/quicksearch.php?gene+name=Rv2456c&amp;submit=Search")</f>
        <v>http://tuberculist.epfl.ch/quicksearch.php?gene+name=Rv2456c&amp;submit=Search</v>
      </c>
    </row>
    <row r="2531" spans="1:11">
      <c r="A2531" t="s">
        <v>6906</v>
      </c>
      <c r="B2531" t="s">
        <v>2219</v>
      </c>
      <c r="C2531" t="s">
        <v>9567</v>
      </c>
      <c r="D2531" t="s">
        <v>15345</v>
      </c>
      <c r="E2531" t="s">
        <v>15346</v>
      </c>
      <c r="F2531" t="s">
        <v>15347</v>
      </c>
      <c r="G2531" t="s">
        <v>19195</v>
      </c>
      <c r="H2531" t="s">
        <v>19894</v>
      </c>
      <c r="I2531" t="s">
        <v>18774</v>
      </c>
      <c r="K2531" t="str">
        <f>HYPERLINK("http://tuberculist.epfl.ch/quicksearch.php?gene+name=Rv2457c&amp;submit=Search")</f>
        <v>http://tuberculist.epfl.ch/quicksearch.php?gene+name=Rv2457c&amp;submit=Search</v>
      </c>
    </row>
    <row r="2532" spans="1:11">
      <c r="A2532" t="s">
        <v>6727</v>
      </c>
      <c r="B2532" t="s">
        <v>2124</v>
      </c>
      <c r="C2532" t="s">
        <v>9567</v>
      </c>
      <c r="D2532" t="s">
        <v>15348</v>
      </c>
      <c r="E2532" t="s">
        <v>15349</v>
      </c>
      <c r="F2532" t="s">
        <v>15350</v>
      </c>
      <c r="G2532" t="s">
        <v>19195</v>
      </c>
      <c r="I2532" t="s">
        <v>18780</v>
      </c>
      <c r="K2532" t="str">
        <f>HYPERLINK("http://tuberculist.epfl.ch/quicksearch.php?gene+name=Rv2458&amp;submit=Search")</f>
        <v>http://tuberculist.epfl.ch/quicksearch.php?gene+name=Rv2458&amp;submit=Search</v>
      </c>
    </row>
    <row r="2533" spans="1:11">
      <c r="A2533" t="s">
        <v>563</v>
      </c>
      <c r="B2533" t="s">
        <v>563</v>
      </c>
      <c r="C2533" t="s">
        <v>9567</v>
      </c>
      <c r="D2533" t="s">
        <v>15351</v>
      </c>
      <c r="E2533" t="s">
        <v>11579</v>
      </c>
      <c r="F2533" t="s">
        <v>15352</v>
      </c>
      <c r="G2533" t="s">
        <v>19188</v>
      </c>
      <c r="H2533" t="s">
        <v>19211</v>
      </c>
      <c r="I2533" t="s">
        <v>18780</v>
      </c>
      <c r="K2533" t="str">
        <f>HYPERLINK("http://tuberculist.epfl.ch/quicksearch.php?gene+name=Rv2459&amp;submit=Search")</f>
        <v>http://tuberculist.epfl.ch/quicksearch.php?gene+name=Rv2459&amp;submit=Search</v>
      </c>
    </row>
    <row r="2534" spans="1:11">
      <c r="A2534" t="s">
        <v>4482</v>
      </c>
      <c r="B2534" t="s">
        <v>1004</v>
      </c>
      <c r="C2534" t="s">
        <v>9567</v>
      </c>
      <c r="D2534" t="s">
        <v>15353</v>
      </c>
      <c r="E2534" t="s">
        <v>15354</v>
      </c>
      <c r="F2534" t="s">
        <v>15355</v>
      </c>
      <c r="G2534" t="s">
        <v>19195</v>
      </c>
      <c r="H2534" t="s">
        <v>19895</v>
      </c>
      <c r="I2534" t="s">
        <v>18774</v>
      </c>
      <c r="J2534" t="s">
        <v>18775</v>
      </c>
      <c r="K2534" t="str">
        <f>HYPERLINK("http://tuberculist.epfl.ch/quicksearch.php?gene+name=Rv2460c&amp;submit=Search")</f>
        <v>http://tuberculist.epfl.ch/quicksearch.php?gene+name=Rv2460c&amp;submit=Search</v>
      </c>
    </row>
    <row r="2535" spans="1:11">
      <c r="A2535" t="s">
        <v>15356</v>
      </c>
      <c r="B2535" t="s">
        <v>1361</v>
      </c>
      <c r="C2535" t="s">
        <v>9567</v>
      </c>
      <c r="D2535" t="s">
        <v>15353</v>
      </c>
      <c r="E2535" t="s">
        <v>15357</v>
      </c>
      <c r="F2535" t="s">
        <v>15358</v>
      </c>
      <c r="G2535" t="s">
        <v>19195</v>
      </c>
      <c r="H2535" t="s">
        <v>19896</v>
      </c>
      <c r="I2535" t="s">
        <v>18776</v>
      </c>
      <c r="K2535" t="str">
        <f>HYPERLINK("http://tuberculist.epfl.ch/quicksearch.php?gene+name=Rv2461c&amp;submit=Search")</f>
        <v>http://tuberculist.epfl.ch/quicksearch.php?gene+name=Rv2461c&amp;submit=Search</v>
      </c>
    </row>
    <row r="2536" spans="1:11">
      <c r="A2536" t="s">
        <v>6133</v>
      </c>
      <c r="B2536" t="s">
        <v>1819</v>
      </c>
      <c r="C2536" t="s">
        <v>9567</v>
      </c>
      <c r="D2536" t="s">
        <v>15359</v>
      </c>
      <c r="E2536" t="s">
        <v>15360</v>
      </c>
      <c r="F2536" t="s">
        <v>15361</v>
      </c>
      <c r="G2536" t="s">
        <v>19188</v>
      </c>
      <c r="H2536" t="s">
        <v>19897</v>
      </c>
      <c r="I2536" t="s">
        <v>18836</v>
      </c>
      <c r="K2536" t="str">
        <f>HYPERLINK("http://tuberculist.epfl.ch/quicksearch.php?gene+name=Rv2462c&amp;submit=Search")</f>
        <v>http://tuberculist.epfl.ch/quicksearch.php?gene+name=Rv2462c&amp;submit=Search</v>
      </c>
    </row>
    <row r="2537" spans="1:11">
      <c r="A2537" t="s">
        <v>9358</v>
      </c>
      <c r="B2537" t="s">
        <v>3398</v>
      </c>
      <c r="C2537" t="s">
        <v>9567</v>
      </c>
      <c r="D2537" t="s">
        <v>11074</v>
      </c>
      <c r="E2537" t="s">
        <v>15362</v>
      </c>
      <c r="F2537" t="s">
        <v>15363</v>
      </c>
      <c r="G2537" t="s">
        <v>19195</v>
      </c>
      <c r="H2537" t="s">
        <v>19207</v>
      </c>
      <c r="I2537" t="s">
        <v>18829</v>
      </c>
      <c r="K2537" t="str">
        <f>HYPERLINK("http://tuberculist.epfl.ch/quicksearch.php?gene+name=Rv2463&amp;submit=Search")</f>
        <v>http://tuberculist.epfl.ch/quicksearch.php?gene+name=Rv2463&amp;submit=Search</v>
      </c>
    </row>
    <row r="2538" spans="1:11">
      <c r="A2538" t="s">
        <v>780</v>
      </c>
      <c r="B2538" t="s">
        <v>780</v>
      </c>
      <c r="C2538" t="s">
        <v>9567</v>
      </c>
      <c r="D2538" t="s">
        <v>15364</v>
      </c>
      <c r="E2538" t="s">
        <v>15365</v>
      </c>
      <c r="F2538" t="s">
        <v>15366</v>
      </c>
      <c r="G2538" t="s">
        <v>19181</v>
      </c>
      <c r="I2538" t="s">
        <v>18779</v>
      </c>
      <c r="K2538" t="str">
        <f>HYPERLINK("http://tuberculist.epfl.ch/quicksearch.php?gene+name=Rv2464c&amp;submit=Search")</f>
        <v>http://tuberculist.epfl.ch/quicksearch.php?gene+name=Rv2464c&amp;submit=Search</v>
      </c>
    </row>
    <row r="2539" spans="1:11">
      <c r="A2539" t="s">
        <v>9387</v>
      </c>
      <c r="B2539" t="s">
        <v>3411</v>
      </c>
      <c r="C2539" t="s">
        <v>9567</v>
      </c>
      <c r="D2539" t="s">
        <v>15367</v>
      </c>
      <c r="E2539" t="s">
        <v>15368</v>
      </c>
      <c r="F2539" t="s">
        <v>15369</v>
      </c>
      <c r="G2539" t="s">
        <v>19195</v>
      </c>
      <c r="H2539" t="s">
        <v>19898</v>
      </c>
      <c r="I2539" t="s">
        <v>18788</v>
      </c>
      <c r="K2539" t="str">
        <f>HYPERLINK("http://tuberculist.epfl.ch/quicksearch.php?gene+name=Rv2465c&amp;submit=Search")</f>
        <v>http://tuberculist.epfl.ch/quicksearch.php?gene+name=Rv2465c&amp;submit=Search</v>
      </c>
    </row>
    <row r="2540" spans="1:11">
      <c r="A2540" t="s">
        <v>1373</v>
      </c>
      <c r="B2540" t="s">
        <v>1373</v>
      </c>
      <c r="C2540" t="s">
        <v>9567</v>
      </c>
      <c r="D2540" t="s">
        <v>15370</v>
      </c>
      <c r="E2540" t="s">
        <v>9665</v>
      </c>
      <c r="F2540" t="s">
        <v>15371</v>
      </c>
      <c r="G2540" t="s">
        <v>19212</v>
      </c>
      <c r="H2540" t="s">
        <v>19233</v>
      </c>
      <c r="I2540" t="s">
        <v>18780</v>
      </c>
      <c r="K2540" t="str">
        <f>HYPERLINK("http://tuberculist.epfl.ch/quicksearch.php?gene+name=Rv2466c&amp;submit=Search")</f>
        <v>http://tuberculist.epfl.ch/quicksearch.php?gene+name=Rv2466c&amp;submit=Search</v>
      </c>
    </row>
    <row r="2541" spans="1:11">
      <c r="A2541" t="s">
        <v>4734</v>
      </c>
      <c r="B2541" t="s">
        <v>1126</v>
      </c>
      <c r="C2541" t="s">
        <v>9567</v>
      </c>
      <c r="D2541" t="s">
        <v>15372</v>
      </c>
      <c r="E2541" t="s">
        <v>15373</v>
      </c>
      <c r="F2541" t="s">
        <v>15374</v>
      </c>
      <c r="G2541" t="s">
        <v>19195</v>
      </c>
      <c r="H2541" t="s">
        <v>19899</v>
      </c>
      <c r="I2541" t="s">
        <v>19055</v>
      </c>
      <c r="K2541" t="str">
        <f>HYPERLINK("http://tuberculist.epfl.ch/quicksearch.php?gene+name=Rv2467&amp;submit=Search")</f>
        <v>http://tuberculist.epfl.ch/quicksearch.php?gene+name=Rv2467&amp;submit=Search</v>
      </c>
    </row>
    <row r="2542" spans="1:11">
      <c r="A2542" t="s">
        <v>15375</v>
      </c>
      <c r="B2542" t="s">
        <v>15375</v>
      </c>
      <c r="C2542" t="s">
        <v>9567</v>
      </c>
      <c r="D2542" t="s">
        <v>9587</v>
      </c>
      <c r="E2542" t="s">
        <v>9665</v>
      </c>
      <c r="F2542" t="s">
        <v>15376</v>
      </c>
      <c r="G2542" t="s">
        <v>19212</v>
      </c>
      <c r="H2542" t="s">
        <v>19248</v>
      </c>
      <c r="I2542" t="s">
        <v>18773</v>
      </c>
      <c r="K2542" t="str">
        <f>HYPERLINK("http://tuberculist.epfl.ch/quicksearch.php?gene+name=Rv2468A&amp;submit=Search")</f>
        <v>http://tuberculist.epfl.ch/quicksearch.php?gene+name=Rv2468A&amp;submit=Search</v>
      </c>
    </row>
    <row r="2543" spans="1:11">
      <c r="A2543" t="s">
        <v>1784</v>
      </c>
      <c r="B2543" t="s">
        <v>1784</v>
      </c>
      <c r="C2543" t="s">
        <v>9567</v>
      </c>
      <c r="D2543" t="s">
        <v>9578</v>
      </c>
      <c r="E2543" t="s">
        <v>9665</v>
      </c>
      <c r="F2543" t="s">
        <v>15377</v>
      </c>
      <c r="G2543" t="s">
        <v>19204</v>
      </c>
      <c r="H2543" t="s">
        <v>19225</v>
      </c>
      <c r="I2543" t="s">
        <v>18780</v>
      </c>
      <c r="J2543" t="s">
        <v>18775</v>
      </c>
      <c r="K2543" t="str">
        <f>HYPERLINK("http://tuberculist.epfl.ch/quicksearch.php?gene+name=Rv2468c&amp;submit=Search")</f>
        <v>http://tuberculist.epfl.ch/quicksearch.php?gene+name=Rv2468c&amp;submit=Search</v>
      </c>
    </row>
    <row r="2544" spans="1:11">
      <c r="A2544" t="s">
        <v>3370</v>
      </c>
      <c r="B2544" t="s">
        <v>3370</v>
      </c>
      <c r="C2544" t="s">
        <v>9567</v>
      </c>
      <c r="D2544" t="s">
        <v>9578</v>
      </c>
      <c r="E2544" t="s">
        <v>9579</v>
      </c>
      <c r="F2544" t="s">
        <v>15378</v>
      </c>
      <c r="G2544" t="s">
        <v>19216</v>
      </c>
      <c r="H2544" t="s">
        <v>19475</v>
      </c>
      <c r="I2544" t="s">
        <v>18789</v>
      </c>
      <c r="K2544" t="str">
        <f>HYPERLINK("http://tuberculist.epfl.ch/quicksearch.php?gene+name=Rv2469c&amp;submit=Search")</f>
        <v>http://tuberculist.epfl.ch/quicksearch.php?gene+name=Rv2469c&amp;submit=Search</v>
      </c>
    </row>
    <row r="2545" spans="1:11">
      <c r="A2545" t="s">
        <v>6481</v>
      </c>
      <c r="B2545" t="s">
        <v>1989</v>
      </c>
      <c r="C2545" t="s">
        <v>9567</v>
      </c>
      <c r="D2545" t="s">
        <v>15379</v>
      </c>
      <c r="E2545" t="s">
        <v>15380</v>
      </c>
      <c r="F2545" t="s">
        <v>15381</v>
      </c>
      <c r="G2545" t="s">
        <v>19195</v>
      </c>
      <c r="H2545" t="s">
        <v>19233</v>
      </c>
      <c r="I2545" t="s">
        <v>18779</v>
      </c>
      <c r="K2545" t="str">
        <f>HYPERLINK("http://tuberculist.epfl.ch/quicksearch.php?gene+name=Rv2470&amp;submit=Search")</f>
        <v>http://tuberculist.epfl.ch/quicksearch.php?gene+name=Rv2470&amp;submit=Search</v>
      </c>
    </row>
    <row r="2546" spans="1:11">
      <c r="A2546" t="s">
        <v>8055</v>
      </c>
      <c r="B2546" t="s">
        <v>2784</v>
      </c>
      <c r="C2546" t="s">
        <v>9567</v>
      </c>
      <c r="D2546" t="s">
        <v>15382</v>
      </c>
      <c r="E2546" t="s">
        <v>15383</v>
      </c>
      <c r="F2546" t="s">
        <v>15384</v>
      </c>
      <c r="G2546" t="s">
        <v>19195</v>
      </c>
      <c r="H2546" t="s">
        <v>19302</v>
      </c>
      <c r="I2546" t="s">
        <v>18780</v>
      </c>
      <c r="K2546" t="str">
        <f>HYPERLINK("http://tuberculist.epfl.ch/quicksearch.php?gene+name=Rv2471&amp;submit=Search")</f>
        <v>http://tuberculist.epfl.ch/quicksearch.php?gene+name=Rv2471&amp;submit=Search</v>
      </c>
    </row>
    <row r="2547" spans="1:11">
      <c r="A2547" t="s">
        <v>1576</v>
      </c>
      <c r="B2547" t="s">
        <v>1576</v>
      </c>
      <c r="C2547" t="s">
        <v>9567</v>
      </c>
      <c r="D2547" t="s">
        <v>9578</v>
      </c>
      <c r="E2547" t="s">
        <v>9579</v>
      </c>
      <c r="F2547" t="s">
        <v>15385</v>
      </c>
      <c r="G2547" t="s">
        <v>19212</v>
      </c>
      <c r="I2547" t="s">
        <v>18810</v>
      </c>
      <c r="K2547" t="str">
        <f>HYPERLINK("http://tuberculist.epfl.ch/quicksearch.php?gene+name=Rv2472&amp;submit=Search")</f>
        <v>http://tuberculist.epfl.ch/quicksearch.php?gene+name=Rv2472&amp;submit=Search</v>
      </c>
    </row>
    <row r="2548" spans="1:11">
      <c r="A2548" t="s">
        <v>2349</v>
      </c>
      <c r="B2548" t="s">
        <v>2349</v>
      </c>
      <c r="C2548" t="s">
        <v>9567</v>
      </c>
      <c r="D2548" t="s">
        <v>9587</v>
      </c>
      <c r="E2548" t="s">
        <v>15386</v>
      </c>
      <c r="F2548" t="s">
        <v>15387</v>
      </c>
      <c r="G2548" t="s">
        <v>19188</v>
      </c>
      <c r="H2548" t="s">
        <v>19233</v>
      </c>
      <c r="I2548" t="s">
        <v>18789</v>
      </c>
      <c r="K2548" t="str">
        <f>HYPERLINK("http://tuberculist.epfl.ch/quicksearch.php?gene+name=Rv2473&amp;submit=Search")</f>
        <v>http://tuberculist.epfl.ch/quicksearch.php?gene+name=Rv2473&amp;submit=Search</v>
      </c>
    </row>
    <row r="2549" spans="1:11">
      <c r="A2549" t="s">
        <v>3107</v>
      </c>
      <c r="B2549" t="s">
        <v>3107</v>
      </c>
      <c r="C2549" t="s">
        <v>9567</v>
      </c>
      <c r="D2549" t="s">
        <v>9578</v>
      </c>
      <c r="E2549" t="s">
        <v>9579</v>
      </c>
      <c r="F2549" t="s">
        <v>15388</v>
      </c>
      <c r="G2549" t="s">
        <v>19210</v>
      </c>
      <c r="I2549" t="s">
        <v>18779</v>
      </c>
      <c r="K2549" t="str">
        <f>HYPERLINK("http://tuberculist.epfl.ch/quicksearch.php?gene+name=Rv2474c&amp;submit=Search")</f>
        <v>http://tuberculist.epfl.ch/quicksearch.php?gene+name=Rv2474c&amp;submit=Search</v>
      </c>
    </row>
    <row r="2550" spans="1:11">
      <c r="A2550" t="s">
        <v>539</v>
      </c>
      <c r="B2550" t="s">
        <v>539</v>
      </c>
      <c r="C2550" t="s">
        <v>9567</v>
      </c>
      <c r="D2550" t="s">
        <v>9578</v>
      </c>
      <c r="E2550" t="s">
        <v>9665</v>
      </c>
      <c r="F2550" t="s">
        <v>15389</v>
      </c>
      <c r="G2550" t="s">
        <v>19210</v>
      </c>
      <c r="H2550" t="s">
        <v>19272</v>
      </c>
      <c r="I2550" t="s">
        <v>18783</v>
      </c>
      <c r="K2550" t="str">
        <f>HYPERLINK("http://tuberculist.epfl.ch/quicksearch.php?gene+name=Rv2475c&amp;submit=Search")</f>
        <v>http://tuberculist.epfl.ch/quicksearch.php?gene+name=Rv2475c&amp;submit=Search</v>
      </c>
    </row>
    <row r="2551" spans="1:11">
      <c r="A2551" t="s">
        <v>9401</v>
      </c>
      <c r="B2551" t="s">
        <v>3415</v>
      </c>
      <c r="C2551" t="s">
        <v>9567</v>
      </c>
      <c r="D2551" t="s">
        <v>15390</v>
      </c>
      <c r="E2551" t="s">
        <v>15391</v>
      </c>
      <c r="F2551" t="s">
        <v>15392</v>
      </c>
      <c r="G2551" t="s">
        <v>19195</v>
      </c>
      <c r="H2551" t="s">
        <v>19470</v>
      </c>
      <c r="I2551" t="s">
        <v>18981</v>
      </c>
      <c r="K2551" t="str">
        <f>HYPERLINK("http://tuberculist.epfl.ch/quicksearch.php?gene+name=Rv2476c&amp;submit=Search")</f>
        <v>http://tuberculist.epfl.ch/quicksearch.php?gene+name=Rv2476c&amp;submit=Search</v>
      </c>
    </row>
    <row r="2552" spans="1:11">
      <c r="A2552" t="s">
        <v>2579</v>
      </c>
      <c r="B2552" t="s">
        <v>2579</v>
      </c>
      <c r="C2552" t="s">
        <v>9567</v>
      </c>
      <c r="D2552" t="s">
        <v>15393</v>
      </c>
      <c r="E2552" t="s">
        <v>13034</v>
      </c>
      <c r="F2552" t="s">
        <v>15394</v>
      </c>
      <c r="G2552" t="s">
        <v>19188</v>
      </c>
      <c r="H2552" t="s">
        <v>19900</v>
      </c>
      <c r="I2552" t="s">
        <v>18774</v>
      </c>
      <c r="K2552" t="str">
        <f>HYPERLINK("http://tuberculist.epfl.ch/quicksearch.php?gene+name=Rv2477c&amp;submit=Search")</f>
        <v>http://tuberculist.epfl.ch/quicksearch.php?gene+name=Rv2477c&amp;submit=Search</v>
      </c>
    </row>
    <row r="2553" spans="1:11">
      <c r="A2553" t="s">
        <v>15395</v>
      </c>
      <c r="B2553" t="s">
        <v>15395</v>
      </c>
      <c r="C2553" t="s">
        <v>9567</v>
      </c>
      <c r="D2553" t="s">
        <v>9578</v>
      </c>
      <c r="E2553" t="s">
        <v>9579</v>
      </c>
      <c r="F2553" t="s">
        <v>15396</v>
      </c>
      <c r="G2553" t="s">
        <v>19212</v>
      </c>
      <c r="I2553" t="s">
        <v>18780</v>
      </c>
      <c r="K2553" t="str">
        <f>HYPERLINK("http://tuberculist.epfl.ch/quicksearch.php?gene+name=Rv2478c&amp;submit=Search")</f>
        <v>http://tuberculist.epfl.ch/quicksearch.php?gene+name=Rv2478c&amp;submit=Search</v>
      </c>
    </row>
    <row r="2554" spans="1:11">
      <c r="A2554" t="s">
        <v>15397</v>
      </c>
      <c r="B2554" t="s">
        <v>15397</v>
      </c>
      <c r="C2554" t="s">
        <v>9567</v>
      </c>
      <c r="D2554" t="s">
        <v>11446</v>
      </c>
      <c r="E2554" t="s">
        <v>11730</v>
      </c>
      <c r="F2554" t="s">
        <v>15398</v>
      </c>
      <c r="G2554" t="s">
        <v>19217</v>
      </c>
      <c r="I2554" t="s">
        <v>18773</v>
      </c>
      <c r="K2554" t="str">
        <f>HYPERLINK("http://tuberculist.epfl.ch/quicksearch.php?gene+name=Rv2479c&amp;submit=Search")</f>
        <v>http://tuberculist.epfl.ch/quicksearch.php?gene+name=Rv2479c&amp;submit=Search</v>
      </c>
    </row>
    <row r="2555" spans="1:11">
      <c r="A2555" t="s">
        <v>15399</v>
      </c>
      <c r="B2555" t="s">
        <v>15399</v>
      </c>
      <c r="C2555" t="s">
        <v>9567</v>
      </c>
      <c r="D2555" t="s">
        <v>15400</v>
      </c>
      <c r="E2555" t="s">
        <v>15401</v>
      </c>
      <c r="F2555" t="s">
        <v>15402</v>
      </c>
      <c r="G2555" t="s">
        <v>19217</v>
      </c>
      <c r="I2555" t="s">
        <v>18773</v>
      </c>
      <c r="K2555" t="str">
        <f>HYPERLINK("http://tuberculist.epfl.ch/quicksearch.php?gene+name=Rv2480c&amp;submit=Search")</f>
        <v>http://tuberculist.epfl.ch/quicksearch.php?gene+name=Rv2480c&amp;submit=Search</v>
      </c>
    </row>
    <row r="2556" spans="1:11">
      <c r="A2556" t="s">
        <v>15403</v>
      </c>
      <c r="B2556" t="s">
        <v>15403</v>
      </c>
      <c r="C2556" t="s">
        <v>9567</v>
      </c>
      <c r="D2556" t="s">
        <v>9587</v>
      </c>
      <c r="E2556" t="s">
        <v>9713</v>
      </c>
      <c r="F2556" t="s">
        <v>15404</v>
      </c>
      <c r="G2556" t="s">
        <v>19212</v>
      </c>
      <c r="I2556" t="s">
        <v>18780</v>
      </c>
      <c r="K2556" t="str">
        <f>HYPERLINK("http://tuberculist.epfl.ch/quicksearch.php?gene+name=Rv2481c&amp;submit=Search")</f>
        <v>http://tuberculist.epfl.ch/quicksearch.php?gene+name=Rv2481c&amp;submit=Search</v>
      </c>
    </row>
    <row r="2557" spans="1:11">
      <c r="A2557" t="s">
        <v>8239</v>
      </c>
      <c r="B2557" t="s">
        <v>2876</v>
      </c>
      <c r="C2557" t="s">
        <v>9567</v>
      </c>
      <c r="D2557" t="s">
        <v>15405</v>
      </c>
      <c r="E2557" t="s">
        <v>15406</v>
      </c>
      <c r="F2557" t="s">
        <v>15407</v>
      </c>
      <c r="G2557" t="s">
        <v>19219</v>
      </c>
      <c r="H2557" t="s">
        <v>19880</v>
      </c>
      <c r="I2557" t="s">
        <v>18779</v>
      </c>
      <c r="K2557" t="str">
        <f>HYPERLINK("http://tuberculist.epfl.ch/quicksearch.php?gene+name=Rv2482c&amp;submit=Search")</f>
        <v>http://tuberculist.epfl.ch/quicksearch.php?gene+name=Rv2482c&amp;submit=Search</v>
      </c>
    </row>
    <row r="2558" spans="1:11">
      <c r="A2558" t="s">
        <v>4579</v>
      </c>
      <c r="B2558" t="s">
        <v>1047</v>
      </c>
      <c r="C2558" t="s">
        <v>9567</v>
      </c>
      <c r="D2558" t="s">
        <v>15408</v>
      </c>
      <c r="E2558" t="s">
        <v>15409</v>
      </c>
      <c r="F2558" t="s">
        <v>15410</v>
      </c>
      <c r="G2558" t="s">
        <v>19219</v>
      </c>
      <c r="H2558" t="s">
        <v>19256</v>
      </c>
      <c r="I2558" t="s">
        <v>18835</v>
      </c>
      <c r="K2558" t="str">
        <f>HYPERLINK("http://tuberculist.epfl.ch/quicksearch.php?gene+name=Rv2483c&amp;submit=Search")</f>
        <v>http://tuberculist.epfl.ch/quicksearch.php?gene+name=Rv2483c&amp;submit=Search</v>
      </c>
    </row>
    <row r="2559" spans="1:11">
      <c r="A2559" t="s">
        <v>2190</v>
      </c>
      <c r="B2559" t="s">
        <v>2190</v>
      </c>
      <c r="C2559" t="s">
        <v>9567</v>
      </c>
      <c r="D2559" t="s">
        <v>10087</v>
      </c>
      <c r="E2559" t="s">
        <v>10088</v>
      </c>
      <c r="F2559" t="s">
        <v>15411</v>
      </c>
      <c r="G2559" t="s">
        <v>19219</v>
      </c>
      <c r="H2559" t="s">
        <v>19250</v>
      </c>
      <c r="I2559" t="s">
        <v>18793</v>
      </c>
      <c r="K2559" t="str">
        <f>HYPERLINK("http://tuberculist.epfl.ch/quicksearch.php?gene+name=Rv2484c&amp;submit=Search")</f>
        <v>http://tuberculist.epfl.ch/quicksearch.php?gene+name=Rv2484c&amp;submit=Search</v>
      </c>
    </row>
    <row r="2560" spans="1:11">
      <c r="A2560" t="s">
        <v>418</v>
      </c>
      <c r="B2560" t="s">
        <v>417</v>
      </c>
      <c r="C2560" t="s">
        <v>9567</v>
      </c>
      <c r="D2560" t="s">
        <v>11074</v>
      </c>
      <c r="E2560" t="s">
        <v>15412</v>
      </c>
      <c r="F2560" t="s">
        <v>15413</v>
      </c>
      <c r="G2560" t="s">
        <v>19195</v>
      </c>
      <c r="H2560" t="s">
        <v>19215</v>
      </c>
      <c r="I2560" t="s">
        <v>18789</v>
      </c>
      <c r="K2560" t="str">
        <f>HYPERLINK("http://tuberculist.epfl.ch/quicksearch.php?gene+name=Rv2485c&amp;submit=Search")</f>
        <v>http://tuberculist.epfl.ch/quicksearch.php?gene+name=Rv2485c&amp;submit=Search</v>
      </c>
    </row>
    <row r="2561" spans="1:11">
      <c r="A2561" t="s">
        <v>3598</v>
      </c>
      <c r="B2561" t="s">
        <v>560</v>
      </c>
      <c r="C2561" t="s">
        <v>9567</v>
      </c>
      <c r="D2561" t="s">
        <v>10092</v>
      </c>
      <c r="E2561" t="s">
        <v>15414</v>
      </c>
      <c r="F2561" t="s">
        <v>15415</v>
      </c>
      <c r="G2561" t="s">
        <v>19219</v>
      </c>
      <c r="H2561" t="s">
        <v>19520</v>
      </c>
      <c r="I2561" t="s">
        <v>18789</v>
      </c>
      <c r="K2561" t="str">
        <f>HYPERLINK("http://tuberculist.epfl.ch/quicksearch.php?gene+name=Rv2486&amp;submit=Search")</f>
        <v>http://tuberculist.epfl.ch/quicksearch.php?gene+name=Rv2486&amp;submit=Search</v>
      </c>
    </row>
    <row r="2562" spans="1:11">
      <c r="A2562" t="s">
        <v>15416</v>
      </c>
      <c r="B2562" t="s">
        <v>15417</v>
      </c>
      <c r="C2562" t="s">
        <v>9567</v>
      </c>
      <c r="D2562" t="s">
        <v>9578</v>
      </c>
      <c r="E2562" t="s">
        <v>15418</v>
      </c>
      <c r="F2562" t="s">
        <v>15419</v>
      </c>
      <c r="G2562" t="s">
        <v>19901</v>
      </c>
      <c r="H2562" t="s">
        <v>19267</v>
      </c>
      <c r="I2562" t="s">
        <v>18792</v>
      </c>
      <c r="K2562" t="str">
        <f>HYPERLINK("http://tuberculist.epfl.ch/quicksearch.php?gene+name=Rv2487c&amp;submit=Search")</f>
        <v>http://tuberculist.epfl.ch/quicksearch.php?gene+name=Rv2487c&amp;submit=Search</v>
      </c>
    </row>
    <row r="2563" spans="1:11">
      <c r="A2563" t="s">
        <v>1489</v>
      </c>
      <c r="B2563" t="s">
        <v>1489</v>
      </c>
      <c r="C2563" t="s">
        <v>9567</v>
      </c>
      <c r="D2563" t="s">
        <v>9629</v>
      </c>
      <c r="E2563" t="s">
        <v>15420</v>
      </c>
      <c r="F2563" t="s">
        <v>15421</v>
      </c>
      <c r="G2563" t="s">
        <v>19197</v>
      </c>
      <c r="H2563" t="s">
        <v>19260</v>
      </c>
      <c r="I2563" t="s">
        <v>18789</v>
      </c>
      <c r="J2563" t="s">
        <v>18809</v>
      </c>
      <c r="K2563" t="str">
        <f>HYPERLINK("http://tuberculist.epfl.ch/quicksearch.php?gene+name=Rv2488c&amp;submit=Search")</f>
        <v>http://tuberculist.epfl.ch/quicksearch.php?gene+name=Rv2488c&amp;submit=Search</v>
      </c>
    </row>
    <row r="2564" spans="1:11">
      <c r="A2564" t="s">
        <v>15422</v>
      </c>
      <c r="B2564" t="s">
        <v>15422</v>
      </c>
      <c r="C2564" t="s">
        <v>9567</v>
      </c>
      <c r="D2564" t="s">
        <v>9587</v>
      </c>
      <c r="E2564" t="s">
        <v>15423</v>
      </c>
      <c r="F2564" t="s">
        <v>15424</v>
      </c>
      <c r="G2564" t="s">
        <v>19212</v>
      </c>
      <c r="I2564" t="s">
        <v>18780</v>
      </c>
      <c r="K2564" t="str">
        <f>HYPERLINK("http://tuberculist.epfl.ch/quicksearch.php?gene+name=Rv2489c&amp;submit=Search")</f>
        <v>http://tuberculist.epfl.ch/quicksearch.php?gene+name=Rv2489c&amp;submit=Search</v>
      </c>
    </row>
    <row r="2565" spans="1:11">
      <c r="A2565" t="s">
        <v>15425</v>
      </c>
      <c r="B2565" t="s">
        <v>15426</v>
      </c>
      <c r="C2565" t="s">
        <v>9567</v>
      </c>
      <c r="D2565" t="s">
        <v>9578</v>
      </c>
      <c r="E2565" t="s">
        <v>15427</v>
      </c>
      <c r="F2565" t="s">
        <v>15428</v>
      </c>
      <c r="G2565" t="s">
        <v>19262</v>
      </c>
      <c r="H2565" t="s">
        <v>19267</v>
      </c>
      <c r="I2565" t="s">
        <v>18793</v>
      </c>
      <c r="K2565" t="str">
        <f>HYPERLINK("http://tuberculist.epfl.ch/quicksearch.php?gene+name=Rv2490c&amp;submit=Search")</f>
        <v>http://tuberculist.epfl.ch/quicksearch.php?gene+name=Rv2490c&amp;submit=Search</v>
      </c>
    </row>
    <row r="2566" spans="1:11">
      <c r="A2566" t="s">
        <v>15429</v>
      </c>
      <c r="B2566" t="s">
        <v>15429</v>
      </c>
      <c r="C2566" t="s">
        <v>9567</v>
      </c>
      <c r="D2566" t="s">
        <v>9578</v>
      </c>
      <c r="E2566" t="s">
        <v>9579</v>
      </c>
      <c r="F2566" t="s">
        <v>15430</v>
      </c>
      <c r="G2566" t="s">
        <v>19298</v>
      </c>
      <c r="I2566" t="s">
        <v>18776</v>
      </c>
      <c r="K2566" t="str">
        <f>HYPERLINK("http://tuberculist.epfl.ch/quicksearch.php?gene+name=Rv2491&amp;submit=Search")</f>
        <v>http://tuberculist.epfl.ch/quicksearch.php?gene+name=Rv2491&amp;submit=Search</v>
      </c>
    </row>
    <row r="2567" spans="1:11">
      <c r="A2567" t="s">
        <v>2653</v>
      </c>
      <c r="B2567" t="s">
        <v>2653</v>
      </c>
      <c r="C2567" t="s">
        <v>9567</v>
      </c>
      <c r="D2567" t="s">
        <v>9587</v>
      </c>
      <c r="E2567" t="s">
        <v>9713</v>
      </c>
      <c r="F2567" t="s">
        <v>15431</v>
      </c>
      <c r="G2567" t="s">
        <v>19204</v>
      </c>
      <c r="I2567" t="s">
        <v>18773</v>
      </c>
      <c r="K2567" t="str">
        <f>HYPERLINK("http://tuberculist.epfl.ch/quicksearch.php?gene+name=Rv2492&amp;submit=Search")</f>
        <v>http://tuberculist.epfl.ch/quicksearch.php?gene+name=Rv2492&amp;submit=Search</v>
      </c>
    </row>
    <row r="2568" spans="1:11">
      <c r="A2568" t="s">
        <v>15432</v>
      </c>
      <c r="B2568" t="s">
        <v>15433</v>
      </c>
      <c r="C2568" t="s">
        <v>9567</v>
      </c>
      <c r="D2568" t="s">
        <v>9587</v>
      </c>
      <c r="E2568" t="s">
        <v>15434</v>
      </c>
      <c r="F2568" t="s">
        <v>15435</v>
      </c>
      <c r="G2568" t="s">
        <v>19206</v>
      </c>
      <c r="H2568" t="s">
        <v>19213</v>
      </c>
      <c r="I2568" t="s">
        <v>18805</v>
      </c>
      <c r="K2568" t="str">
        <f>HYPERLINK("http://tuberculist.epfl.ch/quicksearch.php?gene+name=Rv2493&amp;submit=Search")</f>
        <v>http://tuberculist.epfl.ch/quicksearch.php?gene+name=Rv2493&amp;submit=Search</v>
      </c>
    </row>
    <row r="2569" spans="1:11">
      <c r="A2569" t="s">
        <v>15436</v>
      </c>
      <c r="B2569" t="s">
        <v>1057</v>
      </c>
      <c r="C2569" t="s">
        <v>9567</v>
      </c>
      <c r="D2569" t="s">
        <v>9587</v>
      </c>
      <c r="E2569" t="s">
        <v>15437</v>
      </c>
      <c r="F2569" t="s">
        <v>15438</v>
      </c>
      <c r="G2569" t="s">
        <v>19206</v>
      </c>
      <c r="H2569" t="s">
        <v>19213</v>
      </c>
      <c r="I2569" t="s">
        <v>18780</v>
      </c>
      <c r="J2569" t="s">
        <v>18775</v>
      </c>
      <c r="K2569" t="str">
        <f>HYPERLINK("http://tuberculist.epfl.ch/quicksearch.php?gene+name=Rv2494&amp;submit=Search")</f>
        <v>http://tuberculist.epfl.ch/quicksearch.php?gene+name=Rv2494&amp;submit=Search</v>
      </c>
    </row>
    <row r="2570" spans="1:11">
      <c r="A2570" t="s">
        <v>15439</v>
      </c>
      <c r="B2570" t="s">
        <v>652</v>
      </c>
      <c r="C2570" t="s">
        <v>9567</v>
      </c>
      <c r="D2570" t="s">
        <v>15440</v>
      </c>
      <c r="E2570" t="s">
        <v>15441</v>
      </c>
      <c r="F2570" t="s">
        <v>15442</v>
      </c>
      <c r="G2570" t="s">
        <v>19195</v>
      </c>
      <c r="H2570" t="s">
        <v>19250</v>
      </c>
      <c r="I2570" t="s">
        <v>19056</v>
      </c>
      <c r="K2570" t="str">
        <f>HYPERLINK("http://tuberculist.epfl.ch/quicksearch.php?gene+name=Rv2495c&amp;submit=Search")</f>
        <v>http://tuberculist.epfl.ch/quicksearch.php?gene+name=Rv2495c&amp;submit=Search</v>
      </c>
    </row>
    <row r="2571" spans="1:11">
      <c r="A2571" t="s">
        <v>15443</v>
      </c>
      <c r="B2571" t="s">
        <v>2742</v>
      </c>
      <c r="C2571" t="s">
        <v>9567</v>
      </c>
      <c r="D2571" t="s">
        <v>15440</v>
      </c>
      <c r="E2571" t="s">
        <v>15444</v>
      </c>
      <c r="F2571" t="s">
        <v>15445</v>
      </c>
      <c r="G2571" t="s">
        <v>19195</v>
      </c>
      <c r="H2571" t="s">
        <v>19283</v>
      </c>
      <c r="I2571" t="s">
        <v>18995</v>
      </c>
      <c r="K2571" t="str">
        <f>HYPERLINK("http://tuberculist.epfl.ch/quicksearch.php?gene+name=Rv2496c&amp;submit=Search")</f>
        <v>http://tuberculist.epfl.ch/quicksearch.php?gene+name=Rv2496c&amp;submit=Search</v>
      </c>
    </row>
    <row r="2572" spans="1:11">
      <c r="A2572" t="s">
        <v>15446</v>
      </c>
      <c r="B2572" t="s">
        <v>1146</v>
      </c>
      <c r="C2572" t="s">
        <v>9567</v>
      </c>
      <c r="D2572" t="s">
        <v>15440</v>
      </c>
      <c r="E2572" t="s">
        <v>15447</v>
      </c>
      <c r="F2572" t="s">
        <v>15448</v>
      </c>
      <c r="G2572" t="s">
        <v>19195</v>
      </c>
      <c r="H2572" t="s">
        <v>19233</v>
      </c>
      <c r="I2572" t="s">
        <v>18789</v>
      </c>
      <c r="K2572" t="str">
        <f>HYPERLINK("http://tuberculist.epfl.ch/quicksearch.php?gene+name=Rv2497c&amp;submit=Search")</f>
        <v>http://tuberculist.epfl.ch/quicksearch.php?gene+name=Rv2497c&amp;submit=Search</v>
      </c>
    </row>
    <row r="2573" spans="1:11">
      <c r="A2573" t="s">
        <v>3719</v>
      </c>
      <c r="B2573" t="s">
        <v>621</v>
      </c>
      <c r="C2573" t="s">
        <v>9567</v>
      </c>
      <c r="D2573" t="s">
        <v>15449</v>
      </c>
      <c r="E2573" t="s">
        <v>15450</v>
      </c>
      <c r="F2573" t="s">
        <v>15451</v>
      </c>
      <c r="G2573" t="s">
        <v>19195</v>
      </c>
      <c r="H2573" t="s">
        <v>19233</v>
      </c>
      <c r="I2573" t="s">
        <v>18780</v>
      </c>
      <c r="K2573" t="str">
        <f>HYPERLINK("http://tuberculist.epfl.ch/quicksearch.php?gene+name=Rv2498c&amp;submit=Search")</f>
        <v>http://tuberculist.epfl.ch/quicksearch.php?gene+name=Rv2498c&amp;submit=Search</v>
      </c>
    </row>
    <row r="2574" spans="1:11">
      <c r="A2574" t="s">
        <v>1671</v>
      </c>
      <c r="B2574" t="s">
        <v>1671</v>
      </c>
      <c r="C2574" t="s">
        <v>9567</v>
      </c>
      <c r="D2574" t="s">
        <v>9578</v>
      </c>
      <c r="E2574" t="s">
        <v>15452</v>
      </c>
      <c r="F2574" t="s">
        <v>15453</v>
      </c>
      <c r="G2574" t="s">
        <v>19195</v>
      </c>
      <c r="I2574" t="s">
        <v>18780</v>
      </c>
      <c r="K2574" t="str">
        <f>HYPERLINK("http://tuberculist.epfl.ch/quicksearch.php?gene+name=Rv2499c&amp;submit=Search")</f>
        <v>http://tuberculist.epfl.ch/quicksearch.php?gene+name=Rv2499c&amp;submit=Search</v>
      </c>
    </row>
    <row r="2575" spans="1:11">
      <c r="A2575" t="s">
        <v>6119</v>
      </c>
      <c r="B2575" t="s">
        <v>1813</v>
      </c>
      <c r="C2575" t="s">
        <v>9567</v>
      </c>
      <c r="D2575" t="s">
        <v>15454</v>
      </c>
      <c r="E2575" t="s">
        <v>15455</v>
      </c>
      <c r="F2575" t="s">
        <v>15456</v>
      </c>
      <c r="G2575" t="s">
        <v>19219</v>
      </c>
      <c r="H2575" t="s">
        <v>19209</v>
      </c>
      <c r="I2575" t="s">
        <v>18774</v>
      </c>
      <c r="K2575" t="str">
        <f>HYPERLINK("http://tuberculist.epfl.ch/quicksearch.php?gene+name=Rv2500c&amp;submit=Search")</f>
        <v>http://tuberculist.epfl.ch/quicksearch.php?gene+name=Rv2500c&amp;submit=Search</v>
      </c>
    </row>
    <row r="2576" spans="1:11">
      <c r="A2576" t="s">
        <v>5531</v>
      </c>
      <c r="B2576" t="s">
        <v>1528</v>
      </c>
      <c r="C2576" t="s">
        <v>9567</v>
      </c>
      <c r="D2576" t="s">
        <v>11844</v>
      </c>
      <c r="E2576" t="s">
        <v>15457</v>
      </c>
      <c r="F2576" t="s">
        <v>15458</v>
      </c>
      <c r="G2576" t="s">
        <v>19219</v>
      </c>
      <c r="H2576" t="s">
        <v>19561</v>
      </c>
      <c r="I2576" t="s">
        <v>18773</v>
      </c>
      <c r="K2576" t="str">
        <f>HYPERLINK("http://tuberculist.epfl.ch/quicksearch.php?gene+name=Rv2501c&amp;submit=Search")</f>
        <v>http://tuberculist.epfl.ch/quicksearch.php?gene+name=Rv2501c&amp;submit=Search</v>
      </c>
    </row>
    <row r="2577" spans="1:11">
      <c r="A2577" t="s">
        <v>3643</v>
      </c>
      <c r="B2577" t="s">
        <v>581</v>
      </c>
      <c r="C2577" t="s">
        <v>9567</v>
      </c>
      <c r="D2577" t="s">
        <v>11847</v>
      </c>
      <c r="E2577" t="s">
        <v>15459</v>
      </c>
      <c r="F2577" t="s">
        <v>15460</v>
      </c>
      <c r="G2577" t="s">
        <v>19219</v>
      </c>
      <c r="H2577" t="s">
        <v>19561</v>
      </c>
      <c r="I2577" t="s">
        <v>18810</v>
      </c>
      <c r="K2577" t="str">
        <f>HYPERLINK("http://tuberculist.epfl.ch/quicksearch.php?gene+name=Rv2502c&amp;submit=Search")</f>
        <v>http://tuberculist.epfl.ch/quicksearch.php?gene+name=Rv2502c&amp;submit=Search</v>
      </c>
    </row>
    <row r="2578" spans="1:11">
      <c r="A2578" t="s">
        <v>6739</v>
      </c>
      <c r="B2578" t="s">
        <v>2131</v>
      </c>
      <c r="C2578" t="s">
        <v>9567</v>
      </c>
      <c r="D2578" t="s">
        <v>15461</v>
      </c>
      <c r="E2578" t="s">
        <v>15462</v>
      </c>
      <c r="F2578" t="s">
        <v>15463</v>
      </c>
      <c r="G2578" t="s">
        <v>19219</v>
      </c>
      <c r="H2578" t="s">
        <v>19902</v>
      </c>
      <c r="I2578" t="s">
        <v>18777</v>
      </c>
      <c r="K2578" t="str">
        <f>HYPERLINK("http://tuberculist.epfl.ch/quicksearch.php?gene+name=Rv2503c&amp;submit=Search")</f>
        <v>http://tuberculist.epfl.ch/quicksearch.php?gene+name=Rv2503c&amp;submit=Search</v>
      </c>
    </row>
    <row r="2579" spans="1:11">
      <c r="A2579" t="s">
        <v>5959</v>
      </c>
      <c r="B2579" t="s">
        <v>1735</v>
      </c>
      <c r="C2579" t="s">
        <v>9567</v>
      </c>
      <c r="D2579" t="s">
        <v>15464</v>
      </c>
      <c r="E2579" t="s">
        <v>15465</v>
      </c>
      <c r="F2579" t="s">
        <v>15466</v>
      </c>
      <c r="G2579" t="s">
        <v>19219</v>
      </c>
      <c r="H2579" t="s">
        <v>19233</v>
      </c>
      <c r="I2579" t="s">
        <v>18793</v>
      </c>
      <c r="K2579" t="str">
        <f>HYPERLINK("http://tuberculist.epfl.ch/quicksearch.php?gene+name=Rv2504c&amp;submit=Search")</f>
        <v>http://tuberculist.epfl.ch/quicksearch.php?gene+name=Rv2504c&amp;submit=Search</v>
      </c>
    </row>
    <row r="2580" spans="1:11">
      <c r="A2580" t="s">
        <v>4281</v>
      </c>
      <c r="B2580" t="s">
        <v>901</v>
      </c>
      <c r="C2580" t="s">
        <v>9567</v>
      </c>
      <c r="D2580" t="s">
        <v>9662</v>
      </c>
      <c r="E2580" t="s">
        <v>15467</v>
      </c>
      <c r="F2580" t="s">
        <v>15468</v>
      </c>
      <c r="G2580" t="s">
        <v>19219</v>
      </c>
      <c r="H2580" t="s">
        <v>19211</v>
      </c>
      <c r="I2580" t="s">
        <v>18780</v>
      </c>
      <c r="K2580" t="str">
        <f>HYPERLINK("http://tuberculist.epfl.ch/quicksearch.php?gene+name=Rv2505c&amp;submit=Search")</f>
        <v>http://tuberculist.epfl.ch/quicksearch.php?gene+name=Rv2505c&amp;submit=Search</v>
      </c>
    </row>
    <row r="2581" spans="1:11">
      <c r="A2581" t="s">
        <v>2629</v>
      </c>
      <c r="B2581" t="s">
        <v>2629</v>
      </c>
      <c r="C2581" t="s">
        <v>9567</v>
      </c>
      <c r="D2581" t="s">
        <v>9629</v>
      </c>
      <c r="E2581" t="s">
        <v>11955</v>
      </c>
      <c r="F2581" t="s">
        <v>15469</v>
      </c>
      <c r="G2581" t="s">
        <v>19197</v>
      </c>
      <c r="H2581" t="s">
        <v>19903</v>
      </c>
      <c r="I2581" t="s">
        <v>18781</v>
      </c>
      <c r="K2581" t="str">
        <f>HYPERLINK("http://tuberculist.epfl.ch/quicksearch.php?gene+name=Rv2506&amp;submit=Search")</f>
        <v>http://tuberculist.epfl.ch/quicksearch.php?gene+name=Rv2506&amp;submit=Search</v>
      </c>
    </row>
    <row r="2582" spans="1:11">
      <c r="A2582" t="s">
        <v>1974</v>
      </c>
      <c r="B2582" t="s">
        <v>1974</v>
      </c>
      <c r="C2582" t="s">
        <v>9567</v>
      </c>
      <c r="D2582" t="s">
        <v>9587</v>
      </c>
      <c r="E2582" t="s">
        <v>15470</v>
      </c>
      <c r="F2582" t="s">
        <v>15471</v>
      </c>
      <c r="G2582" t="s">
        <v>19188</v>
      </c>
      <c r="H2582" t="s">
        <v>19192</v>
      </c>
      <c r="I2582" t="s">
        <v>18774</v>
      </c>
      <c r="K2582" t="str">
        <f>HYPERLINK("http://tuberculist.epfl.ch/quicksearch.php?gene+name=Rv2507&amp;submit=Search")</f>
        <v>http://tuberculist.epfl.ch/quicksearch.php?gene+name=Rv2507&amp;submit=Search</v>
      </c>
    </row>
    <row r="2583" spans="1:11">
      <c r="A2583" t="s">
        <v>1537</v>
      </c>
      <c r="B2583" t="s">
        <v>1537</v>
      </c>
      <c r="C2583" t="s">
        <v>9567</v>
      </c>
      <c r="D2583" t="s">
        <v>9587</v>
      </c>
      <c r="E2583" t="s">
        <v>15472</v>
      </c>
      <c r="F2583" t="s">
        <v>15473</v>
      </c>
      <c r="G2583" t="s">
        <v>19188</v>
      </c>
      <c r="H2583" t="s">
        <v>19192</v>
      </c>
      <c r="I2583" t="s">
        <v>18780</v>
      </c>
      <c r="K2583" t="str">
        <f>HYPERLINK("http://tuberculist.epfl.ch/quicksearch.php?gene+name=Rv2508c&amp;submit=Search")</f>
        <v>http://tuberculist.epfl.ch/quicksearch.php?gene+name=Rv2508c&amp;submit=Search</v>
      </c>
    </row>
    <row r="2584" spans="1:11">
      <c r="A2584" t="s">
        <v>3021</v>
      </c>
      <c r="B2584" t="s">
        <v>3021</v>
      </c>
      <c r="C2584" t="s">
        <v>9567</v>
      </c>
      <c r="D2584" t="s">
        <v>9931</v>
      </c>
      <c r="E2584" t="s">
        <v>9932</v>
      </c>
      <c r="F2584" t="s">
        <v>15474</v>
      </c>
      <c r="G2584" t="s">
        <v>19195</v>
      </c>
      <c r="H2584" t="s">
        <v>19904</v>
      </c>
      <c r="I2584" t="s">
        <v>18995</v>
      </c>
      <c r="K2584" t="str">
        <f>HYPERLINK("http://tuberculist.epfl.ch/quicksearch.php?gene+name=Rv2509&amp;submit=Search")</f>
        <v>http://tuberculist.epfl.ch/quicksearch.php?gene+name=Rv2509&amp;submit=Search</v>
      </c>
    </row>
    <row r="2585" spans="1:11">
      <c r="A2585" t="s">
        <v>1538</v>
      </c>
      <c r="B2585" t="s">
        <v>1538</v>
      </c>
      <c r="C2585" t="s">
        <v>9567</v>
      </c>
      <c r="D2585" t="s">
        <v>9578</v>
      </c>
      <c r="E2585" t="s">
        <v>9665</v>
      </c>
      <c r="F2585" t="s">
        <v>15475</v>
      </c>
      <c r="G2585" t="s">
        <v>19204</v>
      </c>
      <c r="H2585" t="s">
        <v>19287</v>
      </c>
      <c r="I2585" t="s">
        <v>18801</v>
      </c>
      <c r="K2585" t="str">
        <f>HYPERLINK("http://tuberculist.epfl.ch/quicksearch.php?gene+name=Rv2510c&amp;submit=Search")</f>
        <v>http://tuberculist.epfl.ch/quicksearch.php?gene+name=Rv2510c&amp;submit=Search</v>
      </c>
    </row>
    <row r="2586" spans="1:11">
      <c r="A2586" t="s">
        <v>5047</v>
      </c>
      <c r="B2586" t="s">
        <v>1278</v>
      </c>
      <c r="C2586" t="s">
        <v>9567</v>
      </c>
      <c r="D2586" t="s">
        <v>15476</v>
      </c>
      <c r="E2586" t="s">
        <v>15477</v>
      </c>
      <c r="F2586" t="s">
        <v>15478</v>
      </c>
      <c r="G2586" t="s">
        <v>19195</v>
      </c>
      <c r="H2586" t="s">
        <v>19213</v>
      </c>
      <c r="I2586" t="s">
        <v>18774</v>
      </c>
      <c r="K2586" t="str">
        <f>HYPERLINK("http://tuberculist.epfl.ch/quicksearch.php?gene+name=Rv2511&amp;submit=Search")</f>
        <v>http://tuberculist.epfl.ch/quicksearch.php?gene+name=Rv2511&amp;submit=Search</v>
      </c>
    </row>
    <row r="2587" spans="1:11">
      <c r="A2587" t="s">
        <v>15479</v>
      </c>
      <c r="B2587" t="s">
        <v>15479</v>
      </c>
      <c r="C2587" t="s">
        <v>9567</v>
      </c>
      <c r="D2587" t="s">
        <v>15480</v>
      </c>
      <c r="E2587" t="s">
        <v>15481</v>
      </c>
      <c r="F2587" t="s">
        <v>15482</v>
      </c>
      <c r="G2587" t="s">
        <v>19217</v>
      </c>
      <c r="I2587" t="s">
        <v>18773</v>
      </c>
      <c r="K2587" t="str">
        <f>HYPERLINK("http://tuberculist.epfl.ch/quicksearch.php?gene+name=Rv2512c&amp;submit=Search")</f>
        <v>http://tuberculist.epfl.ch/quicksearch.php?gene+name=Rv2512c&amp;submit=Search</v>
      </c>
    </row>
    <row r="2588" spans="1:11">
      <c r="A2588" t="s">
        <v>15483</v>
      </c>
      <c r="B2588" t="s">
        <v>15483</v>
      </c>
      <c r="C2588" t="s">
        <v>9567</v>
      </c>
      <c r="D2588" t="s">
        <v>9587</v>
      </c>
      <c r="E2588" t="s">
        <v>9713</v>
      </c>
      <c r="F2588" t="s">
        <v>15484</v>
      </c>
      <c r="G2588" t="s">
        <v>19212</v>
      </c>
      <c r="I2588" t="s">
        <v>18780</v>
      </c>
      <c r="K2588" t="str">
        <f>HYPERLINK("http://tuberculist.epfl.ch/quicksearch.php?gene+name=Rv2513&amp;submit=Search")</f>
        <v>http://tuberculist.epfl.ch/quicksearch.php?gene+name=Rv2513&amp;submit=Search</v>
      </c>
    </row>
    <row r="2589" spans="1:11">
      <c r="A2589" t="s">
        <v>1381</v>
      </c>
      <c r="B2589" t="s">
        <v>1381</v>
      </c>
      <c r="C2589" t="s">
        <v>9567</v>
      </c>
      <c r="D2589" t="s">
        <v>9578</v>
      </c>
      <c r="E2589" t="s">
        <v>9579</v>
      </c>
      <c r="F2589" t="s">
        <v>15485</v>
      </c>
      <c r="G2589" t="s">
        <v>19212</v>
      </c>
      <c r="H2589" t="s">
        <v>19213</v>
      </c>
      <c r="I2589" t="s">
        <v>18773</v>
      </c>
      <c r="K2589" t="str">
        <f>HYPERLINK("http://tuberculist.epfl.ch/quicksearch.php?gene+name=Rv2514c&amp;submit=Search")</f>
        <v>http://tuberculist.epfl.ch/quicksearch.php?gene+name=Rv2514c&amp;submit=Search</v>
      </c>
    </row>
    <row r="2590" spans="1:11">
      <c r="A2590" t="s">
        <v>704</v>
      </c>
      <c r="B2590" t="s">
        <v>704</v>
      </c>
      <c r="C2590" t="s">
        <v>9567</v>
      </c>
      <c r="D2590" t="s">
        <v>9578</v>
      </c>
      <c r="E2590" t="s">
        <v>9579</v>
      </c>
      <c r="F2590" t="s">
        <v>15486</v>
      </c>
      <c r="G2590" t="s">
        <v>19208</v>
      </c>
      <c r="I2590" t="s">
        <v>18800</v>
      </c>
      <c r="J2590" t="s">
        <v>18775</v>
      </c>
      <c r="K2590" t="str">
        <f>HYPERLINK("http://tuberculist.epfl.ch/quicksearch.php?gene+name=Rv2515c&amp;submit=Search")</f>
        <v>http://tuberculist.epfl.ch/quicksearch.php?gene+name=Rv2515c&amp;submit=Search</v>
      </c>
    </row>
    <row r="2591" spans="1:11">
      <c r="A2591" t="s">
        <v>2630</v>
      </c>
      <c r="B2591" t="s">
        <v>2630</v>
      </c>
      <c r="C2591" t="s">
        <v>9567</v>
      </c>
      <c r="D2591" t="s">
        <v>9587</v>
      </c>
      <c r="E2591" t="s">
        <v>9713</v>
      </c>
      <c r="F2591" t="s">
        <v>15487</v>
      </c>
      <c r="G2591" t="s">
        <v>19210</v>
      </c>
      <c r="H2591" t="s">
        <v>19205</v>
      </c>
      <c r="I2591" t="s">
        <v>18800</v>
      </c>
      <c r="K2591" t="str">
        <f>HYPERLINK("http://tuberculist.epfl.ch/quicksearch.php?gene+name=Rv2516c&amp;submit=Search")</f>
        <v>http://tuberculist.epfl.ch/quicksearch.php?gene+name=Rv2516c&amp;submit=Search</v>
      </c>
    </row>
    <row r="2592" spans="1:11">
      <c r="A2592" t="s">
        <v>15488</v>
      </c>
      <c r="B2592" t="s">
        <v>15488</v>
      </c>
      <c r="C2592" t="s">
        <v>9567</v>
      </c>
      <c r="D2592" t="s">
        <v>9587</v>
      </c>
      <c r="E2592" t="s">
        <v>9768</v>
      </c>
      <c r="F2592" t="s">
        <v>15489</v>
      </c>
      <c r="G2592" t="s">
        <v>19212</v>
      </c>
      <c r="H2592" t="s">
        <v>19233</v>
      </c>
      <c r="I2592" t="s">
        <v>18789</v>
      </c>
      <c r="J2592" t="s">
        <v>18775</v>
      </c>
      <c r="K2592" t="str">
        <f>HYPERLINK("http://tuberculist.epfl.ch/quicksearch.php?gene+name=Rv2517c&amp;submit=Search")</f>
        <v>http://tuberculist.epfl.ch/quicksearch.php?gene+name=Rv2517c&amp;submit=Search</v>
      </c>
    </row>
    <row r="2593" spans="1:11">
      <c r="A2593" t="s">
        <v>15490</v>
      </c>
      <c r="B2593" t="s">
        <v>1998</v>
      </c>
      <c r="C2593" t="s">
        <v>9567</v>
      </c>
      <c r="D2593" t="s">
        <v>9853</v>
      </c>
      <c r="E2593" t="s">
        <v>15491</v>
      </c>
      <c r="F2593" t="s">
        <v>15492</v>
      </c>
      <c r="G2593" t="s">
        <v>19188</v>
      </c>
      <c r="H2593" t="s">
        <v>19233</v>
      </c>
      <c r="I2593" t="s">
        <v>19057</v>
      </c>
      <c r="J2593" t="s">
        <v>18778</v>
      </c>
      <c r="K2593" t="str">
        <f>HYPERLINK("http://tuberculist.epfl.ch/quicksearch.php?gene+name=Rv2518c&amp;submit=Search")</f>
        <v>http://tuberculist.epfl.ch/quicksearch.php?gene+name=Rv2518c&amp;submit=Search</v>
      </c>
    </row>
    <row r="2594" spans="1:11">
      <c r="A2594" t="s">
        <v>6247</v>
      </c>
      <c r="B2594" t="s">
        <v>1876</v>
      </c>
      <c r="C2594" t="s">
        <v>9567</v>
      </c>
      <c r="D2594" t="s">
        <v>9578</v>
      </c>
      <c r="E2594" t="s">
        <v>15493</v>
      </c>
      <c r="F2594" t="s">
        <v>15494</v>
      </c>
      <c r="G2594" t="s">
        <v>19262</v>
      </c>
      <c r="I2594" t="s">
        <v>18789</v>
      </c>
      <c r="J2594" t="s">
        <v>18873</v>
      </c>
      <c r="K2594" t="str">
        <f>HYPERLINK("http://tuberculist.epfl.ch/quicksearch.php?gene+name=Rv2519&amp;submit=Search")</f>
        <v>http://tuberculist.epfl.ch/quicksearch.php?gene+name=Rv2519&amp;submit=Search</v>
      </c>
    </row>
    <row r="2595" spans="1:11">
      <c r="A2595" t="s">
        <v>15495</v>
      </c>
      <c r="B2595" t="s">
        <v>15495</v>
      </c>
      <c r="C2595" t="s">
        <v>9567</v>
      </c>
      <c r="D2595" t="s">
        <v>9587</v>
      </c>
      <c r="E2595" t="s">
        <v>9588</v>
      </c>
      <c r="F2595" t="s">
        <v>15496</v>
      </c>
      <c r="G2595" t="s">
        <v>19188</v>
      </c>
      <c r="H2595" t="s">
        <v>19905</v>
      </c>
      <c r="I2595" t="s">
        <v>18779</v>
      </c>
      <c r="J2595" t="s">
        <v>18775</v>
      </c>
      <c r="K2595" t="str">
        <f>HYPERLINK("http://tuberculist.epfl.ch/quicksearch.php?gene+name=Rv2520c&amp;submit=Search")</f>
        <v>http://tuberculist.epfl.ch/quicksearch.php?gene+name=Rv2520c&amp;submit=Search</v>
      </c>
    </row>
    <row r="2596" spans="1:11">
      <c r="A2596" t="s">
        <v>4872</v>
      </c>
      <c r="B2596" t="s">
        <v>1192</v>
      </c>
      <c r="C2596" t="s">
        <v>9567</v>
      </c>
      <c r="D2596" t="s">
        <v>15497</v>
      </c>
      <c r="E2596" t="s">
        <v>15498</v>
      </c>
      <c r="F2596" t="s">
        <v>15499</v>
      </c>
      <c r="G2596" t="s">
        <v>19206</v>
      </c>
      <c r="H2596" t="s">
        <v>19280</v>
      </c>
      <c r="I2596" t="s">
        <v>18780</v>
      </c>
      <c r="K2596" t="str">
        <f>HYPERLINK("http://tuberculist.epfl.ch/quicksearch.php?gene+name=Rv2521&amp;submit=Search")</f>
        <v>http://tuberculist.epfl.ch/quicksearch.php?gene+name=Rv2521&amp;submit=Search</v>
      </c>
    </row>
    <row r="2597" spans="1:11">
      <c r="A2597" t="s">
        <v>3339</v>
      </c>
      <c r="B2597" t="s">
        <v>3339</v>
      </c>
      <c r="C2597" t="s">
        <v>9567</v>
      </c>
      <c r="D2597" t="s">
        <v>9578</v>
      </c>
      <c r="E2597" t="s">
        <v>9579</v>
      </c>
      <c r="F2597" t="s">
        <v>15500</v>
      </c>
      <c r="G2597" t="s">
        <v>19204</v>
      </c>
      <c r="H2597" t="s">
        <v>19906</v>
      </c>
      <c r="I2597" t="s">
        <v>18793</v>
      </c>
      <c r="K2597" t="str">
        <f>HYPERLINK("http://tuberculist.epfl.ch/quicksearch.php?gene+name=Rv2522c&amp;submit=Search")</f>
        <v>http://tuberculist.epfl.ch/quicksearch.php?gene+name=Rv2522c&amp;submit=Search</v>
      </c>
    </row>
    <row r="2598" spans="1:11">
      <c r="A2598" t="s">
        <v>7530</v>
      </c>
      <c r="B2598" t="s">
        <v>2518</v>
      </c>
      <c r="C2598" t="s">
        <v>9567</v>
      </c>
      <c r="D2598" t="s">
        <v>15501</v>
      </c>
      <c r="E2598" t="s">
        <v>15502</v>
      </c>
      <c r="F2598" t="s">
        <v>15503</v>
      </c>
      <c r="G2598" t="s">
        <v>19219</v>
      </c>
      <c r="I2598" t="s">
        <v>19058</v>
      </c>
      <c r="K2598" t="str">
        <f>HYPERLINK("http://tuberculist.epfl.ch/quicksearch.php?gene+name=Rv2523c&amp;submit=Search")</f>
        <v>http://tuberculist.epfl.ch/quicksearch.php?gene+name=Rv2523c&amp;submit=Search</v>
      </c>
    </row>
    <row r="2599" spans="1:11">
      <c r="A2599" t="s">
        <v>229</v>
      </c>
      <c r="B2599" t="s">
        <v>230</v>
      </c>
      <c r="C2599" t="s">
        <v>9567</v>
      </c>
      <c r="D2599" t="s">
        <v>15504</v>
      </c>
      <c r="E2599" t="s">
        <v>15505</v>
      </c>
      <c r="F2599" t="s">
        <v>15506</v>
      </c>
      <c r="G2599" t="s">
        <v>19219</v>
      </c>
      <c r="H2599" t="s">
        <v>19907</v>
      </c>
      <c r="I2599" t="s">
        <v>18791</v>
      </c>
      <c r="K2599" t="str">
        <f>HYPERLINK("http://tuberculist.epfl.ch/quicksearch.php?gene+name=Rv2524c&amp;submit=Search")</f>
        <v>http://tuberculist.epfl.ch/quicksearch.php?gene+name=Rv2524c&amp;submit=Search</v>
      </c>
    </row>
    <row r="2600" spans="1:11">
      <c r="A2600" t="s">
        <v>2624</v>
      </c>
      <c r="B2600" t="s">
        <v>2624</v>
      </c>
      <c r="C2600" t="s">
        <v>9567</v>
      </c>
      <c r="D2600" t="s">
        <v>15507</v>
      </c>
      <c r="E2600" t="s">
        <v>15508</v>
      </c>
      <c r="F2600" t="s">
        <v>15509</v>
      </c>
      <c r="G2600" t="s">
        <v>19204</v>
      </c>
      <c r="H2600" t="s">
        <v>19389</v>
      </c>
      <c r="I2600" t="s">
        <v>19059</v>
      </c>
      <c r="K2600" t="str">
        <f>HYPERLINK("http://tuberculist.epfl.ch/quicksearch.php?gene+name=Rv2525c&amp;submit=Search")</f>
        <v>http://tuberculist.epfl.ch/quicksearch.php?gene+name=Rv2525c&amp;submit=Search</v>
      </c>
    </row>
    <row r="2601" spans="1:11">
      <c r="A2601" t="s">
        <v>15510</v>
      </c>
      <c r="B2601" t="s">
        <v>15511</v>
      </c>
      <c r="C2601" t="s">
        <v>9567</v>
      </c>
      <c r="D2601" t="s">
        <v>9587</v>
      </c>
      <c r="E2601" t="s">
        <v>15512</v>
      </c>
      <c r="F2601" t="s">
        <v>15513</v>
      </c>
      <c r="G2601" t="s">
        <v>19206</v>
      </c>
      <c r="H2601" t="s">
        <v>19233</v>
      </c>
      <c r="I2601" t="s">
        <v>18779</v>
      </c>
      <c r="K2601" t="str">
        <f>HYPERLINK("http://tuberculist.epfl.ch/quicksearch.php?gene+name=Rv2526&amp;submit=Search")</f>
        <v>http://tuberculist.epfl.ch/quicksearch.php?gene+name=Rv2526&amp;submit=Search</v>
      </c>
    </row>
    <row r="2602" spans="1:11">
      <c r="A2602" t="s">
        <v>15514</v>
      </c>
      <c r="B2602" t="s">
        <v>15515</v>
      </c>
      <c r="C2602" t="s">
        <v>9567</v>
      </c>
      <c r="D2602" t="s">
        <v>9587</v>
      </c>
      <c r="E2602" t="s">
        <v>15516</v>
      </c>
      <c r="F2602" t="s">
        <v>15517</v>
      </c>
      <c r="G2602" t="s">
        <v>19206</v>
      </c>
      <c r="H2602" t="s">
        <v>19213</v>
      </c>
      <c r="I2602" t="s">
        <v>18780</v>
      </c>
      <c r="K2602" t="str">
        <f>HYPERLINK("http://tuberculist.epfl.ch/quicksearch.php?gene+name=Rv2527&amp;submit=Search")</f>
        <v>http://tuberculist.epfl.ch/quicksearch.php?gene+name=Rv2527&amp;submit=Search</v>
      </c>
    </row>
    <row r="2603" spans="1:11">
      <c r="A2603" t="s">
        <v>4019</v>
      </c>
      <c r="B2603" t="s">
        <v>769</v>
      </c>
      <c r="C2603" t="s">
        <v>9567</v>
      </c>
      <c r="D2603" t="s">
        <v>15518</v>
      </c>
      <c r="E2603" t="s">
        <v>15519</v>
      </c>
      <c r="F2603" t="s">
        <v>15520</v>
      </c>
      <c r="G2603" t="s">
        <v>19181</v>
      </c>
      <c r="H2603" t="s">
        <v>19225</v>
      </c>
      <c r="I2603" t="s">
        <v>18773</v>
      </c>
      <c r="K2603" t="str">
        <f>HYPERLINK("http://tuberculist.epfl.ch/quicksearch.php?gene+name=Rv2528c&amp;submit=Search")</f>
        <v>http://tuberculist.epfl.ch/quicksearch.php?gene+name=Rv2528c&amp;submit=Search</v>
      </c>
    </row>
    <row r="2604" spans="1:11">
      <c r="A2604" t="s">
        <v>3221</v>
      </c>
      <c r="B2604" t="s">
        <v>3221</v>
      </c>
      <c r="C2604" t="s">
        <v>9567</v>
      </c>
      <c r="D2604" t="s">
        <v>9587</v>
      </c>
      <c r="E2604" t="s">
        <v>9713</v>
      </c>
      <c r="F2604" t="s">
        <v>15521</v>
      </c>
      <c r="G2604" t="s">
        <v>19212</v>
      </c>
      <c r="H2604" t="s">
        <v>19302</v>
      </c>
      <c r="I2604" t="s">
        <v>18779</v>
      </c>
      <c r="K2604" t="str">
        <f>HYPERLINK("http://tuberculist.epfl.ch/quicksearch.php?gene+name=Rv2529&amp;submit=Search")</f>
        <v>http://tuberculist.epfl.ch/quicksearch.php?gene+name=Rv2529&amp;submit=Search</v>
      </c>
    </row>
    <row r="2605" spans="1:11">
      <c r="A2605" t="s">
        <v>15522</v>
      </c>
      <c r="B2605" t="s">
        <v>15523</v>
      </c>
      <c r="C2605" t="s">
        <v>9567</v>
      </c>
      <c r="D2605" t="s">
        <v>9587</v>
      </c>
      <c r="E2605" t="s">
        <v>15524</v>
      </c>
      <c r="F2605" t="s">
        <v>15525</v>
      </c>
      <c r="G2605" t="s">
        <v>19206</v>
      </c>
      <c r="I2605" t="s">
        <v>18773</v>
      </c>
      <c r="K2605" t="str">
        <f>HYPERLINK("http://tuberculist.epfl.ch/quicksearch.php?gene+name=Rv2530A&amp;submit=Search")</f>
        <v>http://tuberculist.epfl.ch/quicksearch.php?gene+name=Rv2530A&amp;submit=Search</v>
      </c>
    </row>
    <row r="2606" spans="1:11">
      <c r="A2606" t="s">
        <v>15526</v>
      </c>
      <c r="B2606" t="s">
        <v>959</v>
      </c>
      <c r="C2606" t="s">
        <v>9567</v>
      </c>
      <c r="D2606" t="s">
        <v>9587</v>
      </c>
      <c r="E2606" t="s">
        <v>15527</v>
      </c>
      <c r="F2606" t="s">
        <v>15528</v>
      </c>
      <c r="G2606" t="s">
        <v>19206</v>
      </c>
      <c r="I2606" t="s">
        <v>18777</v>
      </c>
      <c r="K2606" t="str">
        <f>HYPERLINK("http://tuberculist.epfl.ch/quicksearch.php?gene+name=Rv2530c&amp;submit=Search")</f>
        <v>http://tuberculist.epfl.ch/quicksearch.php?gene+name=Rv2530c&amp;submit=Search</v>
      </c>
    </row>
    <row r="2607" spans="1:11">
      <c r="A2607" t="s">
        <v>1461</v>
      </c>
      <c r="B2607" t="s">
        <v>1461</v>
      </c>
      <c r="C2607" t="s">
        <v>9567</v>
      </c>
      <c r="D2607" t="s">
        <v>15529</v>
      </c>
      <c r="E2607" t="s">
        <v>15530</v>
      </c>
      <c r="F2607" t="s">
        <v>15531</v>
      </c>
      <c r="G2607" t="s">
        <v>19195</v>
      </c>
      <c r="H2607" t="s">
        <v>19305</v>
      </c>
      <c r="I2607" t="s">
        <v>18789</v>
      </c>
      <c r="K2607" t="str">
        <f>HYPERLINK("http://tuberculist.epfl.ch/quicksearch.php?gene+name=Rv2531c&amp;submit=Search")</f>
        <v>http://tuberculist.epfl.ch/quicksearch.php?gene+name=Rv2531c&amp;submit=Search</v>
      </c>
    </row>
    <row r="2608" spans="1:11">
      <c r="A2608" t="s">
        <v>836</v>
      </c>
      <c r="B2608" t="s">
        <v>836</v>
      </c>
      <c r="C2608" t="s">
        <v>9567</v>
      </c>
      <c r="D2608" t="s">
        <v>9587</v>
      </c>
      <c r="E2608" t="s">
        <v>9713</v>
      </c>
      <c r="F2608" t="s">
        <v>15532</v>
      </c>
      <c r="G2608" t="s">
        <v>19212</v>
      </c>
      <c r="I2608" t="s">
        <v>18793</v>
      </c>
      <c r="K2608" t="str">
        <f>HYPERLINK("http://tuberculist.epfl.ch/quicksearch.php?gene+name=Rv2532c&amp;submit=Search")</f>
        <v>http://tuberculist.epfl.ch/quicksearch.php?gene+name=Rv2532c&amp;submit=Search</v>
      </c>
    </row>
    <row r="2609" spans="1:11">
      <c r="A2609" t="s">
        <v>5682</v>
      </c>
      <c r="B2609" t="s">
        <v>1603</v>
      </c>
      <c r="C2609" t="s">
        <v>9567</v>
      </c>
      <c r="D2609" t="s">
        <v>15533</v>
      </c>
      <c r="E2609" t="s">
        <v>15534</v>
      </c>
      <c r="F2609" t="s">
        <v>15535</v>
      </c>
      <c r="G2609" t="s">
        <v>19181</v>
      </c>
      <c r="H2609" t="s">
        <v>19213</v>
      </c>
      <c r="I2609" t="s">
        <v>18800</v>
      </c>
      <c r="K2609" t="str">
        <f>HYPERLINK("http://tuberculist.epfl.ch/quicksearch.php?gene+name=Rv2533c&amp;submit=Search")</f>
        <v>http://tuberculist.epfl.ch/quicksearch.php?gene+name=Rv2533c&amp;submit=Search</v>
      </c>
    </row>
    <row r="2610" spans="1:11">
      <c r="A2610" t="s">
        <v>6684</v>
      </c>
      <c r="B2610" t="s">
        <v>2101</v>
      </c>
      <c r="C2610" t="s">
        <v>9567</v>
      </c>
      <c r="D2610" t="s">
        <v>15536</v>
      </c>
      <c r="E2610" t="s">
        <v>15537</v>
      </c>
      <c r="F2610" t="s">
        <v>15538</v>
      </c>
      <c r="G2610" t="s">
        <v>19181</v>
      </c>
      <c r="H2610" t="s">
        <v>19908</v>
      </c>
      <c r="I2610" t="s">
        <v>18774</v>
      </c>
      <c r="K2610" t="str">
        <f>HYPERLINK("http://tuberculist.epfl.ch/quicksearch.php?gene+name=Rv2534c&amp;submit=Search")</f>
        <v>http://tuberculist.epfl.ch/quicksearch.php?gene+name=Rv2534c&amp;submit=Search</v>
      </c>
    </row>
    <row r="2611" spans="1:11">
      <c r="A2611" t="s">
        <v>7475</v>
      </c>
      <c r="B2611" t="s">
        <v>2496</v>
      </c>
      <c r="C2611" t="s">
        <v>9567</v>
      </c>
      <c r="D2611" t="s">
        <v>15539</v>
      </c>
      <c r="E2611" t="s">
        <v>15540</v>
      </c>
      <c r="F2611" t="s">
        <v>15541</v>
      </c>
      <c r="G2611" t="s">
        <v>19195</v>
      </c>
      <c r="H2611" t="s">
        <v>19233</v>
      </c>
      <c r="I2611" t="s">
        <v>18904</v>
      </c>
      <c r="K2611" t="str">
        <f>HYPERLINK("http://tuberculist.epfl.ch/quicksearch.php?gene+name=Rv2535c&amp;submit=Search")</f>
        <v>http://tuberculist.epfl.ch/quicksearch.php?gene+name=Rv2535c&amp;submit=Search</v>
      </c>
    </row>
    <row r="2612" spans="1:11">
      <c r="A2612" t="s">
        <v>613</v>
      </c>
      <c r="B2612" t="s">
        <v>613</v>
      </c>
      <c r="C2612" t="s">
        <v>9567</v>
      </c>
      <c r="D2612" t="s">
        <v>9587</v>
      </c>
      <c r="E2612" t="s">
        <v>9597</v>
      </c>
      <c r="F2612" t="s">
        <v>15542</v>
      </c>
      <c r="G2612" t="s">
        <v>19188</v>
      </c>
      <c r="H2612" t="s">
        <v>19815</v>
      </c>
      <c r="I2612" t="s">
        <v>18793</v>
      </c>
      <c r="K2612" t="str">
        <f>HYPERLINK("http://tuberculist.epfl.ch/quicksearch.php?gene+name=Rv2536&amp;submit=Search")</f>
        <v>http://tuberculist.epfl.ch/quicksearch.php?gene+name=Rv2536&amp;submit=Search</v>
      </c>
    </row>
    <row r="2613" spans="1:11">
      <c r="A2613" t="s">
        <v>9406</v>
      </c>
      <c r="B2613" t="s">
        <v>3418</v>
      </c>
      <c r="C2613" t="s">
        <v>9567</v>
      </c>
      <c r="D2613" t="s">
        <v>15543</v>
      </c>
      <c r="E2613" t="s">
        <v>15544</v>
      </c>
      <c r="F2613" t="s">
        <v>15545</v>
      </c>
      <c r="G2613" t="s">
        <v>19195</v>
      </c>
      <c r="H2613" t="s">
        <v>19227</v>
      </c>
      <c r="I2613" t="s">
        <v>18774</v>
      </c>
      <c r="K2613" t="str">
        <f>HYPERLINK("http://tuberculist.epfl.ch/quicksearch.php?gene+name=Rv2537c&amp;submit=Search")</f>
        <v>http://tuberculist.epfl.ch/quicksearch.php?gene+name=Rv2537c&amp;submit=Search</v>
      </c>
    </row>
    <row r="2614" spans="1:11">
      <c r="A2614" t="s">
        <v>7936</v>
      </c>
      <c r="B2614" t="s">
        <v>2731</v>
      </c>
      <c r="C2614" t="s">
        <v>9567</v>
      </c>
      <c r="D2614" t="s">
        <v>15546</v>
      </c>
      <c r="E2614" t="s">
        <v>15547</v>
      </c>
      <c r="F2614" t="s">
        <v>15548</v>
      </c>
      <c r="G2614" t="s">
        <v>19195</v>
      </c>
      <c r="H2614" t="s">
        <v>19687</v>
      </c>
      <c r="I2614" t="s">
        <v>18774</v>
      </c>
      <c r="K2614" t="str">
        <f>HYPERLINK("http://tuberculist.epfl.ch/quicksearch.php?gene+name=Rv2538c&amp;submit=Search")</f>
        <v>http://tuberculist.epfl.ch/quicksearch.php?gene+name=Rv2538c&amp;submit=Search</v>
      </c>
    </row>
    <row r="2615" spans="1:11">
      <c r="A2615" t="s">
        <v>7816</v>
      </c>
      <c r="B2615" t="s">
        <v>2667</v>
      </c>
      <c r="C2615" t="s">
        <v>9567</v>
      </c>
      <c r="D2615" t="s">
        <v>15549</v>
      </c>
      <c r="E2615" t="s">
        <v>15550</v>
      </c>
      <c r="F2615" t="s">
        <v>15551</v>
      </c>
      <c r="G2615" t="s">
        <v>19195</v>
      </c>
      <c r="I2615" t="s">
        <v>18800</v>
      </c>
      <c r="K2615" t="str">
        <f>HYPERLINK("http://tuberculist.epfl.ch/quicksearch.php?gene+name=Rv2539c&amp;submit=Search")</f>
        <v>http://tuberculist.epfl.ch/quicksearch.php?gene+name=Rv2539c&amp;submit=Search</v>
      </c>
    </row>
    <row r="2616" spans="1:11">
      <c r="A2616" t="s">
        <v>6431</v>
      </c>
      <c r="B2616" t="s">
        <v>1965</v>
      </c>
      <c r="C2616" t="s">
        <v>9567</v>
      </c>
      <c r="D2616" t="s">
        <v>15552</v>
      </c>
      <c r="E2616" t="s">
        <v>15553</v>
      </c>
      <c r="F2616" t="s">
        <v>15554</v>
      </c>
      <c r="G2616" t="s">
        <v>19195</v>
      </c>
      <c r="H2616" t="s">
        <v>19909</v>
      </c>
      <c r="I2616" t="s">
        <v>18774</v>
      </c>
      <c r="K2616" t="str">
        <f>HYPERLINK("http://tuberculist.epfl.ch/quicksearch.php?gene+name=Rv2540c&amp;submit=Search")</f>
        <v>http://tuberculist.epfl.ch/quicksearch.php?gene+name=Rv2540c&amp;submit=Search</v>
      </c>
    </row>
    <row r="2617" spans="1:11">
      <c r="A2617" t="s">
        <v>15555</v>
      </c>
      <c r="B2617" t="s">
        <v>15555</v>
      </c>
      <c r="C2617" t="s">
        <v>9567</v>
      </c>
      <c r="D2617" t="s">
        <v>9587</v>
      </c>
      <c r="E2617" t="s">
        <v>15423</v>
      </c>
      <c r="F2617" t="s">
        <v>15556</v>
      </c>
      <c r="G2617" t="s">
        <v>19212</v>
      </c>
      <c r="I2617" t="s">
        <v>18773</v>
      </c>
      <c r="K2617" t="str">
        <f>HYPERLINK("http://tuberculist.epfl.ch/quicksearch.php?gene+name=Rv2541&amp;submit=Search")</f>
        <v>http://tuberculist.epfl.ch/quicksearch.php?gene+name=Rv2541&amp;submit=Search</v>
      </c>
    </row>
    <row r="2618" spans="1:11">
      <c r="A2618" t="s">
        <v>2127</v>
      </c>
      <c r="B2618" t="s">
        <v>2127</v>
      </c>
      <c r="C2618" t="s">
        <v>9567</v>
      </c>
      <c r="D2618" t="s">
        <v>9578</v>
      </c>
      <c r="E2618" t="s">
        <v>9579</v>
      </c>
      <c r="F2618" t="s">
        <v>15557</v>
      </c>
      <c r="G2618" t="s">
        <v>19212</v>
      </c>
      <c r="H2618" t="s">
        <v>19257</v>
      </c>
      <c r="I2618" t="s">
        <v>18789</v>
      </c>
      <c r="K2618" t="str">
        <f>HYPERLINK("http://tuberculist.epfl.ch/quicksearch.php?gene+name=Rv2542&amp;submit=Search")</f>
        <v>http://tuberculist.epfl.ch/quicksearch.php?gene+name=Rv2542&amp;submit=Search</v>
      </c>
    </row>
    <row r="2619" spans="1:11">
      <c r="A2619" t="s">
        <v>3747</v>
      </c>
      <c r="B2619" t="s">
        <v>635</v>
      </c>
      <c r="C2619" t="s">
        <v>9567</v>
      </c>
      <c r="D2619" t="s">
        <v>9587</v>
      </c>
      <c r="E2619" t="s">
        <v>15558</v>
      </c>
      <c r="F2619" t="s">
        <v>15559</v>
      </c>
      <c r="G2619" t="s">
        <v>19188</v>
      </c>
      <c r="I2619" t="s">
        <v>18860</v>
      </c>
      <c r="K2619" t="str">
        <f>HYPERLINK("http://tuberculist.epfl.ch/quicksearch.php?gene+name=Rv2543&amp;submit=Search")</f>
        <v>http://tuberculist.epfl.ch/quicksearch.php?gene+name=Rv2543&amp;submit=Search</v>
      </c>
    </row>
    <row r="2620" spans="1:11">
      <c r="A2620" t="s">
        <v>15560</v>
      </c>
      <c r="B2620" t="s">
        <v>15561</v>
      </c>
      <c r="C2620" t="s">
        <v>9567</v>
      </c>
      <c r="D2620" t="s">
        <v>9587</v>
      </c>
      <c r="E2620" t="s">
        <v>15562</v>
      </c>
      <c r="F2620" t="s">
        <v>15563</v>
      </c>
      <c r="G2620" t="s">
        <v>19188</v>
      </c>
      <c r="H2620" t="s">
        <v>19712</v>
      </c>
      <c r="I2620" t="s">
        <v>18860</v>
      </c>
      <c r="K2620" t="str">
        <f>HYPERLINK("http://tuberculist.epfl.ch/quicksearch.php?gene+name=Rv2544&amp;submit=Search")</f>
        <v>http://tuberculist.epfl.ch/quicksearch.php?gene+name=Rv2544&amp;submit=Search</v>
      </c>
    </row>
    <row r="2621" spans="1:11">
      <c r="A2621" t="s">
        <v>15564</v>
      </c>
      <c r="B2621" t="s">
        <v>15565</v>
      </c>
      <c r="C2621" t="s">
        <v>9567</v>
      </c>
      <c r="D2621" t="s">
        <v>9587</v>
      </c>
      <c r="E2621" t="s">
        <v>15566</v>
      </c>
      <c r="F2621" t="s">
        <v>15567</v>
      </c>
      <c r="G2621" t="s">
        <v>19206</v>
      </c>
      <c r="I2621" t="s">
        <v>18780</v>
      </c>
      <c r="K2621" t="str">
        <f>HYPERLINK("http://tuberculist.epfl.ch/quicksearch.php?gene+name=Rv2545&amp;submit=Search")</f>
        <v>http://tuberculist.epfl.ch/quicksearch.php?gene+name=Rv2545&amp;submit=Search</v>
      </c>
    </row>
    <row r="2622" spans="1:11">
      <c r="A2622" t="s">
        <v>15568</v>
      </c>
      <c r="B2622" t="s">
        <v>15569</v>
      </c>
      <c r="C2622" t="s">
        <v>9567</v>
      </c>
      <c r="D2622" t="s">
        <v>9587</v>
      </c>
      <c r="E2622" t="s">
        <v>15570</v>
      </c>
      <c r="F2622" t="s">
        <v>15571</v>
      </c>
      <c r="G2622" t="s">
        <v>19206</v>
      </c>
      <c r="I2622" t="s">
        <v>18780</v>
      </c>
      <c r="K2622" t="str">
        <f>HYPERLINK("http://tuberculist.epfl.ch/quicksearch.php?gene+name=Rv2546&amp;submit=Search")</f>
        <v>http://tuberculist.epfl.ch/quicksearch.php?gene+name=Rv2546&amp;submit=Search</v>
      </c>
    </row>
    <row r="2623" spans="1:11">
      <c r="A2623" t="s">
        <v>15572</v>
      </c>
      <c r="B2623" t="s">
        <v>15573</v>
      </c>
      <c r="C2623" t="s">
        <v>9567</v>
      </c>
      <c r="D2623" t="s">
        <v>9587</v>
      </c>
      <c r="E2623" t="s">
        <v>15574</v>
      </c>
      <c r="F2623" t="s">
        <v>15575</v>
      </c>
      <c r="G2623" t="s">
        <v>19206</v>
      </c>
      <c r="I2623" t="s">
        <v>18780</v>
      </c>
      <c r="K2623" t="str">
        <f>HYPERLINK("http://tuberculist.epfl.ch/quicksearch.php?gene+name=Rv2547&amp;submit=Search")</f>
        <v>http://tuberculist.epfl.ch/quicksearch.php?gene+name=Rv2547&amp;submit=Search</v>
      </c>
    </row>
    <row r="2624" spans="1:11">
      <c r="A2624" t="s">
        <v>15576</v>
      </c>
      <c r="B2624" t="s">
        <v>15577</v>
      </c>
      <c r="C2624" t="s">
        <v>9567</v>
      </c>
      <c r="D2624" t="s">
        <v>9587</v>
      </c>
      <c r="E2624" t="s">
        <v>15578</v>
      </c>
      <c r="F2624" t="s">
        <v>15579</v>
      </c>
      <c r="G2624" t="s">
        <v>19206</v>
      </c>
      <c r="I2624" t="s">
        <v>18779</v>
      </c>
      <c r="K2624" t="str">
        <f>HYPERLINK("http://tuberculist.epfl.ch/quicksearch.php?gene+name=Rv2548&amp;submit=Search")</f>
        <v>http://tuberculist.epfl.ch/quicksearch.php?gene+name=Rv2548&amp;submit=Search</v>
      </c>
    </row>
    <row r="2625" spans="1:11">
      <c r="A2625" t="s">
        <v>15580</v>
      </c>
      <c r="B2625" t="s">
        <v>15580</v>
      </c>
      <c r="C2625" t="s">
        <v>9567</v>
      </c>
      <c r="D2625" t="s">
        <v>9587</v>
      </c>
      <c r="E2625" t="s">
        <v>9665</v>
      </c>
      <c r="F2625" t="s">
        <v>15581</v>
      </c>
      <c r="G2625" t="s">
        <v>19212</v>
      </c>
      <c r="H2625" t="s">
        <v>19385</v>
      </c>
      <c r="I2625" t="s">
        <v>18773</v>
      </c>
      <c r="K2625" t="str">
        <f>HYPERLINK("http://tuberculist.epfl.ch/quicksearch.php?gene+name=Rv2548A&amp;submit=Search")</f>
        <v>http://tuberculist.epfl.ch/quicksearch.php?gene+name=Rv2548A&amp;submit=Search</v>
      </c>
    </row>
    <row r="2626" spans="1:11">
      <c r="A2626" t="s">
        <v>15582</v>
      </c>
      <c r="B2626" t="s">
        <v>2324</v>
      </c>
      <c r="C2626" t="s">
        <v>9567</v>
      </c>
      <c r="D2626" t="s">
        <v>9587</v>
      </c>
      <c r="E2626" t="s">
        <v>15583</v>
      </c>
      <c r="F2626" t="s">
        <v>15584</v>
      </c>
      <c r="G2626" t="s">
        <v>19206</v>
      </c>
      <c r="I2626" t="s">
        <v>18780</v>
      </c>
      <c r="K2626" t="str">
        <f>HYPERLINK("http://tuberculist.epfl.ch/quicksearch.php?gene+name=Rv2549c&amp;submit=Search")</f>
        <v>http://tuberculist.epfl.ch/quicksearch.php?gene+name=Rv2549c&amp;submit=Search</v>
      </c>
    </row>
    <row r="2627" spans="1:11">
      <c r="A2627" t="s">
        <v>15585</v>
      </c>
      <c r="B2627" t="s">
        <v>15586</v>
      </c>
      <c r="C2627" t="s">
        <v>9567</v>
      </c>
      <c r="D2627" t="s">
        <v>9587</v>
      </c>
      <c r="E2627" t="s">
        <v>15587</v>
      </c>
      <c r="F2627" t="s">
        <v>15588</v>
      </c>
      <c r="G2627" t="s">
        <v>19206</v>
      </c>
      <c r="I2627" t="s">
        <v>18777</v>
      </c>
      <c r="K2627" t="str">
        <f>HYPERLINK("http://tuberculist.epfl.ch/quicksearch.php?gene+name=Rv2550c&amp;submit=Search")</f>
        <v>http://tuberculist.epfl.ch/quicksearch.php?gene+name=Rv2550c&amp;submit=Search</v>
      </c>
    </row>
    <row r="2628" spans="1:11">
      <c r="A2628" t="s">
        <v>15589</v>
      </c>
      <c r="B2628" t="s">
        <v>15589</v>
      </c>
      <c r="C2628" t="s">
        <v>9567</v>
      </c>
      <c r="D2628" t="s">
        <v>9578</v>
      </c>
      <c r="E2628" t="s">
        <v>9579</v>
      </c>
      <c r="F2628" t="s">
        <v>15590</v>
      </c>
      <c r="G2628" t="s">
        <v>19204</v>
      </c>
      <c r="I2628" t="s">
        <v>18773</v>
      </c>
      <c r="K2628" t="str">
        <f>HYPERLINK("http://tuberculist.epfl.ch/quicksearch.php?gene+name=Rv2551c&amp;submit=Search")</f>
        <v>http://tuberculist.epfl.ch/quicksearch.php?gene+name=Rv2551c&amp;submit=Search</v>
      </c>
    </row>
    <row r="2629" spans="1:11">
      <c r="A2629" t="s">
        <v>8869</v>
      </c>
      <c r="B2629" t="s">
        <v>3168</v>
      </c>
      <c r="C2629" t="s">
        <v>9567</v>
      </c>
      <c r="D2629" t="s">
        <v>15591</v>
      </c>
      <c r="E2629" t="s">
        <v>15592</v>
      </c>
      <c r="F2629" t="s">
        <v>15593</v>
      </c>
      <c r="G2629" t="s">
        <v>19195</v>
      </c>
      <c r="H2629" t="s">
        <v>19213</v>
      </c>
      <c r="I2629" t="s">
        <v>18800</v>
      </c>
      <c r="K2629" t="str">
        <f>HYPERLINK("http://tuberculist.epfl.ch/quicksearch.php?gene+name=Rv2552c&amp;submit=Search")</f>
        <v>http://tuberculist.epfl.ch/quicksearch.php?gene+name=Rv2552c&amp;submit=Search</v>
      </c>
    </row>
    <row r="2630" spans="1:11">
      <c r="A2630" t="s">
        <v>1359</v>
      </c>
      <c r="B2630" t="s">
        <v>1359</v>
      </c>
      <c r="C2630" t="s">
        <v>9567</v>
      </c>
      <c r="D2630" t="s">
        <v>9587</v>
      </c>
      <c r="E2630" t="s">
        <v>9595</v>
      </c>
      <c r="F2630" t="s">
        <v>15594</v>
      </c>
      <c r="G2630" t="s">
        <v>19188</v>
      </c>
      <c r="H2630" t="s">
        <v>19371</v>
      </c>
      <c r="I2630" t="s">
        <v>18866</v>
      </c>
      <c r="K2630" t="str">
        <f>HYPERLINK("http://tuberculist.epfl.ch/quicksearch.php?gene+name=Rv2553c&amp;submit=Search")</f>
        <v>http://tuberculist.epfl.ch/quicksearch.php?gene+name=Rv2553c&amp;submit=Search</v>
      </c>
    </row>
    <row r="2631" spans="1:11">
      <c r="A2631" t="s">
        <v>1414</v>
      </c>
      <c r="B2631" t="s">
        <v>1414</v>
      </c>
      <c r="C2631" t="s">
        <v>9567</v>
      </c>
      <c r="D2631" t="s">
        <v>9578</v>
      </c>
      <c r="E2631" t="s">
        <v>9665</v>
      </c>
      <c r="F2631" t="s">
        <v>15595</v>
      </c>
      <c r="G2631" t="s">
        <v>19185</v>
      </c>
      <c r="H2631" t="s">
        <v>19326</v>
      </c>
      <c r="I2631" t="s">
        <v>18800</v>
      </c>
      <c r="K2631" t="str">
        <f>HYPERLINK("http://tuberculist.epfl.ch/quicksearch.php?gene+name=Rv2554c&amp;submit=Search")</f>
        <v>http://tuberculist.epfl.ch/quicksearch.php?gene+name=Rv2554c&amp;submit=Search</v>
      </c>
    </row>
    <row r="2632" spans="1:11">
      <c r="A2632" t="s">
        <v>6847</v>
      </c>
      <c r="B2632" t="s">
        <v>2186</v>
      </c>
      <c r="C2632" t="s">
        <v>9567</v>
      </c>
      <c r="D2632" t="s">
        <v>15596</v>
      </c>
      <c r="E2632" t="s">
        <v>15597</v>
      </c>
      <c r="F2632" t="s">
        <v>15598</v>
      </c>
      <c r="G2632" t="s">
        <v>19181</v>
      </c>
      <c r="H2632" t="s">
        <v>19910</v>
      </c>
      <c r="I2632" t="s">
        <v>18774</v>
      </c>
      <c r="K2632" t="str">
        <f>HYPERLINK("http://tuberculist.epfl.ch/quicksearch.php?gene+name=Rv2555c&amp;submit=Search")</f>
        <v>http://tuberculist.epfl.ch/quicksearch.php?gene+name=Rv2555c&amp;submit=Search</v>
      </c>
    </row>
    <row r="2633" spans="1:11">
      <c r="A2633" t="s">
        <v>1788</v>
      </c>
      <c r="B2633" t="s">
        <v>1788</v>
      </c>
      <c r="C2633" t="s">
        <v>9567</v>
      </c>
      <c r="D2633" t="s">
        <v>9578</v>
      </c>
      <c r="E2633" t="s">
        <v>9579</v>
      </c>
      <c r="F2633" t="s">
        <v>15599</v>
      </c>
      <c r="G2633" t="s">
        <v>19204</v>
      </c>
      <c r="I2633" t="s">
        <v>18780</v>
      </c>
      <c r="K2633" t="str">
        <f>HYPERLINK("http://tuberculist.epfl.ch/quicksearch.php?gene+name=Rv2556c&amp;submit=Search")</f>
        <v>http://tuberculist.epfl.ch/quicksearch.php?gene+name=Rv2556c&amp;submit=Search</v>
      </c>
    </row>
    <row r="2634" spans="1:11">
      <c r="A2634" t="s">
        <v>591</v>
      </c>
      <c r="B2634" t="s">
        <v>591</v>
      </c>
      <c r="C2634" t="s">
        <v>9567</v>
      </c>
      <c r="D2634" t="s">
        <v>15600</v>
      </c>
      <c r="E2634" t="s">
        <v>9665</v>
      </c>
      <c r="F2634" t="s">
        <v>15601</v>
      </c>
      <c r="G2634" t="s">
        <v>19185</v>
      </c>
      <c r="H2634" t="s">
        <v>19911</v>
      </c>
      <c r="I2634" t="s">
        <v>18789</v>
      </c>
      <c r="K2634" t="str">
        <f>HYPERLINK("http://tuberculist.epfl.ch/quicksearch.php?gene+name=Rv2557&amp;submit=Search")</f>
        <v>http://tuberculist.epfl.ch/quicksearch.php?gene+name=Rv2557&amp;submit=Search</v>
      </c>
    </row>
    <row r="2635" spans="1:11">
      <c r="A2635" t="s">
        <v>793</v>
      </c>
      <c r="B2635" t="s">
        <v>793</v>
      </c>
      <c r="C2635" t="s">
        <v>9567</v>
      </c>
      <c r="D2635" t="s">
        <v>15600</v>
      </c>
      <c r="E2635" t="s">
        <v>9665</v>
      </c>
      <c r="F2635" t="s">
        <v>15602</v>
      </c>
      <c r="G2635" t="s">
        <v>19212</v>
      </c>
      <c r="H2635" t="s">
        <v>19912</v>
      </c>
      <c r="I2635" t="s">
        <v>18780</v>
      </c>
      <c r="J2635" t="s">
        <v>18775</v>
      </c>
      <c r="K2635" t="str">
        <f>HYPERLINK("http://tuberculist.epfl.ch/quicksearch.php?gene+name=Rv2558&amp;submit=Search")</f>
        <v>http://tuberculist.epfl.ch/quicksearch.php?gene+name=Rv2558&amp;submit=Search</v>
      </c>
    </row>
    <row r="2636" spans="1:11">
      <c r="A2636" t="s">
        <v>1103</v>
      </c>
      <c r="B2636" t="s">
        <v>1103</v>
      </c>
      <c r="C2636" t="s">
        <v>9567</v>
      </c>
      <c r="D2636" t="s">
        <v>9578</v>
      </c>
      <c r="E2636" t="s">
        <v>15603</v>
      </c>
      <c r="F2636" t="s">
        <v>15604</v>
      </c>
      <c r="G2636" t="s">
        <v>19210</v>
      </c>
      <c r="I2636" t="s">
        <v>18780</v>
      </c>
      <c r="K2636" t="str">
        <f>HYPERLINK("http://tuberculist.epfl.ch/quicksearch.php?gene+name=Rv2559c&amp;submit=Search")</f>
        <v>http://tuberculist.epfl.ch/quicksearch.php?gene+name=Rv2559c&amp;submit=Search</v>
      </c>
    </row>
    <row r="2637" spans="1:11">
      <c r="A2637" t="s">
        <v>2404</v>
      </c>
      <c r="B2637" t="s">
        <v>2404</v>
      </c>
      <c r="C2637" t="s">
        <v>9567</v>
      </c>
      <c r="D2637" t="s">
        <v>9587</v>
      </c>
      <c r="E2637" t="s">
        <v>15605</v>
      </c>
      <c r="F2637" t="s">
        <v>15606</v>
      </c>
      <c r="G2637" t="s">
        <v>19188</v>
      </c>
      <c r="H2637" t="s">
        <v>19192</v>
      </c>
      <c r="I2637" t="s">
        <v>18789</v>
      </c>
      <c r="K2637" t="str">
        <f>HYPERLINK("http://tuberculist.epfl.ch/quicksearch.php?gene+name=Rv2560&amp;submit=Search")</f>
        <v>http://tuberculist.epfl.ch/quicksearch.php?gene+name=Rv2560&amp;submit=Search</v>
      </c>
    </row>
    <row r="2638" spans="1:11">
      <c r="A2638" t="s">
        <v>15607</v>
      </c>
      <c r="B2638" t="s">
        <v>15607</v>
      </c>
      <c r="C2638" t="s">
        <v>9567</v>
      </c>
      <c r="D2638" t="s">
        <v>9578</v>
      </c>
      <c r="E2638" t="s">
        <v>9579</v>
      </c>
      <c r="F2638" t="s">
        <v>15608</v>
      </c>
      <c r="G2638" t="s">
        <v>19210</v>
      </c>
      <c r="I2638" t="s">
        <v>18780</v>
      </c>
      <c r="K2638" t="str">
        <f>HYPERLINK("http://tuberculist.epfl.ch/quicksearch.php?gene+name=Rv2561&amp;submit=Search")</f>
        <v>http://tuberculist.epfl.ch/quicksearch.php?gene+name=Rv2561&amp;submit=Search</v>
      </c>
    </row>
    <row r="2639" spans="1:11">
      <c r="A2639" t="s">
        <v>1104</v>
      </c>
      <c r="B2639" t="s">
        <v>1104</v>
      </c>
      <c r="C2639" t="s">
        <v>9567</v>
      </c>
      <c r="D2639" t="s">
        <v>9578</v>
      </c>
      <c r="E2639" t="s">
        <v>9579</v>
      </c>
      <c r="F2639" t="s">
        <v>15609</v>
      </c>
      <c r="G2639" t="s">
        <v>19210</v>
      </c>
      <c r="I2639" t="s">
        <v>18780</v>
      </c>
      <c r="K2639" t="str">
        <f>HYPERLINK("http://tuberculist.epfl.ch/quicksearch.php?gene+name=Rv2562&amp;submit=Search")</f>
        <v>http://tuberculist.epfl.ch/quicksearch.php?gene+name=Rv2562&amp;submit=Search</v>
      </c>
    </row>
    <row r="2640" spans="1:11">
      <c r="A2640" t="s">
        <v>2007</v>
      </c>
      <c r="B2640" t="s">
        <v>2007</v>
      </c>
      <c r="C2640" t="s">
        <v>9567</v>
      </c>
      <c r="D2640" t="s">
        <v>9750</v>
      </c>
      <c r="E2640" t="s">
        <v>9751</v>
      </c>
      <c r="F2640" t="s">
        <v>15610</v>
      </c>
      <c r="G2640" t="s">
        <v>19188</v>
      </c>
      <c r="H2640" t="s">
        <v>19913</v>
      </c>
      <c r="I2640" t="s">
        <v>18779</v>
      </c>
      <c r="K2640" t="str">
        <f>HYPERLINK("http://tuberculist.epfl.ch/quicksearch.php?gene+name=Rv2563&amp;submit=Search")</f>
        <v>http://tuberculist.epfl.ch/quicksearch.php?gene+name=Rv2563&amp;submit=Search</v>
      </c>
    </row>
    <row r="2641" spans="1:11">
      <c r="A2641" t="s">
        <v>4284</v>
      </c>
      <c r="B2641" t="s">
        <v>902</v>
      </c>
      <c r="C2641" t="s">
        <v>9567</v>
      </c>
      <c r="D2641" t="s">
        <v>9750</v>
      </c>
      <c r="E2641" t="s">
        <v>15611</v>
      </c>
      <c r="F2641" t="s">
        <v>15612</v>
      </c>
      <c r="G2641" t="s">
        <v>19188</v>
      </c>
      <c r="H2641" t="s">
        <v>19233</v>
      </c>
      <c r="I2641" t="s">
        <v>18859</v>
      </c>
      <c r="K2641" t="str">
        <f>HYPERLINK("http://tuberculist.epfl.ch/quicksearch.php?gene+name=Rv2564&amp;submit=Search")</f>
        <v>http://tuberculist.epfl.ch/quicksearch.php?gene+name=Rv2564&amp;submit=Search</v>
      </c>
    </row>
    <row r="2642" spans="1:11">
      <c r="A2642" t="s">
        <v>2740</v>
      </c>
      <c r="B2642" t="s">
        <v>2740</v>
      </c>
      <c r="C2642" t="s">
        <v>9567</v>
      </c>
      <c r="D2642" t="s">
        <v>9578</v>
      </c>
      <c r="E2642" t="s">
        <v>9665</v>
      </c>
      <c r="F2642" t="s">
        <v>15613</v>
      </c>
      <c r="G2642" t="s">
        <v>19220</v>
      </c>
      <c r="H2642" t="s">
        <v>19326</v>
      </c>
      <c r="I2642" t="s">
        <v>18780</v>
      </c>
      <c r="K2642" t="str">
        <f>HYPERLINK("http://tuberculist.epfl.ch/quicksearch.php?gene+name=Rv2565&amp;submit=Search")</f>
        <v>http://tuberculist.epfl.ch/quicksearch.php?gene+name=Rv2565&amp;submit=Search</v>
      </c>
    </row>
    <row r="2643" spans="1:11">
      <c r="A2643" t="s">
        <v>725</v>
      </c>
      <c r="B2643" t="s">
        <v>725</v>
      </c>
      <c r="C2643" t="s">
        <v>9567</v>
      </c>
      <c r="D2643" t="s">
        <v>9578</v>
      </c>
      <c r="E2643" t="s">
        <v>15614</v>
      </c>
      <c r="F2643" t="s">
        <v>15615</v>
      </c>
      <c r="G2643" t="s">
        <v>19212</v>
      </c>
      <c r="H2643" t="s">
        <v>19914</v>
      </c>
      <c r="I2643" t="s">
        <v>18789</v>
      </c>
      <c r="K2643" t="str">
        <f>HYPERLINK("http://tuberculist.epfl.ch/quicksearch.php?gene+name=Rv2566&amp;submit=Search")</f>
        <v>http://tuberculist.epfl.ch/quicksearch.php?gene+name=Rv2566&amp;submit=Search</v>
      </c>
    </row>
    <row r="2644" spans="1:11">
      <c r="A2644" t="s">
        <v>2507</v>
      </c>
      <c r="B2644" t="s">
        <v>2507</v>
      </c>
      <c r="C2644" t="s">
        <v>9567</v>
      </c>
      <c r="D2644" t="s">
        <v>9578</v>
      </c>
      <c r="E2644" t="s">
        <v>15616</v>
      </c>
      <c r="F2644" t="s">
        <v>15617</v>
      </c>
      <c r="G2644" t="s">
        <v>19210</v>
      </c>
      <c r="H2644" t="s">
        <v>19877</v>
      </c>
      <c r="I2644" t="s">
        <v>18795</v>
      </c>
      <c r="K2644" t="str">
        <f>HYPERLINK("http://tuberculist.epfl.ch/quicksearch.php?gene+name=Rv2567&amp;submit=Search")</f>
        <v>http://tuberculist.epfl.ch/quicksearch.php?gene+name=Rv2567&amp;submit=Search</v>
      </c>
    </row>
    <row r="2645" spans="1:11">
      <c r="A2645" t="s">
        <v>1826</v>
      </c>
      <c r="B2645" t="s">
        <v>1826</v>
      </c>
      <c r="C2645" t="s">
        <v>9567</v>
      </c>
      <c r="D2645" t="s">
        <v>9578</v>
      </c>
      <c r="E2645" t="s">
        <v>9579</v>
      </c>
      <c r="F2645" t="s">
        <v>15618</v>
      </c>
      <c r="G2645" t="s">
        <v>19204</v>
      </c>
      <c r="I2645" t="s">
        <v>18779</v>
      </c>
      <c r="K2645" t="str">
        <f>HYPERLINK("http://tuberculist.epfl.ch/quicksearch.php?gene+name=Rv2568c&amp;submit=Search")</f>
        <v>http://tuberculist.epfl.ch/quicksearch.php?gene+name=Rv2568c&amp;submit=Search</v>
      </c>
    </row>
    <row r="2646" spans="1:11">
      <c r="A2646" t="s">
        <v>858</v>
      </c>
      <c r="B2646" t="s">
        <v>858</v>
      </c>
      <c r="C2646" t="s">
        <v>9567</v>
      </c>
      <c r="D2646" t="s">
        <v>9578</v>
      </c>
      <c r="E2646" t="s">
        <v>9579</v>
      </c>
      <c r="F2646" t="s">
        <v>15619</v>
      </c>
      <c r="G2646" t="s">
        <v>19204</v>
      </c>
      <c r="H2646" t="s">
        <v>19334</v>
      </c>
      <c r="I2646" t="s">
        <v>18780</v>
      </c>
      <c r="K2646" t="str">
        <f>HYPERLINK("http://tuberculist.epfl.ch/quicksearch.php?gene+name=Rv2569c&amp;submit=Search")</f>
        <v>http://tuberculist.epfl.ch/quicksearch.php?gene+name=Rv2569c&amp;submit=Search</v>
      </c>
    </row>
    <row r="2647" spans="1:11">
      <c r="A2647" t="s">
        <v>2901</v>
      </c>
      <c r="B2647" t="s">
        <v>2901</v>
      </c>
      <c r="C2647" t="s">
        <v>9567</v>
      </c>
      <c r="D2647" t="s">
        <v>9578</v>
      </c>
      <c r="E2647" t="s">
        <v>9579</v>
      </c>
      <c r="F2647" t="s">
        <v>15620</v>
      </c>
      <c r="G2647" t="s">
        <v>19212</v>
      </c>
      <c r="I2647" t="s">
        <v>18793</v>
      </c>
      <c r="K2647" t="str">
        <f>HYPERLINK("http://tuberculist.epfl.ch/quicksearch.php?gene+name=Rv2570&amp;submit=Search")</f>
        <v>http://tuberculist.epfl.ch/quicksearch.php?gene+name=Rv2570&amp;submit=Search</v>
      </c>
    </row>
    <row r="2648" spans="1:11">
      <c r="A2648" t="s">
        <v>2621</v>
      </c>
      <c r="B2648" t="s">
        <v>2621</v>
      </c>
      <c r="C2648" t="s">
        <v>9567</v>
      </c>
      <c r="D2648" t="s">
        <v>9587</v>
      </c>
      <c r="E2648" t="s">
        <v>15621</v>
      </c>
      <c r="F2648" t="s">
        <v>15622</v>
      </c>
      <c r="G2648" t="s">
        <v>19188</v>
      </c>
      <c r="I2648" t="s">
        <v>18780</v>
      </c>
      <c r="K2648" t="str">
        <f>HYPERLINK("http://tuberculist.epfl.ch/quicksearch.php?gene+name=Rv2571c&amp;submit=Search")</f>
        <v>http://tuberculist.epfl.ch/quicksearch.php?gene+name=Rv2571c&amp;submit=Search</v>
      </c>
    </row>
    <row r="2649" spans="1:11">
      <c r="A2649" t="s">
        <v>5477</v>
      </c>
      <c r="B2649" t="s">
        <v>1500</v>
      </c>
      <c r="C2649" t="s">
        <v>9567</v>
      </c>
      <c r="D2649" t="s">
        <v>15623</v>
      </c>
      <c r="E2649" t="s">
        <v>15624</v>
      </c>
      <c r="F2649" t="s">
        <v>15625</v>
      </c>
      <c r="G2649" t="s">
        <v>19181</v>
      </c>
      <c r="H2649" t="s">
        <v>19417</v>
      </c>
      <c r="I2649" t="s">
        <v>18776</v>
      </c>
      <c r="K2649" t="str">
        <f>HYPERLINK("http://tuberculist.epfl.ch/quicksearch.php?gene+name=Rv2572c&amp;submit=Search")</f>
        <v>http://tuberculist.epfl.ch/quicksearch.php?gene+name=Rv2572c&amp;submit=Search</v>
      </c>
    </row>
    <row r="2650" spans="1:11">
      <c r="A2650" t="s">
        <v>2459</v>
      </c>
      <c r="B2650" t="s">
        <v>2459</v>
      </c>
      <c r="C2650" t="s">
        <v>9567</v>
      </c>
      <c r="D2650" t="s">
        <v>9578</v>
      </c>
      <c r="E2650" t="s">
        <v>9579</v>
      </c>
      <c r="F2650" t="s">
        <v>15626</v>
      </c>
      <c r="G2650" t="s">
        <v>19204</v>
      </c>
      <c r="H2650" t="s">
        <v>19215</v>
      </c>
      <c r="I2650" t="s">
        <v>18859</v>
      </c>
      <c r="K2650" t="str">
        <f>HYPERLINK("http://tuberculist.epfl.ch/quicksearch.php?gene+name=Rv2573&amp;submit=Search")</f>
        <v>http://tuberculist.epfl.ch/quicksearch.php?gene+name=Rv2573&amp;submit=Search</v>
      </c>
    </row>
    <row r="2651" spans="1:11">
      <c r="A2651" t="s">
        <v>740</v>
      </c>
      <c r="B2651" t="s">
        <v>740</v>
      </c>
      <c r="C2651" t="s">
        <v>9567</v>
      </c>
      <c r="D2651" t="s">
        <v>9578</v>
      </c>
      <c r="E2651" t="s">
        <v>9665</v>
      </c>
      <c r="F2651" t="s">
        <v>15627</v>
      </c>
      <c r="G2651" t="s">
        <v>19210</v>
      </c>
      <c r="H2651" t="s">
        <v>19401</v>
      </c>
      <c r="I2651" t="s">
        <v>18789</v>
      </c>
      <c r="K2651" t="str">
        <f>HYPERLINK("http://tuberculist.epfl.ch/quicksearch.php?gene+name=Rv2574&amp;submit=Search")</f>
        <v>http://tuberculist.epfl.ch/quicksearch.php?gene+name=Rv2574&amp;submit=Search</v>
      </c>
    </row>
    <row r="2652" spans="1:11">
      <c r="A2652" t="s">
        <v>1058</v>
      </c>
      <c r="B2652" t="s">
        <v>1058</v>
      </c>
      <c r="C2652" t="s">
        <v>9567</v>
      </c>
      <c r="D2652" t="s">
        <v>9587</v>
      </c>
      <c r="E2652" t="s">
        <v>15628</v>
      </c>
      <c r="F2652" t="s">
        <v>15629</v>
      </c>
      <c r="G2652" t="s">
        <v>19188</v>
      </c>
      <c r="H2652" t="s">
        <v>19183</v>
      </c>
      <c r="I2652" t="s">
        <v>18780</v>
      </c>
      <c r="K2652" t="str">
        <f>HYPERLINK("http://tuberculist.epfl.ch/quicksearch.php?gene+name=Rv2575&amp;submit=Search")</f>
        <v>http://tuberculist.epfl.ch/quicksearch.php?gene+name=Rv2575&amp;submit=Search</v>
      </c>
    </row>
    <row r="2653" spans="1:11">
      <c r="A2653" t="s">
        <v>994</v>
      </c>
      <c r="B2653" t="s">
        <v>994</v>
      </c>
      <c r="C2653" t="s">
        <v>9567</v>
      </c>
      <c r="D2653" t="s">
        <v>9587</v>
      </c>
      <c r="E2653" t="s">
        <v>9588</v>
      </c>
      <c r="F2653" t="s">
        <v>15630</v>
      </c>
      <c r="G2653" t="s">
        <v>19188</v>
      </c>
      <c r="H2653" t="s">
        <v>19700</v>
      </c>
      <c r="I2653" t="s">
        <v>18789</v>
      </c>
      <c r="J2653" t="s">
        <v>18839</v>
      </c>
      <c r="K2653" t="str">
        <f>HYPERLINK("http://tuberculist.epfl.ch/quicksearch.php?gene+name=Rv2576c&amp;submit=Search")</f>
        <v>http://tuberculist.epfl.ch/quicksearch.php?gene+name=Rv2576c&amp;submit=Search</v>
      </c>
    </row>
    <row r="2654" spans="1:11">
      <c r="A2654" t="s">
        <v>2115</v>
      </c>
      <c r="B2654" t="s">
        <v>2115</v>
      </c>
      <c r="C2654" t="s">
        <v>9567</v>
      </c>
      <c r="D2654" t="s">
        <v>9587</v>
      </c>
      <c r="E2654" t="s">
        <v>9665</v>
      </c>
      <c r="F2654" t="s">
        <v>15631</v>
      </c>
      <c r="G2654" t="s">
        <v>19210</v>
      </c>
      <c r="H2654" t="s">
        <v>19252</v>
      </c>
      <c r="I2654" t="s">
        <v>18789</v>
      </c>
      <c r="J2654" t="s">
        <v>18839</v>
      </c>
      <c r="K2654" t="str">
        <f>HYPERLINK("http://tuberculist.epfl.ch/quicksearch.php?gene+name=Rv2577&amp;submit=Search")</f>
        <v>http://tuberculist.epfl.ch/quicksearch.php?gene+name=Rv2577&amp;submit=Search</v>
      </c>
    </row>
    <row r="2655" spans="1:11">
      <c r="A2655" t="s">
        <v>1221</v>
      </c>
      <c r="B2655" t="s">
        <v>1221</v>
      </c>
      <c r="C2655" t="s">
        <v>9567</v>
      </c>
      <c r="D2655" t="s">
        <v>9578</v>
      </c>
      <c r="E2655" t="s">
        <v>9579</v>
      </c>
      <c r="F2655" t="s">
        <v>15632</v>
      </c>
      <c r="G2655" t="s">
        <v>19204</v>
      </c>
      <c r="I2655" t="s">
        <v>18780</v>
      </c>
      <c r="J2655" t="s">
        <v>18855</v>
      </c>
      <c r="K2655" t="str">
        <f>HYPERLINK("http://tuberculist.epfl.ch/quicksearch.php?gene+name=Rv2578c&amp;submit=Search")</f>
        <v>http://tuberculist.epfl.ch/quicksearch.php?gene+name=Rv2578c&amp;submit=Search</v>
      </c>
    </row>
    <row r="2656" spans="1:11">
      <c r="A2656" t="s">
        <v>4754</v>
      </c>
      <c r="B2656" t="s">
        <v>1136</v>
      </c>
      <c r="C2656" t="s">
        <v>9567</v>
      </c>
      <c r="D2656" t="s">
        <v>15633</v>
      </c>
      <c r="E2656" t="s">
        <v>15634</v>
      </c>
      <c r="F2656" t="s">
        <v>15635</v>
      </c>
      <c r="G2656" t="s">
        <v>19195</v>
      </c>
      <c r="H2656" t="s">
        <v>19915</v>
      </c>
      <c r="I2656" t="s">
        <v>18789</v>
      </c>
      <c r="J2656" t="s">
        <v>18855</v>
      </c>
      <c r="K2656" t="str">
        <f>HYPERLINK("http://tuberculist.epfl.ch/quicksearch.php?gene+name=Rv2579&amp;submit=Search")</f>
        <v>http://tuberculist.epfl.ch/quicksearch.php?gene+name=Rv2579&amp;submit=Search</v>
      </c>
    </row>
    <row r="2657" spans="1:11">
      <c r="A2657" t="s">
        <v>4101</v>
      </c>
      <c r="B2657" t="s">
        <v>807</v>
      </c>
      <c r="C2657" t="s">
        <v>9567</v>
      </c>
      <c r="D2657" t="s">
        <v>15636</v>
      </c>
      <c r="E2657" t="s">
        <v>15637</v>
      </c>
      <c r="F2657" t="s">
        <v>15638</v>
      </c>
      <c r="G2657" t="s">
        <v>19181</v>
      </c>
      <c r="H2657" t="s">
        <v>19687</v>
      </c>
      <c r="I2657" t="s">
        <v>18774</v>
      </c>
      <c r="K2657" t="str">
        <f>HYPERLINK("http://tuberculist.epfl.ch/quicksearch.php?gene+name=Rv2580c&amp;submit=Search")</f>
        <v>http://tuberculist.epfl.ch/quicksearch.php?gene+name=Rv2580c&amp;submit=Search</v>
      </c>
    </row>
    <row r="2658" spans="1:11">
      <c r="A2658" t="s">
        <v>1672</v>
      </c>
      <c r="B2658" t="s">
        <v>1672</v>
      </c>
      <c r="C2658" t="s">
        <v>9567</v>
      </c>
      <c r="D2658" t="s">
        <v>15639</v>
      </c>
      <c r="E2658" t="s">
        <v>11043</v>
      </c>
      <c r="F2658" t="s">
        <v>15640</v>
      </c>
      <c r="G2658" t="s">
        <v>19206</v>
      </c>
      <c r="H2658" t="s">
        <v>19916</v>
      </c>
      <c r="I2658" t="s">
        <v>18776</v>
      </c>
      <c r="K2658" t="str">
        <f>HYPERLINK("http://tuberculist.epfl.ch/quicksearch.php?gene+name=Rv2581c&amp;submit=Search")</f>
        <v>http://tuberculist.epfl.ch/quicksearch.php?gene+name=Rv2581c&amp;submit=Search</v>
      </c>
    </row>
    <row r="2659" spans="1:11">
      <c r="A2659" t="s">
        <v>5333</v>
      </c>
      <c r="B2659" t="s">
        <v>1421</v>
      </c>
      <c r="C2659" t="s">
        <v>9567</v>
      </c>
      <c r="D2659" t="s">
        <v>15641</v>
      </c>
      <c r="E2659" t="s">
        <v>15642</v>
      </c>
      <c r="F2659" t="s">
        <v>15643</v>
      </c>
      <c r="G2659" t="s">
        <v>19181</v>
      </c>
      <c r="H2659" t="s">
        <v>19917</v>
      </c>
      <c r="I2659" t="s">
        <v>18774</v>
      </c>
      <c r="K2659" t="str">
        <f>HYPERLINK("http://tuberculist.epfl.ch/quicksearch.php?gene+name=Rv2582&amp;submit=Search")</f>
        <v>http://tuberculist.epfl.ch/quicksearch.php?gene+name=Rv2582&amp;submit=Search</v>
      </c>
    </row>
    <row r="2660" spans="1:11">
      <c r="A2660" t="s">
        <v>8504</v>
      </c>
      <c r="B2660" t="s">
        <v>2997</v>
      </c>
      <c r="C2660" t="s">
        <v>9567</v>
      </c>
      <c r="D2660" t="s">
        <v>15644</v>
      </c>
      <c r="E2660" t="s">
        <v>15645</v>
      </c>
      <c r="F2660" t="s">
        <v>15646</v>
      </c>
      <c r="G2660" t="s">
        <v>19195</v>
      </c>
      <c r="H2660" t="s">
        <v>19275</v>
      </c>
      <c r="I2660" t="s">
        <v>19060</v>
      </c>
      <c r="K2660" t="str">
        <f>HYPERLINK("http://tuberculist.epfl.ch/quicksearch.php?gene+name=Rv2583c&amp;submit=Search")</f>
        <v>http://tuberculist.epfl.ch/quicksearch.php?gene+name=Rv2583c&amp;submit=Search</v>
      </c>
    </row>
    <row r="2661" spans="1:11">
      <c r="A2661" t="s">
        <v>3637</v>
      </c>
      <c r="B2661" t="s">
        <v>579</v>
      </c>
      <c r="C2661" t="s">
        <v>9567</v>
      </c>
      <c r="D2661" t="s">
        <v>15647</v>
      </c>
      <c r="E2661" t="s">
        <v>15648</v>
      </c>
      <c r="F2661" t="s">
        <v>15649</v>
      </c>
      <c r="G2661" t="s">
        <v>19195</v>
      </c>
      <c r="H2661" t="s">
        <v>19225</v>
      </c>
      <c r="I2661" t="s">
        <v>18780</v>
      </c>
      <c r="K2661" t="str">
        <f>HYPERLINK("http://tuberculist.epfl.ch/quicksearch.php?gene+name=Rv2584c&amp;submit=Search")</f>
        <v>http://tuberculist.epfl.ch/quicksearch.php?gene+name=Rv2584c&amp;submit=Search</v>
      </c>
    </row>
    <row r="2662" spans="1:11">
      <c r="A2662" t="s">
        <v>453</v>
      </c>
      <c r="B2662" t="s">
        <v>453</v>
      </c>
      <c r="C2662" t="s">
        <v>9567</v>
      </c>
      <c r="D2662" t="s">
        <v>9587</v>
      </c>
      <c r="E2662" t="s">
        <v>15650</v>
      </c>
      <c r="F2662" t="s">
        <v>15651</v>
      </c>
      <c r="G2662" t="s">
        <v>19188</v>
      </c>
      <c r="H2662" t="s">
        <v>19918</v>
      </c>
      <c r="I2662" t="s">
        <v>18780</v>
      </c>
      <c r="K2662" t="str">
        <f>HYPERLINK("http://tuberculist.epfl.ch/quicksearch.php?gene+name=Rv2585c&amp;submit=Search")</f>
        <v>http://tuberculist.epfl.ch/quicksearch.php?gene+name=Rv2585c&amp;submit=Search</v>
      </c>
    </row>
    <row r="2663" spans="1:11">
      <c r="A2663" t="s">
        <v>7086</v>
      </c>
      <c r="B2663" t="s">
        <v>2302</v>
      </c>
      <c r="C2663" t="s">
        <v>9567</v>
      </c>
      <c r="D2663" t="s">
        <v>15652</v>
      </c>
      <c r="E2663" t="s">
        <v>15653</v>
      </c>
      <c r="F2663" t="s">
        <v>15654</v>
      </c>
      <c r="G2663" t="s">
        <v>19188</v>
      </c>
      <c r="H2663" t="s">
        <v>19919</v>
      </c>
      <c r="I2663" t="s">
        <v>18776</v>
      </c>
      <c r="K2663" t="str">
        <f>HYPERLINK("http://tuberculist.epfl.ch/quicksearch.php?gene+name=Rv2586c&amp;submit=Search")</f>
        <v>http://tuberculist.epfl.ch/quicksearch.php?gene+name=Rv2586c&amp;submit=Search</v>
      </c>
    </row>
    <row r="2664" spans="1:11">
      <c r="A2664" t="s">
        <v>7916</v>
      </c>
      <c r="B2664" t="s">
        <v>2720</v>
      </c>
      <c r="C2664" t="s">
        <v>9567</v>
      </c>
      <c r="D2664" t="s">
        <v>15652</v>
      </c>
      <c r="E2664" t="s">
        <v>15655</v>
      </c>
      <c r="F2664" t="s">
        <v>15656</v>
      </c>
      <c r="G2664" t="s">
        <v>19188</v>
      </c>
      <c r="H2664" t="s">
        <v>19920</v>
      </c>
      <c r="I2664" t="s">
        <v>18776</v>
      </c>
      <c r="K2664" t="str">
        <f>HYPERLINK("http://tuberculist.epfl.ch/quicksearch.php?gene+name=Rv2587c&amp;submit=Search")</f>
        <v>http://tuberculist.epfl.ch/quicksearch.php?gene+name=Rv2587c&amp;submit=Search</v>
      </c>
    </row>
    <row r="2665" spans="1:11">
      <c r="A2665" t="s">
        <v>4151</v>
      </c>
      <c r="B2665" t="s">
        <v>837</v>
      </c>
      <c r="C2665" t="s">
        <v>9567</v>
      </c>
      <c r="D2665" t="s">
        <v>15657</v>
      </c>
      <c r="E2665" t="s">
        <v>15658</v>
      </c>
      <c r="F2665" t="s">
        <v>15659</v>
      </c>
      <c r="G2665" t="s">
        <v>19188</v>
      </c>
      <c r="H2665" t="s">
        <v>19438</v>
      </c>
      <c r="I2665" t="s">
        <v>18780</v>
      </c>
      <c r="K2665" t="str">
        <f>HYPERLINK("http://tuberculist.epfl.ch/quicksearch.php?gene+name=Rv2588c&amp;submit=Search")</f>
        <v>http://tuberculist.epfl.ch/quicksearch.php?gene+name=Rv2588c&amp;submit=Search</v>
      </c>
    </row>
    <row r="2666" spans="1:11">
      <c r="A2666" t="s">
        <v>5336</v>
      </c>
      <c r="B2666" t="s">
        <v>1422</v>
      </c>
      <c r="C2666" t="s">
        <v>9567</v>
      </c>
      <c r="D2666" t="s">
        <v>15660</v>
      </c>
      <c r="E2666" t="s">
        <v>15661</v>
      </c>
      <c r="F2666" t="s">
        <v>15662</v>
      </c>
      <c r="G2666" t="s">
        <v>19195</v>
      </c>
      <c r="H2666" t="s">
        <v>19921</v>
      </c>
      <c r="I2666" t="s">
        <v>18780</v>
      </c>
      <c r="K2666" t="str">
        <f>HYPERLINK("http://tuberculist.epfl.ch/quicksearch.php?gene+name=Rv2589&amp;submit=Search")</f>
        <v>http://tuberculist.epfl.ch/quicksearch.php?gene+name=Rv2589&amp;submit=Search</v>
      </c>
    </row>
    <row r="2667" spans="1:11">
      <c r="A2667" t="s">
        <v>234</v>
      </c>
      <c r="B2667" t="s">
        <v>235</v>
      </c>
      <c r="C2667" t="s">
        <v>9567</v>
      </c>
      <c r="D2667" t="s">
        <v>9662</v>
      </c>
      <c r="E2667" t="s">
        <v>15663</v>
      </c>
      <c r="F2667" t="s">
        <v>15664</v>
      </c>
      <c r="G2667" t="s">
        <v>19219</v>
      </c>
      <c r="H2667" t="s">
        <v>19732</v>
      </c>
      <c r="I2667" t="s">
        <v>18789</v>
      </c>
      <c r="K2667" t="str">
        <f>HYPERLINK("http://tuberculist.epfl.ch/quicksearch.php?gene+name=Rv2590&amp;submit=Search")</f>
        <v>http://tuberculist.epfl.ch/quicksearch.php?gene+name=Rv2590&amp;submit=Search</v>
      </c>
    </row>
    <row r="2668" spans="1:11">
      <c r="A2668" t="s">
        <v>7054</v>
      </c>
      <c r="B2668" t="s">
        <v>2285</v>
      </c>
      <c r="C2668" t="s">
        <v>9567</v>
      </c>
      <c r="D2668" t="s">
        <v>9578</v>
      </c>
      <c r="E2668" t="s">
        <v>15665</v>
      </c>
      <c r="F2668" t="s">
        <v>15666</v>
      </c>
      <c r="G2668" t="s">
        <v>19262</v>
      </c>
      <c r="I2668" t="s">
        <v>18789</v>
      </c>
      <c r="K2668" t="str">
        <f>HYPERLINK("http://tuberculist.epfl.ch/quicksearch.php?gene+name=Rv2591&amp;submit=Search")</f>
        <v>http://tuberculist.epfl.ch/quicksearch.php?gene+name=Rv2591&amp;submit=Search</v>
      </c>
    </row>
    <row r="2669" spans="1:11">
      <c r="A2669" t="s">
        <v>8412</v>
      </c>
      <c r="B2669" t="s">
        <v>2954</v>
      </c>
      <c r="C2669" t="s">
        <v>9567</v>
      </c>
      <c r="D2669" t="s">
        <v>15667</v>
      </c>
      <c r="E2669" t="s">
        <v>15668</v>
      </c>
      <c r="F2669" t="s">
        <v>15669</v>
      </c>
      <c r="G2669" t="s">
        <v>19181</v>
      </c>
      <c r="I2669" t="s">
        <v>18788</v>
      </c>
      <c r="K2669" t="str">
        <f>HYPERLINK("http://tuberculist.epfl.ch/quicksearch.php?gene+name=Rv2592c&amp;submit=Search")</f>
        <v>http://tuberculist.epfl.ch/quicksearch.php?gene+name=Rv2592c&amp;submit=Search</v>
      </c>
    </row>
    <row r="2670" spans="1:11">
      <c r="A2670" t="s">
        <v>7031</v>
      </c>
      <c r="B2670" t="s">
        <v>2273</v>
      </c>
      <c r="C2670" t="s">
        <v>9567</v>
      </c>
      <c r="D2670" t="s">
        <v>15670</v>
      </c>
      <c r="E2670" t="s">
        <v>15671</v>
      </c>
      <c r="F2670" t="s">
        <v>15672</v>
      </c>
      <c r="G2670" t="s">
        <v>19181</v>
      </c>
      <c r="H2670" t="s">
        <v>19316</v>
      </c>
      <c r="I2670" t="s">
        <v>18773</v>
      </c>
      <c r="K2670" t="str">
        <f>HYPERLINK("http://tuberculist.epfl.ch/quicksearch.php?gene+name=Rv2593c&amp;submit=Search")</f>
        <v>http://tuberculist.epfl.ch/quicksearch.php?gene+name=Rv2593c&amp;submit=Search</v>
      </c>
    </row>
    <row r="2671" spans="1:11">
      <c r="A2671" t="s">
        <v>8026</v>
      </c>
      <c r="B2671" t="s">
        <v>2772</v>
      </c>
      <c r="C2671" t="s">
        <v>9567</v>
      </c>
      <c r="D2671" t="s">
        <v>15673</v>
      </c>
      <c r="E2671" t="s">
        <v>15674</v>
      </c>
      <c r="F2671" t="s">
        <v>15675</v>
      </c>
      <c r="G2671" t="s">
        <v>19181</v>
      </c>
      <c r="I2671" t="s">
        <v>18776</v>
      </c>
      <c r="J2671" t="s">
        <v>18809</v>
      </c>
      <c r="K2671" t="str">
        <f>HYPERLINK("http://tuberculist.epfl.ch/quicksearch.php?gene+name=Rv2594c&amp;submit=Search")</f>
        <v>http://tuberculist.epfl.ch/quicksearch.php?gene+name=Rv2594c&amp;submit=Search</v>
      </c>
    </row>
    <row r="2672" spans="1:11">
      <c r="A2672" t="s">
        <v>15676</v>
      </c>
      <c r="B2672" t="s">
        <v>1632</v>
      </c>
      <c r="C2672" t="s">
        <v>9567</v>
      </c>
      <c r="D2672" t="s">
        <v>9587</v>
      </c>
      <c r="E2672" t="s">
        <v>15677</v>
      </c>
      <c r="F2672" t="s">
        <v>15678</v>
      </c>
      <c r="G2672" t="s">
        <v>19206</v>
      </c>
      <c r="I2672" t="s">
        <v>18805</v>
      </c>
      <c r="K2672" t="str">
        <f>HYPERLINK("http://tuberculist.epfl.ch/quicksearch.php?gene+name=Rv2595&amp;submit=Search")</f>
        <v>http://tuberculist.epfl.ch/quicksearch.php?gene+name=Rv2595&amp;submit=Search</v>
      </c>
    </row>
    <row r="2673" spans="1:11">
      <c r="A2673" t="s">
        <v>15679</v>
      </c>
      <c r="B2673" t="s">
        <v>15680</v>
      </c>
      <c r="C2673" t="s">
        <v>9567</v>
      </c>
      <c r="D2673" t="s">
        <v>9587</v>
      </c>
      <c r="E2673" t="s">
        <v>15681</v>
      </c>
      <c r="F2673" t="s">
        <v>15682</v>
      </c>
      <c r="G2673" t="s">
        <v>19206</v>
      </c>
      <c r="I2673" t="s">
        <v>18793</v>
      </c>
      <c r="K2673" t="str">
        <f>HYPERLINK("http://tuberculist.epfl.ch/quicksearch.php?gene+name=Rv2596&amp;submit=Search")</f>
        <v>http://tuberculist.epfl.ch/quicksearch.php?gene+name=Rv2596&amp;submit=Search</v>
      </c>
    </row>
    <row r="2674" spans="1:11">
      <c r="A2674" t="s">
        <v>1577</v>
      </c>
      <c r="B2674" t="s">
        <v>1577</v>
      </c>
      <c r="C2674" t="s">
        <v>9567</v>
      </c>
      <c r="D2674" t="s">
        <v>9587</v>
      </c>
      <c r="E2674" t="s">
        <v>9758</v>
      </c>
      <c r="F2674" t="s">
        <v>15683</v>
      </c>
      <c r="G2674" t="s">
        <v>19188</v>
      </c>
      <c r="H2674" t="s">
        <v>19922</v>
      </c>
      <c r="I2674" t="s">
        <v>18780</v>
      </c>
      <c r="K2674" t="str">
        <f>HYPERLINK("http://tuberculist.epfl.ch/quicksearch.php?gene+name=Rv2597&amp;submit=Search")</f>
        <v>http://tuberculist.epfl.ch/quicksearch.php?gene+name=Rv2597&amp;submit=Search</v>
      </c>
    </row>
    <row r="2675" spans="1:11">
      <c r="A2675" t="s">
        <v>15684</v>
      </c>
      <c r="B2675" t="s">
        <v>15684</v>
      </c>
      <c r="C2675" t="s">
        <v>9567</v>
      </c>
      <c r="D2675" t="s">
        <v>9578</v>
      </c>
      <c r="E2675" t="s">
        <v>9579</v>
      </c>
      <c r="F2675" t="s">
        <v>15685</v>
      </c>
      <c r="G2675" t="s">
        <v>19298</v>
      </c>
      <c r="I2675" t="s">
        <v>18779</v>
      </c>
      <c r="K2675" t="str">
        <f>HYPERLINK("http://tuberculist.epfl.ch/quicksearch.php?gene+name=Rv2598&amp;submit=Search")</f>
        <v>http://tuberculist.epfl.ch/quicksearch.php?gene+name=Rv2598&amp;submit=Search</v>
      </c>
    </row>
    <row r="2676" spans="1:11">
      <c r="A2676" t="s">
        <v>15686</v>
      </c>
      <c r="B2676" t="s">
        <v>15686</v>
      </c>
      <c r="C2676" t="s">
        <v>9567</v>
      </c>
      <c r="D2676" t="s">
        <v>9587</v>
      </c>
      <c r="E2676" t="s">
        <v>9595</v>
      </c>
      <c r="F2676" t="s">
        <v>15687</v>
      </c>
      <c r="G2676" t="s">
        <v>19188</v>
      </c>
      <c r="H2676" t="s">
        <v>19192</v>
      </c>
      <c r="I2676" t="s">
        <v>18789</v>
      </c>
      <c r="K2676" t="str">
        <f>HYPERLINK("http://tuberculist.epfl.ch/quicksearch.php?gene+name=Rv2599&amp;submit=Search")</f>
        <v>http://tuberculist.epfl.ch/quicksearch.php?gene+name=Rv2599&amp;submit=Search</v>
      </c>
    </row>
    <row r="2677" spans="1:11">
      <c r="A2677" t="s">
        <v>15688</v>
      </c>
      <c r="B2677" t="s">
        <v>15688</v>
      </c>
      <c r="C2677" t="s">
        <v>9567</v>
      </c>
      <c r="D2677" t="s">
        <v>9587</v>
      </c>
      <c r="E2677" t="s">
        <v>9668</v>
      </c>
      <c r="F2677" t="s">
        <v>15689</v>
      </c>
      <c r="G2677" t="s">
        <v>19188</v>
      </c>
      <c r="I2677" t="s">
        <v>18789</v>
      </c>
      <c r="K2677" t="str">
        <f>HYPERLINK("http://tuberculist.epfl.ch/quicksearch.php?gene+name=Rv2600&amp;submit=Search")</f>
        <v>http://tuberculist.epfl.ch/quicksearch.php?gene+name=Rv2600&amp;submit=Search</v>
      </c>
    </row>
    <row r="2678" spans="1:11">
      <c r="A2678" t="s">
        <v>15690</v>
      </c>
      <c r="B2678" t="s">
        <v>15691</v>
      </c>
      <c r="C2678" t="s">
        <v>9567</v>
      </c>
      <c r="D2678" t="s">
        <v>15692</v>
      </c>
      <c r="E2678" t="s">
        <v>15693</v>
      </c>
      <c r="F2678" t="s">
        <v>15694</v>
      </c>
      <c r="G2678" t="s">
        <v>19195</v>
      </c>
      <c r="H2678" t="s">
        <v>19218</v>
      </c>
      <c r="I2678" t="s">
        <v>18789</v>
      </c>
      <c r="K2678" t="str">
        <f>HYPERLINK("http://tuberculist.epfl.ch/quicksearch.php?gene+name=Rv2601&amp;submit=Search")</f>
        <v>http://tuberculist.epfl.ch/quicksearch.php?gene+name=Rv2601&amp;submit=Search</v>
      </c>
    </row>
    <row r="2679" spans="1:11">
      <c r="A2679" t="s">
        <v>15695</v>
      </c>
      <c r="B2679" t="s">
        <v>726</v>
      </c>
      <c r="C2679" t="s">
        <v>9567</v>
      </c>
      <c r="D2679" t="s">
        <v>9587</v>
      </c>
      <c r="E2679" t="s">
        <v>15696</v>
      </c>
      <c r="F2679" t="s">
        <v>15697</v>
      </c>
      <c r="G2679" t="s">
        <v>19206</v>
      </c>
      <c r="H2679" t="s">
        <v>19213</v>
      </c>
      <c r="I2679" t="s">
        <v>18773</v>
      </c>
      <c r="K2679" t="str">
        <f>HYPERLINK("http://tuberculist.epfl.ch/quicksearch.php?gene+name=Rv2601A&amp;submit=Search")</f>
        <v>http://tuberculist.epfl.ch/quicksearch.php?gene+name=Rv2601A&amp;submit=Search</v>
      </c>
    </row>
    <row r="2680" spans="1:11">
      <c r="A2680" t="s">
        <v>15698</v>
      </c>
      <c r="B2680" t="s">
        <v>2225</v>
      </c>
      <c r="C2680" t="s">
        <v>9567</v>
      </c>
      <c r="D2680" t="s">
        <v>9587</v>
      </c>
      <c r="E2680" t="s">
        <v>15699</v>
      </c>
      <c r="F2680" t="s">
        <v>15700</v>
      </c>
      <c r="G2680" t="s">
        <v>19206</v>
      </c>
      <c r="H2680" t="s">
        <v>19229</v>
      </c>
      <c r="I2680" t="s">
        <v>18780</v>
      </c>
      <c r="K2680" t="str">
        <f>HYPERLINK("http://tuberculist.epfl.ch/quicksearch.php?gene+name=Rv2602&amp;submit=Search")</f>
        <v>http://tuberculist.epfl.ch/quicksearch.php?gene+name=Rv2602&amp;submit=Search</v>
      </c>
    </row>
    <row r="2681" spans="1:11">
      <c r="A2681" t="s">
        <v>1037</v>
      </c>
      <c r="B2681" t="s">
        <v>1037</v>
      </c>
      <c r="C2681" t="s">
        <v>9567</v>
      </c>
      <c r="D2681" t="s">
        <v>9578</v>
      </c>
      <c r="E2681" t="s">
        <v>15701</v>
      </c>
      <c r="F2681" t="s">
        <v>15702</v>
      </c>
      <c r="G2681" t="s">
        <v>19204</v>
      </c>
      <c r="H2681" t="s">
        <v>19532</v>
      </c>
      <c r="I2681" t="s">
        <v>18788</v>
      </c>
      <c r="K2681" t="str">
        <f>HYPERLINK("http://tuberculist.epfl.ch/quicksearch.php?gene+name=Rv2603c&amp;submit=Search")</f>
        <v>http://tuberculist.epfl.ch/quicksearch.php?gene+name=Rv2603c&amp;submit=Search</v>
      </c>
    </row>
    <row r="2682" spans="1:11">
      <c r="A2682" t="s">
        <v>15703</v>
      </c>
      <c r="B2682" t="s">
        <v>1858</v>
      </c>
      <c r="C2682" t="s">
        <v>9567</v>
      </c>
      <c r="D2682" t="s">
        <v>15704</v>
      </c>
      <c r="E2682" t="s">
        <v>15705</v>
      </c>
      <c r="F2682" t="s">
        <v>15706</v>
      </c>
      <c r="G2682" t="s">
        <v>19195</v>
      </c>
      <c r="H2682" t="s">
        <v>19213</v>
      </c>
      <c r="I2682" t="s">
        <v>18773</v>
      </c>
      <c r="K2682" t="str">
        <f>HYPERLINK("http://tuberculist.epfl.ch/quicksearch.php?gene+name=Rv2604c&amp;submit=Search")</f>
        <v>http://tuberculist.epfl.ch/quicksearch.php?gene+name=Rv2604c&amp;submit=Search</v>
      </c>
    </row>
    <row r="2683" spans="1:11">
      <c r="A2683" t="s">
        <v>6253</v>
      </c>
      <c r="B2683" t="s">
        <v>1879</v>
      </c>
      <c r="C2683" t="s">
        <v>9567</v>
      </c>
      <c r="D2683" t="s">
        <v>15707</v>
      </c>
      <c r="E2683" t="s">
        <v>15708</v>
      </c>
      <c r="F2683" t="s">
        <v>15709</v>
      </c>
      <c r="G2683" t="s">
        <v>19219</v>
      </c>
      <c r="H2683" t="s">
        <v>19923</v>
      </c>
      <c r="I2683" t="s">
        <v>18779</v>
      </c>
      <c r="K2683" t="str">
        <f>HYPERLINK("http://tuberculist.epfl.ch/quicksearch.php?gene+name=Rv2605c&amp;submit=Search")</f>
        <v>http://tuberculist.epfl.ch/quicksearch.php?gene+name=Rv2605c&amp;submit=Search</v>
      </c>
    </row>
    <row r="2684" spans="1:11">
      <c r="A2684" t="s">
        <v>15710</v>
      </c>
      <c r="B2684" t="s">
        <v>2335</v>
      </c>
      <c r="C2684" t="s">
        <v>9567</v>
      </c>
      <c r="D2684" t="s">
        <v>15704</v>
      </c>
      <c r="E2684" t="s">
        <v>15711</v>
      </c>
      <c r="F2684" t="s">
        <v>15712</v>
      </c>
      <c r="G2684" t="s">
        <v>19195</v>
      </c>
      <c r="H2684" t="s">
        <v>19924</v>
      </c>
      <c r="I2684" t="s">
        <v>18776</v>
      </c>
      <c r="K2684" t="str">
        <f>HYPERLINK("http://tuberculist.epfl.ch/quicksearch.php?gene+name=Rv2606c&amp;submit=Search")</f>
        <v>http://tuberculist.epfl.ch/quicksearch.php?gene+name=Rv2606c&amp;submit=Search</v>
      </c>
    </row>
    <row r="2685" spans="1:11">
      <c r="A2685" t="s">
        <v>8191</v>
      </c>
      <c r="B2685" t="s">
        <v>2851</v>
      </c>
      <c r="C2685" t="s">
        <v>9567</v>
      </c>
      <c r="D2685" t="s">
        <v>15713</v>
      </c>
      <c r="E2685" t="s">
        <v>15714</v>
      </c>
      <c r="F2685" t="s">
        <v>15715</v>
      </c>
      <c r="G2685" t="s">
        <v>19195</v>
      </c>
      <c r="H2685" t="s">
        <v>19362</v>
      </c>
      <c r="I2685" t="s">
        <v>18780</v>
      </c>
      <c r="K2685" t="str">
        <f>HYPERLINK("http://tuberculist.epfl.ch/quicksearch.php?gene+name=Rv2607&amp;submit=Search")</f>
        <v>http://tuberculist.epfl.ch/quicksearch.php?gene+name=Rv2607&amp;submit=Search</v>
      </c>
    </row>
    <row r="2686" spans="1:11">
      <c r="A2686" t="s">
        <v>6052</v>
      </c>
      <c r="B2686" t="s">
        <v>1780</v>
      </c>
      <c r="C2686" t="s">
        <v>9567</v>
      </c>
      <c r="D2686" t="s">
        <v>9578</v>
      </c>
      <c r="E2686" t="s">
        <v>15716</v>
      </c>
      <c r="F2686" t="s">
        <v>15717</v>
      </c>
      <c r="G2686" t="s">
        <v>19262</v>
      </c>
      <c r="I2686" t="s">
        <v>18780</v>
      </c>
      <c r="K2686" t="str">
        <f>HYPERLINK("http://tuberculist.epfl.ch/quicksearch.php?gene+name=Rv2608&amp;submit=Search")</f>
        <v>http://tuberculist.epfl.ch/quicksearch.php?gene+name=Rv2608&amp;submit=Search</v>
      </c>
    </row>
    <row r="2687" spans="1:11">
      <c r="A2687" t="s">
        <v>3282</v>
      </c>
      <c r="B2687" t="s">
        <v>3282</v>
      </c>
      <c r="C2687" t="s">
        <v>9567</v>
      </c>
      <c r="D2687" t="s">
        <v>9587</v>
      </c>
      <c r="E2687" t="s">
        <v>9595</v>
      </c>
      <c r="F2687" t="s">
        <v>15718</v>
      </c>
      <c r="G2687" t="s">
        <v>19188</v>
      </c>
      <c r="H2687" t="s">
        <v>19925</v>
      </c>
      <c r="I2687" t="s">
        <v>18779</v>
      </c>
      <c r="K2687" t="str">
        <f>HYPERLINK("http://tuberculist.epfl.ch/quicksearch.php?gene+name=Rv2609c&amp;submit=Search")</f>
        <v>http://tuberculist.epfl.ch/quicksearch.php?gene+name=Rv2609c&amp;submit=Search</v>
      </c>
    </row>
    <row r="2688" spans="1:11">
      <c r="A2688" t="s">
        <v>3714</v>
      </c>
      <c r="B2688" t="s">
        <v>618</v>
      </c>
      <c r="C2688" t="s">
        <v>9567</v>
      </c>
      <c r="D2688" t="s">
        <v>15719</v>
      </c>
      <c r="E2688" t="s">
        <v>15720</v>
      </c>
      <c r="F2688" t="s">
        <v>15721</v>
      </c>
      <c r="G2688" t="s">
        <v>19219</v>
      </c>
      <c r="I2688" t="s">
        <v>18776</v>
      </c>
      <c r="K2688" t="str">
        <f>HYPERLINK("http://tuberculist.epfl.ch/quicksearch.php?gene+name=Rv2610c&amp;submit=Search")</f>
        <v>http://tuberculist.epfl.ch/quicksearch.php?gene+name=Rv2610c&amp;submit=Search</v>
      </c>
    </row>
    <row r="2689" spans="1:11">
      <c r="A2689" t="s">
        <v>2894</v>
      </c>
      <c r="B2689" t="s">
        <v>2894</v>
      </c>
      <c r="C2689" t="s">
        <v>9567</v>
      </c>
      <c r="D2689" t="s">
        <v>15722</v>
      </c>
      <c r="E2689" t="s">
        <v>12532</v>
      </c>
      <c r="F2689" t="s">
        <v>15723</v>
      </c>
      <c r="G2689" t="s">
        <v>19219</v>
      </c>
      <c r="I2689" t="s">
        <v>18774</v>
      </c>
      <c r="K2689" t="str">
        <f>HYPERLINK("http://tuberculist.epfl.ch/quicksearch.php?gene+name=Rv2611c&amp;submit=Search")</f>
        <v>http://tuberculist.epfl.ch/quicksearch.php?gene+name=Rv2611c&amp;submit=Search</v>
      </c>
    </row>
    <row r="2690" spans="1:11">
      <c r="A2690" t="s">
        <v>7207</v>
      </c>
      <c r="B2690" t="s">
        <v>2363</v>
      </c>
      <c r="C2690" t="s">
        <v>9567</v>
      </c>
      <c r="D2690" t="s">
        <v>15724</v>
      </c>
      <c r="E2690" t="s">
        <v>15725</v>
      </c>
      <c r="F2690" t="s">
        <v>15726</v>
      </c>
      <c r="G2690" t="s">
        <v>19219</v>
      </c>
      <c r="H2690" t="s">
        <v>19926</v>
      </c>
      <c r="I2690" t="s">
        <v>18800</v>
      </c>
      <c r="K2690" t="str">
        <f>HYPERLINK("http://tuberculist.epfl.ch/quicksearch.php?gene+name=Rv2612c&amp;submit=Search")</f>
        <v>http://tuberculist.epfl.ch/quicksearch.php?gene+name=Rv2612c&amp;submit=Search</v>
      </c>
    </row>
    <row r="2691" spans="1:11">
      <c r="A2691" t="s">
        <v>1948</v>
      </c>
      <c r="B2691" t="s">
        <v>1948</v>
      </c>
      <c r="C2691" t="s">
        <v>9567</v>
      </c>
      <c r="D2691" t="s">
        <v>15727</v>
      </c>
      <c r="E2691" t="s">
        <v>9665</v>
      </c>
      <c r="F2691" t="s">
        <v>15728</v>
      </c>
      <c r="G2691" t="s">
        <v>19219</v>
      </c>
      <c r="H2691" t="s">
        <v>19196</v>
      </c>
      <c r="I2691" t="s">
        <v>18899</v>
      </c>
      <c r="K2691" t="str">
        <f>HYPERLINK("http://tuberculist.epfl.ch/quicksearch.php?gene+name=Rv2613c&amp;submit=Search")</f>
        <v>http://tuberculist.epfl.ch/quicksearch.php?gene+name=Rv2613c&amp;submit=Search</v>
      </c>
    </row>
    <row r="2692" spans="1:11">
      <c r="A2692" t="s">
        <v>15729</v>
      </c>
      <c r="B2692" t="s">
        <v>15729</v>
      </c>
      <c r="C2692" t="s">
        <v>9567</v>
      </c>
      <c r="D2692" t="s">
        <v>9587</v>
      </c>
      <c r="E2692" t="s">
        <v>9579</v>
      </c>
      <c r="F2692" t="s">
        <v>15730</v>
      </c>
      <c r="G2692" t="s">
        <v>19212</v>
      </c>
      <c r="I2692" t="s">
        <v>18793</v>
      </c>
      <c r="K2692" t="str">
        <f>HYPERLINK("http://tuberculist.epfl.ch/quicksearch.php?gene+name=Rv2614A&amp;submit=Search")</f>
        <v>http://tuberculist.epfl.ch/quicksearch.php?gene+name=Rv2614A&amp;submit=Search</v>
      </c>
    </row>
    <row r="2693" spans="1:11">
      <c r="A2693" t="s">
        <v>7368</v>
      </c>
      <c r="B2693" t="s">
        <v>2444</v>
      </c>
      <c r="C2693" t="s">
        <v>9567</v>
      </c>
      <c r="D2693" t="s">
        <v>15731</v>
      </c>
      <c r="E2693" t="s">
        <v>15732</v>
      </c>
      <c r="F2693" t="s">
        <v>15733</v>
      </c>
      <c r="G2693" t="s">
        <v>19181</v>
      </c>
      <c r="H2693" t="s">
        <v>19403</v>
      </c>
      <c r="I2693" t="s">
        <v>18774</v>
      </c>
      <c r="K2693" t="str">
        <f>HYPERLINK("http://tuberculist.epfl.ch/quicksearch.php?gene+name=Rv2614c&amp;submit=Search")</f>
        <v>http://tuberculist.epfl.ch/quicksearch.php?gene+name=Rv2614c&amp;submit=Search</v>
      </c>
    </row>
    <row r="2694" spans="1:11">
      <c r="A2694" t="s">
        <v>15734</v>
      </c>
      <c r="B2694" t="s">
        <v>15735</v>
      </c>
      <c r="C2694" t="s">
        <v>9567</v>
      </c>
      <c r="D2694" t="s">
        <v>9578</v>
      </c>
      <c r="E2694" t="s">
        <v>15736</v>
      </c>
      <c r="F2694" t="s">
        <v>15737</v>
      </c>
      <c r="G2694" t="s">
        <v>19262</v>
      </c>
      <c r="I2694" t="s">
        <v>18779</v>
      </c>
      <c r="K2694" t="str">
        <f>HYPERLINK("http://tuberculist.epfl.ch/quicksearch.php?gene+name=Rv2615c&amp;submit=Search")</f>
        <v>http://tuberculist.epfl.ch/quicksearch.php?gene+name=Rv2615c&amp;submit=Search</v>
      </c>
    </row>
    <row r="2695" spans="1:11">
      <c r="A2695" t="s">
        <v>2350</v>
      </c>
      <c r="B2695" t="s">
        <v>2350</v>
      </c>
      <c r="C2695" t="s">
        <v>9567</v>
      </c>
      <c r="D2695" t="s">
        <v>9578</v>
      </c>
      <c r="E2695" t="s">
        <v>9665</v>
      </c>
      <c r="F2695" t="s">
        <v>15738</v>
      </c>
      <c r="G2695" t="s">
        <v>19212</v>
      </c>
      <c r="H2695" t="s">
        <v>19927</v>
      </c>
      <c r="I2695" t="s">
        <v>18789</v>
      </c>
      <c r="K2695" t="str">
        <f>HYPERLINK("http://tuberculist.epfl.ch/quicksearch.php?gene+name=Rv2616&amp;submit=Search")</f>
        <v>http://tuberculist.epfl.ch/quicksearch.php?gene+name=Rv2616&amp;submit=Search</v>
      </c>
    </row>
    <row r="2696" spans="1:11">
      <c r="A2696" t="s">
        <v>2794</v>
      </c>
      <c r="B2696" t="s">
        <v>2794</v>
      </c>
      <c r="C2696" t="s">
        <v>9567</v>
      </c>
      <c r="D2696" t="s">
        <v>9587</v>
      </c>
      <c r="E2696" t="s">
        <v>10632</v>
      </c>
      <c r="F2696" t="s">
        <v>15739</v>
      </c>
      <c r="G2696" t="s">
        <v>19188</v>
      </c>
      <c r="H2696" t="s">
        <v>19233</v>
      </c>
      <c r="I2696" t="s">
        <v>18789</v>
      </c>
      <c r="K2696" t="str">
        <f>HYPERLINK("http://tuberculist.epfl.ch/quicksearch.php?gene+name=Rv2617c&amp;submit=Search")</f>
        <v>http://tuberculist.epfl.ch/quicksearch.php?gene+name=Rv2617c&amp;submit=Search</v>
      </c>
    </row>
    <row r="2697" spans="1:11">
      <c r="A2697" t="s">
        <v>2270</v>
      </c>
      <c r="B2697" t="s">
        <v>2270</v>
      </c>
      <c r="C2697" t="s">
        <v>9567</v>
      </c>
      <c r="D2697" t="s">
        <v>9578</v>
      </c>
      <c r="E2697" t="s">
        <v>9579</v>
      </c>
      <c r="F2697" t="s">
        <v>15740</v>
      </c>
      <c r="G2697" t="s">
        <v>19212</v>
      </c>
      <c r="I2697" t="s">
        <v>18780</v>
      </c>
      <c r="K2697" t="str">
        <f>HYPERLINK("http://tuberculist.epfl.ch/quicksearch.php?gene+name=Rv2618&amp;submit=Search")</f>
        <v>http://tuberculist.epfl.ch/quicksearch.php?gene+name=Rv2618&amp;submit=Search</v>
      </c>
    </row>
    <row r="2698" spans="1:11">
      <c r="A2698" t="s">
        <v>1712</v>
      </c>
      <c r="B2698" t="s">
        <v>1712</v>
      </c>
      <c r="C2698" t="s">
        <v>9567</v>
      </c>
      <c r="D2698" t="s">
        <v>9578</v>
      </c>
      <c r="E2698" t="s">
        <v>9665</v>
      </c>
      <c r="F2698" t="s">
        <v>15741</v>
      </c>
      <c r="G2698" t="s">
        <v>19212</v>
      </c>
      <c r="H2698" t="s">
        <v>19928</v>
      </c>
      <c r="I2698" t="s">
        <v>18779</v>
      </c>
      <c r="K2698" t="str">
        <f>HYPERLINK("http://tuberculist.epfl.ch/quicksearch.php?gene+name=Rv2619c&amp;submit=Search")</f>
        <v>http://tuberculist.epfl.ch/quicksearch.php?gene+name=Rv2619c&amp;submit=Search</v>
      </c>
    </row>
    <row r="2699" spans="1:11">
      <c r="A2699" t="s">
        <v>1075</v>
      </c>
      <c r="B2699" t="s">
        <v>1075</v>
      </c>
      <c r="C2699" t="s">
        <v>9567</v>
      </c>
      <c r="D2699" t="s">
        <v>9587</v>
      </c>
      <c r="E2699" t="s">
        <v>9597</v>
      </c>
      <c r="F2699" t="s">
        <v>15742</v>
      </c>
      <c r="G2699" t="s">
        <v>19188</v>
      </c>
      <c r="H2699" t="s">
        <v>19192</v>
      </c>
      <c r="I2699" t="s">
        <v>18789</v>
      </c>
      <c r="K2699" t="str">
        <f>HYPERLINK("http://tuberculist.epfl.ch/quicksearch.php?gene+name=Rv2620c&amp;submit=Search")</f>
        <v>http://tuberculist.epfl.ch/quicksearch.php?gene+name=Rv2620c&amp;submit=Search</v>
      </c>
    </row>
    <row r="2700" spans="1:11">
      <c r="A2700" t="s">
        <v>239</v>
      </c>
      <c r="B2700" t="s">
        <v>239</v>
      </c>
      <c r="C2700" t="s">
        <v>9567</v>
      </c>
      <c r="D2700" t="s">
        <v>9906</v>
      </c>
      <c r="E2700" t="s">
        <v>9633</v>
      </c>
      <c r="F2700" t="s">
        <v>15743</v>
      </c>
      <c r="G2700" t="s">
        <v>19197</v>
      </c>
      <c r="I2700" t="s">
        <v>18779</v>
      </c>
      <c r="K2700" t="str">
        <f>HYPERLINK("http://tuberculist.epfl.ch/quicksearch.php?gene+name=Rv2621c&amp;submit=Search")</f>
        <v>http://tuberculist.epfl.ch/quicksearch.php?gene+name=Rv2621c&amp;submit=Search</v>
      </c>
    </row>
    <row r="2701" spans="1:11">
      <c r="A2701" t="s">
        <v>1562</v>
      </c>
      <c r="B2701" t="s">
        <v>1562</v>
      </c>
      <c r="C2701" t="s">
        <v>9567</v>
      </c>
      <c r="D2701" t="s">
        <v>10061</v>
      </c>
      <c r="E2701" t="s">
        <v>10071</v>
      </c>
      <c r="F2701" t="s">
        <v>15744</v>
      </c>
      <c r="G2701" t="s">
        <v>19195</v>
      </c>
      <c r="H2701" t="s">
        <v>19250</v>
      </c>
      <c r="I2701" t="s">
        <v>18780</v>
      </c>
      <c r="K2701" t="str">
        <f>HYPERLINK("http://tuberculist.epfl.ch/quicksearch.php?gene+name=Rv2622&amp;submit=Search")</f>
        <v>http://tuberculist.epfl.ch/quicksearch.php?gene+name=Rv2622&amp;submit=Search</v>
      </c>
    </row>
    <row r="2702" spans="1:11">
      <c r="A2702" t="s">
        <v>335</v>
      </c>
      <c r="B2702" t="s">
        <v>334</v>
      </c>
      <c r="C2702" t="s">
        <v>9567</v>
      </c>
      <c r="D2702" t="s">
        <v>9578</v>
      </c>
      <c r="E2702" t="s">
        <v>15745</v>
      </c>
      <c r="F2702" t="s">
        <v>15746</v>
      </c>
      <c r="G2702" t="s">
        <v>19206</v>
      </c>
      <c r="H2702" t="s">
        <v>19929</v>
      </c>
      <c r="I2702" t="s">
        <v>19061</v>
      </c>
      <c r="J2702" t="s">
        <v>18799</v>
      </c>
      <c r="K2702" t="str">
        <f>HYPERLINK("http://tuberculist.epfl.ch/quicksearch.php?gene+name=Rv2623&amp;submit=Search")</f>
        <v>http://tuberculist.epfl.ch/quicksearch.php?gene+name=Rv2623&amp;submit=Search</v>
      </c>
    </row>
    <row r="2703" spans="1:11">
      <c r="A2703" t="s">
        <v>339</v>
      </c>
      <c r="B2703" t="s">
        <v>339</v>
      </c>
      <c r="C2703" t="s">
        <v>9567</v>
      </c>
      <c r="D2703" t="s">
        <v>9578</v>
      </c>
      <c r="E2703" t="s">
        <v>14288</v>
      </c>
      <c r="F2703" t="s">
        <v>15747</v>
      </c>
      <c r="G2703" t="s">
        <v>19206</v>
      </c>
      <c r="H2703" t="s">
        <v>19930</v>
      </c>
      <c r="I2703" t="s">
        <v>18789</v>
      </c>
      <c r="J2703" t="s">
        <v>18799</v>
      </c>
      <c r="K2703" t="str">
        <f>HYPERLINK("http://tuberculist.epfl.ch/quicksearch.php?gene+name=Rv2624c&amp;submit=Search")</f>
        <v>http://tuberculist.epfl.ch/quicksearch.php?gene+name=Rv2624c&amp;submit=Search</v>
      </c>
    </row>
    <row r="2704" spans="1:11">
      <c r="A2704" t="s">
        <v>340</v>
      </c>
      <c r="B2704" t="s">
        <v>340</v>
      </c>
      <c r="C2704" t="s">
        <v>9567</v>
      </c>
      <c r="D2704" t="s">
        <v>9587</v>
      </c>
      <c r="E2704" t="s">
        <v>15748</v>
      </c>
      <c r="F2704" t="s">
        <v>15749</v>
      </c>
      <c r="G2704" t="s">
        <v>19188</v>
      </c>
      <c r="H2704" t="s">
        <v>19931</v>
      </c>
      <c r="I2704" t="s">
        <v>18793</v>
      </c>
      <c r="J2704" t="s">
        <v>18799</v>
      </c>
      <c r="K2704" t="str">
        <f>HYPERLINK("http://tuberculist.epfl.ch/quicksearch.php?gene+name=Rv2625c&amp;submit=Search")</f>
        <v>http://tuberculist.epfl.ch/quicksearch.php?gene+name=Rv2625c&amp;submit=Search</v>
      </c>
    </row>
    <row r="2705" spans="1:11">
      <c r="A2705" t="s">
        <v>15750</v>
      </c>
      <c r="B2705" t="s">
        <v>342</v>
      </c>
      <c r="C2705" t="s">
        <v>9567</v>
      </c>
      <c r="D2705" t="s">
        <v>9578</v>
      </c>
      <c r="E2705" t="s">
        <v>15751</v>
      </c>
      <c r="F2705" t="s">
        <v>15752</v>
      </c>
      <c r="G2705" t="s">
        <v>19210</v>
      </c>
      <c r="H2705" t="s">
        <v>19932</v>
      </c>
      <c r="I2705" t="s">
        <v>18793</v>
      </c>
      <c r="J2705" t="s">
        <v>18799</v>
      </c>
      <c r="K2705" t="str">
        <f>HYPERLINK("http://tuberculist.epfl.ch/quicksearch.php?gene+name=Rv2626c&amp;submit=Search")</f>
        <v>http://tuberculist.epfl.ch/quicksearch.php?gene+name=Rv2626c&amp;submit=Search</v>
      </c>
    </row>
    <row r="2706" spans="1:11">
      <c r="A2706" t="s">
        <v>343</v>
      </c>
      <c r="B2706" t="s">
        <v>343</v>
      </c>
      <c r="C2706" t="s">
        <v>9567</v>
      </c>
      <c r="D2706" t="s">
        <v>9578</v>
      </c>
      <c r="E2706" t="s">
        <v>9665</v>
      </c>
      <c r="F2706" t="s">
        <v>15753</v>
      </c>
      <c r="G2706" t="s">
        <v>19212</v>
      </c>
      <c r="H2706" t="s">
        <v>19933</v>
      </c>
      <c r="I2706" t="s">
        <v>18773</v>
      </c>
      <c r="J2706" t="s">
        <v>18799</v>
      </c>
      <c r="K2706" t="str">
        <f>HYPERLINK("http://tuberculist.epfl.ch/quicksearch.php?gene+name=Rv2627c&amp;submit=Search")</f>
        <v>http://tuberculist.epfl.ch/quicksearch.php?gene+name=Rv2627c&amp;submit=Search</v>
      </c>
    </row>
    <row r="2707" spans="1:11">
      <c r="A2707" t="s">
        <v>242</v>
      </c>
      <c r="B2707" t="s">
        <v>242</v>
      </c>
      <c r="C2707" t="s">
        <v>9567</v>
      </c>
      <c r="D2707" t="s">
        <v>9587</v>
      </c>
      <c r="E2707" t="s">
        <v>9713</v>
      </c>
      <c r="F2707" t="s">
        <v>15754</v>
      </c>
      <c r="G2707" t="s">
        <v>19185</v>
      </c>
      <c r="I2707" t="s">
        <v>18793</v>
      </c>
      <c r="J2707" t="s">
        <v>18799</v>
      </c>
      <c r="K2707" t="str">
        <f>HYPERLINK("http://tuberculist.epfl.ch/quicksearch.php?gene+name=Rv2628&amp;submit=Search")</f>
        <v>http://tuberculist.epfl.ch/quicksearch.php?gene+name=Rv2628&amp;submit=Search</v>
      </c>
    </row>
    <row r="2708" spans="1:11">
      <c r="A2708" t="s">
        <v>347</v>
      </c>
      <c r="B2708" t="s">
        <v>347</v>
      </c>
      <c r="C2708" t="s">
        <v>9567</v>
      </c>
      <c r="D2708" t="s">
        <v>9578</v>
      </c>
      <c r="E2708" t="s">
        <v>9665</v>
      </c>
      <c r="F2708" t="s">
        <v>15755</v>
      </c>
      <c r="G2708" t="s">
        <v>19212</v>
      </c>
      <c r="H2708" t="s">
        <v>19280</v>
      </c>
      <c r="I2708" t="s">
        <v>18793</v>
      </c>
      <c r="J2708" t="s">
        <v>18799</v>
      </c>
      <c r="K2708" t="str">
        <f>HYPERLINK("http://tuberculist.epfl.ch/quicksearch.php?gene+name=Rv2629&amp;submit=Search")</f>
        <v>http://tuberculist.epfl.ch/quicksearch.php?gene+name=Rv2629&amp;submit=Search</v>
      </c>
    </row>
    <row r="2709" spans="1:11">
      <c r="A2709" t="s">
        <v>247</v>
      </c>
      <c r="B2709" t="s">
        <v>247</v>
      </c>
      <c r="C2709" t="s">
        <v>9567</v>
      </c>
      <c r="D2709" t="s">
        <v>9587</v>
      </c>
      <c r="E2709" t="s">
        <v>9713</v>
      </c>
      <c r="F2709" t="s">
        <v>15756</v>
      </c>
      <c r="G2709" t="s">
        <v>19185</v>
      </c>
      <c r="I2709" t="s">
        <v>18780</v>
      </c>
      <c r="J2709" t="s">
        <v>18799</v>
      </c>
      <c r="K2709" t="str">
        <f>HYPERLINK("http://tuberculist.epfl.ch/quicksearch.php?gene+name=Rv2630&amp;submit=Search")</f>
        <v>http://tuberculist.epfl.ch/quicksearch.php?gene+name=Rv2630&amp;submit=Search</v>
      </c>
    </row>
    <row r="2710" spans="1:11">
      <c r="A2710" t="s">
        <v>350</v>
      </c>
      <c r="B2710" t="s">
        <v>350</v>
      </c>
      <c r="C2710" t="s">
        <v>9567</v>
      </c>
      <c r="D2710" t="s">
        <v>9578</v>
      </c>
      <c r="E2710" t="s">
        <v>9579</v>
      </c>
      <c r="F2710" t="s">
        <v>15757</v>
      </c>
      <c r="G2710" t="s">
        <v>19185</v>
      </c>
      <c r="H2710" t="s">
        <v>19934</v>
      </c>
      <c r="I2710" t="s">
        <v>18780</v>
      </c>
      <c r="J2710" t="s">
        <v>18799</v>
      </c>
      <c r="K2710" t="str">
        <f>HYPERLINK("http://tuberculist.epfl.ch/quicksearch.php?gene+name=Rv2631&amp;submit=Search")</f>
        <v>http://tuberculist.epfl.ch/quicksearch.php?gene+name=Rv2631&amp;submit=Search</v>
      </c>
    </row>
    <row r="2711" spans="1:11">
      <c r="A2711" t="s">
        <v>15758</v>
      </c>
      <c r="B2711" t="s">
        <v>15758</v>
      </c>
      <c r="C2711" t="s">
        <v>9567</v>
      </c>
      <c r="D2711" t="s">
        <v>9578</v>
      </c>
      <c r="E2711" t="s">
        <v>9665</v>
      </c>
      <c r="F2711" t="s">
        <v>15759</v>
      </c>
      <c r="G2711" t="s">
        <v>19212</v>
      </c>
      <c r="H2711" t="s">
        <v>19233</v>
      </c>
      <c r="I2711" t="s">
        <v>18780</v>
      </c>
      <c r="K2711" t="str">
        <f>HYPERLINK("http://tuberculist.epfl.ch/quicksearch.php?gene+name=Rv2632c&amp;submit=Search")</f>
        <v>http://tuberculist.epfl.ch/quicksearch.php?gene+name=Rv2632c&amp;submit=Search</v>
      </c>
    </row>
    <row r="2712" spans="1:11">
      <c r="A2712" t="s">
        <v>15760</v>
      </c>
      <c r="B2712" t="s">
        <v>15760</v>
      </c>
      <c r="C2712" t="s">
        <v>9567</v>
      </c>
      <c r="D2712" t="s">
        <v>9587</v>
      </c>
      <c r="E2712" t="s">
        <v>9713</v>
      </c>
      <c r="F2712" t="s">
        <v>15761</v>
      </c>
      <c r="G2712" t="s">
        <v>19210</v>
      </c>
      <c r="H2712" t="s">
        <v>19209</v>
      </c>
      <c r="I2712" t="s">
        <v>18789</v>
      </c>
      <c r="J2712" t="s">
        <v>18775</v>
      </c>
      <c r="K2712" t="str">
        <f>HYPERLINK("http://tuberculist.epfl.ch/quicksearch.php?gene+name=Rv2633c&amp;submit=Search")</f>
        <v>http://tuberculist.epfl.ch/quicksearch.php?gene+name=Rv2633c&amp;submit=Search</v>
      </c>
    </row>
    <row r="2713" spans="1:11">
      <c r="A2713" t="s">
        <v>5379</v>
      </c>
      <c r="B2713" t="s">
        <v>1451</v>
      </c>
      <c r="C2713" t="s">
        <v>9567</v>
      </c>
      <c r="D2713" t="s">
        <v>9578</v>
      </c>
      <c r="E2713" t="s">
        <v>15762</v>
      </c>
      <c r="F2713" t="s">
        <v>15763</v>
      </c>
      <c r="G2713" t="s">
        <v>19253</v>
      </c>
      <c r="H2713" t="s">
        <v>19267</v>
      </c>
      <c r="I2713" t="s">
        <v>18780</v>
      </c>
      <c r="K2713" t="str">
        <f>HYPERLINK("http://tuberculist.epfl.ch/quicksearch.php?gene+name=Rv2634c&amp;submit=Search")</f>
        <v>http://tuberculist.epfl.ch/quicksearch.php?gene+name=Rv2634c&amp;submit=Search</v>
      </c>
    </row>
    <row r="2714" spans="1:11">
      <c r="A2714" t="s">
        <v>15764</v>
      </c>
      <c r="B2714" t="s">
        <v>15764</v>
      </c>
      <c r="C2714" t="s">
        <v>9567</v>
      </c>
      <c r="D2714" t="s">
        <v>9587</v>
      </c>
      <c r="E2714" t="s">
        <v>9713</v>
      </c>
      <c r="F2714" t="s">
        <v>15765</v>
      </c>
      <c r="G2714" t="s">
        <v>19210</v>
      </c>
      <c r="I2714" t="s">
        <v>18780</v>
      </c>
      <c r="K2714" t="str">
        <f>HYPERLINK("http://tuberculist.epfl.ch/quicksearch.php?gene+name=Rv2635&amp;submit=Search")</f>
        <v>http://tuberculist.epfl.ch/quicksearch.php?gene+name=Rv2635&amp;submit=Search</v>
      </c>
    </row>
    <row r="2715" spans="1:11">
      <c r="A2715" t="s">
        <v>3080</v>
      </c>
      <c r="B2715" t="s">
        <v>3080</v>
      </c>
      <c r="C2715" t="s">
        <v>9567</v>
      </c>
      <c r="D2715" t="s">
        <v>9578</v>
      </c>
      <c r="E2715" t="s">
        <v>9579</v>
      </c>
      <c r="F2715" t="s">
        <v>15766</v>
      </c>
      <c r="G2715" t="s">
        <v>19210</v>
      </c>
      <c r="H2715" t="s">
        <v>19213</v>
      </c>
      <c r="I2715" t="s">
        <v>18780</v>
      </c>
      <c r="K2715" t="str">
        <f>HYPERLINK("http://tuberculist.epfl.ch/quicksearch.php?gene+name=Rv2636&amp;submit=Search")</f>
        <v>http://tuberculist.epfl.ch/quicksearch.php?gene+name=Rv2636&amp;submit=Search</v>
      </c>
    </row>
    <row r="2716" spans="1:11">
      <c r="A2716" t="s">
        <v>7185</v>
      </c>
      <c r="B2716" t="s">
        <v>2353</v>
      </c>
      <c r="C2716" t="s">
        <v>9567</v>
      </c>
      <c r="D2716" t="s">
        <v>9587</v>
      </c>
      <c r="E2716" t="s">
        <v>15767</v>
      </c>
      <c r="F2716" t="s">
        <v>15768</v>
      </c>
      <c r="G2716" t="s">
        <v>19188</v>
      </c>
      <c r="H2716" t="s">
        <v>19277</v>
      </c>
      <c r="I2716" t="s">
        <v>18780</v>
      </c>
      <c r="K2716" t="str">
        <f>HYPERLINK("http://tuberculist.epfl.ch/quicksearch.php?gene+name=Rv2637&amp;submit=Search")</f>
        <v>http://tuberculist.epfl.ch/quicksearch.php?gene+name=Rv2637&amp;submit=Search</v>
      </c>
    </row>
    <row r="2717" spans="1:11">
      <c r="A2717" t="s">
        <v>15769</v>
      </c>
      <c r="B2717" t="s">
        <v>15769</v>
      </c>
      <c r="C2717" t="s">
        <v>9567</v>
      </c>
      <c r="D2717" t="s">
        <v>9578</v>
      </c>
      <c r="E2717" t="s">
        <v>9579</v>
      </c>
      <c r="F2717" t="s">
        <v>15770</v>
      </c>
      <c r="G2717" t="s">
        <v>19208</v>
      </c>
      <c r="H2717" t="s">
        <v>19207</v>
      </c>
      <c r="I2717" t="s">
        <v>18780</v>
      </c>
      <c r="J2717" t="s">
        <v>18900</v>
      </c>
      <c r="K2717" t="str">
        <f>HYPERLINK("http://tuberculist.epfl.ch/quicksearch.php?gene+name=Rv2638&amp;submit=Search")</f>
        <v>http://tuberculist.epfl.ch/quicksearch.php?gene+name=Rv2638&amp;submit=Search</v>
      </c>
    </row>
    <row r="2718" spans="1:11">
      <c r="A2718" t="s">
        <v>2043</v>
      </c>
      <c r="B2718" t="s">
        <v>2043</v>
      </c>
      <c r="C2718" t="s">
        <v>9567</v>
      </c>
      <c r="D2718" t="s">
        <v>9587</v>
      </c>
      <c r="E2718" t="s">
        <v>9668</v>
      </c>
      <c r="F2718" t="s">
        <v>15771</v>
      </c>
      <c r="G2718" t="s">
        <v>19188</v>
      </c>
      <c r="I2718" t="s">
        <v>18780</v>
      </c>
      <c r="K2718" t="str">
        <f>HYPERLINK("http://tuberculist.epfl.ch/quicksearch.php?gene+name=Rv2639c&amp;submit=Search")</f>
        <v>http://tuberculist.epfl.ch/quicksearch.php?gene+name=Rv2639c&amp;submit=Search</v>
      </c>
    </row>
    <row r="2719" spans="1:11">
      <c r="A2719" t="s">
        <v>869</v>
      </c>
      <c r="B2719" t="s">
        <v>869</v>
      </c>
      <c r="C2719" t="s">
        <v>9567</v>
      </c>
      <c r="D2719" t="s">
        <v>9629</v>
      </c>
      <c r="E2719" t="s">
        <v>15772</v>
      </c>
      <c r="F2719" t="s">
        <v>15773</v>
      </c>
      <c r="G2719" t="s">
        <v>19197</v>
      </c>
      <c r="I2719" t="s">
        <v>18780</v>
      </c>
      <c r="K2719" t="str">
        <f>HYPERLINK("http://tuberculist.epfl.ch/quicksearch.php?gene+name=Rv2640c&amp;submit=Search")</f>
        <v>http://tuberculist.epfl.ch/quicksearch.php?gene+name=Rv2640c&amp;submit=Search</v>
      </c>
    </row>
    <row r="2720" spans="1:11">
      <c r="A2720" t="s">
        <v>4174</v>
      </c>
      <c r="B2720" t="s">
        <v>251</v>
      </c>
      <c r="C2720" t="s">
        <v>9567</v>
      </c>
      <c r="D2720" t="s">
        <v>9578</v>
      </c>
      <c r="E2720" t="s">
        <v>15774</v>
      </c>
      <c r="F2720" t="s">
        <v>15775</v>
      </c>
      <c r="G2720" t="s">
        <v>19204</v>
      </c>
      <c r="H2720" t="s">
        <v>19935</v>
      </c>
      <c r="I2720" t="s">
        <v>18789</v>
      </c>
      <c r="J2720" t="s">
        <v>18775</v>
      </c>
      <c r="K2720" t="str">
        <f>HYPERLINK("http://tuberculist.epfl.ch/quicksearch.php?gene+name=Rv2641&amp;submit=Search")</f>
        <v>http://tuberculist.epfl.ch/quicksearch.php?gene+name=Rv2641&amp;submit=Search</v>
      </c>
    </row>
    <row r="2721" spans="1:11">
      <c r="A2721" t="s">
        <v>257</v>
      </c>
      <c r="B2721" t="s">
        <v>257</v>
      </c>
      <c r="C2721" t="s">
        <v>9567</v>
      </c>
      <c r="D2721" t="s">
        <v>9629</v>
      </c>
      <c r="E2721" t="s">
        <v>15772</v>
      </c>
      <c r="F2721" t="s">
        <v>15776</v>
      </c>
      <c r="G2721" t="s">
        <v>19197</v>
      </c>
      <c r="I2721" t="s">
        <v>18780</v>
      </c>
      <c r="K2721" t="str">
        <f>HYPERLINK("http://tuberculist.epfl.ch/quicksearch.php?gene+name=Rv2642&amp;submit=Search")</f>
        <v>http://tuberculist.epfl.ch/quicksearch.php?gene+name=Rv2642&amp;submit=Search</v>
      </c>
    </row>
    <row r="2722" spans="1:11">
      <c r="A2722" t="s">
        <v>7819</v>
      </c>
      <c r="B2722" t="s">
        <v>2668</v>
      </c>
      <c r="C2722" t="s">
        <v>9567</v>
      </c>
      <c r="D2722" t="s">
        <v>15777</v>
      </c>
      <c r="E2722" t="s">
        <v>15778</v>
      </c>
      <c r="F2722" t="s">
        <v>15779</v>
      </c>
      <c r="G2722" t="s">
        <v>19188</v>
      </c>
      <c r="H2722" t="s">
        <v>19257</v>
      </c>
      <c r="I2722" t="s">
        <v>18793</v>
      </c>
      <c r="K2722" t="str">
        <f>HYPERLINK("http://tuberculist.epfl.ch/quicksearch.php?gene+name=Rv2643&amp;submit=Search")</f>
        <v>http://tuberculist.epfl.ch/quicksearch.php?gene+name=Rv2643&amp;submit=Search</v>
      </c>
    </row>
    <row r="2723" spans="1:11">
      <c r="A2723" t="s">
        <v>2654</v>
      </c>
      <c r="B2723" t="s">
        <v>2654</v>
      </c>
      <c r="C2723" t="s">
        <v>9567</v>
      </c>
      <c r="D2723" t="s">
        <v>9587</v>
      </c>
      <c r="E2723" t="s">
        <v>9713</v>
      </c>
      <c r="F2723" t="s">
        <v>15780</v>
      </c>
      <c r="G2723" t="s">
        <v>19212</v>
      </c>
      <c r="H2723" t="s">
        <v>19207</v>
      </c>
      <c r="I2723" t="s">
        <v>18780</v>
      </c>
      <c r="K2723" t="str">
        <f>HYPERLINK("http://tuberculist.epfl.ch/quicksearch.php?gene+name=Rv2644c&amp;submit=Search")</f>
        <v>http://tuberculist.epfl.ch/quicksearch.php?gene+name=Rv2644c&amp;submit=Search</v>
      </c>
    </row>
    <row r="2724" spans="1:11">
      <c r="A2724" t="s">
        <v>15781</v>
      </c>
      <c r="B2724" t="s">
        <v>15781</v>
      </c>
      <c r="C2724" t="s">
        <v>9567</v>
      </c>
      <c r="D2724" t="s">
        <v>9587</v>
      </c>
      <c r="E2724" t="s">
        <v>9713</v>
      </c>
      <c r="F2724" t="s">
        <v>15782</v>
      </c>
      <c r="G2724" t="s">
        <v>19363</v>
      </c>
      <c r="I2724" t="s">
        <v>18804</v>
      </c>
      <c r="K2724" t="str">
        <f>HYPERLINK("http://tuberculist.epfl.ch/quicksearch.php?gene+name=Rv2645&amp;submit=Search")</f>
        <v>http://tuberculist.epfl.ch/quicksearch.php?gene+name=Rv2645&amp;submit=Search</v>
      </c>
    </row>
    <row r="2725" spans="1:11">
      <c r="A2725" t="s">
        <v>15783</v>
      </c>
      <c r="B2725" t="s">
        <v>15783</v>
      </c>
      <c r="C2725" t="s">
        <v>9567</v>
      </c>
      <c r="D2725" t="s">
        <v>15784</v>
      </c>
      <c r="E2725" t="s">
        <v>15785</v>
      </c>
      <c r="F2725" t="s">
        <v>15786</v>
      </c>
      <c r="G2725" t="s">
        <v>19217</v>
      </c>
      <c r="I2725" t="s">
        <v>18804</v>
      </c>
      <c r="K2725" t="str">
        <f>HYPERLINK("http://tuberculist.epfl.ch/quicksearch.php?gene+name=Rv2646&amp;submit=Search")</f>
        <v>http://tuberculist.epfl.ch/quicksearch.php?gene+name=Rv2646&amp;submit=Search</v>
      </c>
    </row>
    <row r="2726" spans="1:11">
      <c r="A2726" t="s">
        <v>15787</v>
      </c>
      <c r="B2726" t="s">
        <v>15787</v>
      </c>
      <c r="C2726" t="s">
        <v>9567</v>
      </c>
      <c r="D2726" t="s">
        <v>9587</v>
      </c>
      <c r="E2726" t="s">
        <v>9713</v>
      </c>
      <c r="F2726" t="s">
        <v>15788</v>
      </c>
      <c r="G2726" t="s">
        <v>19217</v>
      </c>
      <c r="I2726" t="s">
        <v>18802</v>
      </c>
      <c r="J2726" t="s">
        <v>18809</v>
      </c>
      <c r="K2726" t="str">
        <f>HYPERLINK("http://tuberculist.epfl.ch/quicksearch.php?gene+name=Rv2647&amp;submit=Search")</f>
        <v>http://tuberculist.epfl.ch/quicksearch.php?gene+name=Rv2647&amp;submit=Search</v>
      </c>
    </row>
    <row r="2727" spans="1:11">
      <c r="A2727" t="s">
        <v>15789</v>
      </c>
      <c r="B2727" t="s">
        <v>15789</v>
      </c>
      <c r="C2727" t="s">
        <v>9567</v>
      </c>
      <c r="D2727" t="s">
        <v>11446</v>
      </c>
      <c r="E2727" t="s">
        <v>15093</v>
      </c>
      <c r="F2727" t="s">
        <v>15790</v>
      </c>
      <c r="G2727" t="s">
        <v>19217</v>
      </c>
      <c r="I2727" t="s">
        <v>18802</v>
      </c>
      <c r="K2727" t="str">
        <f>HYPERLINK("http://tuberculist.epfl.ch/quicksearch.php?gene+name=Rv2648&amp;submit=Search")</f>
        <v>http://tuberculist.epfl.ch/quicksearch.php?gene+name=Rv2648&amp;submit=Search</v>
      </c>
    </row>
    <row r="2728" spans="1:11">
      <c r="A2728" t="s">
        <v>15791</v>
      </c>
      <c r="B2728" t="s">
        <v>15791</v>
      </c>
      <c r="C2728" t="s">
        <v>9567</v>
      </c>
      <c r="D2728" t="s">
        <v>11446</v>
      </c>
      <c r="E2728" t="s">
        <v>15792</v>
      </c>
      <c r="F2728" t="s">
        <v>15793</v>
      </c>
      <c r="G2728" t="s">
        <v>19217</v>
      </c>
      <c r="I2728" t="s">
        <v>18802</v>
      </c>
      <c r="K2728" t="str">
        <f>HYPERLINK("http://tuberculist.epfl.ch/quicksearch.php?gene+name=Rv2649&amp;submit=Search")</f>
        <v>http://tuberculist.epfl.ch/quicksearch.php?gene+name=Rv2649&amp;submit=Search</v>
      </c>
    </row>
    <row r="2729" spans="1:11">
      <c r="A2729" t="s">
        <v>15794</v>
      </c>
      <c r="B2729" t="s">
        <v>15794</v>
      </c>
      <c r="C2729" t="s">
        <v>9567</v>
      </c>
      <c r="D2729" t="s">
        <v>9587</v>
      </c>
      <c r="E2729" t="s">
        <v>15795</v>
      </c>
      <c r="F2729" t="s">
        <v>15796</v>
      </c>
      <c r="G2729" t="s">
        <v>19217</v>
      </c>
      <c r="H2729" t="s">
        <v>19235</v>
      </c>
      <c r="I2729" t="s">
        <v>18803</v>
      </c>
      <c r="J2729" t="s">
        <v>18809</v>
      </c>
      <c r="K2729" t="str">
        <f>HYPERLINK("http://tuberculist.epfl.ch/quicksearch.php?gene+name=Rv2650c&amp;submit=Search")</f>
        <v>http://tuberculist.epfl.ch/quicksearch.php?gene+name=Rv2650c&amp;submit=Search</v>
      </c>
    </row>
    <row r="2730" spans="1:11">
      <c r="A2730" t="s">
        <v>15797</v>
      </c>
      <c r="B2730" t="s">
        <v>15797</v>
      </c>
      <c r="C2730" t="s">
        <v>9567</v>
      </c>
      <c r="D2730" t="s">
        <v>10537</v>
      </c>
      <c r="E2730" t="s">
        <v>15798</v>
      </c>
      <c r="F2730" t="s">
        <v>15799</v>
      </c>
      <c r="G2730" t="s">
        <v>19217</v>
      </c>
      <c r="I2730" t="s">
        <v>18802</v>
      </c>
      <c r="K2730" t="str">
        <f>HYPERLINK("http://tuberculist.epfl.ch/quicksearch.php?gene+name=Rv2651c&amp;submit=Search")</f>
        <v>http://tuberculist.epfl.ch/quicksearch.php?gene+name=Rv2651c&amp;submit=Search</v>
      </c>
    </row>
    <row r="2731" spans="1:11">
      <c r="A2731" t="s">
        <v>15800</v>
      </c>
      <c r="B2731" t="s">
        <v>15800</v>
      </c>
      <c r="C2731" t="s">
        <v>9567</v>
      </c>
      <c r="D2731" t="s">
        <v>9587</v>
      </c>
      <c r="E2731" t="s">
        <v>15801</v>
      </c>
      <c r="F2731" t="s">
        <v>15802</v>
      </c>
      <c r="G2731" t="s">
        <v>19217</v>
      </c>
      <c r="I2731" t="s">
        <v>18802</v>
      </c>
      <c r="K2731" t="str">
        <f>HYPERLINK("http://tuberculist.epfl.ch/quicksearch.php?gene+name=Rv2652c&amp;submit=Search")</f>
        <v>http://tuberculist.epfl.ch/quicksearch.php?gene+name=Rv2652c&amp;submit=Search</v>
      </c>
    </row>
    <row r="2732" spans="1:11">
      <c r="A2732" t="s">
        <v>15803</v>
      </c>
      <c r="B2732" t="s">
        <v>15803</v>
      </c>
      <c r="C2732" t="s">
        <v>9567</v>
      </c>
      <c r="D2732" t="s">
        <v>9587</v>
      </c>
      <c r="E2732" t="s">
        <v>15795</v>
      </c>
      <c r="F2732" t="s">
        <v>15804</v>
      </c>
      <c r="G2732" t="s">
        <v>19217</v>
      </c>
      <c r="I2732" t="s">
        <v>18802</v>
      </c>
      <c r="K2732" t="str">
        <f>HYPERLINK("http://tuberculist.epfl.ch/quicksearch.php?gene+name=Rv2653c&amp;submit=Search")</f>
        <v>http://tuberculist.epfl.ch/quicksearch.php?gene+name=Rv2653c&amp;submit=Search</v>
      </c>
    </row>
    <row r="2733" spans="1:11">
      <c r="A2733" t="s">
        <v>15805</v>
      </c>
      <c r="B2733" t="s">
        <v>15805</v>
      </c>
      <c r="C2733" t="s">
        <v>9567</v>
      </c>
      <c r="D2733" t="s">
        <v>9587</v>
      </c>
      <c r="E2733" t="s">
        <v>15795</v>
      </c>
      <c r="F2733" t="s">
        <v>15806</v>
      </c>
      <c r="G2733" t="s">
        <v>19217</v>
      </c>
      <c r="I2733" t="s">
        <v>18802</v>
      </c>
      <c r="K2733" t="str">
        <f>HYPERLINK("http://tuberculist.epfl.ch/quicksearch.php?gene+name=Rv2654c&amp;submit=Search")</f>
        <v>http://tuberculist.epfl.ch/quicksearch.php?gene+name=Rv2654c&amp;submit=Search</v>
      </c>
    </row>
    <row r="2734" spans="1:11">
      <c r="A2734" t="s">
        <v>15807</v>
      </c>
      <c r="B2734" t="s">
        <v>15807</v>
      </c>
      <c r="C2734" t="s">
        <v>9567</v>
      </c>
      <c r="D2734" t="s">
        <v>9587</v>
      </c>
      <c r="E2734" t="s">
        <v>15795</v>
      </c>
      <c r="F2734" t="s">
        <v>15808</v>
      </c>
      <c r="G2734" t="s">
        <v>19217</v>
      </c>
      <c r="H2734" t="s">
        <v>19215</v>
      </c>
      <c r="I2734" t="s">
        <v>18804</v>
      </c>
      <c r="K2734" t="str">
        <f>HYPERLINK("http://tuberculist.epfl.ch/quicksearch.php?gene+name=Rv2655c&amp;submit=Search")</f>
        <v>http://tuberculist.epfl.ch/quicksearch.php?gene+name=Rv2655c&amp;submit=Search</v>
      </c>
    </row>
    <row r="2735" spans="1:11">
      <c r="A2735" t="s">
        <v>15809</v>
      </c>
      <c r="B2735" t="s">
        <v>15809</v>
      </c>
      <c r="C2735" t="s">
        <v>9567</v>
      </c>
      <c r="D2735" t="s">
        <v>9587</v>
      </c>
      <c r="E2735" t="s">
        <v>15795</v>
      </c>
      <c r="F2735" t="s">
        <v>15810</v>
      </c>
      <c r="G2735" t="s">
        <v>19217</v>
      </c>
      <c r="I2735" t="s">
        <v>18804</v>
      </c>
      <c r="K2735" t="str">
        <f>HYPERLINK("http://tuberculist.epfl.ch/quicksearch.php?gene+name=Rv2656c&amp;submit=Search")</f>
        <v>http://tuberculist.epfl.ch/quicksearch.php?gene+name=Rv2656c&amp;submit=Search</v>
      </c>
    </row>
    <row r="2736" spans="1:11">
      <c r="A2736" t="s">
        <v>15811</v>
      </c>
      <c r="B2736" t="s">
        <v>15811</v>
      </c>
      <c r="C2736" t="s">
        <v>9567</v>
      </c>
      <c r="D2736" t="s">
        <v>9587</v>
      </c>
      <c r="E2736" t="s">
        <v>15801</v>
      </c>
      <c r="F2736" t="s">
        <v>15812</v>
      </c>
      <c r="G2736" t="s">
        <v>19217</v>
      </c>
      <c r="I2736" t="s">
        <v>18804</v>
      </c>
      <c r="K2736" t="str">
        <f>HYPERLINK("http://tuberculist.epfl.ch/quicksearch.php?gene+name=Rv2657c&amp;submit=Search")</f>
        <v>http://tuberculist.epfl.ch/quicksearch.php?gene+name=Rv2657c&amp;submit=Search</v>
      </c>
    </row>
    <row r="2737" spans="1:11">
      <c r="A2737" t="s">
        <v>15813</v>
      </c>
      <c r="B2737" t="s">
        <v>15813</v>
      </c>
      <c r="C2737" t="s">
        <v>9567</v>
      </c>
      <c r="D2737" t="s">
        <v>9587</v>
      </c>
      <c r="E2737" t="s">
        <v>15814</v>
      </c>
      <c r="F2737" t="s">
        <v>15815</v>
      </c>
      <c r="G2737" t="s">
        <v>19217</v>
      </c>
      <c r="H2737" t="s">
        <v>19936</v>
      </c>
      <c r="I2737" t="s">
        <v>18804</v>
      </c>
      <c r="K2737" t="str">
        <f>HYPERLINK("http://tuberculist.epfl.ch/quicksearch.php?gene+name=Rv2658c&amp;submit=Search")</f>
        <v>http://tuberculist.epfl.ch/quicksearch.php?gene+name=Rv2658c&amp;submit=Search</v>
      </c>
    </row>
    <row r="2738" spans="1:11">
      <c r="A2738" t="s">
        <v>15816</v>
      </c>
      <c r="B2738" t="s">
        <v>15816</v>
      </c>
      <c r="C2738" t="s">
        <v>9567</v>
      </c>
      <c r="D2738" t="s">
        <v>15784</v>
      </c>
      <c r="E2738" t="s">
        <v>15817</v>
      </c>
      <c r="F2738" t="s">
        <v>15818</v>
      </c>
      <c r="G2738" t="s">
        <v>19217</v>
      </c>
      <c r="I2738" t="s">
        <v>18804</v>
      </c>
      <c r="K2738" t="str">
        <f>HYPERLINK("http://tuberculist.epfl.ch/quicksearch.php?gene+name=Rv2659c&amp;submit=Search")</f>
        <v>http://tuberculist.epfl.ch/quicksearch.php?gene+name=Rv2659c&amp;submit=Search</v>
      </c>
    </row>
    <row r="2739" spans="1:11">
      <c r="A2739" t="s">
        <v>15819</v>
      </c>
      <c r="B2739" t="s">
        <v>15819</v>
      </c>
      <c r="C2739" t="s">
        <v>9567</v>
      </c>
      <c r="D2739" t="s">
        <v>9587</v>
      </c>
      <c r="E2739" t="s">
        <v>9713</v>
      </c>
      <c r="F2739" t="s">
        <v>15820</v>
      </c>
      <c r="G2739" t="s">
        <v>19216</v>
      </c>
      <c r="I2739" t="s">
        <v>18802</v>
      </c>
      <c r="K2739" t="str">
        <f>HYPERLINK("http://tuberculist.epfl.ch/quicksearch.php?gene+name=Rv2660c&amp;submit=Search")</f>
        <v>http://tuberculist.epfl.ch/quicksearch.php?gene+name=Rv2660c&amp;submit=Search</v>
      </c>
    </row>
    <row r="2740" spans="1:11">
      <c r="A2740" t="s">
        <v>15821</v>
      </c>
      <c r="B2740" t="s">
        <v>15821</v>
      </c>
      <c r="C2740" t="s">
        <v>9567</v>
      </c>
      <c r="D2740" t="s">
        <v>9587</v>
      </c>
      <c r="E2740" t="s">
        <v>9713</v>
      </c>
      <c r="F2740" t="s">
        <v>15822</v>
      </c>
      <c r="G2740" t="s">
        <v>19212</v>
      </c>
      <c r="H2740" t="s">
        <v>19254</v>
      </c>
      <c r="I2740" t="s">
        <v>18780</v>
      </c>
      <c r="K2740" t="str">
        <f>HYPERLINK("http://tuberculist.epfl.ch/quicksearch.php?gene+name=Rv2661c&amp;submit=Search")</f>
        <v>http://tuberculist.epfl.ch/quicksearch.php?gene+name=Rv2661c&amp;submit=Search</v>
      </c>
    </row>
    <row r="2741" spans="1:11">
      <c r="A2741" t="s">
        <v>3258</v>
      </c>
      <c r="B2741" t="s">
        <v>3258</v>
      </c>
      <c r="C2741" t="s">
        <v>9567</v>
      </c>
      <c r="D2741" t="s">
        <v>9587</v>
      </c>
      <c r="E2741" t="s">
        <v>9713</v>
      </c>
      <c r="F2741" t="s">
        <v>15823</v>
      </c>
      <c r="G2741" t="s">
        <v>19212</v>
      </c>
      <c r="I2741" t="s">
        <v>18780</v>
      </c>
      <c r="K2741" t="str">
        <f>HYPERLINK("http://tuberculist.epfl.ch/quicksearch.php?gene+name=Rv2662&amp;submit=Search")</f>
        <v>http://tuberculist.epfl.ch/quicksearch.php?gene+name=Rv2662&amp;submit=Search</v>
      </c>
    </row>
    <row r="2742" spans="1:11">
      <c r="A2742" t="s">
        <v>490</v>
      </c>
      <c r="B2742" t="s">
        <v>490</v>
      </c>
      <c r="C2742" t="s">
        <v>9567</v>
      </c>
      <c r="D2742" t="s">
        <v>9587</v>
      </c>
      <c r="E2742" t="s">
        <v>9713</v>
      </c>
      <c r="F2742" t="s">
        <v>15824</v>
      </c>
      <c r="G2742" t="s">
        <v>19212</v>
      </c>
      <c r="I2742" t="s">
        <v>18780</v>
      </c>
      <c r="J2742" t="s">
        <v>18852</v>
      </c>
      <c r="K2742" t="str">
        <f>HYPERLINK("http://tuberculist.epfl.ch/quicksearch.php?gene+name=Rv2663&amp;submit=Search")</f>
        <v>http://tuberculist.epfl.ch/quicksearch.php?gene+name=Rv2663&amp;submit=Search</v>
      </c>
    </row>
    <row r="2743" spans="1:11">
      <c r="A2743" t="s">
        <v>3254</v>
      </c>
      <c r="B2743" t="s">
        <v>3254</v>
      </c>
      <c r="C2743" t="s">
        <v>9567</v>
      </c>
      <c r="D2743" t="s">
        <v>9587</v>
      </c>
      <c r="E2743" t="s">
        <v>9713</v>
      </c>
      <c r="F2743" t="s">
        <v>15825</v>
      </c>
      <c r="G2743" t="s">
        <v>19212</v>
      </c>
      <c r="H2743" t="s">
        <v>19213</v>
      </c>
      <c r="I2743" t="s">
        <v>18779</v>
      </c>
      <c r="J2743" t="s">
        <v>18775</v>
      </c>
      <c r="K2743" t="str">
        <f>HYPERLINK("http://tuberculist.epfl.ch/quicksearch.php?gene+name=Rv2664&amp;submit=Search")</f>
        <v>http://tuberculist.epfl.ch/quicksearch.php?gene+name=Rv2664&amp;submit=Search</v>
      </c>
    </row>
    <row r="2744" spans="1:11">
      <c r="A2744" t="s">
        <v>1396</v>
      </c>
      <c r="B2744" t="s">
        <v>1396</v>
      </c>
      <c r="C2744" t="s">
        <v>9567</v>
      </c>
      <c r="D2744" t="s">
        <v>9578</v>
      </c>
      <c r="E2744" t="s">
        <v>15826</v>
      </c>
      <c r="F2744" t="s">
        <v>15827</v>
      </c>
      <c r="G2744" t="s">
        <v>19204</v>
      </c>
      <c r="I2744" t="s">
        <v>18779</v>
      </c>
      <c r="K2744" t="str">
        <f>HYPERLINK("http://tuberculist.epfl.ch/quicksearch.php?gene+name=Rv2665&amp;submit=Search")</f>
        <v>http://tuberculist.epfl.ch/quicksearch.php?gene+name=Rv2665&amp;submit=Search</v>
      </c>
    </row>
    <row r="2745" spans="1:11">
      <c r="A2745" t="s">
        <v>15828</v>
      </c>
      <c r="B2745" t="s">
        <v>15828</v>
      </c>
      <c r="C2745" t="s">
        <v>9567</v>
      </c>
      <c r="D2745" t="s">
        <v>15480</v>
      </c>
      <c r="E2745" t="s">
        <v>15829</v>
      </c>
      <c r="F2745" t="s">
        <v>15830</v>
      </c>
      <c r="G2745" t="s">
        <v>19217</v>
      </c>
      <c r="I2745" t="s">
        <v>18779</v>
      </c>
      <c r="K2745" t="str">
        <f>HYPERLINK("http://tuberculist.epfl.ch/quicksearch.php?gene+name=Rv2666&amp;submit=Search")</f>
        <v>http://tuberculist.epfl.ch/quicksearch.php?gene+name=Rv2666&amp;submit=Search</v>
      </c>
    </row>
    <row r="2746" spans="1:11">
      <c r="A2746" t="s">
        <v>15831</v>
      </c>
      <c r="B2746" t="s">
        <v>15832</v>
      </c>
      <c r="C2746" t="s">
        <v>9567</v>
      </c>
      <c r="D2746" t="s">
        <v>15833</v>
      </c>
      <c r="E2746" t="s">
        <v>15834</v>
      </c>
      <c r="F2746" t="s">
        <v>15835</v>
      </c>
      <c r="G2746" t="s">
        <v>19195</v>
      </c>
      <c r="H2746" t="s">
        <v>19326</v>
      </c>
      <c r="I2746" t="s">
        <v>18793</v>
      </c>
      <c r="K2746" t="str">
        <f>HYPERLINK("http://tuberculist.epfl.ch/quicksearch.php?gene+name=Rv2667&amp;submit=Search")</f>
        <v>http://tuberculist.epfl.ch/quicksearch.php?gene+name=Rv2667&amp;submit=Search</v>
      </c>
    </row>
    <row r="2747" spans="1:11">
      <c r="A2747" t="s">
        <v>15836</v>
      </c>
      <c r="B2747" t="s">
        <v>15836</v>
      </c>
      <c r="C2747" t="s">
        <v>9567</v>
      </c>
      <c r="D2747" t="s">
        <v>9587</v>
      </c>
      <c r="E2747" t="s">
        <v>15837</v>
      </c>
      <c r="F2747" t="s">
        <v>15838</v>
      </c>
      <c r="G2747" t="s">
        <v>19188</v>
      </c>
      <c r="H2747" t="s">
        <v>19700</v>
      </c>
      <c r="I2747" t="s">
        <v>18781</v>
      </c>
      <c r="J2747" t="s">
        <v>19062</v>
      </c>
      <c r="K2747" t="str">
        <f>HYPERLINK("http://tuberculist.epfl.ch/quicksearch.php?gene+name=Rv2668&amp;submit=Search")</f>
        <v>http://tuberculist.epfl.ch/quicksearch.php?gene+name=Rv2668&amp;submit=Search</v>
      </c>
    </row>
    <row r="2748" spans="1:11">
      <c r="A2748" t="s">
        <v>15839</v>
      </c>
      <c r="B2748" t="s">
        <v>15839</v>
      </c>
      <c r="C2748" t="s">
        <v>9567</v>
      </c>
      <c r="D2748" t="s">
        <v>9898</v>
      </c>
      <c r="E2748" t="s">
        <v>9899</v>
      </c>
      <c r="F2748" t="s">
        <v>15840</v>
      </c>
      <c r="G2748" t="s">
        <v>19195</v>
      </c>
      <c r="I2748" t="s">
        <v>18780</v>
      </c>
      <c r="J2748" t="s">
        <v>19062</v>
      </c>
      <c r="K2748" t="str">
        <f>HYPERLINK("http://tuberculist.epfl.ch/quicksearch.php?gene+name=Rv2669&amp;submit=Search")</f>
        <v>http://tuberculist.epfl.ch/quicksearch.php?gene+name=Rv2669&amp;submit=Search</v>
      </c>
    </row>
    <row r="2749" spans="1:11">
      <c r="A2749" t="s">
        <v>2433</v>
      </c>
      <c r="B2749" t="s">
        <v>2433</v>
      </c>
      <c r="C2749" t="s">
        <v>9567</v>
      </c>
      <c r="D2749" t="s">
        <v>9578</v>
      </c>
      <c r="E2749" t="s">
        <v>9579</v>
      </c>
      <c r="F2749" t="s">
        <v>15841</v>
      </c>
      <c r="G2749" t="s">
        <v>19204</v>
      </c>
      <c r="H2749" t="s">
        <v>19207</v>
      </c>
      <c r="I2749" t="s">
        <v>18779</v>
      </c>
      <c r="K2749" t="str">
        <f>HYPERLINK("http://tuberculist.epfl.ch/quicksearch.php?gene+name=Rv2670c&amp;submit=Search")</f>
        <v>http://tuberculist.epfl.ch/quicksearch.php?gene+name=Rv2670c&amp;submit=Search</v>
      </c>
    </row>
    <row r="2750" spans="1:11">
      <c r="A2750" t="s">
        <v>3510</v>
      </c>
      <c r="B2750" t="s">
        <v>513</v>
      </c>
      <c r="C2750" t="s">
        <v>9567</v>
      </c>
      <c r="D2750" t="s">
        <v>12899</v>
      </c>
      <c r="E2750" t="s">
        <v>15842</v>
      </c>
      <c r="F2750" t="s">
        <v>15843</v>
      </c>
      <c r="G2750" t="s">
        <v>19195</v>
      </c>
      <c r="H2750" t="s">
        <v>19937</v>
      </c>
      <c r="I2750" t="s">
        <v>18777</v>
      </c>
      <c r="K2750" t="str">
        <f>HYPERLINK("http://tuberculist.epfl.ch/quicksearch.php?gene+name=Rv2671&amp;submit=Search")</f>
        <v>http://tuberculist.epfl.ch/quicksearch.php?gene+name=Rv2671&amp;submit=Search</v>
      </c>
    </row>
    <row r="2751" spans="1:11">
      <c r="A2751" t="s">
        <v>933</v>
      </c>
      <c r="B2751" t="s">
        <v>933</v>
      </c>
      <c r="C2751" t="s">
        <v>9567</v>
      </c>
      <c r="D2751" t="s">
        <v>10537</v>
      </c>
      <c r="E2751" t="s">
        <v>15844</v>
      </c>
      <c r="F2751" t="s">
        <v>15845</v>
      </c>
      <c r="G2751" t="s">
        <v>19195</v>
      </c>
      <c r="H2751" t="s">
        <v>19938</v>
      </c>
      <c r="I2751" t="s">
        <v>18780</v>
      </c>
      <c r="J2751" t="s">
        <v>18839</v>
      </c>
      <c r="K2751" t="str">
        <f>HYPERLINK("http://tuberculist.epfl.ch/quicksearch.php?gene+name=Rv2672&amp;submit=Search")</f>
        <v>http://tuberculist.epfl.ch/quicksearch.php?gene+name=Rv2672&amp;submit=Search</v>
      </c>
    </row>
    <row r="2752" spans="1:11">
      <c r="A2752" t="s">
        <v>15846</v>
      </c>
      <c r="B2752" t="s">
        <v>3286</v>
      </c>
      <c r="C2752" t="s">
        <v>9567</v>
      </c>
      <c r="D2752" t="s">
        <v>10125</v>
      </c>
      <c r="E2752" t="s">
        <v>15847</v>
      </c>
      <c r="F2752" t="s">
        <v>15848</v>
      </c>
      <c r="G2752" t="s">
        <v>19188</v>
      </c>
      <c r="H2752" t="s">
        <v>19233</v>
      </c>
      <c r="I2752" t="s">
        <v>18842</v>
      </c>
      <c r="K2752" t="str">
        <f>HYPERLINK("http://tuberculist.epfl.ch/quicksearch.php?gene+name=Rv2673&amp;submit=Search")</f>
        <v>http://tuberculist.epfl.ch/quicksearch.php?gene+name=Rv2673&amp;submit=Search</v>
      </c>
    </row>
    <row r="2753" spans="1:11">
      <c r="A2753" t="s">
        <v>15849</v>
      </c>
      <c r="B2753" t="s">
        <v>2531</v>
      </c>
      <c r="C2753" t="s">
        <v>9567</v>
      </c>
      <c r="D2753" t="s">
        <v>15850</v>
      </c>
      <c r="E2753" t="s">
        <v>15851</v>
      </c>
      <c r="F2753" t="s">
        <v>15852</v>
      </c>
      <c r="G2753" t="s">
        <v>19195</v>
      </c>
      <c r="H2753" t="s">
        <v>19233</v>
      </c>
      <c r="I2753" t="s">
        <v>18780</v>
      </c>
      <c r="K2753" t="str">
        <f>HYPERLINK("http://tuberculist.epfl.ch/quicksearch.php?gene+name=Rv2674&amp;submit=Search")</f>
        <v>http://tuberculist.epfl.ch/quicksearch.php?gene+name=Rv2674&amp;submit=Search</v>
      </c>
    </row>
    <row r="2754" spans="1:11">
      <c r="A2754" t="s">
        <v>2325</v>
      </c>
      <c r="B2754" t="s">
        <v>2325</v>
      </c>
      <c r="C2754" t="s">
        <v>9567</v>
      </c>
      <c r="D2754" t="s">
        <v>9578</v>
      </c>
      <c r="E2754" t="s">
        <v>9579</v>
      </c>
      <c r="F2754" t="s">
        <v>15853</v>
      </c>
      <c r="G2754" t="s">
        <v>19204</v>
      </c>
      <c r="H2754" t="s">
        <v>19334</v>
      </c>
      <c r="I2754" t="s">
        <v>18789</v>
      </c>
      <c r="K2754" t="str">
        <f>HYPERLINK("http://tuberculist.epfl.ch/quicksearch.php?gene+name=Rv2675c&amp;submit=Search")</f>
        <v>http://tuberculist.epfl.ch/quicksearch.php?gene+name=Rv2675c&amp;submit=Search</v>
      </c>
    </row>
    <row r="2755" spans="1:11">
      <c r="A2755" t="s">
        <v>1913</v>
      </c>
      <c r="B2755" t="s">
        <v>1913</v>
      </c>
      <c r="C2755" t="s">
        <v>9567</v>
      </c>
      <c r="D2755" t="s">
        <v>9578</v>
      </c>
      <c r="E2755" t="s">
        <v>9665</v>
      </c>
      <c r="F2755" t="s">
        <v>15854</v>
      </c>
      <c r="G2755" t="s">
        <v>19204</v>
      </c>
      <c r="H2755" t="s">
        <v>19269</v>
      </c>
      <c r="I2755" t="s">
        <v>18788</v>
      </c>
      <c r="K2755" t="str">
        <f>HYPERLINK("http://tuberculist.epfl.ch/quicksearch.php?gene+name=Rv2676c&amp;submit=Search")</f>
        <v>http://tuberculist.epfl.ch/quicksearch.php?gene+name=Rv2676c&amp;submit=Search</v>
      </c>
    </row>
    <row r="2756" spans="1:11">
      <c r="A2756" t="s">
        <v>6402</v>
      </c>
      <c r="B2756" t="s">
        <v>1949</v>
      </c>
      <c r="C2756" t="s">
        <v>9567</v>
      </c>
      <c r="D2756" t="s">
        <v>15855</v>
      </c>
      <c r="E2756" t="s">
        <v>15856</v>
      </c>
      <c r="F2756" t="s">
        <v>15857</v>
      </c>
      <c r="G2756" t="s">
        <v>19195</v>
      </c>
      <c r="H2756" t="s">
        <v>19213</v>
      </c>
      <c r="I2756" t="s">
        <v>18776</v>
      </c>
      <c r="K2756" t="str">
        <f>HYPERLINK("http://tuberculist.epfl.ch/quicksearch.php?gene+name=Rv2677c&amp;submit=Search")</f>
        <v>http://tuberculist.epfl.ch/quicksearch.php?gene+name=Rv2677c&amp;submit=Search</v>
      </c>
    </row>
    <row r="2757" spans="1:11">
      <c r="A2757" t="s">
        <v>5408</v>
      </c>
      <c r="B2757" t="s">
        <v>1466</v>
      </c>
      <c r="C2757" t="s">
        <v>9567</v>
      </c>
      <c r="D2757" t="s">
        <v>15858</v>
      </c>
      <c r="E2757" t="s">
        <v>15859</v>
      </c>
      <c r="F2757" t="s">
        <v>15860</v>
      </c>
      <c r="G2757" t="s">
        <v>19195</v>
      </c>
      <c r="H2757" t="s">
        <v>19326</v>
      </c>
      <c r="I2757" t="s">
        <v>18776</v>
      </c>
      <c r="K2757" t="str">
        <f>HYPERLINK("http://tuberculist.epfl.ch/quicksearch.php?gene+name=Rv2678c&amp;submit=Search")</f>
        <v>http://tuberculist.epfl.ch/quicksearch.php?gene+name=Rv2678c&amp;submit=Search</v>
      </c>
    </row>
    <row r="2758" spans="1:11">
      <c r="A2758" t="s">
        <v>15861</v>
      </c>
      <c r="B2758" t="s">
        <v>1323</v>
      </c>
      <c r="C2758" t="s">
        <v>9567</v>
      </c>
      <c r="D2758" t="s">
        <v>10092</v>
      </c>
      <c r="E2758" t="s">
        <v>15862</v>
      </c>
      <c r="F2758" t="s">
        <v>15863</v>
      </c>
      <c r="G2758" t="s">
        <v>19219</v>
      </c>
      <c r="H2758" t="s">
        <v>19939</v>
      </c>
      <c r="I2758" t="s">
        <v>18789</v>
      </c>
      <c r="K2758" t="str">
        <f>HYPERLINK("http://tuberculist.epfl.ch/quicksearch.php?gene+name=Rv2679&amp;submit=Search")</f>
        <v>http://tuberculist.epfl.ch/quicksearch.php?gene+name=Rv2679&amp;submit=Search</v>
      </c>
    </row>
    <row r="2759" spans="1:11">
      <c r="A2759" t="s">
        <v>3104</v>
      </c>
      <c r="B2759" t="s">
        <v>3104</v>
      </c>
      <c r="C2759" t="s">
        <v>9567</v>
      </c>
      <c r="D2759" t="s">
        <v>9578</v>
      </c>
      <c r="E2759" t="s">
        <v>9665</v>
      </c>
      <c r="F2759" t="s">
        <v>15864</v>
      </c>
      <c r="G2759" t="s">
        <v>19212</v>
      </c>
      <c r="H2759" t="s">
        <v>19233</v>
      </c>
      <c r="I2759" t="s">
        <v>18779</v>
      </c>
      <c r="K2759" t="str">
        <f>HYPERLINK("http://tuberculist.epfl.ch/quicksearch.php?gene+name=Rv2680&amp;submit=Search")</f>
        <v>http://tuberculist.epfl.ch/quicksearch.php?gene+name=Rv2680&amp;submit=Search</v>
      </c>
    </row>
    <row r="2760" spans="1:11">
      <c r="A2760" t="s">
        <v>671</v>
      </c>
      <c r="B2760" t="s">
        <v>671</v>
      </c>
      <c r="C2760" t="s">
        <v>9567</v>
      </c>
      <c r="D2760" t="s">
        <v>9578</v>
      </c>
      <c r="E2760" t="s">
        <v>15865</v>
      </c>
      <c r="F2760" t="s">
        <v>15866</v>
      </c>
      <c r="G2760" t="s">
        <v>19185</v>
      </c>
      <c r="H2760" t="s">
        <v>19207</v>
      </c>
      <c r="I2760" t="s">
        <v>19063</v>
      </c>
      <c r="K2760" t="str">
        <f>HYPERLINK("http://tuberculist.epfl.ch/quicksearch.php?gene+name=Rv2681&amp;submit=Search")</f>
        <v>http://tuberculist.epfl.ch/quicksearch.php?gene+name=Rv2681&amp;submit=Search</v>
      </c>
    </row>
    <row r="2761" spans="1:11">
      <c r="A2761" t="s">
        <v>5964</v>
      </c>
      <c r="B2761" t="s">
        <v>1737</v>
      </c>
      <c r="C2761" t="s">
        <v>9567</v>
      </c>
      <c r="D2761" t="s">
        <v>15867</v>
      </c>
      <c r="E2761" t="s">
        <v>15868</v>
      </c>
      <c r="F2761" t="s">
        <v>15869</v>
      </c>
      <c r="G2761" t="s">
        <v>19195</v>
      </c>
      <c r="H2761" t="s">
        <v>19940</v>
      </c>
      <c r="I2761" t="s">
        <v>18774</v>
      </c>
      <c r="K2761" t="str">
        <f>HYPERLINK("http://tuberculist.epfl.ch/quicksearch.php?gene+name=Rv2682c&amp;submit=Search")</f>
        <v>http://tuberculist.epfl.ch/quicksearch.php?gene+name=Rv2682c&amp;submit=Search</v>
      </c>
    </row>
    <row r="2762" spans="1:11">
      <c r="A2762" t="s">
        <v>1539</v>
      </c>
      <c r="B2762" t="s">
        <v>1539</v>
      </c>
      <c r="C2762" t="s">
        <v>9567</v>
      </c>
      <c r="D2762" t="s">
        <v>9578</v>
      </c>
      <c r="E2762" t="s">
        <v>9665</v>
      </c>
      <c r="F2762" t="s">
        <v>15870</v>
      </c>
      <c r="G2762" t="s">
        <v>19210</v>
      </c>
      <c r="H2762" t="s">
        <v>19287</v>
      </c>
      <c r="I2762" t="s">
        <v>18780</v>
      </c>
      <c r="K2762" t="str">
        <f>HYPERLINK("http://tuberculist.epfl.ch/quicksearch.php?gene+name=Rv2683&amp;submit=Search")</f>
        <v>http://tuberculist.epfl.ch/quicksearch.php?gene+name=Rv2683&amp;submit=Search</v>
      </c>
    </row>
    <row r="2763" spans="1:11">
      <c r="A2763" t="s">
        <v>4688</v>
      </c>
      <c r="B2763" t="s">
        <v>1101</v>
      </c>
      <c r="C2763" t="s">
        <v>9567</v>
      </c>
      <c r="D2763" t="s">
        <v>15871</v>
      </c>
      <c r="E2763" t="s">
        <v>15872</v>
      </c>
      <c r="F2763" t="s">
        <v>15873</v>
      </c>
      <c r="G2763" t="s">
        <v>19188</v>
      </c>
      <c r="I2763" t="s">
        <v>18836</v>
      </c>
      <c r="J2763" t="s">
        <v>18873</v>
      </c>
      <c r="K2763" t="str">
        <f>HYPERLINK("http://tuberculist.epfl.ch/quicksearch.php?gene+name=Rv2684&amp;submit=Search")</f>
        <v>http://tuberculist.epfl.ch/quicksearch.php?gene+name=Rv2684&amp;submit=Search</v>
      </c>
    </row>
    <row r="2764" spans="1:11">
      <c r="A2764" t="s">
        <v>7848</v>
      </c>
      <c r="B2764" t="s">
        <v>2682</v>
      </c>
      <c r="C2764" t="s">
        <v>9567</v>
      </c>
      <c r="D2764" t="s">
        <v>15874</v>
      </c>
      <c r="E2764" t="s">
        <v>15875</v>
      </c>
      <c r="F2764" t="s">
        <v>15876</v>
      </c>
      <c r="G2764" t="s">
        <v>19188</v>
      </c>
      <c r="H2764" t="s">
        <v>19619</v>
      </c>
      <c r="I2764" t="s">
        <v>18780</v>
      </c>
      <c r="K2764" t="str">
        <f>HYPERLINK("http://tuberculist.epfl.ch/quicksearch.php?gene+name=Rv2685&amp;submit=Search")</f>
        <v>http://tuberculist.epfl.ch/quicksearch.php?gene+name=Rv2685&amp;submit=Search</v>
      </c>
    </row>
    <row r="2765" spans="1:11">
      <c r="A2765" t="s">
        <v>761</v>
      </c>
      <c r="B2765" t="s">
        <v>761</v>
      </c>
      <c r="C2765" t="s">
        <v>9567</v>
      </c>
      <c r="D2765" t="s">
        <v>15877</v>
      </c>
      <c r="E2765" t="s">
        <v>15878</v>
      </c>
      <c r="F2765" t="s">
        <v>15879</v>
      </c>
      <c r="G2765" t="s">
        <v>19188</v>
      </c>
      <c r="I2765" t="s">
        <v>18779</v>
      </c>
      <c r="K2765" t="str">
        <f>HYPERLINK("http://tuberculist.epfl.ch/quicksearch.php?gene+name=Rv2686c&amp;submit=Search")</f>
        <v>http://tuberculist.epfl.ch/quicksearch.php?gene+name=Rv2686c&amp;submit=Search</v>
      </c>
    </row>
    <row r="2766" spans="1:11">
      <c r="A2766" t="s">
        <v>15880</v>
      </c>
      <c r="B2766" t="s">
        <v>15880</v>
      </c>
      <c r="C2766" t="s">
        <v>9567</v>
      </c>
      <c r="D2766" t="s">
        <v>15877</v>
      </c>
      <c r="E2766" t="s">
        <v>15881</v>
      </c>
      <c r="F2766" t="s">
        <v>15882</v>
      </c>
      <c r="G2766" t="s">
        <v>19188</v>
      </c>
      <c r="I2766" t="s">
        <v>18779</v>
      </c>
      <c r="J2766" t="s">
        <v>18809</v>
      </c>
      <c r="K2766" t="str">
        <f>HYPERLINK("http://tuberculist.epfl.ch/quicksearch.php?gene+name=Rv2687c&amp;submit=Search")</f>
        <v>http://tuberculist.epfl.ch/quicksearch.php?gene+name=Rv2687c&amp;submit=Search</v>
      </c>
    </row>
    <row r="2767" spans="1:11">
      <c r="A2767" t="s">
        <v>2286</v>
      </c>
      <c r="B2767" t="s">
        <v>2286</v>
      </c>
      <c r="C2767" t="s">
        <v>9567</v>
      </c>
      <c r="D2767" t="s">
        <v>15883</v>
      </c>
      <c r="E2767" t="s">
        <v>15884</v>
      </c>
      <c r="F2767" t="s">
        <v>15885</v>
      </c>
      <c r="G2767" t="s">
        <v>19188</v>
      </c>
      <c r="I2767" t="s">
        <v>18780</v>
      </c>
      <c r="K2767" t="str">
        <f>HYPERLINK("http://tuberculist.epfl.ch/quicksearch.php?gene+name=Rv2688c&amp;submit=Search")</f>
        <v>http://tuberculist.epfl.ch/quicksearch.php?gene+name=Rv2688c&amp;submit=Search</v>
      </c>
    </row>
    <row r="2768" spans="1:11">
      <c r="A2768" t="s">
        <v>2519</v>
      </c>
      <c r="B2768" t="s">
        <v>2519</v>
      </c>
      <c r="C2768" t="s">
        <v>9567</v>
      </c>
      <c r="D2768" t="s">
        <v>9578</v>
      </c>
      <c r="E2768" t="s">
        <v>15886</v>
      </c>
      <c r="F2768" t="s">
        <v>15887</v>
      </c>
      <c r="G2768" t="s">
        <v>19212</v>
      </c>
      <c r="H2768" t="s">
        <v>19192</v>
      </c>
      <c r="I2768" t="s">
        <v>18780</v>
      </c>
      <c r="K2768" t="str">
        <f>HYPERLINK("http://tuberculist.epfl.ch/quicksearch.php?gene+name=Rv2689c&amp;submit=Search")</f>
        <v>http://tuberculist.epfl.ch/quicksearch.php?gene+name=Rv2689c&amp;submit=Search</v>
      </c>
    </row>
    <row r="2769" spans="1:11">
      <c r="A2769" t="s">
        <v>1919</v>
      </c>
      <c r="B2769" t="s">
        <v>1919</v>
      </c>
      <c r="C2769" t="s">
        <v>9567</v>
      </c>
      <c r="D2769" t="s">
        <v>9587</v>
      </c>
      <c r="E2769" t="s">
        <v>15888</v>
      </c>
      <c r="F2769" t="s">
        <v>15889</v>
      </c>
      <c r="G2769" t="s">
        <v>19188</v>
      </c>
      <c r="H2769" t="s">
        <v>19342</v>
      </c>
      <c r="I2769" t="s">
        <v>18776</v>
      </c>
      <c r="K2769" t="str">
        <f>HYPERLINK("http://tuberculist.epfl.ch/quicksearch.php?gene+name=Rv2690c&amp;submit=Search")</f>
        <v>http://tuberculist.epfl.ch/quicksearch.php?gene+name=Rv2690c&amp;submit=Search</v>
      </c>
    </row>
    <row r="2770" spans="1:11">
      <c r="A2770" t="s">
        <v>8029</v>
      </c>
      <c r="B2770" t="s">
        <v>2773</v>
      </c>
      <c r="C2770" t="s">
        <v>9567</v>
      </c>
      <c r="D2770" t="s">
        <v>15890</v>
      </c>
      <c r="E2770" t="s">
        <v>15891</v>
      </c>
      <c r="F2770" t="s">
        <v>15892</v>
      </c>
      <c r="G2770" t="s">
        <v>19188</v>
      </c>
      <c r="H2770" t="s">
        <v>19723</v>
      </c>
      <c r="I2770" t="s">
        <v>18783</v>
      </c>
      <c r="K2770" t="str">
        <f>HYPERLINK("http://tuberculist.epfl.ch/quicksearch.php?gene+name=Rv2691&amp;submit=Search")</f>
        <v>http://tuberculist.epfl.ch/quicksearch.php?gene+name=Rv2691&amp;submit=Search</v>
      </c>
    </row>
    <row r="2771" spans="1:11">
      <c r="A2771" t="s">
        <v>4082</v>
      </c>
      <c r="B2771" t="s">
        <v>799</v>
      </c>
      <c r="C2771" t="s">
        <v>9567</v>
      </c>
      <c r="D2771" t="s">
        <v>15890</v>
      </c>
      <c r="E2771" t="s">
        <v>15893</v>
      </c>
      <c r="F2771" t="s">
        <v>15894</v>
      </c>
      <c r="G2771" t="s">
        <v>19188</v>
      </c>
      <c r="H2771" t="s">
        <v>19225</v>
      </c>
      <c r="I2771" t="s">
        <v>18810</v>
      </c>
      <c r="K2771" t="str">
        <f>HYPERLINK("http://tuberculist.epfl.ch/quicksearch.php?gene+name=Rv2692&amp;submit=Search")</f>
        <v>http://tuberculist.epfl.ch/quicksearch.php?gene+name=Rv2692&amp;submit=Search</v>
      </c>
    </row>
    <row r="2772" spans="1:11">
      <c r="A2772" t="s">
        <v>909</v>
      </c>
      <c r="B2772" t="s">
        <v>909</v>
      </c>
      <c r="C2772" t="s">
        <v>9567</v>
      </c>
      <c r="D2772" t="s">
        <v>9587</v>
      </c>
      <c r="E2772" t="s">
        <v>15895</v>
      </c>
      <c r="F2772" t="s">
        <v>15896</v>
      </c>
      <c r="G2772" t="s">
        <v>19188</v>
      </c>
      <c r="H2772" t="s">
        <v>19941</v>
      </c>
      <c r="I2772" t="s">
        <v>18780</v>
      </c>
      <c r="K2772" t="str">
        <f>HYPERLINK("http://tuberculist.epfl.ch/quicksearch.php?gene+name=Rv2693c&amp;submit=Search")</f>
        <v>http://tuberculist.epfl.ch/quicksearch.php?gene+name=Rv2693c&amp;submit=Search</v>
      </c>
    </row>
    <row r="2773" spans="1:11">
      <c r="A2773" t="s">
        <v>3384</v>
      </c>
      <c r="B2773" t="s">
        <v>3384</v>
      </c>
      <c r="C2773" t="s">
        <v>9567</v>
      </c>
      <c r="D2773" t="s">
        <v>9578</v>
      </c>
      <c r="E2773" t="s">
        <v>9665</v>
      </c>
      <c r="F2773" t="s">
        <v>15897</v>
      </c>
      <c r="G2773" t="s">
        <v>19212</v>
      </c>
      <c r="H2773" t="s">
        <v>19233</v>
      </c>
      <c r="I2773" t="s">
        <v>18779</v>
      </c>
      <c r="K2773" t="str">
        <f>HYPERLINK("http://tuberculist.epfl.ch/quicksearch.php?gene+name=Rv2694c&amp;submit=Search")</f>
        <v>http://tuberculist.epfl.ch/quicksearch.php?gene+name=Rv2694c&amp;submit=Search</v>
      </c>
    </row>
    <row r="2774" spans="1:11">
      <c r="A2774" t="s">
        <v>15898</v>
      </c>
      <c r="B2774" t="s">
        <v>15898</v>
      </c>
      <c r="C2774" t="s">
        <v>9567</v>
      </c>
      <c r="D2774" t="s">
        <v>9578</v>
      </c>
      <c r="E2774" t="s">
        <v>15865</v>
      </c>
      <c r="F2774" t="s">
        <v>15899</v>
      </c>
      <c r="G2774" t="s">
        <v>19210</v>
      </c>
      <c r="I2774" t="s">
        <v>18780</v>
      </c>
      <c r="K2774" t="str">
        <f>HYPERLINK("http://tuberculist.epfl.ch/quicksearch.php?gene+name=Rv2695&amp;submit=Search")</f>
        <v>http://tuberculist.epfl.ch/quicksearch.php?gene+name=Rv2695&amp;submit=Search</v>
      </c>
    </row>
    <row r="2775" spans="1:11">
      <c r="A2775" t="s">
        <v>1907</v>
      </c>
      <c r="B2775" t="s">
        <v>1907</v>
      </c>
      <c r="C2775" t="s">
        <v>9567</v>
      </c>
      <c r="D2775" t="s">
        <v>9578</v>
      </c>
      <c r="E2775" t="s">
        <v>15900</v>
      </c>
      <c r="F2775" t="s">
        <v>15901</v>
      </c>
      <c r="G2775" t="s">
        <v>19210</v>
      </c>
      <c r="H2775" t="s">
        <v>19326</v>
      </c>
      <c r="I2775" t="s">
        <v>18890</v>
      </c>
      <c r="K2775" t="str">
        <f>HYPERLINK("http://tuberculist.epfl.ch/quicksearch.php?gene+name=Rv2696c&amp;submit=Search")</f>
        <v>http://tuberculist.epfl.ch/quicksearch.php?gene+name=Rv2696c&amp;submit=Search</v>
      </c>
    </row>
    <row r="2776" spans="1:11">
      <c r="A2776" t="s">
        <v>7944</v>
      </c>
      <c r="B2776" t="s">
        <v>2734</v>
      </c>
      <c r="C2776" t="s">
        <v>9567</v>
      </c>
      <c r="D2776" t="s">
        <v>15902</v>
      </c>
      <c r="E2776" t="s">
        <v>15903</v>
      </c>
      <c r="F2776" t="s">
        <v>15904</v>
      </c>
      <c r="G2776" t="s">
        <v>19195</v>
      </c>
      <c r="H2776" t="s">
        <v>19229</v>
      </c>
      <c r="I2776" t="s">
        <v>18800</v>
      </c>
      <c r="J2776" t="s">
        <v>18775</v>
      </c>
      <c r="K2776" t="str">
        <f>HYPERLINK("http://tuberculist.epfl.ch/quicksearch.php?gene+name=Rv2697c&amp;submit=Search")</f>
        <v>http://tuberculist.epfl.ch/quicksearch.php?gene+name=Rv2697c&amp;submit=Search</v>
      </c>
    </row>
    <row r="2777" spans="1:11">
      <c r="A2777" t="s">
        <v>1882</v>
      </c>
      <c r="B2777" t="s">
        <v>1882</v>
      </c>
      <c r="C2777" t="s">
        <v>9567</v>
      </c>
      <c r="D2777" t="s">
        <v>9587</v>
      </c>
      <c r="E2777" t="s">
        <v>15905</v>
      </c>
      <c r="F2777" t="s">
        <v>15906</v>
      </c>
      <c r="G2777" t="s">
        <v>19188</v>
      </c>
      <c r="H2777" t="s">
        <v>19233</v>
      </c>
      <c r="I2777" t="s">
        <v>18774</v>
      </c>
      <c r="K2777" t="str">
        <f>HYPERLINK("http://tuberculist.epfl.ch/quicksearch.php?gene+name=Rv2698&amp;submit=Search")</f>
        <v>http://tuberculist.epfl.ch/quicksearch.php?gene+name=Rv2698&amp;submit=Search</v>
      </c>
    </row>
    <row r="2778" spans="1:11">
      <c r="A2778" t="s">
        <v>2063</v>
      </c>
      <c r="B2778" t="s">
        <v>2063</v>
      </c>
      <c r="C2778" t="s">
        <v>9567</v>
      </c>
      <c r="D2778" t="s">
        <v>9578</v>
      </c>
      <c r="E2778" t="s">
        <v>9579</v>
      </c>
      <c r="F2778" t="s">
        <v>15907</v>
      </c>
      <c r="G2778" t="s">
        <v>19210</v>
      </c>
      <c r="H2778" t="s">
        <v>19334</v>
      </c>
      <c r="I2778" t="s">
        <v>18779</v>
      </c>
      <c r="J2778" t="s">
        <v>18775</v>
      </c>
      <c r="K2778" t="str">
        <f>HYPERLINK("http://tuberculist.epfl.ch/quicksearch.php?gene+name=Rv2699c&amp;submit=Search")</f>
        <v>http://tuberculist.epfl.ch/quicksearch.php?gene+name=Rv2699c&amp;submit=Search</v>
      </c>
    </row>
    <row r="2779" spans="1:11">
      <c r="A2779" t="s">
        <v>2112</v>
      </c>
      <c r="B2779" t="s">
        <v>2112</v>
      </c>
      <c r="C2779" t="s">
        <v>9567</v>
      </c>
      <c r="D2779" t="s">
        <v>9587</v>
      </c>
      <c r="E2779" t="s">
        <v>15908</v>
      </c>
      <c r="F2779" t="s">
        <v>15909</v>
      </c>
      <c r="G2779" t="s">
        <v>19188</v>
      </c>
      <c r="H2779" t="s">
        <v>19942</v>
      </c>
      <c r="I2779" t="s">
        <v>18774</v>
      </c>
      <c r="J2779" t="s">
        <v>19064</v>
      </c>
      <c r="K2779" t="str">
        <f>HYPERLINK("http://tuberculist.epfl.ch/quicksearch.php?gene+name=Rv2700&amp;submit=Search")</f>
        <v>http://tuberculist.epfl.ch/quicksearch.php?gene+name=Rv2700&amp;submit=Search</v>
      </c>
    </row>
    <row r="2780" spans="1:11">
      <c r="A2780" t="s">
        <v>4389</v>
      </c>
      <c r="B2780" t="s">
        <v>960</v>
      </c>
      <c r="C2780" t="s">
        <v>9567</v>
      </c>
      <c r="D2780" t="s">
        <v>15910</v>
      </c>
      <c r="E2780" t="s">
        <v>15911</v>
      </c>
      <c r="F2780" t="s">
        <v>15912</v>
      </c>
      <c r="G2780" t="s">
        <v>19195</v>
      </c>
      <c r="H2780" t="s">
        <v>19334</v>
      </c>
      <c r="I2780" t="s">
        <v>19065</v>
      </c>
      <c r="K2780" t="str">
        <f>HYPERLINK("http://tuberculist.epfl.ch/quicksearch.php?gene+name=Rv2701c&amp;submit=Search")</f>
        <v>http://tuberculist.epfl.ch/quicksearch.php?gene+name=Rv2701c&amp;submit=Search</v>
      </c>
    </row>
    <row r="2781" spans="1:11">
      <c r="A2781" t="s">
        <v>6671</v>
      </c>
      <c r="B2781" t="s">
        <v>2097</v>
      </c>
      <c r="C2781" t="s">
        <v>9567</v>
      </c>
      <c r="D2781" t="s">
        <v>15913</v>
      </c>
      <c r="E2781" t="s">
        <v>15914</v>
      </c>
      <c r="F2781" t="s">
        <v>15915</v>
      </c>
      <c r="G2781" t="s">
        <v>19195</v>
      </c>
      <c r="H2781" t="s">
        <v>19287</v>
      </c>
      <c r="I2781" t="s">
        <v>19066</v>
      </c>
      <c r="K2781" t="str">
        <f>HYPERLINK("http://tuberculist.epfl.ch/quicksearch.php?gene+name=Rv2702&amp;submit=Search")</f>
        <v>http://tuberculist.epfl.ch/quicksearch.php?gene+name=Rv2702&amp;submit=Search</v>
      </c>
    </row>
    <row r="2782" spans="1:11">
      <c r="A2782" t="s">
        <v>8950</v>
      </c>
      <c r="B2782" t="s">
        <v>3203</v>
      </c>
      <c r="C2782" t="s">
        <v>9567</v>
      </c>
      <c r="D2782" t="s">
        <v>15916</v>
      </c>
      <c r="E2782" t="s">
        <v>15917</v>
      </c>
      <c r="F2782" t="s">
        <v>15918</v>
      </c>
      <c r="G2782" t="s">
        <v>19181</v>
      </c>
      <c r="H2782" t="s">
        <v>19943</v>
      </c>
      <c r="I2782" t="s">
        <v>18774</v>
      </c>
      <c r="K2782" t="str">
        <f>HYPERLINK("http://tuberculist.epfl.ch/quicksearch.php?gene+name=Rv2703&amp;submit=Search")</f>
        <v>http://tuberculist.epfl.ch/quicksearch.php?gene+name=Rv2703&amp;submit=Search</v>
      </c>
    </row>
    <row r="2783" spans="1:11">
      <c r="A2783" t="s">
        <v>3057</v>
      </c>
      <c r="B2783" t="s">
        <v>3057</v>
      </c>
      <c r="C2783" t="s">
        <v>9567</v>
      </c>
      <c r="D2783" t="s">
        <v>9578</v>
      </c>
      <c r="E2783" t="s">
        <v>9665</v>
      </c>
      <c r="F2783" t="s">
        <v>15919</v>
      </c>
      <c r="G2783" t="s">
        <v>19185</v>
      </c>
      <c r="H2783" t="s">
        <v>19246</v>
      </c>
      <c r="I2783" t="s">
        <v>18779</v>
      </c>
      <c r="K2783" t="str">
        <f>HYPERLINK("http://tuberculist.epfl.ch/quicksearch.php?gene+name=Rv2704&amp;submit=Search")</f>
        <v>http://tuberculist.epfl.ch/quicksearch.php?gene+name=Rv2704&amp;submit=Search</v>
      </c>
    </row>
    <row r="2784" spans="1:11">
      <c r="A2784" t="s">
        <v>976</v>
      </c>
      <c r="B2784" t="s">
        <v>976</v>
      </c>
      <c r="C2784" t="s">
        <v>9567</v>
      </c>
      <c r="D2784" t="s">
        <v>9578</v>
      </c>
      <c r="E2784" t="s">
        <v>9579</v>
      </c>
      <c r="F2784" t="s">
        <v>15920</v>
      </c>
      <c r="G2784" t="s">
        <v>19212</v>
      </c>
      <c r="H2784" t="s">
        <v>19213</v>
      </c>
      <c r="I2784" t="s">
        <v>18789</v>
      </c>
      <c r="K2784" t="str">
        <f>HYPERLINK("http://tuberculist.epfl.ch/quicksearch.php?gene+name=Rv2705c&amp;submit=Search")</f>
        <v>http://tuberculist.epfl.ch/quicksearch.php?gene+name=Rv2705c&amp;submit=Search</v>
      </c>
    </row>
    <row r="2785" spans="1:11">
      <c r="A2785" t="s">
        <v>1842</v>
      </c>
      <c r="B2785" t="s">
        <v>1842</v>
      </c>
      <c r="C2785" t="s">
        <v>9567</v>
      </c>
      <c r="D2785" t="s">
        <v>9587</v>
      </c>
      <c r="E2785" t="s">
        <v>9713</v>
      </c>
      <c r="F2785" t="s">
        <v>15921</v>
      </c>
      <c r="G2785" t="s">
        <v>19212</v>
      </c>
      <c r="I2785" t="s">
        <v>18780</v>
      </c>
      <c r="K2785" t="str">
        <f>HYPERLINK("http://tuberculist.epfl.ch/quicksearch.php?gene+name=Rv2706c&amp;submit=Search")</f>
        <v>http://tuberculist.epfl.ch/quicksearch.php?gene+name=Rv2706c&amp;submit=Search</v>
      </c>
    </row>
    <row r="2786" spans="1:11">
      <c r="A2786" t="s">
        <v>2185</v>
      </c>
      <c r="B2786" t="s">
        <v>2185</v>
      </c>
      <c r="C2786" t="s">
        <v>9567</v>
      </c>
      <c r="D2786" t="s">
        <v>9587</v>
      </c>
      <c r="E2786" t="s">
        <v>15748</v>
      </c>
      <c r="F2786" t="s">
        <v>15922</v>
      </c>
      <c r="G2786" t="s">
        <v>19210</v>
      </c>
      <c r="I2786" t="s">
        <v>18828</v>
      </c>
      <c r="K2786" t="str">
        <f>HYPERLINK("http://tuberculist.epfl.ch/quicksearch.php?gene+name=Rv2707&amp;submit=Search")</f>
        <v>http://tuberculist.epfl.ch/quicksearch.php?gene+name=Rv2707&amp;submit=Search</v>
      </c>
    </row>
    <row r="2787" spans="1:11">
      <c r="A2787" t="s">
        <v>352</v>
      </c>
      <c r="B2787" t="s">
        <v>352</v>
      </c>
      <c r="C2787" t="s">
        <v>9567</v>
      </c>
      <c r="D2787" t="s">
        <v>9578</v>
      </c>
      <c r="E2787" t="s">
        <v>9579</v>
      </c>
      <c r="F2787" t="s">
        <v>15923</v>
      </c>
      <c r="G2787" t="s">
        <v>19210</v>
      </c>
      <c r="I2787" t="s">
        <v>18786</v>
      </c>
      <c r="K2787" t="str">
        <f>HYPERLINK("http://tuberculist.epfl.ch/quicksearch.php?gene+name=Rv2708c&amp;submit=Search")</f>
        <v>http://tuberculist.epfl.ch/quicksearch.php?gene+name=Rv2708c&amp;submit=Search</v>
      </c>
    </row>
    <row r="2788" spans="1:11">
      <c r="A2788" t="s">
        <v>1594</v>
      </c>
      <c r="B2788" t="s">
        <v>1594</v>
      </c>
      <c r="C2788" t="s">
        <v>9567</v>
      </c>
      <c r="D2788" t="s">
        <v>9587</v>
      </c>
      <c r="E2788" t="s">
        <v>9597</v>
      </c>
      <c r="F2788" t="s">
        <v>15924</v>
      </c>
      <c r="G2788" t="s">
        <v>19188</v>
      </c>
      <c r="I2788" t="s">
        <v>18780</v>
      </c>
      <c r="K2788" t="str">
        <f>HYPERLINK("http://tuberculist.epfl.ch/quicksearch.php?gene+name=Rv2709&amp;submit=Search")</f>
        <v>http://tuberculist.epfl.ch/quicksearch.php?gene+name=Rv2709&amp;submit=Search</v>
      </c>
    </row>
    <row r="2789" spans="1:11">
      <c r="A2789" t="s">
        <v>9073</v>
      </c>
      <c r="B2789" t="s">
        <v>3265</v>
      </c>
      <c r="C2789" t="s">
        <v>9567</v>
      </c>
      <c r="D2789" t="s">
        <v>15925</v>
      </c>
      <c r="E2789" t="s">
        <v>9074</v>
      </c>
      <c r="F2789" t="s">
        <v>15926</v>
      </c>
      <c r="G2789" t="s">
        <v>19181</v>
      </c>
      <c r="H2789" t="s">
        <v>19944</v>
      </c>
      <c r="I2789" t="s">
        <v>18985</v>
      </c>
      <c r="J2789" t="s">
        <v>19067</v>
      </c>
      <c r="K2789" t="str">
        <f>HYPERLINK("http://tuberculist.epfl.ch/quicksearch.php?gene+name=Rv2710&amp;submit=Search")</f>
        <v>http://tuberculist.epfl.ch/quicksearch.php?gene+name=Rv2710&amp;submit=Search</v>
      </c>
    </row>
    <row r="2790" spans="1:11">
      <c r="A2790" t="s">
        <v>5791</v>
      </c>
      <c r="B2790" t="s">
        <v>1652</v>
      </c>
      <c r="C2790" t="s">
        <v>9567</v>
      </c>
      <c r="D2790" t="s">
        <v>15927</v>
      </c>
      <c r="E2790" t="s">
        <v>15928</v>
      </c>
      <c r="F2790" t="s">
        <v>15929</v>
      </c>
      <c r="G2790" t="s">
        <v>19197</v>
      </c>
      <c r="H2790" t="s">
        <v>19945</v>
      </c>
      <c r="I2790" t="s">
        <v>19068</v>
      </c>
      <c r="J2790" t="s">
        <v>18965</v>
      </c>
      <c r="K2790" t="str">
        <f>HYPERLINK("http://tuberculist.epfl.ch/quicksearch.php?gene+name=Rv2711&amp;submit=Search")</f>
        <v>http://tuberculist.epfl.ch/quicksearch.php?gene+name=Rv2711&amp;submit=Search</v>
      </c>
    </row>
    <row r="2791" spans="1:11">
      <c r="A2791" t="s">
        <v>1059</v>
      </c>
      <c r="B2791" t="s">
        <v>1059</v>
      </c>
      <c r="C2791" t="s">
        <v>9567</v>
      </c>
      <c r="D2791" t="s">
        <v>9587</v>
      </c>
      <c r="E2791" t="s">
        <v>9713</v>
      </c>
      <c r="F2791" t="s">
        <v>15930</v>
      </c>
      <c r="G2791" t="s">
        <v>19204</v>
      </c>
      <c r="I2791" t="s">
        <v>18789</v>
      </c>
      <c r="K2791" t="str">
        <f>HYPERLINK("http://tuberculist.epfl.ch/quicksearch.php?gene+name=Rv2712c&amp;submit=Search")</f>
        <v>http://tuberculist.epfl.ch/quicksearch.php?gene+name=Rv2712c&amp;submit=Search</v>
      </c>
    </row>
    <row r="2792" spans="1:11">
      <c r="A2792" t="s">
        <v>8083</v>
      </c>
      <c r="B2792" t="s">
        <v>2798</v>
      </c>
      <c r="C2792" t="s">
        <v>9567</v>
      </c>
      <c r="D2792" t="s">
        <v>15931</v>
      </c>
      <c r="E2792" t="s">
        <v>15932</v>
      </c>
      <c r="F2792" t="s">
        <v>15933</v>
      </c>
      <c r="G2792" t="s">
        <v>19195</v>
      </c>
      <c r="H2792" t="s">
        <v>19946</v>
      </c>
      <c r="I2792" t="s">
        <v>18789</v>
      </c>
      <c r="K2792" t="str">
        <f>HYPERLINK("http://tuberculist.epfl.ch/quicksearch.php?gene+name=Rv2713&amp;submit=Search")</f>
        <v>http://tuberculist.epfl.ch/quicksearch.php?gene+name=Rv2713&amp;submit=Search</v>
      </c>
    </row>
    <row r="2793" spans="1:11">
      <c r="A2793" t="s">
        <v>937</v>
      </c>
      <c r="B2793" t="s">
        <v>937</v>
      </c>
      <c r="C2793" t="s">
        <v>9567</v>
      </c>
      <c r="D2793" t="s">
        <v>9578</v>
      </c>
      <c r="E2793" t="s">
        <v>15934</v>
      </c>
      <c r="F2793" t="s">
        <v>15935</v>
      </c>
      <c r="G2793" t="s">
        <v>19210</v>
      </c>
      <c r="H2793" t="s">
        <v>19899</v>
      </c>
      <c r="I2793" t="s">
        <v>18789</v>
      </c>
      <c r="K2793" t="str">
        <f>HYPERLINK("http://tuberculist.epfl.ch/quicksearch.php?gene+name=Rv2714&amp;submit=Search")</f>
        <v>http://tuberculist.epfl.ch/quicksearch.php?gene+name=Rv2714&amp;submit=Search</v>
      </c>
    </row>
    <row r="2794" spans="1:11">
      <c r="A2794" t="s">
        <v>2875</v>
      </c>
      <c r="B2794" t="s">
        <v>2875</v>
      </c>
      <c r="C2794" t="s">
        <v>9567</v>
      </c>
      <c r="D2794" t="s">
        <v>9682</v>
      </c>
      <c r="E2794" t="s">
        <v>9686</v>
      </c>
      <c r="F2794" t="s">
        <v>15936</v>
      </c>
      <c r="G2794" t="s">
        <v>19195</v>
      </c>
      <c r="H2794" t="s">
        <v>19196</v>
      </c>
      <c r="I2794" t="s">
        <v>18789</v>
      </c>
      <c r="K2794" t="str">
        <f>HYPERLINK("http://tuberculist.epfl.ch/quicksearch.php?gene+name=Rv2715&amp;submit=Search")</f>
        <v>http://tuberculist.epfl.ch/quicksearch.php?gene+name=Rv2715&amp;submit=Search</v>
      </c>
    </row>
    <row r="2795" spans="1:11">
      <c r="A2795" t="s">
        <v>1511</v>
      </c>
      <c r="B2795" t="s">
        <v>1511</v>
      </c>
      <c r="C2795" t="s">
        <v>9567</v>
      </c>
      <c r="D2795" t="s">
        <v>9578</v>
      </c>
      <c r="E2795" t="s">
        <v>9665</v>
      </c>
      <c r="F2795" t="s">
        <v>15937</v>
      </c>
      <c r="G2795" t="s">
        <v>19204</v>
      </c>
      <c r="H2795" t="s">
        <v>19947</v>
      </c>
      <c r="I2795" t="s">
        <v>18780</v>
      </c>
      <c r="K2795" t="str">
        <f>HYPERLINK("http://tuberculist.epfl.ch/quicksearch.php?gene+name=Rv2716&amp;submit=Search")</f>
        <v>http://tuberculist.epfl.ch/quicksearch.php?gene+name=Rv2716&amp;submit=Search</v>
      </c>
    </row>
    <row r="2796" spans="1:11">
      <c r="A2796" t="s">
        <v>2757</v>
      </c>
      <c r="B2796" t="s">
        <v>2757</v>
      </c>
      <c r="C2796" t="s">
        <v>9567</v>
      </c>
      <c r="D2796" t="s">
        <v>9578</v>
      </c>
      <c r="E2796" t="s">
        <v>9665</v>
      </c>
      <c r="F2796" t="s">
        <v>15938</v>
      </c>
      <c r="G2796" t="s">
        <v>19204</v>
      </c>
      <c r="H2796" t="s">
        <v>19233</v>
      </c>
      <c r="I2796" t="s">
        <v>18780</v>
      </c>
      <c r="K2796" t="str">
        <f>HYPERLINK("http://tuberculist.epfl.ch/quicksearch.php?gene+name=Rv2717c&amp;submit=Search")</f>
        <v>http://tuberculist.epfl.ch/quicksearch.php?gene+name=Rv2717c&amp;submit=Search</v>
      </c>
    </row>
    <row r="2797" spans="1:11">
      <c r="A2797" t="s">
        <v>9191</v>
      </c>
      <c r="B2797" t="s">
        <v>3320</v>
      </c>
      <c r="C2797" t="s">
        <v>9567</v>
      </c>
      <c r="D2797" t="s">
        <v>9969</v>
      </c>
      <c r="E2797" t="s">
        <v>15939</v>
      </c>
      <c r="F2797" t="s">
        <v>15940</v>
      </c>
      <c r="G2797" t="s">
        <v>19197</v>
      </c>
      <c r="H2797" t="s">
        <v>19856</v>
      </c>
      <c r="I2797" t="s">
        <v>19069</v>
      </c>
      <c r="K2797" t="str">
        <f>HYPERLINK("http://tuberculist.epfl.ch/quicksearch.php?gene+name=Rv2718c&amp;submit=Search")</f>
        <v>http://tuberculist.epfl.ch/quicksearch.php?gene+name=Rv2718c&amp;submit=Search</v>
      </c>
    </row>
    <row r="2798" spans="1:11">
      <c r="A2798" t="s">
        <v>15941</v>
      </c>
      <c r="B2798" t="s">
        <v>15941</v>
      </c>
      <c r="C2798" t="s">
        <v>9567</v>
      </c>
      <c r="D2798" t="s">
        <v>9587</v>
      </c>
      <c r="E2798" t="s">
        <v>9588</v>
      </c>
      <c r="F2798" t="s">
        <v>15942</v>
      </c>
      <c r="G2798" t="s">
        <v>19188</v>
      </c>
      <c r="I2798" t="s">
        <v>18793</v>
      </c>
      <c r="J2798" t="s">
        <v>18855</v>
      </c>
      <c r="K2798" t="str">
        <f>HYPERLINK("http://tuberculist.epfl.ch/quicksearch.php?gene+name=Rv2719c&amp;submit=Search")</f>
        <v>http://tuberculist.epfl.ch/quicksearch.php?gene+name=Rv2719c&amp;submit=Search</v>
      </c>
    </row>
    <row r="2799" spans="1:11">
      <c r="A2799" t="s">
        <v>7311</v>
      </c>
      <c r="B2799" t="s">
        <v>2414</v>
      </c>
      <c r="C2799" t="s">
        <v>9567</v>
      </c>
      <c r="D2799" t="s">
        <v>15943</v>
      </c>
      <c r="E2799" t="s">
        <v>15944</v>
      </c>
      <c r="F2799" t="s">
        <v>15945</v>
      </c>
      <c r="G2799" t="s">
        <v>19197</v>
      </c>
      <c r="H2799" t="s">
        <v>19287</v>
      </c>
      <c r="I2799" t="s">
        <v>18788</v>
      </c>
      <c r="J2799" t="s">
        <v>18847</v>
      </c>
      <c r="K2799" t="str">
        <f>HYPERLINK("http://tuberculist.epfl.ch/quicksearch.php?gene+name=Rv2720&amp;submit=Search")</f>
        <v>http://tuberculist.epfl.ch/quicksearch.php?gene+name=Rv2720&amp;submit=Search</v>
      </c>
    </row>
    <row r="2800" spans="1:11">
      <c r="A2800" t="s">
        <v>3130</v>
      </c>
      <c r="B2800" t="s">
        <v>3130</v>
      </c>
      <c r="C2800" t="s">
        <v>9567</v>
      </c>
      <c r="D2800" t="s">
        <v>9587</v>
      </c>
      <c r="E2800" t="s">
        <v>15946</v>
      </c>
      <c r="F2800" t="s">
        <v>15947</v>
      </c>
      <c r="G2800" t="s">
        <v>19188</v>
      </c>
      <c r="H2800" t="s">
        <v>19948</v>
      </c>
      <c r="I2800" t="s">
        <v>18789</v>
      </c>
      <c r="K2800" t="str">
        <f>HYPERLINK("http://tuberculist.epfl.ch/quicksearch.php?gene+name=Rv2721c&amp;submit=Search")</f>
        <v>http://tuberculist.epfl.ch/quicksearch.php?gene+name=Rv2721c&amp;submit=Search</v>
      </c>
    </row>
    <row r="2801" spans="1:11">
      <c r="A2801" t="s">
        <v>15948</v>
      </c>
      <c r="B2801" t="s">
        <v>15948</v>
      </c>
      <c r="C2801" t="s">
        <v>9567</v>
      </c>
      <c r="D2801" t="s">
        <v>9578</v>
      </c>
      <c r="E2801" t="s">
        <v>9579</v>
      </c>
      <c r="F2801" t="s">
        <v>15949</v>
      </c>
      <c r="G2801" t="s">
        <v>19212</v>
      </c>
      <c r="I2801" t="s">
        <v>18780</v>
      </c>
      <c r="K2801" t="str">
        <f>HYPERLINK("http://tuberculist.epfl.ch/quicksearch.php?gene+name=Rv2722&amp;submit=Search")</f>
        <v>http://tuberculist.epfl.ch/quicksearch.php?gene+name=Rv2722&amp;submit=Search</v>
      </c>
    </row>
    <row r="2802" spans="1:11">
      <c r="A2802" t="s">
        <v>2193</v>
      </c>
      <c r="B2802" t="s">
        <v>2193</v>
      </c>
      <c r="C2802" t="s">
        <v>9567</v>
      </c>
      <c r="D2802" t="s">
        <v>9587</v>
      </c>
      <c r="E2802" t="s">
        <v>9668</v>
      </c>
      <c r="F2802" t="s">
        <v>15950</v>
      </c>
      <c r="G2802" t="s">
        <v>19188</v>
      </c>
      <c r="H2802" t="s">
        <v>19192</v>
      </c>
      <c r="I2802" t="s">
        <v>18780</v>
      </c>
      <c r="K2802" t="str">
        <f>HYPERLINK("http://tuberculist.epfl.ch/quicksearch.php?gene+name=Rv2723&amp;submit=Search")</f>
        <v>http://tuberculist.epfl.ch/quicksearch.php?gene+name=Rv2723&amp;submit=Search</v>
      </c>
    </row>
    <row r="2803" spans="1:11">
      <c r="A2803" t="s">
        <v>5771</v>
      </c>
      <c r="B2803" t="s">
        <v>1643</v>
      </c>
      <c r="C2803" t="s">
        <v>9567</v>
      </c>
      <c r="D2803" t="s">
        <v>9662</v>
      </c>
      <c r="E2803" t="s">
        <v>15951</v>
      </c>
      <c r="F2803" t="s">
        <v>15952</v>
      </c>
      <c r="G2803" t="s">
        <v>19219</v>
      </c>
      <c r="H2803" t="s">
        <v>19213</v>
      </c>
      <c r="I2803" t="s">
        <v>18780</v>
      </c>
      <c r="K2803" t="str">
        <f>HYPERLINK("http://tuberculist.epfl.ch/quicksearch.php?gene+name=Rv2724c&amp;submit=Search")</f>
        <v>http://tuberculist.epfl.ch/quicksearch.php?gene+name=Rv2724c&amp;submit=Search</v>
      </c>
    </row>
    <row r="2804" spans="1:11">
      <c r="A2804" t="s">
        <v>6784</v>
      </c>
      <c r="B2804" t="s">
        <v>2155</v>
      </c>
      <c r="C2804" t="s">
        <v>9567</v>
      </c>
      <c r="D2804" t="s">
        <v>15953</v>
      </c>
      <c r="E2804" t="s">
        <v>15954</v>
      </c>
      <c r="F2804" t="s">
        <v>15955</v>
      </c>
      <c r="G2804" t="s">
        <v>19195</v>
      </c>
      <c r="H2804" t="s">
        <v>19207</v>
      </c>
      <c r="I2804" t="s">
        <v>18780</v>
      </c>
      <c r="K2804" t="str">
        <f>HYPERLINK("http://tuberculist.epfl.ch/quicksearch.php?gene+name=Rv2725c&amp;submit=Search")</f>
        <v>http://tuberculist.epfl.ch/quicksearch.php?gene+name=Rv2725c&amp;submit=Search</v>
      </c>
    </row>
    <row r="2805" spans="1:11">
      <c r="A2805" t="s">
        <v>5559</v>
      </c>
      <c r="B2805" t="s">
        <v>1546</v>
      </c>
      <c r="C2805" t="s">
        <v>9567</v>
      </c>
      <c r="D2805" t="s">
        <v>15956</v>
      </c>
      <c r="E2805" t="s">
        <v>15957</v>
      </c>
      <c r="F2805" t="s">
        <v>15958</v>
      </c>
      <c r="G2805" t="s">
        <v>19195</v>
      </c>
      <c r="H2805" t="s">
        <v>19196</v>
      </c>
      <c r="I2805" t="s">
        <v>18774</v>
      </c>
      <c r="K2805" t="str">
        <f>HYPERLINK("http://tuberculist.epfl.ch/quicksearch.php?gene+name=Rv2726c&amp;submit=Search")</f>
        <v>http://tuberculist.epfl.ch/quicksearch.php?gene+name=Rv2726c&amp;submit=Search</v>
      </c>
    </row>
    <row r="2806" spans="1:11">
      <c r="A2806" t="s">
        <v>3989</v>
      </c>
      <c r="B2806" t="s">
        <v>755</v>
      </c>
      <c r="C2806" t="s">
        <v>9567</v>
      </c>
      <c r="D2806" t="s">
        <v>15959</v>
      </c>
      <c r="E2806" t="s">
        <v>15960</v>
      </c>
      <c r="F2806" t="s">
        <v>15961</v>
      </c>
      <c r="G2806" t="s">
        <v>19195</v>
      </c>
      <c r="I2806" t="s">
        <v>18774</v>
      </c>
      <c r="K2806" t="str">
        <f>HYPERLINK("http://tuberculist.epfl.ch/quicksearch.php?gene+name=Rv2727c&amp;submit=Search")</f>
        <v>http://tuberculist.epfl.ch/quicksearch.php?gene+name=Rv2727c&amp;submit=Search</v>
      </c>
    </row>
    <row r="2807" spans="1:11">
      <c r="A2807" t="s">
        <v>15962</v>
      </c>
      <c r="B2807" t="s">
        <v>15962</v>
      </c>
      <c r="C2807" t="s">
        <v>9567</v>
      </c>
      <c r="D2807" t="s">
        <v>9578</v>
      </c>
      <c r="E2807" t="s">
        <v>15963</v>
      </c>
      <c r="F2807" t="s">
        <v>15964</v>
      </c>
      <c r="G2807" t="s">
        <v>19204</v>
      </c>
      <c r="H2807" t="s">
        <v>19192</v>
      </c>
      <c r="I2807" t="s">
        <v>18780</v>
      </c>
      <c r="K2807" t="str">
        <f>HYPERLINK("http://tuberculist.epfl.ch/quicksearch.php?gene+name=Rv2728c&amp;submit=Search")</f>
        <v>http://tuberculist.epfl.ch/quicksearch.php?gene+name=Rv2728c&amp;submit=Search</v>
      </c>
    </row>
    <row r="2808" spans="1:11">
      <c r="A2808" t="s">
        <v>1578</v>
      </c>
      <c r="B2808" t="s">
        <v>1578</v>
      </c>
      <c r="C2808" t="s">
        <v>9567</v>
      </c>
      <c r="D2808" t="s">
        <v>9587</v>
      </c>
      <c r="E2808" t="s">
        <v>15965</v>
      </c>
      <c r="F2808" t="s">
        <v>15966</v>
      </c>
      <c r="G2808" t="s">
        <v>19188</v>
      </c>
      <c r="I2808" t="s">
        <v>18780</v>
      </c>
      <c r="K2808" t="str">
        <f>HYPERLINK("http://tuberculist.epfl.ch/quicksearch.php?gene+name=Rv2729c&amp;submit=Search")</f>
        <v>http://tuberculist.epfl.ch/quicksearch.php?gene+name=Rv2729c&amp;submit=Search</v>
      </c>
    </row>
    <row r="2809" spans="1:11">
      <c r="A2809" t="s">
        <v>15967</v>
      </c>
      <c r="B2809" t="s">
        <v>15967</v>
      </c>
      <c r="C2809" t="s">
        <v>9567</v>
      </c>
      <c r="D2809" t="s">
        <v>9587</v>
      </c>
      <c r="E2809" t="s">
        <v>9713</v>
      </c>
      <c r="F2809" t="s">
        <v>15968</v>
      </c>
      <c r="G2809" t="s">
        <v>19212</v>
      </c>
      <c r="I2809" t="s">
        <v>18789</v>
      </c>
      <c r="K2809" t="str">
        <f>HYPERLINK("http://tuberculist.epfl.ch/quicksearch.php?gene+name=Rv2730&amp;submit=Search")</f>
        <v>http://tuberculist.epfl.ch/quicksearch.php?gene+name=Rv2730&amp;submit=Search</v>
      </c>
    </row>
    <row r="2810" spans="1:11">
      <c r="A2810" t="s">
        <v>1883</v>
      </c>
      <c r="B2810" t="s">
        <v>1883</v>
      </c>
      <c r="C2810" t="s">
        <v>9567</v>
      </c>
      <c r="D2810" t="s">
        <v>9578</v>
      </c>
      <c r="E2810" t="s">
        <v>15969</v>
      </c>
      <c r="F2810" t="s">
        <v>15970</v>
      </c>
      <c r="G2810" t="s">
        <v>19204</v>
      </c>
      <c r="H2810" t="s">
        <v>19949</v>
      </c>
      <c r="I2810" t="s">
        <v>18780</v>
      </c>
      <c r="K2810" t="str">
        <f>HYPERLINK("http://tuberculist.epfl.ch/quicksearch.php?gene+name=Rv2731&amp;submit=Search")</f>
        <v>http://tuberculist.epfl.ch/quicksearch.php?gene+name=Rv2731&amp;submit=Search</v>
      </c>
    </row>
    <row r="2811" spans="1:11">
      <c r="A2811" t="s">
        <v>592</v>
      </c>
      <c r="B2811" t="s">
        <v>592</v>
      </c>
      <c r="C2811" t="s">
        <v>9567</v>
      </c>
      <c r="D2811" t="s">
        <v>9587</v>
      </c>
      <c r="E2811" t="s">
        <v>9597</v>
      </c>
      <c r="F2811" t="s">
        <v>15971</v>
      </c>
      <c r="G2811" t="s">
        <v>19188</v>
      </c>
      <c r="H2811" t="s">
        <v>19192</v>
      </c>
      <c r="I2811" t="s">
        <v>18793</v>
      </c>
      <c r="K2811" t="str">
        <f>HYPERLINK("http://tuberculist.epfl.ch/quicksearch.php?gene+name=Rv2732c&amp;submit=Search")</f>
        <v>http://tuberculist.epfl.ch/quicksearch.php?gene+name=Rv2732c&amp;submit=Search</v>
      </c>
    </row>
    <row r="2812" spans="1:11">
      <c r="A2812" t="s">
        <v>1654</v>
      </c>
      <c r="B2812" t="s">
        <v>1654</v>
      </c>
      <c r="C2812" t="s">
        <v>9567</v>
      </c>
      <c r="D2812" t="s">
        <v>9587</v>
      </c>
      <c r="E2812" t="s">
        <v>15972</v>
      </c>
      <c r="F2812" t="s">
        <v>15973</v>
      </c>
      <c r="G2812" t="s">
        <v>19204</v>
      </c>
      <c r="I2812" t="s">
        <v>18780</v>
      </c>
      <c r="K2812" t="str">
        <f>HYPERLINK("http://tuberculist.epfl.ch/quicksearch.php?gene+name=Rv2733c&amp;submit=Search")</f>
        <v>http://tuberculist.epfl.ch/quicksearch.php?gene+name=Rv2733c&amp;submit=Search</v>
      </c>
    </row>
    <row r="2813" spans="1:11">
      <c r="A2813" t="s">
        <v>1955</v>
      </c>
      <c r="B2813" t="s">
        <v>1955</v>
      </c>
      <c r="C2813" t="s">
        <v>9567</v>
      </c>
      <c r="D2813" t="s">
        <v>9578</v>
      </c>
      <c r="E2813" t="s">
        <v>9579</v>
      </c>
      <c r="F2813" t="s">
        <v>15974</v>
      </c>
      <c r="G2813" t="s">
        <v>19210</v>
      </c>
      <c r="H2813" t="s">
        <v>19207</v>
      </c>
      <c r="I2813" t="s">
        <v>18811</v>
      </c>
      <c r="K2813" t="str">
        <f>HYPERLINK("http://tuberculist.epfl.ch/quicksearch.php?gene+name=Rv2734&amp;submit=Search")</f>
        <v>http://tuberculist.epfl.ch/quicksearch.php?gene+name=Rv2734&amp;submit=Search</v>
      </c>
    </row>
    <row r="2814" spans="1:11">
      <c r="A2814" t="s">
        <v>1760</v>
      </c>
      <c r="B2814" t="s">
        <v>1760</v>
      </c>
      <c r="C2814" t="s">
        <v>9567</v>
      </c>
      <c r="D2814" t="s">
        <v>9587</v>
      </c>
      <c r="E2814" t="s">
        <v>9579</v>
      </c>
      <c r="F2814" t="s">
        <v>15975</v>
      </c>
      <c r="G2814" t="s">
        <v>19185</v>
      </c>
      <c r="I2814" t="s">
        <v>18779</v>
      </c>
      <c r="K2814" t="str">
        <f>HYPERLINK("http://tuberculist.epfl.ch/quicksearch.php?gene+name=Rv2735c&amp;submit=Search")</f>
        <v>http://tuberculist.epfl.ch/quicksearch.php?gene+name=Rv2735c&amp;submit=Search</v>
      </c>
    </row>
    <row r="2815" spans="1:11">
      <c r="A2815" t="s">
        <v>8618</v>
      </c>
      <c r="B2815" t="s">
        <v>3050</v>
      </c>
      <c r="C2815" t="s">
        <v>9567</v>
      </c>
      <c r="D2815" t="s">
        <v>15976</v>
      </c>
      <c r="E2815" t="s">
        <v>15977</v>
      </c>
      <c r="F2815" t="s">
        <v>15978</v>
      </c>
      <c r="G2815" t="s">
        <v>19181</v>
      </c>
      <c r="H2815" t="s">
        <v>19207</v>
      </c>
      <c r="I2815" t="s">
        <v>18793</v>
      </c>
      <c r="K2815" t="str">
        <f>HYPERLINK("http://tuberculist.epfl.ch/quicksearch.php?gene+name=Rv2736c&amp;submit=Search")</f>
        <v>http://tuberculist.epfl.ch/quicksearch.php?gene+name=Rv2736c&amp;submit=Search</v>
      </c>
    </row>
    <row r="2816" spans="1:11">
      <c r="A2816" t="s">
        <v>15979</v>
      </c>
      <c r="B2816" t="s">
        <v>15979</v>
      </c>
      <c r="C2816" t="s">
        <v>9567</v>
      </c>
      <c r="D2816" t="s">
        <v>9578</v>
      </c>
      <c r="E2816" t="s">
        <v>15980</v>
      </c>
      <c r="F2816" t="s">
        <v>15981</v>
      </c>
      <c r="G2816" t="s">
        <v>19212</v>
      </c>
      <c r="I2816" t="s">
        <v>18793</v>
      </c>
      <c r="K2816" t="str">
        <f>HYPERLINK("http://tuberculist.epfl.ch/quicksearch.php?gene+name=Rv2737A&amp;submit=Search")</f>
        <v>http://tuberculist.epfl.ch/quicksearch.php?gene+name=Rv2737A&amp;submit=Search</v>
      </c>
    </row>
    <row r="2817" spans="1:11">
      <c r="A2817" t="s">
        <v>7065</v>
      </c>
      <c r="B2817" t="s">
        <v>2292</v>
      </c>
      <c r="C2817" t="s">
        <v>9567</v>
      </c>
      <c r="D2817" t="s">
        <v>15982</v>
      </c>
      <c r="E2817" t="s">
        <v>15983</v>
      </c>
      <c r="F2817" t="s">
        <v>15984</v>
      </c>
      <c r="G2817" t="s">
        <v>19181</v>
      </c>
      <c r="H2817" t="s">
        <v>19215</v>
      </c>
      <c r="I2817" t="s">
        <v>18859</v>
      </c>
      <c r="K2817" t="str">
        <f>HYPERLINK("http://tuberculist.epfl.ch/quicksearch.php?gene+name=Rv2737c&amp;submit=Search")</f>
        <v>http://tuberculist.epfl.ch/quicksearch.php?gene+name=Rv2737c&amp;submit=Search</v>
      </c>
    </row>
    <row r="2818" spans="1:11">
      <c r="A2818" t="s">
        <v>15985</v>
      </c>
      <c r="B2818" t="s">
        <v>15985</v>
      </c>
      <c r="C2818" t="s">
        <v>9567</v>
      </c>
      <c r="D2818" t="s">
        <v>9578</v>
      </c>
      <c r="E2818" t="s">
        <v>9579</v>
      </c>
      <c r="F2818" t="s">
        <v>15986</v>
      </c>
      <c r="G2818" t="s">
        <v>19185</v>
      </c>
      <c r="I2818" t="s">
        <v>18780</v>
      </c>
      <c r="K2818" t="str">
        <f>HYPERLINK("http://tuberculist.epfl.ch/quicksearch.php?gene+name=Rv2738c&amp;submit=Search")</f>
        <v>http://tuberculist.epfl.ch/quicksearch.php?gene+name=Rv2738c&amp;submit=Search</v>
      </c>
    </row>
    <row r="2819" spans="1:11">
      <c r="A2819" t="s">
        <v>2173</v>
      </c>
      <c r="B2819" t="s">
        <v>2173</v>
      </c>
      <c r="C2819" t="s">
        <v>9567</v>
      </c>
      <c r="D2819" t="s">
        <v>9682</v>
      </c>
      <c r="E2819" t="s">
        <v>15987</v>
      </c>
      <c r="F2819" t="s">
        <v>15988</v>
      </c>
      <c r="G2819" t="s">
        <v>19195</v>
      </c>
      <c r="H2819" t="s">
        <v>19213</v>
      </c>
      <c r="I2819" t="s">
        <v>18801</v>
      </c>
      <c r="K2819" t="str">
        <f>HYPERLINK("http://tuberculist.epfl.ch/quicksearch.php?gene+name=Rv2739c&amp;submit=Search")</f>
        <v>http://tuberculist.epfl.ch/quicksearch.php?gene+name=Rv2739c&amp;submit=Search</v>
      </c>
    </row>
    <row r="2820" spans="1:11">
      <c r="A2820" t="s">
        <v>7125</v>
      </c>
      <c r="B2820" t="s">
        <v>2326</v>
      </c>
      <c r="C2820" t="s">
        <v>9567</v>
      </c>
      <c r="D2820" t="s">
        <v>15989</v>
      </c>
      <c r="E2820" t="s">
        <v>15990</v>
      </c>
      <c r="F2820" t="s">
        <v>15991</v>
      </c>
      <c r="G2820" t="s">
        <v>19206</v>
      </c>
      <c r="H2820" t="s">
        <v>19924</v>
      </c>
      <c r="I2820" t="s">
        <v>18789</v>
      </c>
      <c r="K2820" t="str">
        <f>HYPERLINK("http://tuberculist.epfl.ch/quicksearch.php?gene+name=Rv2740&amp;submit=Search")</f>
        <v>http://tuberculist.epfl.ch/quicksearch.php?gene+name=Rv2740&amp;submit=Search</v>
      </c>
    </row>
    <row r="2821" spans="1:11">
      <c r="A2821" t="s">
        <v>8758</v>
      </c>
      <c r="B2821" t="s">
        <v>3119</v>
      </c>
      <c r="C2821" t="s">
        <v>9567</v>
      </c>
      <c r="D2821" t="s">
        <v>9578</v>
      </c>
      <c r="E2821" t="s">
        <v>15992</v>
      </c>
      <c r="F2821" t="s">
        <v>15993</v>
      </c>
      <c r="G2821" t="s">
        <v>19262</v>
      </c>
      <c r="H2821" t="s">
        <v>19254</v>
      </c>
      <c r="I2821" t="s">
        <v>18793</v>
      </c>
      <c r="K2821" t="str">
        <f>HYPERLINK("http://tuberculist.epfl.ch/quicksearch.php?gene+name=Rv2741&amp;submit=Search")</f>
        <v>http://tuberculist.epfl.ch/quicksearch.php?gene+name=Rv2741&amp;submit=Search</v>
      </c>
    </row>
    <row r="2822" spans="1:11">
      <c r="A2822" t="s">
        <v>3297</v>
      </c>
      <c r="B2822" t="s">
        <v>3297</v>
      </c>
      <c r="C2822" t="s">
        <v>9567</v>
      </c>
      <c r="D2822" t="s">
        <v>9578</v>
      </c>
      <c r="E2822" t="s">
        <v>15994</v>
      </c>
      <c r="F2822" t="s">
        <v>15995</v>
      </c>
      <c r="G2822" t="s">
        <v>19212</v>
      </c>
      <c r="H2822" t="s">
        <v>19207</v>
      </c>
      <c r="I2822" t="s">
        <v>18780</v>
      </c>
      <c r="K2822" t="str">
        <f>HYPERLINK("http://tuberculist.epfl.ch/quicksearch.php?gene+name=Rv2742c&amp;submit=Search")</f>
        <v>http://tuberculist.epfl.ch/quicksearch.php?gene+name=Rv2742c&amp;submit=Search</v>
      </c>
    </row>
    <row r="2823" spans="1:11">
      <c r="A2823" t="s">
        <v>1324</v>
      </c>
      <c r="B2823" t="s">
        <v>1324</v>
      </c>
      <c r="C2823" t="s">
        <v>9567</v>
      </c>
      <c r="D2823" t="s">
        <v>9587</v>
      </c>
      <c r="E2823" t="s">
        <v>15996</v>
      </c>
      <c r="F2823" t="s">
        <v>15997</v>
      </c>
      <c r="G2823" t="s">
        <v>19188</v>
      </c>
      <c r="I2823" t="s">
        <v>18780</v>
      </c>
      <c r="K2823" t="str">
        <f>HYPERLINK("http://tuberculist.epfl.ch/quicksearch.php?gene+name=Rv2743c&amp;submit=Search")</f>
        <v>http://tuberculist.epfl.ch/quicksearch.php?gene+name=Rv2743c&amp;submit=Search</v>
      </c>
    </row>
    <row r="2824" spans="1:11">
      <c r="A2824" t="s">
        <v>264</v>
      </c>
      <c r="B2824" t="s">
        <v>265</v>
      </c>
      <c r="C2824" t="s">
        <v>9567</v>
      </c>
      <c r="D2824" t="s">
        <v>9587</v>
      </c>
      <c r="E2824" t="s">
        <v>15998</v>
      </c>
      <c r="F2824" t="s">
        <v>15999</v>
      </c>
      <c r="G2824" t="s">
        <v>19210</v>
      </c>
      <c r="H2824" t="s">
        <v>19950</v>
      </c>
      <c r="I2824" t="s">
        <v>18780</v>
      </c>
      <c r="K2824" t="str">
        <f>HYPERLINK("http://tuberculist.epfl.ch/quicksearch.php?gene+name=Rv2744c&amp;submit=Search")</f>
        <v>http://tuberculist.epfl.ch/quicksearch.php?gene+name=Rv2744c&amp;submit=Search</v>
      </c>
    </row>
    <row r="2825" spans="1:11">
      <c r="A2825" t="s">
        <v>16000</v>
      </c>
      <c r="B2825" t="s">
        <v>446</v>
      </c>
      <c r="C2825" t="s">
        <v>9567</v>
      </c>
      <c r="D2825" t="s">
        <v>16001</v>
      </c>
      <c r="E2825" t="s">
        <v>16002</v>
      </c>
      <c r="F2825" t="s">
        <v>16003</v>
      </c>
      <c r="G2825" t="s">
        <v>19197</v>
      </c>
      <c r="I2825" t="s">
        <v>18780</v>
      </c>
      <c r="J2825" t="s">
        <v>19070</v>
      </c>
      <c r="K2825" t="str">
        <f>HYPERLINK("http://tuberculist.epfl.ch/quicksearch.php?gene+name=Rv2745c&amp;submit=Search")</f>
        <v>http://tuberculist.epfl.ch/quicksearch.php?gene+name=Rv2745c&amp;submit=Search</v>
      </c>
    </row>
    <row r="2826" spans="1:11">
      <c r="A2826" t="s">
        <v>8735</v>
      </c>
      <c r="B2826" t="s">
        <v>3108</v>
      </c>
      <c r="C2826" t="s">
        <v>9567</v>
      </c>
      <c r="D2826" t="s">
        <v>16004</v>
      </c>
      <c r="E2826" t="s">
        <v>16005</v>
      </c>
      <c r="F2826" t="s">
        <v>16006</v>
      </c>
      <c r="G2826" t="s">
        <v>19219</v>
      </c>
      <c r="H2826" t="s">
        <v>19192</v>
      </c>
      <c r="I2826" t="s">
        <v>18774</v>
      </c>
      <c r="K2826" t="str">
        <f>HYPERLINK("http://tuberculist.epfl.ch/quicksearch.php?gene+name=Rv2746c&amp;submit=Search")</f>
        <v>http://tuberculist.epfl.ch/quicksearch.php?gene+name=Rv2746c&amp;submit=Search</v>
      </c>
    </row>
    <row r="2827" spans="1:11">
      <c r="A2827" t="s">
        <v>16007</v>
      </c>
      <c r="B2827" t="s">
        <v>2493</v>
      </c>
      <c r="C2827" t="s">
        <v>9567</v>
      </c>
      <c r="D2827" t="s">
        <v>16008</v>
      </c>
      <c r="E2827" t="s">
        <v>16009</v>
      </c>
      <c r="F2827" t="s">
        <v>16010</v>
      </c>
      <c r="G2827" t="s">
        <v>19195</v>
      </c>
      <c r="H2827" t="s">
        <v>19213</v>
      </c>
      <c r="I2827" t="s">
        <v>18774</v>
      </c>
      <c r="K2827" t="str">
        <f>HYPERLINK("http://tuberculist.epfl.ch/quicksearch.php?gene+name=Rv2747&amp;submit=Search")</f>
        <v>http://tuberculist.epfl.ch/quicksearch.php?gene+name=Rv2747&amp;submit=Search</v>
      </c>
    </row>
    <row r="2828" spans="1:11">
      <c r="A2828" t="s">
        <v>5947</v>
      </c>
      <c r="B2828" t="s">
        <v>1727</v>
      </c>
      <c r="C2828" t="s">
        <v>9567</v>
      </c>
      <c r="D2828" t="s">
        <v>16011</v>
      </c>
      <c r="E2828" t="s">
        <v>16012</v>
      </c>
      <c r="F2828" t="s">
        <v>16013</v>
      </c>
      <c r="G2828" t="s">
        <v>19188</v>
      </c>
      <c r="H2828" t="s">
        <v>19235</v>
      </c>
      <c r="I2828" t="s">
        <v>18774</v>
      </c>
      <c r="K2828" t="str">
        <f>HYPERLINK("http://tuberculist.epfl.ch/quicksearch.php?gene+name=Rv2748c&amp;submit=Search")</f>
        <v>http://tuberculist.epfl.ch/quicksearch.php?gene+name=Rv2748c&amp;submit=Search</v>
      </c>
    </row>
    <row r="2829" spans="1:11">
      <c r="A2829" t="s">
        <v>2044</v>
      </c>
      <c r="B2829" t="s">
        <v>2044</v>
      </c>
      <c r="C2829" t="s">
        <v>9567</v>
      </c>
      <c r="D2829" t="s">
        <v>9578</v>
      </c>
      <c r="E2829" t="s">
        <v>9665</v>
      </c>
      <c r="F2829" t="s">
        <v>16014</v>
      </c>
      <c r="G2829" t="s">
        <v>19212</v>
      </c>
      <c r="H2829" t="s">
        <v>19951</v>
      </c>
      <c r="I2829" t="s">
        <v>18780</v>
      </c>
      <c r="K2829" t="str">
        <f>HYPERLINK("http://tuberculist.epfl.ch/quicksearch.php?gene+name=Rv2749&amp;submit=Search")</f>
        <v>http://tuberculist.epfl.ch/quicksearch.php?gene+name=Rv2749&amp;submit=Search</v>
      </c>
    </row>
    <row r="2830" spans="1:11">
      <c r="A2830" t="s">
        <v>1736</v>
      </c>
      <c r="B2830" t="s">
        <v>1736</v>
      </c>
      <c r="C2830" t="s">
        <v>9567</v>
      </c>
      <c r="D2830" t="s">
        <v>9931</v>
      </c>
      <c r="E2830" t="s">
        <v>11202</v>
      </c>
      <c r="F2830" t="s">
        <v>16015</v>
      </c>
      <c r="G2830" t="s">
        <v>19195</v>
      </c>
      <c r="H2830" t="s">
        <v>19213</v>
      </c>
      <c r="I2830" t="s">
        <v>18780</v>
      </c>
      <c r="K2830" t="str">
        <f>HYPERLINK("http://tuberculist.epfl.ch/quicksearch.php?gene+name=Rv2750&amp;submit=Search")</f>
        <v>http://tuberculist.epfl.ch/quicksearch.php?gene+name=Rv2750&amp;submit=Search</v>
      </c>
    </row>
    <row r="2831" spans="1:11">
      <c r="A2831" t="s">
        <v>354</v>
      </c>
      <c r="B2831" t="s">
        <v>354</v>
      </c>
      <c r="C2831" t="s">
        <v>9567</v>
      </c>
      <c r="D2831" t="s">
        <v>9578</v>
      </c>
      <c r="E2831" t="s">
        <v>9665</v>
      </c>
      <c r="F2831" t="s">
        <v>16016</v>
      </c>
      <c r="G2831" t="s">
        <v>19204</v>
      </c>
      <c r="H2831" t="s">
        <v>19597</v>
      </c>
      <c r="I2831" t="s">
        <v>18777</v>
      </c>
      <c r="K2831" t="str">
        <f>HYPERLINK("http://tuberculist.epfl.ch/quicksearch.php?gene+name=Rv2751&amp;submit=Search")</f>
        <v>http://tuberculist.epfl.ch/quicksearch.php?gene+name=Rv2751&amp;submit=Search</v>
      </c>
    </row>
    <row r="2832" spans="1:11">
      <c r="A2832" t="s">
        <v>3071</v>
      </c>
      <c r="B2832" t="s">
        <v>3071</v>
      </c>
      <c r="C2832" t="s">
        <v>9567</v>
      </c>
      <c r="D2832" t="s">
        <v>9578</v>
      </c>
      <c r="E2832" t="s">
        <v>9579</v>
      </c>
      <c r="F2832" t="s">
        <v>16017</v>
      </c>
      <c r="G2832" t="s">
        <v>19204</v>
      </c>
      <c r="H2832" t="s">
        <v>19952</v>
      </c>
      <c r="I2832" t="s">
        <v>18793</v>
      </c>
      <c r="K2832" t="str">
        <f>HYPERLINK("http://tuberculist.epfl.ch/quicksearch.php?gene+name=Rv2752c&amp;submit=Search")</f>
        <v>http://tuberculist.epfl.ch/quicksearch.php?gene+name=Rv2752c&amp;submit=Search</v>
      </c>
    </row>
    <row r="2833" spans="1:11">
      <c r="A2833" t="s">
        <v>9064</v>
      </c>
      <c r="B2833" t="s">
        <v>3260</v>
      </c>
      <c r="C2833" t="s">
        <v>9567</v>
      </c>
      <c r="D2833" t="s">
        <v>16018</v>
      </c>
      <c r="E2833" t="s">
        <v>16019</v>
      </c>
      <c r="F2833" t="s">
        <v>16020</v>
      </c>
      <c r="G2833" t="s">
        <v>19195</v>
      </c>
      <c r="H2833" t="s">
        <v>19403</v>
      </c>
      <c r="I2833" t="s">
        <v>18774</v>
      </c>
      <c r="K2833" t="str">
        <f>HYPERLINK("http://tuberculist.epfl.ch/quicksearch.php?gene+name=Rv2753c&amp;submit=Search")</f>
        <v>http://tuberculist.epfl.ch/quicksearch.php?gene+name=Rv2753c&amp;submit=Search</v>
      </c>
    </row>
    <row r="2834" spans="1:11">
      <c r="A2834" t="s">
        <v>6898</v>
      </c>
      <c r="B2834" t="s">
        <v>2214</v>
      </c>
      <c r="C2834" t="s">
        <v>9567</v>
      </c>
      <c r="D2834" t="s">
        <v>16021</v>
      </c>
      <c r="E2834" t="s">
        <v>16022</v>
      </c>
      <c r="F2834" t="s">
        <v>16023</v>
      </c>
      <c r="G2834" t="s">
        <v>19195</v>
      </c>
      <c r="H2834" t="s">
        <v>19233</v>
      </c>
      <c r="I2834" t="s">
        <v>18774</v>
      </c>
      <c r="K2834" t="str">
        <f>HYPERLINK("http://tuberculist.epfl.ch/quicksearch.php?gene+name=Rv2754c&amp;submit=Search")</f>
        <v>http://tuberculist.epfl.ch/quicksearch.php?gene+name=Rv2754c&amp;submit=Search</v>
      </c>
    </row>
    <row r="2835" spans="1:11">
      <c r="A2835" t="s">
        <v>16024</v>
      </c>
      <c r="B2835" t="s">
        <v>16025</v>
      </c>
      <c r="C2835" t="s">
        <v>9567</v>
      </c>
      <c r="D2835" t="s">
        <v>16026</v>
      </c>
      <c r="E2835" t="s">
        <v>16027</v>
      </c>
      <c r="F2835" t="s">
        <v>16028</v>
      </c>
      <c r="G2835" t="s">
        <v>19181</v>
      </c>
      <c r="I2835" t="s">
        <v>18793</v>
      </c>
      <c r="K2835" t="str">
        <f>HYPERLINK("http://tuberculist.epfl.ch/quicksearch.php?gene+name=Rv2755c&amp;submit=Search")</f>
        <v>http://tuberculist.epfl.ch/quicksearch.php?gene+name=Rv2755c&amp;submit=Search</v>
      </c>
    </row>
    <row r="2836" spans="1:11">
      <c r="A2836" t="s">
        <v>9136</v>
      </c>
      <c r="B2836" t="s">
        <v>3295</v>
      </c>
      <c r="C2836" t="s">
        <v>9567</v>
      </c>
      <c r="D2836" t="s">
        <v>16029</v>
      </c>
      <c r="E2836" t="s">
        <v>16030</v>
      </c>
      <c r="F2836" t="s">
        <v>16031</v>
      </c>
      <c r="G2836" t="s">
        <v>19181</v>
      </c>
      <c r="H2836" t="s">
        <v>19207</v>
      </c>
      <c r="I2836" t="s">
        <v>18788</v>
      </c>
      <c r="K2836" t="str">
        <f>HYPERLINK("http://tuberculist.epfl.ch/quicksearch.php?gene+name=Rv2756c&amp;submit=Search")</f>
        <v>http://tuberculist.epfl.ch/quicksearch.php?gene+name=Rv2756c&amp;submit=Search</v>
      </c>
    </row>
    <row r="2837" spans="1:11">
      <c r="A2837" t="s">
        <v>16032</v>
      </c>
      <c r="B2837" t="s">
        <v>16033</v>
      </c>
      <c r="C2837" t="s">
        <v>9567</v>
      </c>
      <c r="D2837" t="s">
        <v>9587</v>
      </c>
      <c r="E2837" t="s">
        <v>16034</v>
      </c>
      <c r="F2837" t="s">
        <v>16035</v>
      </c>
      <c r="G2837" t="s">
        <v>19206</v>
      </c>
      <c r="I2837" t="s">
        <v>18779</v>
      </c>
      <c r="J2837" t="s">
        <v>18809</v>
      </c>
      <c r="K2837" t="str">
        <f>HYPERLINK("http://tuberculist.epfl.ch/quicksearch.php?gene+name=Rv2757c&amp;submit=Search")</f>
        <v>http://tuberculist.epfl.ch/quicksearch.php?gene+name=Rv2757c&amp;submit=Search</v>
      </c>
    </row>
    <row r="2838" spans="1:11">
      <c r="A2838" t="s">
        <v>16036</v>
      </c>
      <c r="B2838" t="s">
        <v>16037</v>
      </c>
      <c r="C2838" t="s">
        <v>9567</v>
      </c>
      <c r="D2838" t="s">
        <v>9587</v>
      </c>
      <c r="E2838" t="s">
        <v>16038</v>
      </c>
      <c r="F2838" t="s">
        <v>16039</v>
      </c>
      <c r="G2838" t="s">
        <v>19206</v>
      </c>
      <c r="I2838" t="s">
        <v>18779</v>
      </c>
      <c r="K2838" t="str">
        <f>HYPERLINK("http://tuberculist.epfl.ch/quicksearch.php?gene+name=Rv2758c&amp;submit=Search")</f>
        <v>http://tuberculist.epfl.ch/quicksearch.php?gene+name=Rv2758c&amp;submit=Search</v>
      </c>
    </row>
    <row r="2839" spans="1:11">
      <c r="A2839" t="s">
        <v>16040</v>
      </c>
      <c r="B2839" t="s">
        <v>2998</v>
      </c>
      <c r="C2839" t="s">
        <v>9567</v>
      </c>
      <c r="D2839" t="s">
        <v>9587</v>
      </c>
      <c r="E2839" t="s">
        <v>16041</v>
      </c>
      <c r="F2839" t="s">
        <v>16042</v>
      </c>
      <c r="G2839" t="s">
        <v>19206</v>
      </c>
      <c r="I2839" t="s">
        <v>18789</v>
      </c>
      <c r="K2839" t="str">
        <f>HYPERLINK("http://tuberculist.epfl.ch/quicksearch.php?gene+name=Rv2759c&amp;submit=Search")</f>
        <v>http://tuberculist.epfl.ch/quicksearch.php?gene+name=Rv2759c&amp;submit=Search</v>
      </c>
    </row>
    <row r="2840" spans="1:11">
      <c r="A2840" t="s">
        <v>16043</v>
      </c>
      <c r="B2840" t="s">
        <v>16044</v>
      </c>
      <c r="C2840" t="s">
        <v>9567</v>
      </c>
      <c r="D2840" t="s">
        <v>9587</v>
      </c>
      <c r="E2840" t="s">
        <v>16045</v>
      </c>
      <c r="F2840" t="s">
        <v>16046</v>
      </c>
      <c r="G2840" t="s">
        <v>19206</v>
      </c>
      <c r="I2840" t="s">
        <v>18780</v>
      </c>
      <c r="K2840" t="str">
        <f>HYPERLINK("http://tuberculist.epfl.ch/quicksearch.php?gene+name=Rv2760c&amp;submit=Search")</f>
        <v>http://tuberculist.epfl.ch/quicksearch.php?gene+name=Rv2760c&amp;submit=Search</v>
      </c>
    </row>
    <row r="2841" spans="1:11">
      <c r="A2841" t="s">
        <v>5512</v>
      </c>
      <c r="B2841" t="s">
        <v>1519</v>
      </c>
      <c r="C2841" t="s">
        <v>9567</v>
      </c>
      <c r="D2841" t="s">
        <v>16047</v>
      </c>
      <c r="E2841" t="s">
        <v>16048</v>
      </c>
      <c r="F2841" t="s">
        <v>16049</v>
      </c>
      <c r="G2841" t="s">
        <v>19181</v>
      </c>
      <c r="I2841" t="s">
        <v>18789</v>
      </c>
      <c r="K2841" t="str">
        <f>HYPERLINK("http://tuberculist.epfl.ch/quicksearch.php?gene+name=Rv2761c&amp;submit=Search")</f>
        <v>http://tuberculist.epfl.ch/quicksearch.php?gene+name=Rv2761c&amp;submit=Search</v>
      </c>
    </row>
    <row r="2842" spans="1:11">
      <c r="A2842" t="s">
        <v>16050</v>
      </c>
      <c r="B2842" t="s">
        <v>16050</v>
      </c>
      <c r="C2842" t="s">
        <v>9567</v>
      </c>
      <c r="D2842" t="s">
        <v>9578</v>
      </c>
      <c r="E2842" t="s">
        <v>9579</v>
      </c>
      <c r="F2842" t="s">
        <v>16051</v>
      </c>
      <c r="G2842" t="s">
        <v>19298</v>
      </c>
      <c r="I2842" t="s">
        <v>18789</v>
      </c>
      <c r="K2842" t="str">
        <f>HYPERLINK("http://tuberculist.epfl.ch/quicksearch.php?gene+name=Rv2762c&amp;submit=Search")</f>
        <v>http://tuberculist.epfl.ch/quicksearch.php?gene+name=Rv2762c&amp;submit=Search</v>
      </c>
    </row>
    <row r="2843" spans="1:11">
      <c r="A2843" t="s">
        <v>3663</v>
      </c>
      <c r="B2843" t="s">
        <v>593</v>
      </c>
      <c r="C2843" t="s">
        <v>9567</v>
      </c>
      <c r="D2843" t="s">
        <v>16052</v>
      </c>
      <c r="E2843" t="s">
        <v>16053</v>
      </c>
      <c r="F2843" t="s">
        <v>16054</v>
      </c>
      <c r="G2843" t="s">
        <v>19195</v>
      </c>
      <c r="H2843" t="s">
        <v>19213</v>
      </c>
      <c r="I2843" t="s">
        <v>18776</v>
      </c>
      <c r="K2843" t="str">
        <f>HYPERLINK("http://tuberculist.epfl.ch/quicksearch.php?gene+name=Rv2763c&amp;submit=Search")</f>
        <v>http://tuberculist.epfl.ch/quicksearch.php?gene+name=Rv2763c&amp;submit=Search</v>
      </c>
    </row>
    <row r="2844" spans="1:11">
      <c r="A2844" t="s">
        <v>9212</v>
      </c>
      <c r="B2844" t="s">
        <v>3331</v>
      </c>
      <c r="C2844" t="s">
        <v>9567</v>
      </c>
      <c r="D2844" t="s">
        <v>16055</v>
      </c>
      <c r="E2844" t="s">
        <v>16056</v>
      </c>
      <c r="F2844" t="s">
        <v>16057</v>
      </c>
      <c r="G2844" t="s">
        <v>19195</v>
      </c>
      <c r="I2844" t="s">
        <v>18776</v>
      </c>
      <c r="K2844" t="str">
        <f>HYPERLINK("http://tuberculist.epfl.ch/quicksearch.php?gene+name=Rv2764c&amp;submit=Search")</f>
        <v>http://tuberculist.epfl.ch/quicksearch.php?gene+name=Rv2764c&amp;submit=Search</v>
      </c>
    </row>
    <row r="2845" spans="1:11">
      <c r="A2845" t="s">
        <v>2215</v>
      </c>
      <c r="B2845" t="s">
        <v>2215</v>
      </c>
      <c r="C2845" t="s">
        <v>9567</v>
      </c>
      <c r="D2845" t="s">
        <v>9682</v>
      </c>
      <c r="E2845" t="s">
        <v>16058</v>
      </c>
      <c r="F2845" t="s">
        <v>16059</v>
      </c>
      <c r="G2845" t="s">
        <v>19195</v>
      </c>
      <c r="H2845" t="s">
        <v>19287</v>
      </c>
      <c r="I2845" t="s">
        <v>18780</v>
      </c>
      <c r="K2845" t="str">
        <f>HYPERLINK("http://tuberculist.epfl.ch/quicksearch.php?gene+name=Rv2765&amp;submit=Search")</f>
        <v>http://tuberculist.epfl.ch/quicksearch.php?gene+name=Rv2765&amp;submit=Search</v>
      </c>
    </row>
    <row r="2846" spans="1:11">
      <c r="A2846" t="s">
        <v>2460</v>
      </c>
      <c r="B2846" t="s">
        <v>2460</v>
      </c>
      <c r="C2846" t="s">
        <v>9567</v>
      </c>
      <c r="D2846" t="s">
        <v>16060</v>
      </c>
      <c r="E2846" t="s">
        <v>9932</v>
      </c>
      <c r="F2846" t="s">
        <v>16061</v>
      </c>
      <c r="G2846" t="s">
        <v>19195</v>
      </c>
      <c r="H2846" t="s">
        <v>19953</v>
      </c>
      <c r="I2846" t="s">
        <v>18780</v>
      </c>
      <c r="K2846" t="str">
        <f>HYPERLINK("http://tuberculist.epfl.ch/quicksearch.php?gene+name=Rv2766c&amp;submit=Search")</f>
        <v>http://tuberculist.epfl.ch/quicksearch.php?gene+name=Rv2766c&amp;submit=Search</v>
      </c>
    </row>
    <row r="2847" spans="1:11">
      <c r="A2847" t="s">
        <v>16062</v>
      </c>
      <c r="B2847" t="s">
        <v>16062</v>
      </c>
      <c r="C2847" t="s">
        <v>9567</v>
      </c>
      <c r="D2847" t="s">
        <v>9587</v>
      </c>
      <c r="E2847" t="s">
        <v>9590</v>
      </c>
      <c r="F2847" t="s">
        <v>16063</v>
      </c>
      <c r="G2847" t="s">
        <v>19188</v>
      </c>
      <c r="I2847" t="s">
        <v>18780</v>
      </c>
      <c r="K2847" t="str">
        <f>HYPERLINK("http://tuberculist.epfl.ch/quicksearch.php?gene+name=Rv2767c&amp;submit=Search")</f>
        <v>http://tuberculist.epfl.ch/quicksearch.php?gene+name=Rv2767c&amp;submit=Search</v>
      </c>
    </row>
    <row r="2848" spans="1:11">
      <c r="A2848" t="s">
        <v>16064</v>
      </c>
      <c r="B2848" t="s">
        <v>16065</v>
      </c>
      <c r="C2848" t="s">
        <v>9567</v>
      </c>
      <c r="D2848" t="s">
        <v>9578</v>
      </c>
      <c r="E2848" t="s">
        <v>16066</v>
      </c>
      <c r="F2848" t="s">
        <v>16067</v>
      </c>
      <c r="G2848" t="s">
        <v>19262</v>
      </c>
      <c r="H2848" t="s">
        <v>19267</v>
      </c>
      <c r="I2848" t="s">
        <v>18780</v>
      </c>
      <c r="K2848" t="str">
        <f>HYPERLINK("http://tuberculist.epfl.ch/quicksearch.php?gene+name=Rv2768c&amp;submit=Search")</f>
        <v>http://tuberculist.epfl.ch/quicksearch.php?gene+name=Rv2768c&amp;submit=Search</v>
      </c>
    </row>
    <row r="2849" spans="1:11">
      <c r="A2849" t="s">
        <v>16068</v>
      </c>
      <c r="B2849" t="s">
        <v>16069</v>
      </c>
      <c r="C2849" t="s">
        <v>9567</v>
      </c>
      <c r="D2849" t="s">
        <v>9578</v>
      </c>
      <c r="E2849" t="s">
        <v>16070</v>
      </c>
      <c r="F2849" t="s">
        <v>16071</v>
      </c>
      <c r="G2849" t="s">
        <v>19262</v>
      </c>
      <c r="H2849" t="s">
        <v>19614</v>
      </c>
      <c r="I2849" t="s">
        <v>18780</v>
      </c>
      <c r="J2849" t="s">
        <v>19071</v>
      </c>
      <c r="K2849" t="str">
        <f>HYPERLINK("http://tuberculist.epfl.ch/quicksearch.php?gene+name=Rv2769c&amp;submit=Search")</f>
        <v>http://tuberculist.epfl.ch/quicksearch.php?gene+name=Rv2769c&amp;submit=Search</v>
      </c>
    </row>
    <row r="2850" spans="1:11">
      <c r="A2850" t="s">
        <v>5562</v>
      </c>
      <c r="B2850" t="s">
        <v>1547</v>
      </c>
      <c r="C2850" t="s">
        <v>9567</v>
      </c>
      <c r="D2850" t="s">
        <v>10243</v>
      </c>
      <c r="E2850" t="s">
        <v>16072</v>
      </c>
      <c r="F2850" t="s">
        <v>16073</v>
      </c>
      <c r="G2850" t="s">
        <v>19262</v>
      </c>
      <c r="H2850" t="s">
        <v>19254</v>
      </c>
      <c r="I2850" t="s">
        <v>18792</v>
      </c>
      <c r="K2850" t="str">
        <f>HYPERLINK("http://tuberculist.epfl.ch/quicksearch.php?gene+name=Rv2770c&amp;submit=Search")</f>
        <v>http://tuberculist.epfl.ch/quicksearch.php?gene+name=Rv2770c&amp;submit=Search</v>
      </c>
    </row>
    <row r="2851" spans="1:11">
      <c r="A2851" t="s">
        <v>1827</v>
      </c>
      <c r="B2851" t="s">
        <v>1827</v>
      </c>
      <c r="C2851" t="s">
        <v>9567</v>
      </c>
      <c r="D2851" t="s">
        <v>9578</v>
      </c>
      <c r="E2851" t="s">
        <v>9579</v>
      </c>
      <c r="F2851" t="s">
        <v>16074</v>
      </c>
      <c r="G2851" t="s">
        <v>19212</v>
      </c>
      <c r="H2851" t="s">
        <v>19265</v>
      </c>
      <c r="I2851" t="s">
        <v>18780</v>
      </c>
      <c r="K2851" t="str">
        <f>HYPERLINK("http://tuberculist.epfl.ch/quicksearch.php?gene+name=Rv2771c&amp;submit=Search")</f>
        <v>http://tuberculist.epfl.ch/quicksearch.php?gene+name=Rv2771c&amp;submit=Search</v>
      </c>
    </row>
    <row r="2852" spans="1:11">
      <c r="A2852" t="s">
        <v>741</v>
      </c>
      <c r="B2852" t="s">
        <v>741</v>
      </c>
      <c r="C2852" t="s">
        <v>9567</v>
      </c>
      <c r="D2852" t="s">
        <v>9587</v>
      </c>
      <c r="E2852" t="s">
        <v>9597</v>
      </c>
      <c r="F2852" t="s">
        <v>16075</v>
      </c>
      <c r="G2852" t="s">
        <v>19188</v>
      </c>
      <c r="H2852" t="s">
        <v>19192</v>
      </c>
      <c r="I2852" t="s">
        <v>18780</v>
      </c>
      <c r="K2852" t="str">
        <f>HYPERLINK("http://tuberculist.epfl.ch/quicksearch.php?gene+name=Rv2772c&amp;submit=Search")</f>
        <v>http://tuberculist.epfl.ch/quicksearch.php?gene+name=Rv2772c&amp;submit=Search</v>
      </c>
    </row>
    <row r="2853" spans="1:11">
      <c r="A2853" t="s">
        <v>3830</v>
      </c>
      <c r="B2853" t="s">
        <v>672</v>
      </c>
      <c r="C2853" t="s">
        <v>9567</v>
      </c>
      <c r="D2853" t="s">
        <v>16076</v>
      </c>
      <c r="E2853" t="s">
        <v>16077</v>
      </c>
      <c r="F2853" t="s">
        <v>16078</v>
      </c>
      <c r="G2853" t="s">
        <v>19195</v>
      </c>
      <c r="H2853" t="s">
        <v>19954</v>
      </c>
      <c r="I2853" t="s">
        <v>18995</v>
      </c>
      <c r="K2853" t="str">
        <f>HYPERLINK("http://tuberculist.epfl.ch/quicksearch.php?gene+name=Rv2773c&amp;submit=Search")</f>
        <v>http://tuberculist.epfl.ch/quicksearch.php?gene+name=Rv2773c&amp;submit=Search</v>
      </c>
    </row>
    <row r="2854" spans="1:11">
      <c r="A2854" t="s">
        <v>2655</v>
      </c>
      <c r="B2854" t="s">
        <v>2655</v>
      </c>
      <c r="C2854" t="s">
        <v>9567</v>
      </c>
      <c r="D2854" t="s">
        <v>9587</v>
      </c>
      <c r="E2854" t="s">
        <v>9713</v>
      </c>
      <c r="F2854" t="s">
        <v>16079</v>
      </c>
      <c r="G2854" t="s">
        <v>19212</v>
      </c>
      <c r="I2854" t="s">
        <v>18780</v>
      </c>
      <c r="K2854" t="str">
        <f>HYPERLINK("http://tuberculist.epfl.ch/quicksearch.php?gene+name=Rv2774c&amp;submit=Search")</f>
        <v>http://tuberculist.epfl.ch/quicksearch.php?gene+name=Rv2774c&amp;submit=Search</v>
      </c>
    </row>
    <row r="2855" spans="1:11">
      <c r="A2855" t="s">
        <v>16080</v>
      </c>
      <c r="B2855" t="s">
        <v>16080</v>
      </c>
      <c r="C2855" t="s">
        <v>9567</v>
      </c>
      <c r="D2855" t="s">
        <v>9898</v>
      </c>
      <c r="E2855" t="s">
        <v>9899</v>
      </c>
      <c r="F2855" t="s">
        <v>16081</v>
      </c>
      <c r="G2855" t="s">
        <v>19195</v>
      </c>
      <c r="H2855" t="s">
        <v>19213</v>
      </c>
      <c r="I2855" t="s">
        <v>18789</v>
      </c>
      <c r="K2855" t="str">
        <f>HYPERLINK("http://tuberculist.epfl.ch/quicksearch.php?gene+name=Rv2775&amp;submit=Search")</f>
        <v>http://tuberculist.epfl.ch/quicksearch.php?gene+name=Rv2775&amp;submit=Search</v>
      </c>
    </row>
    <row r="2856" spans="1:11">
      <c r="A2856" t="s">
        <v>742</v>
      </c>
      <c r="B2856" t="s">
        <v>742</v>
      </c>
      <c r="C2856" t="s">
        <v>9567</v>
      </c>
      <c r="D2856" t="s">
        <v>9682</v>
      </c>
      <c r="E2856" t="s">
        <v>9739</v>
      </c>
      <c r="F2856" t="s">
        <v>16082</v>
      </c>
      <c r="G2856" t="s">
        <v>19195</v>
      </c>
      <c r="I2856" t="s">
        <v>18780</v>
      </c>
      <c r="K2856" t="str">
        <f>HYPERLINK("http://tuberculist.epfl.ch/quicksearch.php?gene+name=Rv2776c&amp;submit=Search")</f>
        <v>http://tuberculist.epfl.ch/quicksearch.php?gene+name=Rv2776c&amp;submit=Search</v>
      </c>
    </row>
    <row r="2857" spans="1:11">
      <c r="A2857" t="s">
        <v>1966</v>
      </c>
      <c r="B2857" t="s">
        <v>1966</v>
      </c>
      <c r="C2857" t="s">
        <v>9567</v>
      </c>
      <c r="D2857" t="s">
        <v>9578</v>
      </c>
      <c r="E2857" t="s">
        <v>9579</v>
      </c>
      <c r="F2857" t="s">
        <v>16083</v>
      </c>
      <c r="G2857" t="s">
        <v>19212</v>
      </c>
      <c r="I2857" t="s">
        <v>18789</v>
      </c>
      <c r="J2857" t="s">
        <v>18775</v>
      </c>
      <c r="K2857" t="str">
        <f>HYPERLINK("http://tuberculist.epfl.ch/quicksearch.php?gene+name=Rv2777c&amp;submit=Search")</f>
        <v>http://tuberculist.epfl.ch/quicksearch.php?gene+name=Rv2777c&amp;submit=Search</v>
      </c>
    </row>
    <row r="2858" spans="1:11">
      <c r="A2858" t="s">
        <v>1064</v>
      </c>
      <c r="B2858" t="s">
        <v>1064</v>
      </c>
      <c r="C2858" t="s">
        <v>9567</v>
      </c>
      <c r="D2858" t="s">
        <v>9578</v>
      </c>
      <c r="E2858" t="s">
        <v>9665</v>
      </c>
      <c r="F2858" t="s">
        <v>16084</v>
      </c>
      <c r="G2858" t="s">
        <v>19204</v>
      </c>
      <c r="H2858" t="s">
        <v>19233</v>
      </c>
      <c r="I2858" t="s">
        <v>18780</v>
      </c>
      <c r="K2858" t="str">
        <f>HYPERLINK("http://tuberculist.epfl.ch/quicksearch.php?gene+name=Rv2778c&amp;submit=Search")</f>
        <v>http://tuberculist.epfl.ch/quicksearch.php?gene+name=Rv2778c&amp;submit=Search</v>
      </c>
    </row>
    <row r="2859" spans="1:11">
      <c r="A2859" t="s">
        <v>2338</v>
      </c>
      <c r="B2859" t="s">
        <v>2338</v>
      </c>
      <c r="C2859" t="s">
        <v>9567</v>
      </c>
      <c r="D2859" t="s">
        <v>9629</v>
      </c>
      <c r="E2859" t="s">
        <v>16085</v>
      </c>
      <c r="F2859" t="s">
        <v>16086</v>
      </c>
      <c r="G2859" t="s">
        <v>19197</v>
      </c>
      <c r="H2859" t="s">
        <v>19213</v>
      </c>
      <c r="I2859" t="s">
        <v>18779</v>
      </c>
      <c r="K2859" t="str">
        <f>HYPERLINK("http://tuberculist.epfl.ch/quicksearch.php?gene+name=Rv2779c&amp;submit=Search")</f>
        <v>http://tuberculist.epfl.ch/quicksearch.php?gene+name=Rv2779c&amp;submit=Search</v>
      </c>
    </row>
    <row r="2860" spans="1:11">
      <c r="A2860" t="s">
        <v>268</v>
      </c>
      <c r="B2860" t="s">
        <v>269</v>
      </c>
      <c r="C2860" t="s">
        <v>9567</v>
      </c>
      <c r="D2860" t="s">
        <v>16087</v>
      </c>
      <c r="E2860" t="s">
        <v>16088</v>
      </c>
      <c r="F2860" t="s">
        <v>16089</v>
      </c>
      <c r="G2860" t="s">
        <v>19195</v>
      </c>
      <c r="H2860" t="s">
        <v>19955</v>
      </c>
      <c r="I2860" t="s">
        <v>18780</v>
      </c>
      <c r="K2860" t="str">
        <f>HYPERLINK("http://tuberculist.epfl.ch/quicksearch.php?gene+name=Rv2780&amp;submit=Search")</f>
        <v>http://tuberculist.epfl.ch/quicksearch.php?gene+name=Rv2780&amp;submit=Search</v>
      </c>
    </row>
    <row r="2861" spans="1:11">
      <c r="A2861" t="s">
        <v>468</v>
      </c>
      <c r="B2861" t="s">
        <v>468</v>
      </c>
      <c r="C2861" t="s">
        <v>9567</v>
      </c>
      <c r="D2861" t="s">
        <v>9682</v>
      </c>
      <c r="E2861" t="s">
        <v>16090</v>
      </c>
      <c r="F2861" t="s">
        <v>16091</v>
      </c>
      <c r="G2861" t="s">
        <v>19195</v>
      </c>
      <c r="H2861" t="s">
        <v>19254</v>
      </c>
      <c r="I2861" t="s">
        <v>18779</v>
      </c>
      <c r="K2861" t="str">
        <f>HYPERLINK("http://tuberculist.epfl.ch/quicksearch.php?gene+name=Rv2781c&amp;submit=Search")</f>
        <v>http://tuberculist.epfl.ch/quicksearch.php?gene+name=Rv2781c&amp;submit=Search</v>
      </c>
    </row>
    <row r="2862" spans="1:11">
      <c r="A2862" t="s">
        <v>9320</v>
      </c>
      <c r="B2862" t="s">
        <v>3383</v>
      </c>
      <c r="C2862" t="s">
        <v>9567</v>
      </c>
      <c r="D2862" t="s">
        <v>16092</v>
      </c>
      <c r="E2862" t="s">
        <v>16093</v>
      </c>
      <c r="F2862" t="s">
        <v>16094</v>
      </c>
      <c r="G2862" t="s">
        <v>19195</v>
      </c>
      <c r="H2862" t="s">
        <v>19316</v>
      </c>
      <c r="I2862" t="s">
        <v>18779</v>
      </c>
      <c r="K2862" t="str">
        <f>HYPERLINK("http://tuberculist.epfl.ch/quicksearch.php?gene+name=Rv2782c&amp;submit=Search")</f>
        <v>http://tuberculist.epfl.ch/quicksearch.php?gene+name=Rv2782c&amp;submit=Search</v>
      </c>
    </row>
    <row r="2863" spans="1:11">
      <c r="A2863" t="s">
        <v>9299</v>
      </c>
      <c r="B2863" t="s">
        <v>3373</v>
      </c>
      <c r="C2863" t="s">
        <v>9567</v>
      </c>
      <c r="D2863" t="s">
        <v>16095</v>
      </c>
      <c r="E2863" t="s">
        <v>16096</v>
      </c>
      <c r="F2863" t="s">
        <v>16097</v>
      </c>
      <c r="G2863" t="s">
        <v>19181</v>
      </c>
      <c r="H2863" t="s">
        <v>19956</v>
      </c>
      <c r="I2863" t="s">
        <v>18776</v>
      </c>
      <c r="J2863" t="s">
        <v>18809</v>
      </c>
      <c r="K2863" t="str">
        <f>HYPERLINK("http://tuberculist.epfl.ch/quicksearch.php?gene+name=Rv2783c&amp;submit=Search")</f>
        <v>http://tuberculist.epfl.ch/quicksearch.php?gene+name=Rv2783c&amp;submit=Search</v>
      </c>
    </row>
    <row r="2864" spans="1:11">
      <c r="A2864" t="s">
        <v>7353</v>
      </c>
      <c r="B2864" t="s">
        <v>2438</v>
      </c>
      <c r="C2864" t="s">
        <v>9567</v>
      </c>
      <c r="D2864" t="s">
        <v>9587</v>
      </c>
      <c r="E2864" t="s">
        <v>16098</v>
      </c>
      <c r="F2864" t="s">
        <v>16099</v>
      </c>
      <c r="G2864" t="s">
        <v>19188</v>
      </c>
      <c r="H2864" t="s">
        <v>19233</v>
      </c>
      <c r="I2864" t="s">
        <v>18789</v>
      </c>
      <c r="K2864" t="str">
        <f>HYPERLINK("http://tuberculist.epfl.ch/quicksearch.php?gene+name=Rv2784c&amp;submit=Search")</f>
        <v>http://tuberculist.epfl.ch/quicksearch.php?gene+name=Rv2784c&amp;submit=Search</v>
      </c>
    </row>
    <row r="2865" spans="1:11">
      <c r="A2865" t="s">
        <v>4536</v>
      </c>
      <c r="B2865" t="s">
        <v>1029</v>
      </c>
      <c r="C2865" t="s">
        <v>9567</v>
      </c>
      <c r="D2865" t="s">
        <v>16100</v>
      </c>
      <c r="E2865" t="s">
        <v>16101</v>
      </c>
      <c r="F2865" t="s">
        <v>16102</v>
      </c>
      <c r="G2865" t="s">
        <v>19181</v>
      </c>
      <c r="H2865" t="s">
        <v>19957</v>
      </c>
      <c r="I2865" t="s">
        <v>18773</v>
      </c>
      <c r="K2865" t="str">
        <f>HYPERLINK("http://tuberculist.epfl.ch/quicksearch.php?gene+name=Rv2785c&amp;submit=Search")</f>
        <v>http://tuberculist.epfl.ch/quicksearch.php?gene+name=Rv2785c&amp;submit=Search</v>
      </c>
    </row>
    <row r="2866" spans="1:11">
      <c r="A2866" t="s">
        <v>8673</v>
      </c>
      <c r="B2866" t="s">
        <v>3073</v>
      </c>
      <c r="C2866" t="s">
        <v>9567</v>
      </c>
      <c r="D2866" t="s">
        <v>16103</v>
      </c>
      <c r="E2866" t="s">
        <v>16104</v>
      </c>
      <c r="F2866" t="s">
        <v>16105</v>
      </c>
      <c r="G2866" t="s">
        <v>19195</v>
      </c>
      <c r="H2866" t="s">
        <v>19213</v>
      </c>
      <c r="I2866" t="s">
        <v>18774</v>
      </c>
      <c r="K2866" t="str">
        <f>HYPERLINK("http://tuberculist.epfl.ch/quicksearch.php?gene+name=Rv2786c&amp;submit=Search")</f>
        <v>http://tuberculist.epfl.ch/quicksearch.php?gene+name=Rv2786c&amp;submit=Search</v>
      </c>
    </row>
    <row r="2867" spans="1:11">
      <c r="A2867" t="s">
        <v>2147</v>
      </c>
      <c r="B2867" t="s">
        <v>2147</v>
      </c>
      <c r="C2867" t="s">
        <v>9567</v>
      </c>
      <c r="D2867" t="s">
        <v>9578</v>
      </c>
      <c r="E2867" t="s">
        <v>15865</v>
      </c>
      <c r="F2867" t="s">
        <v>16106</v>
      </c>
      <c r="G2867" t="s">
        <v>19212</v>
      </c>
      <c r="H2867" t="s">
        <v>19205</v>
      </c>
      <c r="I2867" t="s">
        <v>18780</v>
      </c>
      <c r="K2867" t="str">
        <f>HYPERLINK("http://tuberculist.epfl.ch/quicksearch.php?gene+name=Rv2787&amp;submit=Search")</f>
        <v>http://tuberculist.epfl.ch/quicksearch.php?gene+name=Rv2787&amp;submit=Search</v>
      </c>
    </row>
    <row r="2868" spans="1:11">
      <c r="A2868" t="s">
        <v>5434</v>
      </c>
      <c r="B2868" t="s">
        <v>1476</v>
      </c>
      <c r="C2868" t="s">
        <v>9567</v>
      </c>
      <c r="D2868" t="s">
        <v>9629</v>
      </c>
      <c r="E2868" t="s">
        <v>16107</v>
      </c>
      <c r="F2868" t="s">
        <v>16108</v>
      </c>
      <c r="G2868" t="s">
        <v>19197</v>
      </c>
      <c r="H2868" t="s">
        <v>19287</v>
      </c>
      <c r="I2868" t="s">
        <v>18780</v>
      </c>
      <c r="K2868" t="str">
        <f>HYPERLINK("http://tuberculist.epfl.ch/quicksearch.php?gene+name=Rv2788&amp;submit=Search")</f>
        <v>http://tuberculist.epfl.ch/quicksearch.php?gene+name=Rv2788&amp;submit=Search</v>
      </c>
    </row>
    <row r="2869" spans="1:11">
      <c r="A2869" t="s">
        <v>8340</v>
      </c>
      <c r="B2869" t="s">
        <v>2921</v>
      </c>
      <c r="C2869" t="s">
        <v>9567</v>
      </c>
      <c r="D2869" t="s">
        <v>9662</v>
      </c>
      <c r="E2869" t="s">
        <v>16109</v>
      </c>
      <c r="F2869" t="s">
        <v>16110</v>
      </c>
      <c r="G2869" t="s">
        <v>19219</v>
      </c>
      <c r="H2869" t="s">
        <v>19324</v>
      </c>
      <c r="I2869" t="s">
        <v>18777</v>
      </c>
      <c r="K2869" t="str">
        <f>HYPERLINK("http://tuberculist.epfl.ch/quicksearch.php?gene+name=Rv2789c&amp;submit=Search")</f>
        <v>http://tuberculist.epfl.ch/quicksearch.php?gene+name=Rv2789c&amp;submit=Search</v>
      </c>
    </row>
    <row r="2870" spans="1:11">
      <c r="A2870" t="s">
        <v>3772</v>
      </c>
      <c r="B2870" t="s">
        <v>645</v>
      </c>
      <c r="C2870" t="s">
        <v>9567</v>
      </c>
      <c r="D2870" t="s">
        <v>16111</v>
      </c>
      <c r="E2870" t="s">
        <v>16112</v>
      </c>
      <c r="F2870" t="s">
        <v>16113</v>
      </c>
      <c r="G2870" t="s">
        <v>19188</v>
      </c>
      <c r="H2870" t="s">
        <v>19357</v>
      </c>
      <c r="I2870" t="s">
        <v>18789</v>
      </c>
      <c r="K2870" t="str">
        <f>HYPERLINK("http://tuberculist.epfl.ch/quicksearch.php?gene+name=Rv2790c&amp;submit=Search")</f>
        <v>http://tuberculist.epfl.ch/quicksearch.php?gene+name=Rv2790c&amp;submit=Search</v>
      </c>
    </row>
    <row r="2871" spans="1:11">
      <c r="A2871" t="s">
        <v>450</v>
      </c>
      <c r="B2871" t="s">
        <v>450</v>
      </c>
      <c r="C2871" t="s">
        <v>9567</v>
      </c>
      <c r="D2871" t="s">
        <v>16114</v>
      </c>
      <c r="E2871" t="s">
        <v>11730</v>
      </c>
      <c r="F2871" t="s">
        <v>16115</v>
      </c>
      <c r="G2871" t="s">
        <v>19217</v>
      </c>
      <c r="H2871" t="s">
        <v>19263</v>
      </c>
      <c r="I2871" t="s">
        <v>18779</v>
      </c>
      <c r="K2871" t="str">
        <f>HYPERLINK("http://tuberculist.epfl.ch/quicksearch.php?gene+name=Rv2791c&amp;submit=Search")</f>
        <v>http://tuberculist.epfl.ch/quicksearch.php?gene+name=Rv2791c&amp;submit=Search</v>
      </c>
    </row>
    <row r="2872" spans="1:11">
      <c r="A2872" t="s">
        <v>650</v>
      </c>
      <c r="B2872" t="s">
        <v>650</v>
      </c>
      <c r="C2872" t="s">
        <v>9567</v>
      </c>
      <c r="D2872" t="s">
        <v>10963</v>
      </c>
      <c r="E2872" t="s">
        <v>10964</v>
      </c>
      <c r="F2872" t="s">
        <v>16116</v>
      </c>
      <c r="G2872" t="s">
        <v>19217</v>
      </c>
      <c r="I2872" t="s">
        <v>18780</v>
      </c>
      <c r="K2872" t="str">
        <f>HYPERLINK("http://tuberculist.epfl.ch/quicksearch.php?gene+name=Rv2792c&amp;submit=Search")</f>
        <v>http://tuberculist.epfl.ch/quicksearch.php?gene+name=Rv2792c&amp;submit=Search</v>
      </c>
    </row>
    <row r="2873" spans="1:11">
      <c r="A2873" t="s">
        <v>4063</v>
      </c>
      <c r="B2873" t="s">
        <v>790</v>
      </c>
      <c r="C2873" t="s">
        <v>9567</v>
      </c>
      <c r="D2873" t="s">
        <v>16117</v>
      </c>
      <c r="E2873" t="s">
        <v>16118</v>
      </c>
      <c r="F2873" t="s">
        <v>16119</v>
      </c>
      <c r="G2873" t="s">
        <v>19181</v>
      </c>
      <c r="H2873" t="s">
        <v>19894</v>
      </c>
      <c r="I2873" t="s">
        <v>18773</v>
      </c>
      <c r="K2873" t="str">
        <f>HYPERLINK("http://tuberculist.epfl.ch/quicksearch.php?gene+name=Rv2793c&amp;submit=Search")</f>
        <v>http://tuberculist.epfl.ch/quicksearch.php?gene+name=Rv2793c&amp;submit=Search</v>
      </c>
    </row>
    <row r="2874" spans="1:11">
      <c r="A2874" t="s">
        <v>16120</v>
      </c>
      <c r="B2874" t="s">
        <v>3378</v>
      </c>
      <c r="C2874" t="s">
        <v>9567</v>
      </c>
      <c r="D2874" t="s">
        <v>15501</v>
      </c>
      <c r="E2874" t="s">
        <v>16121</v>
      </c>
      <c r="F2874" t="s">
        <v>16122</v>
      </c>
      <c r="G2874" t="s">
        <v>19219</v>
      </c>
      <c r="H2874" t="s">
        <v>19207</v>
      </c>
      <c r="I2874" t="s">
        <v>19072</v>
      </c>
      <c r="K2874" t="str">
        <f>HYPERLINK("http://tuberculist.epfl.ch/quicksearch.php?gene+name=Rv2794c&amp;submit=Search")</f>
        <v>http://tuberculist.epfl.ch/quicksearch.php?gene+name=Rv2794c&amp;submit=Search</v>
      </c>
    </row>
    <row r="2875" spans="1:11">
      <c r="A2875" t="s">
        <v>2445</v>
      </c>
      <c r="B2875" t="s">
        <v>2445</v>
      </c>
      <c r="C2875" t="s">
        <v>9567</v>
      </c>
      <c r="D2875" t="s">
        <v>9578</v>
      </c>
      <c r="E2875" t="s">
        <v>9579</v>
      </c>
      <c r="F2875" t="s">
        <v>16123</v>
      </c>
      <c r="G2875" t="s">
        <v>19210</v>
      </c>
      <c r="H2875" t="s">
        <v>19316</v>
      </c>
      <c r="I2875" t="s">
        <v>18777</v>
      </c>
      <c r="K2875" t="str">
        <f>HYPERLINK("http://tuberculist.epfl.ch/quicksearch.php?gene+name=Rv2795c&amp;submit=Search")</f>
        <v>http://tuberculist.epfl.ch/quicksearch.php?gene+name=Rv2795c&amp;submit=Search</v>
      </c>
    </row>
    <row r="2876" spans="1:11">
      <c r="A2876" t="s">
        <v>4416</v>
      </c>
      <c r="B2876" t="s">
        <v>977</v>
      </c>
      <c r="C2876" t="s">
        <v>9567</v>
      </c>
      <c r="D2876" t="s">
        <v>9587</v>
      </c>
      <c r="E2876" t="s">
        <v>16124</v>
      </c>
      <c r="F2876" t="s">
        <v>16125</v>
      </c>
      <c r="G2876" t="s">
        <v>19188</v>
      </c>
      <c r="I2876" t="s">
        <v>18780</v>
      </c>
      <c r="K2876" t="str">
        <f>HYPERLINK("http://tuberculist.epfl.ch/quicksearch.php?gene+name=Rv2796c&amp;submit=Search")</f>
        <v>http://tuberculist.epfl.ch/quicksearch.php?gene+name=Rv2796c&amp;submit=Search</v>
      </c>
    </row>
    <row r="2877" spans="1:11">
      <c r="A2877" t="s">
        <v>2125</v>
      </c>
      <c r="B2877" t="s">
        <v>2125</v>
      </c>
      <c r="C2877" t="s">
        <v>9567</v>
      </c>
      <c r="D2877" t="s">
        <v>9578</v>
      </c>
      <c r="E2877" t="s">
        <v>9579</v>
      </c>
      <c r="F2877" t="s">
        <v>16126</v>
      </c>
      <c r="G2877" t="s">
        <v>19212</v>
      </c>
      <c r="I2877" t="s">
        <v>18797</v>
      </c>
      <c r="K2877" t="str">
        <f>HYPERLINK("http://tuberculist.epfl.ch/quicksearch.php?gene+name=Rv2797c&amp;submit=Search")</f>
        <v>http://tuberculist.epfl.ch/quicksearch.php?gene+name=Rv2797c&amp;submit=Search</v>
      </c>
    </row>
    <row r="2878" spans="1:11">
      <c r="A2878" t="s">
        <v>1452</v>
      </c>
      <c r="B2878" t="s">
        <v>1452</v>
      </c>
      <c r="C2878" t="s">
        <v>9567</v>
      </c>
      <c r="D2878" t="s">
        <v>9578</v>
      </c>
      <c r="E2878" t="s">
        <v>9579</v>
      </c>
      <c r="F2878" t="s">
        <v>16127</v>
      </c>
      <c r="G2878" t="s">
        <v>19212</v>
      </c>
      <c r="I2878" t="s">
        <v>18821</v>
      </c>
      <c r="K2878" t="str">
        <f>HYPERLINK("http://tuberculist.epfl.ch/quicksearch.php?gene+name=Rv2798c&amp;submit=Search")</f>
        <v>http://tuberculist.epfl.ch/quicksearch.php?gene+name=Rv2798c&amp;submit=Search</v>
      </c>
    </row>
    <row r="2879" spans="1:11">
      <c r="A2879" t="s">
        <v>1439</v>
      </c>
      <c r="B2879" t="s">
        <v>1439</v>
      </c>
      <c r="C2879" t="s">
        <v>9567</v>
      </c>
      <c r="D2879" t="s">
        <v>9587</v>
      </c>
      <c r="E2879" t="s">
        <v>9758</v>
      </c>
      <c r="F2879" t="s">
        <v>16128</v>
      </c>
      <c r="G2879" t="s">
        <v>19188</v>
      </c>
      <c r="H2879" t="s">
        <v>19958</v>
      </c>
      <c r="I2879" t="s">
        <v>18836</v>
      </c>
      <c r="J2879" t="s">
        <v>18820</v>
      </c>
      <c r="K2879" t="str">
        <f>HYPERLINK("http://tuberculist.epfl.ch/quicksearch.php?gene+name=Rv2799&amp;submit=Search")</f>
        <v>http://tuberculist.epfl.ch/quicksearch.php?gene+name=Rv2799&amp;submit=Search</v>
      </c>
    </row>
    <row r="2880" spans="1:11">
      <c r="A2880" t="s">
        <v>2331</v>
      </c>
      <c r="B2880" t="s">
        <v>2331</v>
      </c>
      <c r="C2880" t="s">
        <v>9567</v>
      </c>
      <c r="D2880" t="s">
        <v>9682</v>
      </c>
      <c r="E2880" t="s">
        <v>9686</v>
      </c>
      <c r="F2880" t="s">
        <v>16129</v>
      </c>
      <c r="G2880" t="s">
        <v>19195</v>
      </c>
      <c r="H2880" t="s">
        <v>19263</v>
      </c>
      <c r="I2880" t="s">
        <v>18780</v>
      </c>
      <c r="J2880" t="s">
        <v>18820</v>
      </c>
      <c r="K2880" t="str">
        <f>HYPERLINK("http://tuberculist.epfl.ch/quicksearch.php?gene+name=Rv2800&amp;submit=Search")</f>
        <v>http://tuberculist.epfl.ch/quicksearch.php?gene+name=Rv2800&amp;submit=Search</v>
      </c>
    </row>
    <row r="2881" spans="1:11">
      <c r="A2881" t="s">
        <v>16130</v>
      </c>
      <c r="B2881" t="s">
        <v>16131</v>
      </c>
      <c r="C2881" t="s">
        <v>9567</v>
      </c>
      <c r="D2881" t="s">
        <v>9587</v>
      </c>
      <c r="E2881" t="s">
        <v>16132</v>
      </c>
      <c r="F2881" t="s">
        <v>16133</v>
      </c>
      <c r="G2881" t="s">
        <v>19206</v>
      </c>
      <c r="I2881" t="s">
        <v>18773</v>
      </c>
      <c r="K2881" t="str">
        <f>HYPERLINK("http://tuberculist.epfl.ch/quicksearch.php?gene+name=Rv2801A&amp;submit=Search")</f>
        <v>http://tuberculist.epfl.ch/quicksearch.php?gene+name=Rv2801A&amp;submit=Search</v>
      </c>
    </row>
    <row r="2882" spans="1:11">
      <c r="A2882" t="s">
        <v>16134</v>
      </c>
      <c r="B2882" t="s">
        <v>16135</v>
      </c>
      <c r="C2882" t="s">
        <v>9567</v>
      </c>
      <c r="D2882" t="s">
        <v>12161</v>
      </c>
      <c r="E2882" t="s">
        <v>16136</v>
      </c>
      <c r="F2882" t="s">
        <v>16137</v>
      </c>
      <c r="G2882" t="s">
        <v>19206</v>
      </c>
      <c r="H2882" t="s">
        <v>19192</v>
      </c>
      <c r="I2882" t="s">
        <v>18780</v>
      </c>
      <c r="K2882" t="str">
        <f>HYPERLINK("http://tuberculist.epfl.ch/quicksearch.php?gene+name=Rv2801c&amp;submit=Search")</f>
        <v>http://tuberculist.epfl.ch/quicksearch.php?gene+name=Rv2801c&amp;submit=Search</v>
      </c>
    </row>
    <row r="2883" spans="1:11">
      <c r="A2883" t="s">
        <v>2289</v>
      </c>
      <c r="B2883" t="s">
        <v>2289</v>
      </c>
      <c r="C2883" t="s">
        <v>9567</v>
      </c>
      <c r="D2883" t="s">
        <v>9587</v>
      </c>
      <c r="E2883" t="s">
        <v>16138</v>
      </c>
      <c r="F2883" t="s">
        <v>16139</v>
      </c>
      <c r="G2883" t="s">
        <v>19212</v>
      </c>
      <c r="I2883" t="s">
        <v>18821</v>
      </c>
      <c r="K2883" t="str">
        <f>HYPERLINK("http://tuberculist.epfl.ch/quicksearch.php?gene+name=Rv2802c&amp;submit=Search")</f>
        <v>http://tuberculist.epfl.ch/quicksearch.php?gene+name=Rv2802c&amp;submit=Search</v>
      </c>
    </row>
    <row r="2884" spans="1:11">
      <c r="A2884" t="s">
        <v>16140</v>
      </c>
      <c r="B2884" t="s">
        <v>16140</v>
      </c>
      <c r="C2884" t="s">
        <v>9567</v>
      </c>
      <c r="D2884" t="s">
        <v>9578</v>
      </c>
      <c r="E2884" t="s">
        <v>9579</v>
      </c>
      <c r="F2884" t="s">
        <v>16141</v>
      </c>
      <c r="G2884" t="s">
        <v>19210</v>
      </c>
      <c r="I2884" t="s">
        <v>18797</v>
      </c>
      <c r="K2884" t="str">
        <f>HYPERLINK("http://tuberculist.epfl.ch/quicksearch.php?gene+name=Rv2803&amp;submit=Search")</f>
        <v>http://tuberculist.epfl.ch/quicksearch.php?gene+name=Rv2803&amp;submit=Search</v>
      </c>
    </row>
    <row r="2885" spans="1:11">
      <c r="A2885" t="s">
        <v>2471</v>
      </c>
      <c r="B2885" t="s">
        <v>2471</v>
      </c>
      <c r="C2885" t="s">
        <v>9567</v>
      </c>
      <c r="D2885" t="s">
        <v>9587</v>
      </c>
      <c r="E2885" t="s">
        <v>9713</v>
      </c>
      <c r="F2885" t="s">
        <v>16142</v>
      </c>
      <c r="G2885" t="s">
        <v>19210</v>
      </c>
      <c r="I2885" t="s">
        <v>18821</v>
      </c>
      <c r="K2885" t="str">
        <f>HYPERLINK("http://tuberculist.epfl.ch/quicksearch.php?gene+name=Rv2804c&amp;submit=Search")</f>
        <v>http://tuberculist.epfl.ch/quicksearch.php?gene+name=Rv2804c&amp;submit=Search</v>
      </c>
    </row>
    <row r="2886" spans="1:11">
      <c r="A2886" t="s">
        <v>3096</v>
      </c>
      <c r="B2886" t="s">
        <v>3096</v>
      </c>
      <c r="C2886" t="s">
        <v>9567</v>
      </c>
      <c r="D2886" t="s">
        <v>9578</v>
      </c>
      <c r="E2886" t="s">
        <v>9579</v>
      </c>
      <c r="F2886" t="s">
        <v>16143</v>
      </c>
      <c r="G2886" t="s">
        <v>19212</v>
      </c>
      <c r="I2886" t="s">
        <v>18860</v>
      </c>
      <c r="K2886" t="str">
        <f>HYPERLINK("http://tuberculist.epfl.ch/quicksearch.php?gene+name=Rv2805&amp;submit=Search")</f>
        <v>http://tuberculist.epfl.ch/quicksearch.php?gene+name=Rv2805&amp;submit=Search</v>
      </c>
    </row>
    <row r="2887" spans="1:11">
      <c r="A2887" t="s">
        <v>16144</v>
      </c>
      <c r="B2887" t="s">
        <v>16144</v>
      </c>
      <c r="C2887" t="s">
        <v>9567</v>
      </c>
      <c r="D2887" t="s">
        <v>9587</v>
      </c>
      <c r="E2887" t="s">
        <v>9590</v>
      </c>
      <c r="F2887" t="s">
        <v>16145</v>
      </c>
      <c r="G2887" t="s">
        <v>19188</v>
      </c>
      <c r="I2887" t="s">
        <v>18821</v>
      </c>
      <c r="K2887" t="str">
        <f>HYPERLINK("http://tuberculist.epfl.ch/quicksearch.php?gene+name=Rv2806&amp;submit=Search")</f>
        <v>http://tuberculist.epfl.ch/quicksearch.php?gene+name=Rv2806&amp;submit=Search</v>
      </c>
    </row>
    <row r="2888" spans="1:11">
      <c r="A2888" t="s">
        <v>16146</v>
      </c>
      <c r="B2888" t="s">
        <v>16146</v>
      </c>
      <c r="C2888" t="s">
        <v>9567</v>
      </c>
      <c r="D2888" t="s">
        <v>9578</v>
      </c>
      <c r="E2888" t="s">
        <v>9579</v>
      </c>
      <c r="F2888" t="s">
        <v>16147</v>
      </c>
      <c r="G2888" t="s">
        <v>19212</v>
      </c>
      <c r="H2888" t="s">
        <v>19207</v>
      </c>
      <c r="I2888" t="s">
        <v>18804</v>
      </c>
      <c r="K2888" t="str">
        <f>HYPERLINK("http://tuberculist.epfl.ch/quicksearch.php?gene+name=Rv2807&amp;submit=Search")</f>
        <v>http://tuberculist.epfl.ch/quicksearch.php?gene+name=Rv2807&amp;submit=Search</v>
      </c>
    </row>
    <row r="2889" spans="1:11">
      <c r="A2889" t="s">
        <v>16148</v>
      </c>
      <c r="B2889" t="s">
        <v>16148</v>
      </c>
      <c r="C2889" t="s">
        <v>9567</v>
      </c>
      <c r="D2889" t="s">
        <v>9587</v>
      </c>
      <c r="E2889" t="s">
        <v>9713</v>
      </c>
      <c r="F2889" t="s">
        <v>16149</v>
      </c>
      <c r="G2889" t="s">
        <v>19212</v>
      </c>
      <c r="I2889" t="s">
        <v>19073</v>
      </c>
      <c r="K2889" t="str">
        <f>HYPERLINK("http://tuberculist.epfl.ch/quicksearch.php?gene+name=Rv2808&amp;submit=Search")</f>
        <v>http://tuberculist.epfl.ch/quicksearch.php?gene+name=Rv2808&amp;submit=Search</v>
      </c>
    </row>
    <row r="2890" spans="1:11">
      <c r="A2890" t="s">
        <v>1828</v>
      </c>
      <c r="B2890" t="s">
        <v>1828</v>
      </c>
      <c r="C2890" t="s">
        <v>9567</v>
      </c>
      <c r="D2890" t="s">
        <v>9587</v>
      </c>
      <c r="E2890" t="s">
        <v>9713</v>
      </c>
      <c r="F2890" t="s">
        <v>16150</v>
      </c>
      <c r="G2890" t="s">
        <v>19212</v>
      </c>
      <c r="I2890" t="s">
        <v>18780</v>
      </c>
      <c r="K2890" t="str">
        <f>HYPERLINK("http://tuberculist.epfl.ch/quicksearch.php?gene+name=Rv2809&amp;submit=Search")</f>
        <v>http://tuberculist.epfl.ch/quicksearch.php?gene+name=Rv2809&amp;submit=Search</v>
      </c>
    </row>
    <row r="2891" spans="1:11">
      <c r="A2891" t="s">
        <v>16151</v>
      </c>
      <c r="B2891" t="s">
        <v>16151</v>
      </c>
      <c r="C2891" t="s">
        <v>9567</v>
      </c>
      <c r="D2891" t="s">
        <v>16152</v>
      </c>
      <c r="E2891" t="s">
        <v>11730</v>
      </c>
      <c r="F2891" t="s">
        <v>16153</v>
      </c>
      <c r="G2891" t="s">
        <v>19217</v>
      </c>
      <c r="I2891" t="s">
        <v>18780</v>
      </c>
      <c r="K2891" t="str">
        <f>HYPERLINK("http://tuberculist.epfl.ch/quicksearch.php?gene+name=Rv2810c&amp;submit=Search")</f>
        <v>http://tuberculist.epfl.ch/quicksearch.php?gene+name=Rv2810c&amp;submit=Search</v>
      </c>
    </row>
    <row r="2892" spans="1:11">
      <c r="A2892" t="s">
        <v>16154</v>
      </c>
      <c r="B2892" t="s">
        <v>16154</v>
      </c>
      <c r="C2892" t="s">
        <v>9567</v>
      </c>
      <c r="D2892" t="s">
        <v>9578</v>
      </c>
      <c r="E2892" t="s">
        <v>9579</v>
      </c>
      <c r="F2892" t="s">
        <v>16155</v>
      </c>
      <c r="G2892" t="s">
        <v>19212</v>
      </c>
      <c r="H2892" t="s">
        <v>19211</v>
      </c>
      <c r="I2892" t="s">
        <v>18779</v>
      </c>
      <c r="K2892" t="str">
        <f>HYPERLINK("http://tuberculist.epfl.ch/quicksearch.php?gene+name=Rv2811&amp;submit=Search")</f>
        <v>http://tuberculist.epfl.ch/quicksearch.php?gene+name=Rv2811&amp;submit=Search</v>
      </c>
    </row>
    <row r="2893" spans="1:11">
      <c r="A2893" t="s">
        <v>16156</v>
      </c>
      <c r="B2893" t="s">
        <v>16156</v>
      </c>
      <c r="C2893" t="s">
        <v>9567</v>
      </c>
      <c r="D2893" t="s">
        <v>16157</v>
      </c>
      <c r="E2893" t="s">
        <v>11730</v>
      </c>
      <c r="F2893" t="s">
        <v>16158</v>
      </c>
      <c r="G2893" t="s">
        <v>19217</v>
      </c>
      <c r="H2893" t="s">
        <v>19358</v>
      </c>
      <c r="I2893" t="s">
        <v>18801</v>
      </c>
      <c r="K2893" t="str">
        <f>HYPERLINK("http://tuberculist.epfl.ch/quicksearch.php?gene+name=Rv2812&amp;submit=Search")</f>
        <v>http://tuberculist.epfl.ch/quicksearch.php?gene+name=Rv2812&amp;submit=Search</v>
      </c>
    </row>
    <row r="2894" spans="1:11">
      <c r="A2894" t="s">
        <v>16159</v>
      </c>
      <c r="B2894" t="s">
        <v>16159</v>
      </c>
      <c r="C2894" t="s">
        <v>9567</v>
      </c>
      <c r="D2894" t="s">
        <v>9578</v>
      </c>
      <c r="E2894" t="s">
        <v>9579</v>
      </c>
      <c r="F2894" t="s">
        <v>16160</v>
      </c>
      <c r="G2894" t="s">
        <v>19204</v>
      </c>
      <c r="H2894" t="s">
        <v>19959</v>
      </c>
      <c r="I2894" t="s">
        <v>18930</v>
      </c>
      <c r="K2894" t="str">
        <f>HYPERLINK("http://tuberculist.epfl.ch/quicksearch.php?gene+name=Rv2813&amp;submit=Search")</f>
        <v>http://tuberculist.epfl.ch/quicksearch.php?gene+name=Rv2813&amp;submit=Search</v>
      </c>
    </row>
    <row r="2895" spans="1:11">
      <c r="A2895" t="s">
        <v>16161</v>
      </c>
      <c r="B2895" t="s">
        <v>16161</v>
      </c>
      <c r="C2895" t="s">
        <v>9567</v>
      </c>
      <c r="D2895" t="s">
        <v>11446</v>
      </c>
      <c r="E2895" t="s">
        <v>11730</v>
      </c>
      <c r="F2895" t="s">
        <v>16162</v>
      </c>
      <c r="G2895" t="s">
        <v>19217</v>
      </c>
      <c r="I2895" t="s">
        <v>18802</v>
      </c>
      <c r="K2895" t="str">
        <f>HYPERLINK("http://tuberculist.epfl.ch/quicksearch.php?gene+name=Rv2814c&amp;submit=Search")</f>
        <v>http://tuberculist.epfl.ch/quicksearch.php?gene+name=Rv2814c&amp;submit=Search</v>
      </c>
    </row>
    <row r="2896" spans="1:11">
      <c r="A2896" t="s">
        <v>16163</v>
      </c>
      <c r="B2896" t="s">
        <v>16163</v>
      </c>
      <c r="C2896" t="s">
        <v>9567</v>
      </c>
      <c r="D2896" t="s">
        <v>11446</v>
      </c>
      <c r="E2896" t="s">
        <v>11730</v>
      </c>
      <c r="F2896" t="s">
        <v>16164</v>
      </c>
      <c r="G2896" t="s">
        <v>19217</v>
      </c>
      <c r="I2896" t="s">
        <v>18802</v>
      </c>
      <c r="K2896" t="str">
        <f>HYPERLINK("http://tuberculist.epfl.ch/quicksearch.php?gene+name=Rv2815c&amp;submit=Search")</f>
        <v>http://tuberculist.epfl.ch/quicksearch.php?gene+name=Rv2815c&amp;submit=Search</v>
      </c>
    </row>
    <row r="2897" spans="1:11">
      <c r="A2897" t="s">
        <v>1142</v>
      </c>
      <c r="B2897" t="s">
        <v>1142</v>
      </c>
      <c r="C2897" t="s">
        <v>9567</v>
      </c>
      <c r="D2897" t="s">
        <v>9578</v>
      </c>
      <c r="E2897" t="s">
        <v>9579</v>
      </c>
      <c r="F2897" t="s">
        <v>16165</v>
      </c>
      <c r="G2897" t="s">
        <v>19216</v>
      </c>
      <c r="I2897" t="s">
        <v>18796</v>
      </c>
      <c r="K2897" t="str">
        <f>HYPERLINK("http://tuberculist.epfl.ch/quicksearch.php?gene+name=Rv2816c&amp;submit=Search")</f>
        <v>http://tuberculist.epfl.ch/quicksearch.php?gene+name=Rv2816c&amp;submit=Search</v>
      </c>
    </row>
    <row r="2898" spans="1:11">
      <c r="A2898" t="s">
        <v>1392</v>
      </c>
      <c r="B2898" t="s">
        <v>1392</v>
      </c>
      <c r="C2898" t="s">
        <v>9567</v>
      </c>
      <c r="D2898" t="s">
        <v>9578</v>
      </c>
      <c r="E2898" t="s">
        <v>9579</v>
      </c>
      <c r="F2898" t="s">
        <v>16166</v>
      </c>
      <c r="G2898" t="s">
        <v>19298</v>
      </c>
      <c r="H2898" t="s">
        <v>19205</v>
      </c>
      <c r="I2898" t="s">
        <v>19074</v>
      </c>
      <c r="J2898" t="s">
        <v>18832</v>
      </c>
      <c r="K2898" t="str">
        <f>HYPERLINK("http://tuberculist.epfl.ch/quicksearch.php?gene+name=Rv2817c&amp;submit=Search")</f>
        <v>http://tuberculist.epfl.ch/quicksearch.php?gene+name=Rv2817c&amp;submit=Search</v>
      </c>
    </row>
    <row r="2899" spans="1:11">
      <c r="A2899" t="s">
        <v>3381</v>
      </c>
      <c r="B2899" t="s">
        <v>3381</v>
      </c>
      <c r="C2899" t="s">
        <v>9567</v>
      </c>
      <c r="D2899" t="s">
        <v>9587</v>
      </c>
      <c r="E2899" t="s">
        <v>9713</v>
      </c>
      <c r="F2899" t="s">
        <v>16167</v>
      </c>
      <c r="G2899" t="s">
        <v>19363</v>
      </c>
      <c r="H2899" t="s">
        <v>19213</v>
      </c>
      <c r="I2899" t="s">
        <v>18797</v>
      </c>
      <c r="K2899" t="str">
        <f>HYPERLINK("http://tuberculist.epfl.ch/quicksearch.php?gene+name=Rv2818c&amp;submit=Search")</f>
        <v>http://tuberculist.epfl.ch/quicksearch.php?gene+name=Rv2818c&amp;submit=Search</v>
      </c>
    </row>
    <row r="2900" spans="1:11">
      <c r="A2900" t="s">
        <v>1994</v>
      </c>
      <c r="B2900" t="s">
        <v>1994</v>
      </c>
      <c r="C2900" t="s">
        <v>9567</v>
      </c>
      <c r="D2900" t="s">
        <v>9587</v>
      </c>
      <c r="E2900" t="s">
        <v>9713</v>
      </c>
      <c r="F2900" t="s">
        <v>16168</v>
      </c>
      <c r="G2900" t="s">
        <v>19298</v>
      </c>
      <c r="H2900" t="s">
        <v>19302</v>
      </c>
      <c r="I2900" t="s">
        <v>18976</v>
      </c>
      <c r="K2900" t="str">
        <f>HYPERLINK("http://tuberculist.epfl.ch/quicksearch.php?gene+name=Rv2819c&amp;submit=Search")</f>
        <v>http://tuberculist.epfl.ch/quicksearch.php?gene+name=Rv2819c&amp;submit=Search</v>
      </c>
    </row>
    <row r="2901" spans="1:11">
      <c r="A2901" t="s">
        <v>2290</v>
      </c>
      <c r="B2901" t="s">
        <v>2290</v>
      </c>
      <c r="C2901" t="s">
        <v>9567</v>
      </c>
      <c r="D2901" t="s">
        <v>9587</v>
      </c>
      <c r="E2901" t="s">
        <v>9713</v>
      </c>
      <c r="F2901" t="s">
        <v>16169</v>
      </c>
      <c r="G2901" t="s">
        <v>19298</v>
      </c>
      <c r="I2901" t="s">
        <v>18796</v>
      </c>
      <c r="K2901" t="str">
        <f>HYPERLINK("http://tuberculist.epfl.ch/quicksearch.php?gene+name=Rv2820c&amp;submit=Search")</f>
        <v>http://tuberculist.epfl.ch/quicksearch.php?gene+name=Rv2820c&amp;submit=Search</v>
      </c>
    </row>
    <row r="2902" spans="1:11">
      <c r="A2902" t="s">
        <v>2461</v>
      </c>
      <c r="B2902" t="s">
        <v>2461</v>
      </c>
      <c r="C2902" t="s">
        <v>9567</v>
      </c>
      <c r="D2902" t="s">
        <v>9578</v>
      </c>
      <c r="E2902" t="s">
        <v>9579</v>
      </c>
      <c r="F2902" t="s">
        <v>16170</v>
      </c>
      <c r="G2902" t="s">
        <v>19298</v>
      </c>
      <c r="H2902" t="s">
        <v>19213</v>
      </c>
      <c r="I2902" t="s">
        <v>18789</v>
      </c>
      <c r="K2902" t="str">
        <f>HYPERLINK("http://tuberculist.epfl.ch/quicksearch.php?gene+name=Rv2821c&amp;submit=Search")</f>
        <v>http://tuberculist.epfl.ch/quicksearch.php?gene+name=Rv2821c&amp;submit=Search</v>
      </c>
    </row>
    <row r="2903" spans="1:11">
      <c r="A2903" t="s">
        <v>16171</v>
      </c>
      <c r="B2903" t="s">
        <v>16171</v>
      </c>
      <c r="C2903" t="s">
        <v>9567</v>
      </c>
      <c r="D2903" t="s">
        <v>9587</v>
      </c>
      <c r="E2903" t="s">
        <v>9713</v>
      </c>
      <c r="F2903" t="s">
        <v>16172</v>
      </c>
      <c r="G2903" t="s">
        <v>19298</v>
      </c>
      <c r="H2903" t="s">
        <v>19213</v>
      </c>
      <c r="I2903" t="s">
        <v>18780</v>
      </c>
      <c r="K2903" t="str">
        <f>HYPERLINK("http://tuberculist.epfl.ch/quicksearch.php?gene+name=Rv2822c&amp;submit=Search")</f>
        <v>http://tuberculist.epfl.ch/quicksearch.php?gene+name=Rv2822c&amp;submit=Search</v>
      </c>
    </row>
    <row r="2904" spans="1:11">
      <c r="A2904" t="s">
        <v>1880</v>
      </c>
      <c r="B2904" t="s">
        <v>1880</v>
      </c>
      <c r="C2904" t="s">
        <v>9567</v>
      </c>
      <c r="D2904" t="s">
        <v>9578</v>
      </c>
      <c r="E2904" t="s">
        <v>9665</v>
      </c>
      <c r="F2904" t="s">
        <v>16173</v>
      </c>
      <c r="G2904" t="s">
        <v>19212</v>
      </c>
      <c r="H2904" t="s">
        <v>19539</v>
      </c>
      <c r="I2904" t="s">
        <v>18779</v>
      </c>
      <c r="K2904" t="str">
        <f>HYPERLINK("http://tuberculist.epfl.ch/quicksearch.php?gene+name=Rv2823c&amp;submit=Search")</f>
        <v>http://tuberculist.epfl.ch/quicksearch.php?gene+name=Rv2823c&amp;submit=Search</v>
      </c>
    </row>
    <row r="2905" spans="1:11">
      <c r="A2905" t="s">
        <v>1264</v>
      </c>
      <c r="B2905" t="s">
        <v>1264</v>
      </c>
      <c r="C2905" t="s">
        <v>9567</v>
      </c>
      <c r="D2905" t="s">
        <v>9587</v>
      </c>
      <c r="E2905" t="s">
        <v>9713</v>
      </c>
      <c r="F2905" t="s">
        <v>16174</v>
      </c>
      <c r="G2905" t="s">
        <v>19298</v>
      </c>
      <c r="H2905" t="s">
        <v>19211</v>
      </c>
      <c r="I2905" t="s">
        <v>18789</v>
      </c>
      <c r="K2905" t="str">
        <f>HYPERLINK("http://tuberculist.epfl.ch/quicksearch.php?gene+name=Rv2824c&amp;submit=Search")</f>
        <v>http://tuberculist.epfl.ch/quicksearch.php?gene+name=Rv2824c&amp;submit=Search</v>
      </c>
    </row>
    <row r="2906" spans="1:11">
      <c r="A2906" t="s">
        <v>1579</v>
      </c>
      <c r="B2906" t="s">
        <v>1579</v>
      </c>
      <c r="C2906" t="s">
        <v>9567</v>
      </c>
      <c r="D2906" t="s">
        <v>9578</v>
      </c>
      <c r="E2906" t="s">
        <v>9579</v>
      </c>
      <c r="F2906" t="s">
        <v>16175</v>
      </c>
      <c r="G2906" t="s">
        <v>19212</v>
      </c>
      <c r="H2906" t="s">
        <v>19213</v>
      </c>
      <c r="I2906" t="s">
        <v>18779</v>
      </c>
      <c r="K2906" t="str">
        <f>HYPERLINK("http://tuberculist.epfl.ch/quicksearch.php?gene+name=Rv2825c&amp;submit=Search")</f>
        <v>http://tuberculist.epfl.ch/quicksearch.php?gene+name=Rv2825c&amp;submit=Search</v>
      </c>
    </row>
    <row r="2907" spans="1:11">
      <c r="A2907" t="s">
        <v>3328</v>
      </c>
      <c r="B2907" t="s">
        <v>3328</v>
      </c>
      <c r="C2907" t="s">
        <v>9567</v>
      </c>
      <c r="D2907" t="s">
        <v>9587</v>
      </c>
      <c r="E2907" t="s">
        <v>9713</v>
      </c>
      <c r="F2907" t="s">
        <v>16176</v>
      </c>
      <c r="G2907" t="s">
        <v>19212</v>
      </c>
      <c r="H2907" t="s">
        <v>19207</v>
      </c>
      <c r="I2907" t="s">
        <v>18780</v>
      </c>
      <c r="K2907" t="str">
        <f>HYPERLINK("http://tuberculist.epfl.ch/quicksearch.php?gene+name=Rv2826c&amp;submit=Search")</f>
        <v>http://tuberculist.epfl.ch/quicksearch.php?gene+name=Rv2826c&amp;submit=Search</v>
      </c>
    </row>
    <row r="2908" spans="1:11">
      <c r="A2908" t="s">
        <v>2132</v>
      </c>
      <c r="B2908" t="s">
        <v>2132</v>
      </c>
      <c r="C2908" t="s">
        <v>9567</v>
      </c>
      <c r="D2908" t="s">
        <v>9587</v>
      </c>
      <c r="E2908" t="s">
        <v>9713</v>
      </c>
      <c r="F2908" t="s">
        <v>16177</v>
      </c>
      <c r="G2908" t="s">
        <v>19212</v>
      </c>
      <c r="I2908" t="s">
        <v>18842</v>
      </c>
      <c r="K2908" t="str">
        <f>HYPERLINK("http://tuberculist.epfl.ch/quicksearch.php?gene+name=Rv2827c&amp;submit=Search")</f>
        <v>http://tuberculist.epfl.ch/quicksearch.php?gene+name=Rv2827c&amp;submit=Search</v>
      </c>
    </row>
    <row r="2909" spans="1:11">
      <c r="A2909" t="s">
        <v>16178</v>
      </c>
      <c r="B2909" t="s">
        <v>16178</v>
      </c>
      <c r="C2909" t="s">
        <v>9567</v>
      </c>
      <c r="D2909" t="s">
        <v>9587</v>
      </c>
      <c r="E2909" t="s">
        <v>9579</v>
      </c>
      <c r="F2909" t="s">
        <v>16179</v>
      </c>
      <c r="G2909" t="s">
        <v>19212</v>
      </c>
      <c r="H2909" t="s">
        <v>19213</v>
      </c>
      <c r="I2909" t="s">
        <v>18773</v>
      </c>
      <c r="K2909" t="str">
        <f>HYPERLINK("http://tuberculist.epfl.ch/quicksearch.php?gene+name=Rv2828A&amp;submit=Search")</f>
        <v>http://tuberculist.epfl.ch/quicksearch.php?gene+name=Rv2828A&amp;submit=Search</v>
      </c>
    </row>
    <row r="2910" spans="1:11">
      <c r="A2910" t="s">
        <v>16180</v>
      </c>
      <c r="B2910" t="s">
        <v>16180</v>
      </c>
      <c r="C2910" t="s">
        <v>9567</v>
      </c>
      <c r="D2910" t="s">
        <v>9578</v>
      </c>
      <c r="E2910" t="s">
        <v>9579</v>
      </c>
      <c r="F2910" t="s">
        <v>16181</v>
      </c>
      <c r="G2910" t="s">
        <v>19210</v>
      </c>
      <c r="I2910" t="s">
        <v>18800</v>
      </c>
      <c r="K2910" t="str">
        <f>HYPERLINK("http://tuberculist.epfl.ch/quicksearch.php?gene+name=Rv2828c&amp;submit=Search")</f>
        <v>http://tuberculist.epfl.ch/quicksearch.php?gene+name=Rv2828c&amp;submit=Search</v>
      </c>
    </row>
    <row r="2911" spans="1:11">
      <c r="A2911" t="s">
        <v>16182</v>
      </c>
      <c r="B2911" t="s">
        <v>16183</v>
      </c>
      <c r="C2911" t="s">
        <v>9567</v>
      </c>
      <c r="D2911" t="s">
        <v>9587</v>
      </c>
      <c r="E2911" t="s">
        <v>16184</v>
      </c>
      <c r="F2911" t="s">
        <v>16185</v>
      </c>
      <c r="G2911" t="s">
        <v>19206</v>
      </c>
      <c r="H2911" t="s">
        <v>19211</v>
      </c>
      <c r="I2911" t="s">
        <v>18793</v>
      </c>
      <c r="K2911" t="str">
        <f>HYPERLINK("http://tuberculist.epfl.ch/quicksearch.php?gene+name=Rv2829c&amp;submit=Search")</f>
        <v>http://tuberculist.epfl.ch/quicksearch.php?gene+name=Rv2829c&amp;submit=Search</v>
      </c>
    </row>
    <row r="2912" spans="1:11">
      <c r="A2912" t="s">
        <v>16186</v>
      </c>
      <c r="B2912" t="s">
        <v>2656</v>
      </c>
      <c r="C2912" t="s">
        <v>9567</v>
      </c>
      <c r="D2912" t="s">
        <v>9587</v>
      </c>
      <c r="E2912" t="s">
        <v>16187</v>
      </c>
      <c r="F2912" t="s">
        <v>16188</v>
      </c>
      <c r="G2912" t="s">
        <v>19206</v>
      </c>
      <c r="H2912" t="s">
        <v>19213</v>
      </c>
      <c r="I2912" t="s">
        <v>18800</v>
      </c>
      <c r="K2912" t="str">
        <f>HYPERLINK("http://tuberculist.epfl.ch/quicksearch.php?gene+name=Rv2830c&amp;submit=Search")</f>
        <v>http://tuberculist.epfl.ch/quicksearch.php?gene+name=Rv2830c&amp;submit=Search</v>
      </c>
    </row>
    <row r="2913" spans="1:11">
      <c r="A2913" t="s">
        <v>16189</v>
      </c>
      <c r="B2913" t="s">
        <v>16190</v>
      </c>
      <c r="C2913" t="s">
        <v>9567</v>
      </c>
      <c r="D2913" t="s">
        <v>10092</v>
      </c>
      <c r="E2913" t="s">
        <v>16191</v>
      </c>
      <c r="F2913" t="s">
        <v>16192</v>
      </c>
      <c r="G2913" t="s">
        <v>19219</v>
      </c>
      <c r="H2913" t="s">
        <v>19960</v>
      </c>
      <c r="I2913" t="s">
        <v>18779</v>
      </c>
      <c r="K2913" t="str">
        <f>HYPERLINK("http://tuberculist.epfl.ch/quicksearch.php?gene+name=Rv2831&amp;submit=Search")</f>
        <v>http://tuberculist.epfl.ch/quicksearch.php?gene+name=Rv2831&amp;submit=Search</v>
      </c>
    </row>
    <row r="2914" spans="1:11">
      <c r="A2914" t="s">
        <v>7128</v>
      </c>
      <c r="B2914" t="s">
        <v>2327</v>
      </c>
      <c r="C2914" t="s">
        <v>9567</v>
      </c>
      <c r="D2914" t="s">
        <v>16193</v>
      </c>
      <c r="E2914" t="s">
        <v>16194</v>
      </c>
      <c r="F2914" t="s">
        <v>16195</v>
      </c>
      <c r="G2914" t="s">
        <v>19188</v>
      </c>
      <c r="H2914" t="s">
        <v>19215</v>
      </c>
      <c r="I2914" t="s">
        <v>18774</v>
      </c>
      <c r="K2914" t="str">
        <f>HYPERLINK("http://tuberculist.epfl.ch/quicksearch.php?gene+name=Rv2832c&amp;submit=Search")</f>
        <v>http://tuberculist.epfl.ch/quicksearch.php?gene+name=Rv2832c&amp;submit=Search</v>
      </c>
    </row>
    <row r="2915" spans="1:11">
      <c r="A2915" t="s">
        <v>16196</v>
      </c>
      <c r="B2915" t="s">
        <v>16197</v>
      </c>
      <c r="C2915" t="s">
        <v>9567</v>
      </c>
      <c r="D2915" t="s">
        <v>16198</v>
      </c>
      <c r="E2915" t="s">
        <v>16199</v>
      </c>
      <c r="F2915" t="s">
        <v>16200</v>
      </c>
      <c r="G2915" t="s">
        <v>19188</v>
      </c>
      <c r="H2915" t="s">
        <v>19242</v>
      </c>
      <c r="I2915" t="s">
        <v>18800</v>
      </c>
      <c r="K2915" t="str">
        <f>HYPERLINK("http://tuberculist.epfl.ch/quicksearch.php?gene+name=Rv2833c&amp;submit=Search")</f>
        <v>http://tuberculist.epfl.ch/quicksearch.php?gene+name=Rv2833c&amp;submit=Search</v>
      </c>
    </row>
    <row r="2916" spans="1:11">
      <c r="A2916" t="s">
        <v>16201</v>
      </c>
      <c r="B2916" t="s">
        <v>16202</v>
      </c>
      <c r="C2916" t="s">
        <v>9567</v>
      </c>
      <c r="D2916" t="s">
        <v>16203</v>
      </c>
      <c r="E2916" t="s">
        <v>16204</v>
      </c>
      <c r="F2916" t="s">
        <v>16205</v>
      </c>
      <c r="G2916" t="s">
        <v>19188</v>
      </c>
      <c r="I2916" t="s">
        <v>18793</v>
      </c>
      <c r="K2916" t="str">
        <f>HYPERLINK("http://tuberculist.epfl.ch/quicksearch.php?gene+name=Rv2834c&amp;submit=Search")</f>
        <v>http://tuberculist.epfl.ch/quicksearch.php?gene+name=Rv2834c&amp;submit=Search</v>
      </c>
    </row>
    <row r="2917" spans="1:11">
      <c r="A2917" t="s">
        <v>16206</v>
      </c>
      <c r="B2917" t="s">
        <v>16207</v>
      </c>
      <c r="C2917" t="s">
        <v>9567</v>
      </c>
      <c r="D2917" t="s">
        <v>16203</v>
      </c>
      <c r="E2917" t="s">
        <v>16208</v>
      </c>
      <c r="F2917" t="s">
        <v>16209</v>
      </c>
      <c r="G2917" t="s">
        <v>19188</v>
      </c>
      <c r="I2917" t="s">
        <v>18779</v>
      </c>
      <c r="J2917" t="s">
        <v>18809</v>
      </c>
      <c r="K2917" t="str">
        <f>HYPERLINK("http://tuberculist.epfl.ch/quicksearch.php?gene+name=Rv2835c&amp;submit=Search")</f>
        <v>http://tuberculist.epfl.ch/quicksearch.php?gene+name=Rv2835c&amp;submit=Search</v>
      </c>
    </row>
    <row r="2918" spans="1:11">
      <c r="A2918" t="s">
        <v>8211</v>
      </c>
      <c r="B2918" t="s">
        <v>2862</v>
      </c>
      <c r="C2918" t="s">
        <v>9567</v>
      </c>
      <c r="D2918" t="s">
        <v>16210</v>
      </c>
      <c r="E2918" t="s">
        <v>16211</v>
      </c>
      <c r="F2918" t="s">
        <v>16212</v>
      </c>
      <c r="G2918" t="s">
        <v>19181</v>
      </c>
      <c r="H2918" t="s">
        <v>19214</v>
      </c>
      <c r="I2918" t="s">
        <v>18780</v>
      </c>
      <c r="K2918" t="str">
        <f>HYPERLINK("http://tuberculist.epfl.ch/quicksearch.php?gene+name=Rv2836c&amp;submit=Search")</f>
        <v>http://tuberculist.epfl.ch/quicksearch.php?gene+name=Rv2836c&amp;submit=Search</v>
      </c>
    </row>
    <row r="2919" spans="1:11">
      <c r="A2919" t="s">
        <v>1885</v>
      </c>
      <c r="B2919" t="s">
        <v>1885</v>
      </c>
      <c r="C2919" t="s">
        <v>9567</v>
      </c>
      <c r="D2919" t="s">
        <v>9578</v>
      </c>
      <c r="E2919" t="s">
        <v>9665</v>
      </c>
      <c r="F2919" t="s">
        <v>16213</v>
      </c>
      <c r="G2919" t="s">
        <v>19212</v>
      </c>
      <c r="H2919" t="s">
        <v>19233</v>
      </c>
      <c r="I2919" t="s">
        <v>18842</v>
      </c>
      <c r="K2919" t="str">
        <f>HYPERLINK("http://tuberculist.epfl.ch/quicksearch.php?gene+name=Rv2837c&amp;submit=Search")</f>
        <v>http://tuberculist.epfl.ch/quicksearch.php?gene+name=Rv2837c&amp;submit=Search</v>
      </c>
    </row>
    <row r="2920" spans="1:11">
      <c r="A2920" t="s">
        <v>4608</v>
      </c>
      <c r="B2920" t="s">
        <v>1062</v>
      </c>
      <c r="C2920" t="s">
        <v>9567</v>
      </c>
      <c r="D2920" t="s">
        <v>16214</v>
      </c>
      <c r="E2920" t="s">
        <v>16215</v>
      </c>
      <c r="F2920" t="s">
        <v>16216</v>
      </c>
      <c r="G2920" t="s">
        <v>19181</v>
      </c>
      <c r="H2920" t="s">
        <v>19213</v>
      </c>
      <c r="I2920" t="s">
        <v>18776</v>
      </c>
      <c r="K2920" t="str">
        <f>HYPERLINK("http://tuberculist.epfl.ch/quicksearch.php?gene+name=Rv2838c&amp;submit=Search")</f>
        <v>http://tuberculist.epfl.ch/quicksearch.php?gene+name=Rv2838c&amp;submit=Search</v>
      </c>
    </row>
    <row r="2921" spans="1:11">
      <c r="A2921" t="s">
        <v>7360</v>
      </c>
      <c r="B2921" t="s">
        <v>2440</v>
      </c>
      <c r="C2921" t="s">
        <v>9567</v>
      </c>
      <c r="D2921" t="s">
        <v>16217</v>
      </c>
      <c r="E2921" t="s">
        <v>16218</v>
      </c>
      <c r="F2921" t="s">
        <v>16219</v>
      </c>
      <c r="G2921" t="s">
        <v>19181</v>
      </c>
      <c r="H2921" t="s">
        <v>19687</v>
      </c>
      <c r="I2921" t="s">
        <v>18774</v>
      </c>
      <c r="K2921" t="str">
        <f>HYPERLINK("http://tuberculist.epfl.ch/quicksearch.php?gene+name=Rv2839c&amp;submit=Search")</f>
        <v>http://tuberculist.epfl.ch/quicksearch.php?gene+name=Rv2839c&amp;submit=Search</v>
      </c>
    </row>
    <row r="2922" spans="1:11">
      <c r="A2922" t="s">
        <v>3237</v>
      </c>
      <c r="B2922" t="s">
        <v>3237</v>
      </c>
      <c r="C2922" t="s">
        <v>9567</v>
      </c>
      <c r="D2922" t="s">
        <v>9578</v>
      </c>
      <c r="E2922" t="s">
        <v>9579</v>
      </c>
      <c r="F2922" t="s">
        <v>16220</v>
      </c>
      <c r="G2922" t="s">
        <v>19185</v>
      </c>
      <c r="H2922" t="s">
        <v>19213</v>
      </c>
      <c r="I2922" t="s">
        <v>18779</v>
      </c>
      <c r="K2922" t="str">
        <f>HYPERLINK("http://tuberculist.epfl.ch/quicksearch.php?gene+name=Rv2840c&amp;submit=Search")</f>
        <v>http://tuberculist.epfl.ch/quicksearch.php?gene+name=Rv2840c&amp;submit=Search</v>
      </c>
    </row>
    <row r="2923" spans="1:11">
      <c r="A2923" t="s">
        <v>4264</v>
      </c>
      <c r="B2923" t="s">
        <v>891</v>
      </c>
      <c r="C2923" t="s">
        <v>9567</v>
      </c>
      <c r="D2923" t="s">
        <v>16221</v>
      </c>
      <c r="E2923" t="s">
        <v>16222</v>
      </c>
      <c r="F2923" t="s">
        <v>16223</v>
      </c>
      <c r="G2923" t="s">
        <v>19181</v>
      </c>
      <c r="H2923" t="s">
        <v>19459</v>
      </c>
      <c r="I2923" t="s">
        <v>18774</v>
      </c>
      <c r="K2923" t="str">
        <f>HYPERLINK("http://tuberculist.epfl.ch/quicksearch.php?gene+name=Rv2841c&amp;submit=Search")</f>
        <v>http://tuberculist.epfl.ch/quicksearch.php?gene+name=Rv2841c&amp;submit=Search</v>
      </c>
    </row>
    <row r="2924" spans="1:11">
      <c r="A2924" t="s">
        <v>1981</v>
      </c>
      <c r="B2924" t="s">
        <v>1981</v>
      </c>
      <c r="C2924" t="s">
        <v>9567</v>
      </c>
      <c r="D2924" t="s">
        <v>9578</v>
      </c>
      <c r="E2924" t="s">
        <v>9665</v>
      </c>
      <c r="F2924" t="s">
        <v>16224</v>
      </c>
      <c r="G2924" t="s">
        <v>19185</v>
      </c>
      <c r="H2924" t="s">
        <v>19511</v>
      </c>
      <c r="I2924" t="s">
        <v>18779</v>
      </c>
      <c r="K2924" t="str">
        <f>HYPERLINK("http://tuberculist.epfl.ch/quicksearch.php?gene+name=Rv2842c&amp;submit=Search")</f>
        <v>http://tuberculist.epfl.ch/quicksearch.php?gene+name=Rv2842c&amp;submit=Search</v>
      </c>
    </row>
    <row r="2925" spans="1:11">
      <c r="A2925" t="s">
        <v>2873</v>
      </c>
      <c r="B2925" t="s">
        <v>2873</v>
      </c>
      <c r="C2925" t="s">
        <v>9567</v>
      </c>
      <c r="D2925" t="s">
        <v>9587</v>
      </c>
      <c r="E2925" t="s">
        <v>16225</v>
      </c>
      <c r="F2925" t="s">
        <v>16226</v>
      </c>
      <c r="G2925" t="s">
        <v>19188</v>
      </c>
      <c r="H2925" t="s">
        <v>19192</v>
      </c>
      <c r="I2925" t="s">
        <v>18773</v>
      </c>
      <c r="K2925" t="str">
        <f>HYPERLINK("http://tuberculist.epfl.ch/quicksearch.php?gene+name=Rv2843&amp;submit=Search")</f>
        <v>http://tuberculist.epfl.ch/quicksearch.php?gene+name=Rv2843&amp;submit=Search</v>
      </c>
    </row>
    <row r="2926" spans="1:11">
      <c r="A2926" t="s">
        <v>1950</v>
      </c>
      <c r="B2926" t="s">
        <v>1950</v>
      </c>
      <c r="C2926" t="s">
        <v>9567</v>
      </c>
      <c r="D2926" t="s">
        <v>9578</v>
      </c>
      <c r="E2926" t="s">
        <v>15963</v>
      </c>
      <c r="F2926" t="s">
        <v>16227</v>
      </c>
      <c r="G2926" t="s">
        <v>19185</v>
      </c>
      <c r="H2926" t="s">
        <v>19903</v>
      </c>
      <c r="I2926" t="s">
        <v>18779</v>
      </c>
      <c r="J2926" t="s">
        <v>18775</v>
      </c>
      <c r="K2926" t="str">
        <f>HYPERLINK("http://tuberculist.epfl.ch/quicksearch.php?gene+name=Rv2844&amp;submit=Search")</f>
        <v>http://tuberculist.epfl.ch/quicksearch.php?gene+name=Rv2844&amp;submit=Search</v>
      </c>
    </row>
    <row r="2927" spans="1:11">
      <c r="A2927" t="s">
        <v>6506</v>
      </c>
      <c r="B2927" t="s">
        <v>2003</v>
      </c>
      <c r="C2927" t="s">
        <v>9567</v>
      </c>
      <c r="D2927" t="s">
        <v>16228</v>
      </c>
      <c r="E2927" t="s">
        <v>16229</v>
      </c>
      <c r="F2927" t="s">
        <v>16230</v>
      </c>
      <c r="G2927" t="s">
        <v>19181</v>
      </c>
      <c r="H2927" t="s">
        <v>19961</v>
      </c>
      <c r="I2927" t="s">
        <v>18885</v>
      </c>
      <c r="K2927" t="str">
        <f>HYPERLINK("http://tuberculist.epfl.ch/quicksearch.php?gene+name=Rv2845c&amp;submit=Search")</f>
        <v>http://tuberculist.epfl.ch/quicksearch.php?gene+name=Rv2845c&amp;submit=Search</v>
      </c>
    </row>
    <row r="2928" spans="1:11">
      <c r="A2928" t="s">
        <v>9267</v>
      </c>
      <c r="B2928" t="s">
        <v>3358</v>
      </c>
      <c r="C2928" t="s">
        <v>9567</v>
      </c>
      <c r="D2928" t="s">
        <v>16231</v>
      </c>
      <c r="E2928" t="s">
        <v>16232</v>
      </c>
      <c r="F2928" t="s">
        <v>16233</v>
      </c>
      <c r="G2928" t="s">
        <v>19188</v>
      </c>
      <c r="H2928" t="s">
        <v>19546</v>
      </c>
      <c r="I2928" t="s">
        <v>18774</v>
      </c>
      <c r="K2928" t="str">
        <f>HYPERLINK("http://tuberculist.epfl.ch/quicksearch.php?gene+name=Rv2846c&amp;submit=Search")</f>
        <v>http://tuberculist.epfl.ch/quicksearch.php?gene+name=Rv2846c&amp;submit=Search</v>
      </c>
    </row>
    <row r="2929" spans="1:11">
      <c r="A2929" t="s">
        <v>4554</v>
      </c>
      <c r="B2929" t="s">
        <v>1038</v>
      </c>
      <c r="C2929" t="s">
        <v>9567</v>
      </c>
      <c r="D2929" t="s">
        <v>16234</v>
      </c>
      <c r="E2929" t="s">
        <v>16235</v>
      </c>
      <c r="F2929" t="s">
        <v>16236</v>
      </c>
      <c r="G2929" t="s">
        <v>19195</v>
      </c>
      <c r="H2929" t="s">
        <v>19962</v>
      </c>
      <c r="I2929" t="s">
        <v>18776</v>
      </c>
      <c r="K2929" t="str">
        <f>HYPERLINK("http://tuberculist.epfl.ch/quicksearch.php?gene+name=Rv2847c&amp;submit=Search")</f>
        <v>http://tuberculist.epfl.ch/quicksearch.php?gene+name=Rv2847c&amp;submit=Search</v>
      </c>
    </row>
    <row r="2930" spans="1:11">
      <c r="A2930" t="s">
        <v>7242</v>
      </c>
      <c r="B2930" t="s">
        <v>2381</v>
      </c>
      <c r="C2930" t="s">
        <v>9567</v>
      </c>
      <c r="D2930" t="s">
        <v>16237</v>
      </c>
      <c r="E2930" t="s">
        <v>16238</v>
      </c>
      <c r="F2930" t="s">
        <v>16239</v>
      </c>
      <c r="G2930" t="s">
        <v>19195</v>
      </c>
      <c r="H2930" t="s">
        <v>19194</v>
      </c>
      <c r="I2930" t="s">
        <v>18780</v>
      </c>
      <c r="K2930" t="str">
        <f>HYPERLINK("http://tuberculist.epfl.ch/quicksearch.php?gene+name=Rv2848c&amp;submit=Search")</f>
        <v>http://tuberculist.epfl.ch/quicksearch.php?gene+name=Rv2848c&amp;submit=Search</v>
      </c>
    </row>
    <row r="2931" spans="1:11">
      <c r="A2931" t="s">
        <v>6883</v>
      </c>
      <c r="B2931" t="s">
        <v>2206</v>
      </c>
      <c r="C2931" t="s">
        <v>9567</v>
      </c>
      <c r="D2931" t="s">
        <v>16240</v>
      </c>
      <c r="E2931" t="s">
        <v>16241</v>
      </c>
      <c r="F2931" t="s">
        <v>16242</v>
      </c>
      <c r="G2931" t="s">
        <v>19195</v>
      </c>
      <c r="H2931" t="s">
        <v>19214</v>
      </c>
      <c r="I2931" t="s">
        <v>18779</v>
      </c>
      <c r="K2931" t="str">
        <f>HYPERLINK("http://tuberculist.epfl.ch/quicksearch.php?gene+name=Rv2849c&amp;submit=Search")</f>
        <v>http://tuberculist.epfl.ch/quicksearch.php?gene+name=Rv2849c&amp;submit=Search</v>
      </c>
    </row>
    <row r="2932" spans="1:11">
      <c r="A2932" t="s">
        <v>1611</v>
      </c>
      <c r="B2932" t="s">
        <v>1611</v>
      </c>
      <c r="C2932" t="s">
        <v>9567</v>
      </c>
      <c r="D2932" t="s">
        <v>16243</v>
      </c>
      <c r="E2932" t="s">
        <v>11815</v>
      </c>
      <c r="F2932" t="s">
        <v>16244</v>
      </c>
      <c r="G2932" t="s">
        <v>19195</v>
      </c>
      <c r="H2932" t="s">
        <v>19334</v>
      </c>
      <c r="I2932" t="s">
        <v>18779</v>
      </c>
      <c r="K2932" t="str">
        <f>HYPERLINK("http://tuberculist.epfl.ch/quicksearch.php?gene+name=Rv2850c&amp;submit=Search")</f>
        <v>http://tuberculist.epfl.ch/quicksearch.php?gene+name=Rv2850c&amp;submit=Search</v>
      </c>
    </row>
    <row r="2933" spans="1:11">
      <c r="A2933" t="s">
        <v>2817</v>
      </c>
      <c r="B2933" t="s">
        <v>2817</v>
      </c>
      <c r="C2933" t="s">
        <v>9567</v>
      </c>
      <c r="D2933" t="s">
        <v>9898</v>
      </c>
      <c r="E2933" t="s">
        <v>9899</v>
      </c>
      <c r="F2933" t="s">
        <v>16245</v>
      </c>
      <c r="G2933" t="s">
        <v>19195</v>
      </c>
      <c r="I2933" t="s">
        <v>18780</v>
      </c>
      <c r="K2933" t="str">
        <f>HYPERLINK("http://tuberculist.epfl.ch/quicksearch.php?gene+name=Rv2851c&amp;submit=Search")</f>
        <v>http://tuberculist.epfl.ch/quicksearch.php?gene+name=Rv2851c&amp;submit=Search</v>
      </c>
    </row>
    <row r="2934" spans="1:11">
      <c r="A2934" t="s">
        <v>7139</v>
      </c>
      <c r="B2934" t="s">
        <v>2333</v>
      </c>
      <c r="C2934" t="s">
        <v>9567</v>
      </c>
      <c r="D2934" t="s">
        <v>16246</v>
      </c>
      <c r="E2934" t="s">
        <v>16247</v>
      </c>
      <c r="F2934" t="s">
        <v>16248</v>
      </c>
      <c r="G2934" t="s">
        <v>19195</v>
      </c>
      <c r="H2934" t="s">
        <v>19401</v>
      </c>
      <c r="I2934" t="s">
        <v>18789</v>
      </c>
      <c r="K2934" t="str">
        <f>HYPERLINK("http://tuberculist.epfl.ch/quicksearch.php?gene+name=Rv2852c&amp;submit=Search")</f>
        <v>http://tuberculist.epfl.ch/quicksearch.php?gene+name=Rv2852c&amp;submit=Search</v>
      </c>
    </row>
    <row r="2935" spans="1:11">
      <c r="A2935" t="s">
        <v>9141</v>
      </c>
      <c r="B2935" t="s">
        <v>3298</v>
      </c>
      <c r="C2935" t="s">
        <v>9567</v>
      </c>
      <c r="D2935" t="s">
        <v>9578</v>
      </c>
      <c r="E2935" t="s">
        <v>16249</v>
      </c>
      <c r="F2935" t="s">
        <v>16250</v>
      </c>
      <c r="G2935" t="s">
        <v>19262</v>
      </c>
      <c r="H2935" t="s">
        <v>19267</v>
      </c>
      <c r="I2935" t="s">
        <v>18780</v>
      </c>
      <c r="K2935" t="str">
        <f>HYPERLINK("http://tuberculist.epfl.ch/quicksearch.php?gene+name=Rv2853&amp;submit=Search")</f>
        <v>http://tuberculist.epfl.ch/quicksearch.php?gene+name=Rv2853&amp;submit=Search</v>
      </c>
    </row>
    <row r="2936" spans="1:11">
      <c r="A2936" t="s">
        <v>1506</v>
      </c>
      <c r="B2936" t="s">
        <v>1506</v>
      </c>
      <c r="C2936" t="s">
        <v>9567</v>
      </c>
      <c r="D2936" t="s">
        <v>9587</v>
      </c>
      <c r="E2936" t="s">
        <v>9768</v>
      </c>
      <c r="F2936" t="s">
        <v>16251</v>
      </c>
      <c r="G2936" t="s">
        <v>19212</v>
      </c>
      <c r="H2936" t="s">
        <v>19446</v>
      </c>
      <c r="I2936" t="s">
        <v>18779</v>
      </c>
      <c r="K2936" t="str">
        <f>HYPERLINK("http://tuberculist.epfl.ch/quicksearch.php?gene+name=Rv2854&amp;submit=Search")</f>
        <v>http://tuberculist.epfl.ch/quicksearch.php?gene+name=Rv2854&amp;submit=Search</v>
      </c>
    </row>
    <row r="2937" spans="1:11">
      <c r="A2937" t="s">
        <v>8245</v>
      </c>
      <c r="B2937" t="s">
        <v>2879</v>
      </c>
      <c r="C2937" t="s">
        <v>9567</v>
      </c>
      <c r="D2937" t="s">
        <v>16252</v>
      </c>
      <c r="E2937" t="s">
        <v>16253</v>
      </c>
      <c r="F2937" t="s">
        <v>16254</v>
      </c>
      <c r="G2937" t="s">
        <v>19195</v>
      </c>
      <c r="H2937" t="s">
        <v>19229</v>
      </c>
      <c r="I2937" t="s">
        <v>18800</v>
      </c>
      <c r="K2937" t="str">
        <f>HYPERLINK("http://tuberculist.epfl.ch/quicksearch.php?gene+name=Rv2855&amp;submit=Search")</f>
        <v>http://tuberculist.epfl.ch/quicksearch.php?gene+name=Rv2855&amp;submit=Search</v>
      </c>
    </row>
    <row r="2938" spans="1:11">
      <c r="A2938" t="s">
        <v>5186</v>
      </c>
      <c r="B2938" t="s">
        <v>1346</v>
      </c>
      <c r="C2938" t="s">
        <v>9567</v>
      </c>
      <c r="D2938" t="s">
        <v>16255</v>
      </c>
      <c r="E2938" t="s">
        <v>16256</v>
      </c>
      <c r="F2938" t="s">
        <v>16257</v>
      </c>
      <c r="G2938" t="s">
        <v>19188</v>
      </c>
      <c r="H2938" t="s">
        <v>19207</v>
      </c>
      <c r="I2938" t="s">
        <v>18800</v>
      </c>
      <c r="K2938" t="str">
        <f>HYPERLINK("http://tuberculist.epfl.ch/quicksearch.php?gene+name=Rv2856&amp;submit=Search")</f>
        <v>http://tuberculist.epfl.ch/quicksearch.php?gene+name=Rv2856&amp;submit=Search</v>
      </c>
    </row>
    <row r="2939" spans="1:11">
      <c r="A2939" t="s">
        <v>2973</v>
      </c>
      <c r="B2939" t="s">
        <v>2973</v>
      </c>
      <c r="C2939" t="s">
        <v>9567</v>
      </c>
      <c r="D2939" t="s">
        <v>9931</v>
      </c>
      <c r="E2939" t="s">
        <v>9932</v>
      </c>
      <c r="F2939" t="s">
        <v>16258</v>
      </c>
      <c r="G2939" t="s">
        <v>19195</v>
      </c>
      <c r="H2939" t="s">
        <v>19233</v>
      </c>
      <c r="I2939" t="s">
        <v>18853</v>
      </c>
      <c r="K2939" t="str">
        <f>HYPERLINK("http://tuberculist.epfl.ch/quicksearch.php?gene+name=Rv2857c&amp;submit=Search")</f>
        <v>http://tuberculist.epfl.ch/quicksearch.php?gene+name=Rv2857c&amp;submit=Search</v>
      </c>
    </row>
    <row r="2940" spans="1:11">
      <c r="A2940" t="s">
        <v>7000</v>
      </c>
      <c r="B2940" t="s">
        <v>2259</v>
      </c>
      <c r="C2940" t="s">
        <v>9567</v>
      </c>
      <c r="D2940" t="s">
        <v>16259</v>
      </c>
      <c r="E2940" t="s">
        <v>16260</v>
      </c>
      <c r="F2940" t="s">
        <v>16261</v>
      </c>
      <c r="G2940" t="s">
        <v>19195</v>
      </c>
      <c r="H2940" t="s">
        <v>19963</v>
      </c>
      <c r="I2940" t="s">
        <v>18773</v>
      </c>
      <c r="K2940" t="str">
        <f>HYPERLINK("http://tuberculist.epfl.ch/quicksearch.php?gene+name=Rv2858c&amp;submit=Search")</f>
        <v>http://tuberculist.epfl.ch/quicksearch.php?gene+name=Rv2858c&amp;submit=Search</v>
      </c>
    </row>
    <row r="2941" spans="1:11">
      <c r="A2941" t="s">
        <v>2622</v>
      </c>
      <c r="B2941" t="s">
        <v>2622</v>
      </c>
      <c r="C2941" t="s">
        <v>9567</v>
      </c>
      <c r="D2941" t="s">
        <v>9682</v>
      </c>
      <c r="E2941" t="s">
        <v>16262</v>
      </c>
      <c r="F2941" t="s">
        <v>16263</v>
      </c>
      <c r="G2941" t="s">
        <v>19195</v>
      </c>
      <c r="I2941" t="s">
        <v>18780</v>
      </c>
      <c r="K2941" t="str">
        <f>HYPERLINK("http://tuberculist.epfl.ch/quicksearch.php?gene+name=Rv2859c&amp;submit=Search")</f>
        <v>http://tuberculist.epfl.ch/quicksearch.php?gene+name=Rv2859c&amp;submit=Search</v>
      </c>
    </row>
    <row r="2942" spans="1:11">
      <c r="A2942" t="s">
        <v>3730</v>
      </c>
      <c r="B2942" t="s">
        <v>626</v>
      </c>
      <c r="C2942" t="s">
        <v>9567</v>
      </c>
      <c r="D2942" t="s">
        <v>13989</v>
      </c>
      <c r="E2942" t="s">
        <v>16264</v>
      </c>
      <c r="F2942" t="s">
        <v>16265</v>
      </c>
      <c r="G2942" t="s">
        <v>19195</v>
      </c>
      <c r="H2942" t="s">
        <v>19899</v>
      </c>
      <c r="I2942" t="s">
        <v>18789</v>
      </c>
      <c r="K2942" t="str">
        <f>HYPERLINK("http://tuberculist.epfl.ch/quicksearch.php?gene+name=Rv2860c&amp;submit=Search")</f>
        <v>http://tuberculist.epfl.ch/quicksearch.php?gene+name=Rv2860c&amp;submit=Search</v>
      </c>
    </row>
    <row r="2943" spans="1:11">
      <c r="A2943" t="s">
        <v>7013</v>
      </c>
      <c r="B2943" t="s">
        <v>2264</v>
      </c>
      <c r="C2943" t="s">
        <v>9567</v>
      </c>
      <c r="D2943" t="s">
        <v>16266</v>
      </c>
      <c r="E2943" t="s">
        <v>16267</v>
      </c>
      <c r="F2943" t="s">
        <v>16268</v>
      </c>
      <c r="G2943" t="s">
        <v>19195</v>
      </c>
      <c r="H2943" t="s">
        <v>19389</v>
      </c>
      <c r="I2943" t="s">
        <v>18788</v>
      </c>
      <c r="K2943" t="str">
        <f>HYPERLINK("http://tuberculist.epfl.ch/quicksearch.php?gene+name=Rv2861c&amp;submit=Search")</f>
        <v>http://tuberculist.epfl.ch/quicksearch.php?gene+name=Rv2861c&amp;submit=Search</v>
      </c>
    </row>
    <row r="2944" spans="1:11">
      <c r="A2944" t="s">
        <v>16269</v>
      </c>
      <c r="B2944" t="s">
        <v>16270</v>
      </c>
      <c r="C2944" t="s">
        <v>9567</v>
      </c>
      <c r="D2944" t="s">
        <v>9587</v>
      </c>
      <c r="E2944" t="s">
        <v>16271</v>
      </c>
      <c r="F2944" t="s">
        <v>16272</v>
      </c>
      <c r="G2944" t="s">
        <v>19206</v>
      </c>
      <c r="I2944" t="s">
        <v>18773</v>
      </c>
      <c r="K2944" t="str">
        <f>HYPERLINK("http://tuberculist.epfl.ch/quicksearch.php?gene+name=Rv2862A&amp;submit=Search")</f>
        <v>http://tuberculist.epfl.ch/quicksearch.php?gene+name=Rv2862A&amp;submit=Search</v>
      </c>
    </row>
    <row r="2945" spans="1:11">
      <c r="A2945" t="s">
        <v>2462</v>
      </c>
      <c r="B2945" t="s">
        <v>2462</v>
      </c>
      <c r="C2945" t="s">
        <v>9567</v>
      </c>
      <c r="D2945" t="s">
        <v>9578</v>
      </c>
      <c r="E2945" t="s">
        <v>9579</v>
      </c>
      <c r="F2945" t="s">
        <v>16273</v>
      </c>
      <c r="G2945" t="s">
        <v>19204</v>
      </c>
      <c r="H2945" t="s">
        <v>19207</v>
      </c>
      <c r="I2945" t="s">
        <v>18780</v>
      </c>
      <c r="J2945" t="s">
        <v>19071</v>
      </c>
      <c r="K2945" t="str">
        <f>HYPERLINK("http://tuberculist.epfl.ch/quicksearch.php?gene+name=Rv2862c&amp;submit=Search")</f>
        <v>http://tuberculist.epfl.ch/quicksearch.php?gene+name=Rv2862c&amp;submit=Search</v>
      </c>
    </row>
    <row r="2946" spans="1:11">
      <c r="A2946" t="s">
        <v>16274</v>
      </c>
      <c r="B2946" t="s">
        <v>16275</v>
      </c>
      <c r="C2946" t="s">
        <v>9567</v>
      </c>
      <c r="D2946" t="s">
        <v>9587</v>
      </c>
      <c r="E2946" t="s">
        <v>16276</v>
      </c>
      <c r="F2946" t="s">
        <v>16277</v>
      </c>
      <c r="G2946" t="s">
        <v>19206</v>
      </c>
      <c r="I2946" t="s">
        <v>18789</v>
      </c>
      <c r="K2946" t="str">
        <f>HYPERLINK("http://tuberculist.epfl.ch/quicksearch.php?gene+name=Rv2863&amp;submit=Search")</f>
        <v>http://tuberculist.epfl.ch/quicksearch.php?gene+name=Rv2863&amp;submit=Search</v>
      </c>
    </row>
    <row r="2947" spans="1:11">
      <c r="A2947" t="s">
        <v>3016</v>
      </c>
      <c r="B2947" t="s">
        <v>3016</v>
      </c>
      <c r="C2947" t="s">
        <v>9567</v>
      </c>
      <c r="D2947" t="s">
        <v>11702</v>
      </c>
      <c r="E2947" t="s">
        <v>16278</v>
      </c>
      <c r="F2947" t="s">
        <v>16279</v>
      </c>
      <c r="G2947" t="s">
        <v>19188</v>
      </c>
      <c r="I2947" t="s">
        <v>18789</v>
      </c>
      <c r="J2947" t="s">
        <v>18778</v>
      </c>
      <c r="K2947" t="str">
        <f>HYPERLINK("http://tuberculist.epfl.ch/quicksearch.php?gene+name=Rv2864c&amp;submit=Search")</f>
        <v>http://tuberculist.epfl.ch/quicksearch.php?gene+name=Rv2864c&amp;submit=Search</v>
      </c>
    </row>
    <row r="2948" spans="1:11">
      <c r="A2948" t="s">
        <v>16280</v>
      </c>
      <c r="B2948" t="s">
        <v>16281</v>
      </c>
      <c r="C2948" t="s">
        <v>9567</v>
      </c>
      <c r="D2948" t="s">
        <v>9578</v>
      </c>
      <c r="E2948" t="s">
        <v>16282</v>
      </c>
      <c r="F2948" t="s">
        <v>16283</v>
      </c>
      <c r="G2948" t="s">
        <v>19206</v>
      </c>
      <c r="I2948" t="s">
        <v>18780</v>
      </c>
      <c r="J2948" t="s">
        <v>18778</v>
      </c>
      <c r="K2948" t="str">
        <f>HYPERLINK("http://tuberculist.epfl.ch/quicksearch.php?gene+name=Rv2865&amp;submit=Search")</f>
        <v>http://tuberculist.epfl.ch/quicksearch.php?gene+name=Rv2865&amp;submit=Search</v>
      </c>
    </row>
    <row r="2949" spans="1:11">
      <c r="A2949" t="s">
        <v>16284</v>
      </c>
      <c r="B2949" t="s">
        <v>16285</v>
      </c>
      <c r="C2949" t="s">
        <v>9567</v>
      </c>
      <c r="D2949" t="s">
        <v>9578</v>
      </c>
      <c r="E2949" t="s">
        <v>16286</v>
      </c>
      <c r="F2949" t="s">
        <v>16287</v>
      </c>
      <c r="G2949" t="s">
        <v>19206</v>
      </c>
      <c r="I2949" t="s">
        <v>19075</v>
      </c>
      <c r="J2949" t="s">
        <v>18809</v>
      </c>
      <c r="K2949" t="str">
        <f>HYPERLINK("http://tuberculist.epfl.ch/quicksearch.php?gene+name=Rv2866&amp;submit=Search")</f>
        <v>http://tuberculist.epfl.ch/quicksearch.php?gene+name=Rv2866&amp;submit=Search</v>
      </c>
    </row>
    <row r="2950" spans="1:11">
      <c r="A2950" t="s">
        <v>1332</v>
      </c>
      <c r="B2950" t="s">
        <v>1332</v>
      </c>
      <c r="C2950" t="s">
        <v>9567</v>
      </c>
      <c r="D2950" t="s">
        <v>9898</v>
      </c>
      <c r="E2950" t="s">
        <v>9899</v>
      </c>
      <c r="F2950" t="s">
        <v>16288</v>
      </c>
      <c r="G2950" t="s">
        <v>19195</v>
      </c>
      <c r="I2950" t="s">
        <v>18780</v>
      </c>
      <c r="K2950" t="str">
        <f>HYPERLINK("http://tuberculist.epfl.ch/quicksearch.php?gene+name=Rv2867c&amp;submit=Search")</f>
        <v>http://tuberculist.epfl.ch/quicksearch.php?gene+name=Rv2867c&amp;submit=Search</v>
      </c>
    </row>
    <row r="2951" spans="1:11">
      <c r="A2951" t="s">
        <v>16289</v>
      </c>
      <c r="B2951" t="s">
        <v>990</v>
      </c>
      <c r="C2951" t="s">
        <v>9567</v>
      </c>
      <c r="D2951" t="s">
        <v>16290</v>
      </c>
      <c r="E2951" t="s">
        <v>16291</v>
      </c>
      <c r="F2951" t="s">
        <v>16292</v>
      </c>
      <c r="G2951" t="s">
        <v>19204</v>
      </c>
      <c r="H2951" t="s">
        <v>19721</v>
      </c>
      <c r="I2951" t="s">
        <v>18776</v>
      </c>
      <c r="K2951" t="str">
        <f>HYPERLINK("http://tuberculist.epfl.ch/quicksearch.php?gene+name=Rv2868c&amp;submit=Search")</f>
        <v>http://tuberculist.epfl.ch/quicksearch.php?gene+name=Rv2868c&amp;submit=Search</v>
      </c>
    </row>
    <row r="2952" spans="1:11">
      <c r="A2952" t="s">
        <v>16293</v>
      </c>
      <c r="B2952" t="s">
        <v>2262</v>
      </c>
      <c r="C2952" t="s">
        <v>9567</v>
      </c>
      <c r="D2952" t="s">
        <v>16294</v>
      </c>
      <c r="E2952" t="s">
        <v>16295</v>
      </c>
      <c r="F2952" t="s">
        <v>16296</v>
      </c>
      <c r="G2952" t="s">
        <v>19188</v>
      </c>
      <c r="H2952" t="s">
        <v>19964</v>
      </c>
      <c r="I2952" t="s">
        <v>19076</v>
      </c>
      <c r="K2952" t="str">
        <f>HYPERLINK("http://tuberculist.epfl.ch/quicksearch.php?gene+name=Rv2869c&amp;submit=Search")</f>
        <v>http://tuberculist.epfl.ch/quicksearch.php?gene+name=Rv2869c&amp;submit=Search</v>
      </c>
    </row>
    <row r="2953" spans="1:11">
      <c r="A2953" t="s">
        <v>5603</v>
      </c>
      <c r="B2953" t="s">
        <v>1566</v>
      </c>
      <c r="C2953" t="s">
        <v>9567</v>
      </c>
      <c r="D2953" t="s">
        <v>16297</v>
      </c>
      <c r="E2953" t="s">
        <v>16298</v>
      </c>
      <c r="F2953" t="s">
        <v>16299</v>
      </c>
      <c r="G2953" t="s">
        <v>19195</v>
      </c>
      <c r="H2953" t="s">
        <v>19213</v>
      </c>
      <c r="I2953" t="s">
        <v>18788</v>
      </c>
      <c r="K2953" t="str">
        <f>HYPERLINK("http://tuberculist.epfl.ch/quicksearch.php?gene+name=Rv2870c&amp;submit=Search")</f>
        <v>http://tuberculist.epfl.ch/quicksearch.php?gene+name=Rv2870c&amp;submit=Search</v>
      </c>
    </row>
    <row r="2954" spans="1:11">
      <c r="A2954" t="s">
        <v>16300</v>
      </c>
      <c r="B2954" t="s">
        <v>1540</v>
      </c>
      <c r="C2954" t="s">
        <v>9567</v>
      </c>
      <c r="D2954" t="s">
        <v>9587</v>
      </c>
      <c r="E2954" t="s">
        <v>16301</v>
      </c>
      <c r="F2954" t="s">
        <v>16302</v>
      </c>
      <c r="G2954" t="s">
        <v>19206</v>
      </c>
      <c r="H2954" t="s">
        <v>19250</v>
      </c>
      <c r="I2954" t="s">
        <v>18779</v>
      </c>
      <c r="K2954" t="str">
        <f>HYPERLINK("http://tuberculist.epfl.ch/quicksearch.php?gene+name=Rv2871&amp;submit=Search")</f>
        <v>http://tuberculist.epfl.ch/quicksearch.php?gene+name=Rv2871&amp;submit=Search</v>
      </c>
    </row>
    <row r="2955" spans="1:11">
      <c r="A2955" t="s">
        <v>16303</v>
      </c>
      <c r="B2955" t="s">
        <v>1548</v>
      </c>
      <c r="C2955" t="s">
        <v>9567</v>
      </c>
      <c r="D2955" t="s">
        <v>9587</v>
      </c>
      <c r="E2955" t="s">
        <v>16304</v>
      </c>
      <c r="F2955" t="s">
        <v>16305</v>
      </c>
      <c r="G2955" t="s">
        <v>19206</v>
      </c>
      <c r="H2955" t="s">
        <v>19213</v>
      </c>
      <c r="I2955" t="s">
        <v>18789</v>
      </c>
      <c r="K2955" t="str">
        <f>HYPERLINK("http://tuberculist.epfl.ch/quicksearch.php?gene+name=Rv2872&amp;submit=Search")</f>
        <v>http://tuberculist.epfl.ch/quicksearch.php?gene+name=Rv2872&amp;submit=Search</v>
      </c>
    </row>
    <row r="2956" spans="1:11">
      <c r="A2956" t="s">
        <v>16306</v>
      </c>
      <c r="B2956" t="s">
        <v>1312</v>
      </c>
      <c r="C2956" t="s">
        <v>9567</v>
      </c>
      <c r="D2956" t="s">
        <v>16307</v>
      </c>
      <c r="E2956" t="s">
        <v>16308</v>
      </c>
      <c r="F2956" t="s">
        <v>16309</v>
      </c>
      <c r="G2956" t="s">
        <v>19188</v>
      </c>
      <c r="H2956" t="s">
        <v>19449</v>
      </c>
      <c r="I2956" t="s">
        <v>18789</v>
      </c>
      <c r="J2956" t="s">
        <v>19077</v>
      </c>
      <c r="K2956" t="str">
        <f>HYPERLINK("http://tuberculist.epfl.ch/quicksearch.php?gene+name=Rv2873&amp;submit=Search")</f>
        <v>http://tuberculist.epfl.ch/quicksearch.php?gene+name=Rv2873&amp;submit=Search</v>
      </c>
    </row>
    <row r="2957" spans="1:11">
      <c r="A2957" t="s">
        <v>4593</v>
      </c>
      <c r="B2957" t="s">
        <v>1053</v>
      </c>
      <c r="C2957" t="s">
        <v>9567</v>
      </c>
      <c r="D2957" t="s">
        <v>16310</v>
      </c>
      <c r="E2957" t="s">
        <v>16311</v>
      </c>
      <c r="F2957" t="s">
        <v>16312</v>
      </c>
      <c r="G2957" t="s">
        <v>19195</v>
      </c>
      <c r="H2957" t="s">
        <v>19965</v>
      </c>
      <c r="I2957" t="s">
        <v>18780</v>
      </c>
      <c r="K2957" t="str">
        <f>HYPERLINK("http://tuberculist.epfl.ch/quicksearch.php?gene+name=Rv2874&amp;submit=Search")</f>
        <v>http://tuberculist.epfl.ch/quicksearch.php?gene+name=Rv2874&amp;submit=Search</v>
      </c>
    </row>
    <row r="2958" spans="1:11">
      <c r="A2958" t="s">
        <v>16313</v>
      </c>
      <c r="B2958" t="s">
        <v>910</v>
      </c>
      <c r="C2958" t="s">
        <v>9567</v>
      </c>
      <c r="D2958" t="s">
        <v>9587</v>
      </c>
      <c r="E2958" t="s">
        <v>16314</v>
      </c>
      <c r="F2958" t="s">
        <v>16315</v>
      </c>
      <c r="G2958" t="s">
        <v>19188</v>
      </c>
      <c r="H2958" t="s">
        <v>19426</v>
      </c>
      <c r="I2958" t="s">
        <v>18789</v>
      </c>
      <c r="J2958" t="s">
        <v>19077</v>
      </c>
      <c r="K2958" t="str">
        <f>HYPERLINK("http://tuberculist.epfl.ch/quicksearch.php?gene+name=Rv2875&amp;submit=Search")</f>
        <v>http://tuberculist.epfl.ch/quicksearch.php?gene+name=Rv2875&amp;submit=Search</v>
      </c>
    </row>
    <row r="2959" spans="1:11">
      <c r="A2959" t="s">
        <v>594</v>
      </c>
      <c r="B2959" t="s">
        <v>594</v>
      </c>
      <c r="C2959" t="s">
        <v>9567</v>
      </c>
      <c r="D2959" t="s">
        <v>9587</v>
      </c>
      <c r="E2959" t="s">
        <v>9671</v>
      </c>
      <c r="F2959" t="s">
        <v>16316</v>
      </c>
      <c r="G2959" t="s">
        <v>19188</v>
      </c>
      <c r="I2959" t="s">
        <v>18780</v>
      </c>
      <c r="J2959" t="s">
        <v>19077</v>
      </c>
      <c r="K2959" t="str">
        <f>HYPERLINK("http://tuberculist.epfl.ch/quicksearch.php?gene+name=Rv2876&amp;submit=Search")</f>
        <v>http://tuberculist.epfl.ch/quicksearch.php?gene+name=Rv2876&amp;submit=Search</v>
      </c>
    </row>
    <row r="2960" spans="1:11">
      <c r="A2960" t="s">
        <v>1512</v>
      </c>
      <c r="B2960" t="s">
        <v>1512</v>
      </c>
      <c r="C2960" t="s">
        <v>9567</v>
      </c>
      <c r="D2960" t="s">
        <v>16317</v>
      </c>
      <c r="E2960" t="s">
        <v>9668</v>
      </c>
      <c r="F2960" t="s">
        <v>16318</v>
      </c>
      <c r="G2960" t="s">
        <v>19188</v>
      </c>
      <c r="H2960" t="s">
        <v>19233</v>
      </c>
      <c r="I2960" t="s">
        <v>18789</v>
      </c>
      <c r="K2960" t="str">
        <f>HYPERLINK("http://tuberculist.epfl.ch/quicksearch.php?gene+name=Rv2877c&amp;submit=Search")</f>
        <v>http://tuberculist.epfl.ch/quicksearch.php?gene+name=Rv2877c&amp;submit=Search</v>
      </c>
    </row>
    <row r="2961" spans="1:11">
      <c r="A2961" t="s">
        <v>16319</v>
      </c>
      <c r="B2961" t="s">
        <v>1306</v>
      </c>
      <c r="C2961" t="s">
        <v>9567</v>
      </c>
      <c r="D2961" t="s">
        <v>16320</v>
      </c>
      <c r="E2961" t="s">
        <v>16321</v>
      </c>
      <c r="F2961" t="s">
        <v>16322</v>
      </c>
      <c r="G2961" t="s">
        <v>19188</v>
      </c>
      <c r="H2961" t="s">
        <v>19966</v>
      </c>
      <c r="I2961" t="s">
        <v>18780</v>
      </c>
      <c r="K2961" t="str">
        <f>HYPERLINK("http://tuberculist.epfl.ch/quicksearch.php?gene+name=Rv2878c&amp;submit=Search")</f>
        <v>http://tuberculist.epfl.ch/quicksearch.php?gene+name=Rv2878c&amp;submit=Search</v>
      </c>
    </row>
    <row r="2962" spans="1:11">
      <c r="A2962" t="s">
        <v>16323</v>
      </c>
      <c r="B2962" t="s">
        <v>16323</v>
      </c>
      <c r="C2962" t="s">
        <v>9567</v>
      </c>
      <c r="D2962" t="s">
        <v>9578</v>
      </c>
      <c r="E2962" t="s">
        <v>9579</v>
      </c>
      <c r="F2962" t="s">
        <v>16324</v>
      </c>
      <c r="G2962" t="s">
        <v>19204</v>
      </c>
      <c r="H2962" t="s">
        <v>19207</v>
      </c>
      <c r="I2962" t="s">
        <v>18780</v>
      </c>
      <c r="K2962" t="str">
        <f>HYPERLINK("http://tuberculist.epfl.ch/quicksearch.php?gene+name=Rv2879c&amp;submit=Search")</f>
        <v>http://tuberculist.epfl.ch/quicksearch.php?gene+name=Rv2879c&amp;submit=Search</v>
      </c>
    </row>
    <row r="2963" spans="1:11">
      <c r="A2963" t="s">
        <v>2778</v>
      </c>
      <c r="B2963" t="s">
        <v>2778</v>
      </c>
      <c r="C2963" t="s">
        <v>9567</v>
      </c>
      <c r="D2963" t="s">
        <v>9578</v>
      </c>
      <c r="E2963" t="s">
        <v>9579</v>
      </c>
      <c r="F2963" t="s">
        <v>16325</v>
      </c>
      <c r="G2963" t="s">
        <v>19204</v>
      </c>
      <c r="I2963" t="s">
        <v>18780</v>
      </c>
      <c r="K2963" t="str">
        <f>HYPERLINK("http://tuberculist.epfl.ch/quicksearch.php?gene+name=Rv2880c&amp;submit=Search")</f>
        <v>http://tuberculist.epfl.ch/quicksearch.php?gene+name=Rv2880c&amp;submit=Search</v>
      </c>
    </row>
    <row r="2964" spans="1:11">
      <c r="A2964" t="s">
        <v>8487</v>
      </c>
      <c r="B2964" t="s">
        <v>2989</v>
      </c>
      <c r="C2964" t="s">
        <v>9567</v>
      </c>
      <c r="D2964" t="s">
        <v>16326</v>
      </c>
      <c r="E2964" t="s">
        <v>16327</v>
      </c>
      <c r="F2964" t="s">
        <v>16328</v>
      </c>
      <c r="G2964" t="s">
        <v>19219</v>
      </c>
      <c r="H2964" t="s">
        <v>19967</v>
      </c>
      <c r="I2964" t="s">
        <v>18774</v>
      </c>
      <c r="K2964" t="str">
        <f>HYPERLINK("http://tuberculist.epfl.ch/quicksearch.php?gene+name=Rv2881c&amp;submit=Search")</f>
        <v>http://tuberculist.epfl.ch/quicksearch.php?gene+name=Rv2881c&amp;submit=Search</v>
      </c>
    </row>
    <row r="2965" spans="1:11">
      <c r="A2965" t="s">
        <v>3807</v>
      </c>
      <c r="B2965" t="s">
        <v>661</v>
      </c>
      <c r="C2965" t="s">
        <v>9567</v>
      </c>
      <c r="D2965" t="s">
        <v>16329</v>
      </c>
      <c r="E2965" t="s">
        <v>16330</v>
      </c>
      <c r="F2965" t="s">
        <v>16331</v>
      </c>
      <c r="G2965" t="s">
        <v>19181</v>
      </c>
      <c r="H2965" t="s">
        <v>19968</v>
      </c>
      <c r="I2965" t="s">
        <v>18774</v>
      </c>
      <c r="K2965" t="str">
        <f>HYPERLINK("http://tuberculist.epfl.ch/quicksearch.php?gene+name=Rv2882c&amp;submit=Search")</f>
        <v>http://tuberculist.epfl.ch/quicksearch.php?gene+name=Rv2882c&amp;submit=Search</v>
      </c>
    </row>
    <row r="2966" spans="1:11">
      <c r="A2966" t="s">
        <v>6231</v>
      </c>
      <c r="B2966" t="s">
        <v>1870</v>
      </c>
      <c r="C2966" t="s">
        <v>9567</v>
      </c>
      <c r="D2966" t="s">
        <v>16332</v>
      </c>
      <c r="E2966" t="s">
        <v>16333</v>
      </c>
      <c r="F2966" t="s">
        <v>16334</v>
      </c>
      <c r="G2966" t="s">
        <v>19195</v>
      </c>
      <c r="H2966" t="s">
        <v>19969</v>
      </c>
      <c r="I2966" t="s">
        <v>18774</v>
      </c>
      <c r="J2966" t="s">
        <v>18839</v>
      </c>
      <c r="K2966" t="str">
        <f>HYPERLINK("http://tuberculist.epfl.ch/quicksearch.php?gene+name=Rv2883c&amp;submit=Search")</f>
        <v>http://tuberculist.epfl.ch/quicksearch.php?gene+name=Rv2883c&amp;submit=Search</v>
      </c>
    </row>
    <row r="2967" spans="1:11">
      <c r="A2967" t="s">
        <v>2354</v>
      </c>
      <c r="B2967" t="s">
        <v>2354</v>
      </c>
      <c r="C2967" t="s">
        <v>9567</v>
      </c>
      <c r="D2967" t="s">
        <v>9969</v>
      </c>
      <c r="E2967" t="s">
        <v>9763</v>
      </c>
      <c r="F2967" t="s">
        <v>16335</v>
      </c>
      <c r="G2967" t="s">
        <v>19197</v>
      </c>
      <c r="I2967" t="s">
        <v>18780</v>
      </c>
      <c r="J2967" t="s">
        <v>18839</v>
      </c>
      <c r="K2967" t="str">
        <f>HYPERLINK("http://tuberculist.epfl.ch/quicksearch.php?gene+name=Rv2884&amp;submit=Search")</f>
        <v>http://tuberculist.epfl.ch/quicksearch.php?gene+name=Rv2884&amp;submit=Search</v>
      </c>
    </row>
    <row r="2968" spans="1:11">
      <c r="A2968" t="s">
        <v>1340</v>
      </c>
      <c r="B2968" t="s">
        <v>1340</v>
      </c>
      <c r="C2968" t="s">
        <v>9567</v>
      </c>
      <c r="D2968" t="s">
        <v>16336</v>
      </c>
      <c r="E2968" t="s">
        <v>11730</v>
      </c>
      <c r="F2968" t="s">
        <v>16337</v>
      </c>
      <c r="G2968" t="s">
        <v>19217</v>
      </c>
      <c r="H2968" t="s">
        <v>19207</v>
      </c>
      <c r="I2968" t="s">
        <v>18853</v>
      </c>
      <c r="K2968" t="str">
        <f>HYPERLINK("http://tuberculist.epfl.ch/quicksearch.php?gene+name=Rv2885c&amp;submit=Search")</f>
        <v>http://tuberculist.epfl.ch/quicksearch.php?gene+name=Rv2885c&amp;submit=Search</v>
      </c>
    </row>
    <row r="2969" spans="1:11">
      <c r="A2969" t="s">
        <v>16338</v>
      </c>
      <c r="B2969" t="s">
        <v>16338</v>
      </c>
      <c r="C2969" t="s">
        <v>9567</v>
      </c>
      <c r="D2969" t="s">
        <v>10963</v>
      </c>
      <c r="E2969" t="s">
        <v>16339</v>
      </c>
      <c r="F2969" t="s">
        <v>16340</v>
      </c>
      <c r="G2969" t="s">
        <v>19217</v>
      </c>
      <c r="H2969" t="s">
        <v>19184</v>
      </c>
      <c r="I2969" t="s">
        <v>18780</v>
      </c>
      <c r="K2969" t="str">
        <f>HYPERLINK("http://tuberculist.epfl.ch/quicksearch.php?gene+name=Rv2886c&amp;submit=Search")</f>
        <v>http://tuberculist.epfl.ch/quicksearch.php?gene+name=Rv2886c&amp;submit=Search</v>
      </c>
    </row>
    <row r="2970" spans="1:11">
      <c r="A2970" t="s">
        <v>2538</v>
      </c>
      <c r="B2970" t="s">
        <v>2538</v>
      </c>
      <c r="C2970" t="s">
        <v>9567</v>
      </c>
      <c r="D2970" t="s">
        <v>9629</v>
      </c>
      <c r="E2970" t="s">
        <v>9763</v>
      </c>
      <c r="F2970" t="s">
        <v>16341</v>
      </c>
      <c r="G2970" t="s">
        <v>19197</v>
      </c>
      <c r="H2970" t="s">
        <v>19324</v>
      </c>
      <c r="I2970" t="s">
        <v>18780</v>
      </c>
      <c r="K2970" t="str">
        <f>HYPERLINK("http://tuberculist.epfl.ch/quicksearch.php?gene+name=Rv2887&amp;submit=Search")</f>
        <v>http://tuberculist.epfl.ch/quicksearch.php?gene+name=Rv2887&amp;submit=Search</v>
      </c>
    </row>
    <row r="2971" spans="1:11">
      <c r="A2971" t="s">
        <v>3816</v>
      </c>
      <c r="B2971" t="s">
        <v>666</v>
      </c>
      <c r="C2971" t="s">
        <v>9567</v>
      </c>
      <c r="D2971" t="s">
        <v>16342</v>
      </c>
      <c r="E2971" t="s">
        <v>16343</v>
      </c>
      <c r="F2971" t="s">
        <v>16344</v>
      </c>
      <c r="G2971" t="s">
        <v>19195</v>
      </c>
      <c r="H2971" t="s">
        <v>19970</v>
      </c>
      <c r="I2971" t="s">
        <v>18789</v>
      </c>
      <c r="K2971" t="str">
        <f>HYPERLINK("http://tuberculist.epfl.ch/quicksearch.php?gene+name=Rv2888c&amp;submit=Search")</f>
        <v>http://tuberculist.epfl.ch/quicksearch.php?gene+name=Rv2888c&amp;submit=Search</v>
      </c>
    </row>
    <row r="2972" spans="1:11">
      <c r="A2972" t="s">
        <v>8725</v>
      </c>
      <c r="B2972" t="s">
        <v>3102</v>
      </c>
      <c r="C2972" t="s">
        <v>9567</v>
      </c>
      <c r="D2972" t="s">
        <v>16345</v>
      </c>
      <c r="E2972" t="s">
        <v>16346</v>
      </c>
      <c r="F2972" t="s">
        <v>16347</v>
      </c>
      <c r="G2972" t="s">
        <v>19181</v>
      </c>
      <c r="H2972" t="s">
        <v>19971</v>
      </c>
      <c r="I2972" t="s">
        <v>18774</v>
      </c>
      <c r="K2972" t="str">
        <f>HYPERLINK("http://tuberculist.epfl.ch/quicksearch.php?gene+name=Rv2889c&amp;submit=Search")</f>
        <v>http://tuberculist.epfl.ch/quicksearch.php?gene+name=Rv2889c&amp;submit=Search</v>
      </c>
    </row>
    <row r="2973" spans="1:11">
      <c r="A2973" t="s">
        <v>6464</v>
      </c>
      <c r="B2973" t="s">
        <v>1982</v>
      </c>
      <c r="C2973" t="s">
        <v>9567</v>
      </c>
      <c r="D2973" t="s">
        <v>11861</v>
      </c>
      <c r="E2973" t="s">
        <v>16348</v>
      </c>
      <c r="F2973" t="s">
        <v>16349</v>
      </c>
      <c r="G2973" t="s">
        <v>19181</v>
      </c>
      <c r="H2973" t="s">
        <v>19972</v>
      </c>
      <c r="I2973" t="s">
        <v>18774</v>
      </c>
      <c r="J2973" t="s">
        <v>18775</v>
      </c>
      <c r="K2973" t="str">
        <f>HYPERLINK("http://tuberculist.epfl.ch/quicksearch.php?gene+name=Rv2890c&amp;submit=Search")</f>
        <v>http://tuberculist.epfl.ch/quicksearch.php?gene+name=Rv2890c&amp;submit=Search</v>
      </c>
    </row>
    <row r="2974" spans="1:11">
      <c r="A2974" t="s">
        <v>16350</v>
      </c>
      <c r="B2974" t="s">
        <v>16350</v>
      </c>
      <c r="C2974" t="s">
        <v>9567</v>
      </c>
      <c r="D2974" t="s">
        <v>9578</v>
      </c>
      <c r="E2974" t="s">
        <v>9579</v>
      </c>
      <c r="F2974" t="s">
        <v>16351</v>
      </c>
      <c r="G2974" t="s">
        <v>19185</v>
      </c>
      <c r="I2974" t="s">
        <v>18780</v>
      </c>
      <c r="K2974" t="str">
        <f>HYPERLINK("http://tuberculist.epfl.ch/quicksearch.php?gene+name=Rv2891&amp;submit=Search")</f>
        <v>http://tuberculist.epfl.ch/quicksearch.php?gene+name=Rv2891&amp;submit=Search</v>
      </c>
    </row>
    <row r="2975" spans="1:11">
      <c r="A2975" t="s">
        <v>7898</v>
      </c>
      <c r="B2975" t="s">
        <v>2711</v>
      </c>
      <c r="C2975" t="s">
        <v>9567</v>
      </c>
      <c r="D2975" t="s">
        <v>9578</v>
      </c>
      <c r="E2975" t="s">
        <v>16352</v>
      </c>
      <c r="F2975" t="s">
        <v>16353</v>
      </c>
      <c r="G2975" t="s">
        <v>19553</v>
      </c>
      <c r="H2975" t="s">
        <v>19254</v>
      </c>
      <c r="I2975" t="s">
        <v>18789</v>
      </c>
      <c r="K2975" t="str">
        <f>HYPERLINK("http://tuberculist.epfl.ch/quicksearch.php?gene+name=Rv2892c&amp;submit=Search")</f>
        <v>http://tuberculist.epfl.ch/quicksearch.php?gene+name=Rv2892c&amp;submit=Search</v>
      </c>
    </row>
    <row r="2976" spans="1:11">
      <c r="A2976" t="s">
        <v>16354</v>
      </c>
      <c r="B2976" t="s">
        <v>16354</v>
      </c>
      <c r="C2976" t="s">
        <v>9567</v>
      </c>
      <c r="D2976" t="s">
        <v>9682</v>
      </c>
      <c r="E2976" t="s">
        <v>9683</v>
      </c>
      <c r="F2976" t="s">
        <v>16355</v>
      </c>
      <c r="G2976" t="s">
        <v>19195</v>
      </c>
      <c r="H2976" t="s">
        <v>19326</v>
      </c>
      <c r="I2976" t="s">
        <v>18780</v>
      </c>
      <c r="K2976" t="str">
        <f>HYPERLINK("http://tuberculist.epfl.ch/quicksearch.php?gene+name=Rv2893&amp;submit=Search")</f>
        <v>http://tuberculist.epfl.ch/quicksearch.php?gene+name=Rv2893&amp;submit=Search</v>
      </c>
    </row>
    <row r="2977" spans="1:11">
      <c r="A2977" t="s">
        <v>5750</v>
      </c>
      <c r="B2977" t="s">
        <v>1633</v>
      </c>
      <c r="C2977" t="s">
        <v>9567</v>
      </c>
      <c r="D2977" t="s">
        <v>16356</v>
      </c>
      <c r="E2977" t="s">
        <v>16357</v>
      </c>
      <c r="F2977" t="s">
        <v>16358</v>
      </c>
      <c r="G2977" t="s">
        <v>19217</v>
      </c>
      <c r="H2977" t="s">
        <v>19207</v>
      </c>
      <c r="I2977" t="s">
        <v>18779</v>
      </c>
      <c r="K2977" t="str">
        <f>HYPERLINK("http://tuberculist.epfl.ch/quicksearch.php?gene+name=Rv2894c&amp;submit=Search")</f>
        <v>http://tuberculist.epfl.ch/quicksearch.php?gene+name=Rv2894c&amp;submit=Search</v>
      </c>
    </row>
    <row r="2978" spans="1:11">
      <c r="A2978" t="s">
        <v>3574</v>
      </c>
      <c r="B2978" t="s">
        <v>547</v>
      </c>
      <c r="C2978" t="s">
        <v>9567</v>
      </c>
      <c r="D2978" t="s">
        <v>16359</v>
      </c>
      <c r="E2978" t="s">
        <v>16360</v>
      </c>
      <c r="F2978" t="s">
        <v>16361</v>
      </c>
      <c r="G2978" t="s">
        <v>19195</v>
      </c>
      <c r="H2978" t="s">
        <v>19973</v>
      </c>
      <c r="I2978" t="s">
        <v>18780</v>
      </c>
      <c r="K2978" t="str">
        <f>HYPERLINK("http://tuberculist.epfl.ch/quicksearch.php?gene+name=Rv2895c&amp;submit=Search")</f>
        <v>http://tuberculist.epfl.ch/quicksearch.php?gene+name=Rv2895c&amp;submit=Search</v>
      </c>
    </row>
    <row r="2979" spans="1:11">
      <c r="A2979" t="s">
        <v>2613</v>
      </c>
      <c r="B2979" t="s">
        <v>2613</v>
      </c>
      <c r="C2979" t="s">
        <v>9567</v>
      </c>
      <c r="D2979" t="s">
        <v>9578</v>
      </c>
      <c r="E2979" t="s">
        <v>9579</v>
      </c>
      <c r="F2979" t="s">
        <v>16362</v>
      </c>
      <c r="G2979" t="s">
        <v>19185</v>
      </c>
      <c r="I2979" t="s">
        <v>18780</v>
      </c>
      <c r="K2979" t="str">
        <f>HYPERLINK("http://tuberculist.epfl.ch/quicksearch.php?gene+name=Rv2896c&amp;submit=Search")</f>
        <v>http://tuberculist.epfl.ch/quicksearch.php?gene+name=Rv2896c&amp;submit=Search</v>
      </c>
    </row>
    <row r="2980" spans="1:11">
      <c r="A2980" t="s">
        <v>16363</v>
      </c>
      <c r="B2980" t="s">
        <v>16363</v>
      </c>
      <c r="C2980" t="s">
        <v>9567</v>
      </c>
      <c r="D2980" t="s">
        <v>9578</v>
      </c>
      <c r="E2980" t="s">
        <v>9579</v>
      </c>
      <c r="F2980" t="s">
        <v>16364</v>
      </c>
      <c r="G2980" t="s">
        <v>19210</v>
      </c>
      <c r="H2980" t="s">
        <v>19207</v>
      </c>
      <c r="I2980" t="s">
        <v>18774</v>
      </c>
      <c r="K2980" t="str">
        <f>HYPERLINK("http://tuberculist.epfl.ch/quicksearch.php?gene+name=Rv2897c&amp;submit=Search")</f>
        <v>http://tuberculist.epfl.ch/quicksearch.php?gene+name=Rv2897c&amp;submit=Search</v>
      </c>
    </row>
    <row r="2981" spans="1:11">
      <c r="A2981" t="s">
        <v>16365</v>
      </c>
      <c r="B2981" t="s">
        <v>16365</v>
      </c>
      <c r="C2981" t="s">
        <v>9567</v>
      </c>
      <c r="D2981" t="s">
        <v>9578</v>
      </c>
      <c r="E2981" t="s">
        <v>9579</v>
      </c>
      <c r="F2981" t="s">
        <v>16366</v>
      </c>
      <c r="G2981" t="s">
        <v>19204</v>
      </c>
      <c r="I2981" t="s">
        <v>18779</v>
      </c>
      <c r="K2981" t="str">
        <f>HYPERLINK("http://tuberculist.epfl.ch/quicksearch.php?gene+name=Rv2898c&amp;submit=Search")</f>
        <v>http://tuberculist.epfl.ch/quicksearch.php?gene+name=Rv2898c&amp;submit=Search</v>
      </c>
    </row>
    <row r="2982" spans="1:11">
      <c r="A2982" t="s">
        <v>7674</v>
      </c>
      <c r="B2982" t="s">
        <v>2591</v>
      </c>
      <c r="C2982" t="s">
        <v>9567</v>
      </c>
      <c r="D2982" t="s">
        <v>16367</v>
      </c>
      <c r="E2982" t="s">
        <v>16368</v>
      </c>
      <c r="F2982" t="s">
        <v>16369</v>
      </c>
      <c r="G2982" t="s">
        <v>19195</v>
      </c>
      <c r="I2982" t="s">
        <v>18779</v>
      </c>
      <c r="K2982" t="str">
        <f>HYPERLINK("http://tuberculist.epfl.ch/quicksearch.php?gene+name=Rv2899c&amp;submit=Search")</f>
        <v>http://tuberculist.epfl.ch/quicksearch.php?gene+name=Rv2899c&amp;submit=Search</v>
      </c>
    </row>
    <row r="2983" spans="1:11">
      <c r="A2983" t="s">
        <v>8348</v>
      </c>
      <c r="B2983" t="s">
        <v>2925</v>
      </c>
      <c r="C2983" t="s">
        <v>9567</v>
      </c>
      <c r="D2983" t="s">
        <v>16370</v>
      </c>
      <c r="E2983" t="s">
        <v>16371</v>
      </c>
      <c r="F2983" t="s">
        <v>16372</v>
      </c>
      <c r="G2983" t="s">
        <v>19195</v>
      </c>
      <c r="H2983" t="s">
        <v>19342</v>
      </c>
      <c r="I2983" t="s">
        <v>18792</v>
      </c>
      <c r="K2983" t="str">
        <f>HYPERLINK("http://tuberculist.epfl.ch/quicksearch.php?gene+name=Rv2900c&amp;submit=Search")</f>
        <v>http://tuberculist.epfl.ch/quicksearch.php?gene+name=Rv2900c&amp;submit=Search</v>
      </c>
    </row>
    <row r="2984" spans="1:11">
      <c r="A2984" t="s">
        <v>2174</v>
      </c>
      <c r="B2984" t="s">
        <v>2174</v>
      </c>
      <c r="C2984" t="s">
        <v>9567</v>
      </c>
      <c r="D2984" t="s">
        <v>9578</v>
      </c>
      <c r="E2984" t="s">
        <v>9665</v>
      </c>
      <c r="F2984" t="s">
        <v>16373</v>
      </c>
      <c r="G2984" t="s">
        <v>19210</v>
      </c>
      <c r="H2984" t="s">
        <v>19974</v>
      </c>
      <c r="I2984" t="s">
        <v>18780</v>
      </c>
      <c r="K2984" t="str">
        <f>HYPERLINK("http://tuberculist.epfl.ch/quicksearch.php?gene+name=Rv2901c&amp;submit=Search")</f>
        <v>http://tuberculist.epfl.ch/quicksearch.php?gene+name=Rv2901c&amp;submit=Search</v>
      </c>
    </row>
    <row r="2985" spans="1:11">
      <c r="A2985" t="s">
        <v>9340</v>
      </c>
      <c r="B2985" t="s">
        <v>3391</v>
      </c>
      <c r="C2985" t="s">
        <v>9567</v>
      </c>
      <c r="D2985" t="s">
        <v>16374</v>
      </c>
      <c r="E2985" t="s">
        <v>16375</v>
      </c>
      <c r="F2985" t="s">
        <v>16376</v>
      </c>
      <c r="G2985" t="s">
        <v>19181</v>
      </c>
      <c r="I2985" t="s">
        <v>18789</v>
      </c>
      <c r="K2985" t="str">
        <f>HYPERLINK("http://tuberculist.epfl.ch/quicksearch.php?gene+name=Rv2902c&amp;submit=Search")</f>
        <v>http://tuberculist.epfl.ch/quicksearch.php?gene+name=Rv2902c&amp;submit=Search</v>
      </c>
    </row>
    <row r="2986" spans="1:11">
      <c r="A2986" t="s">
        <v>9123</v>
      </c>
      <c r="B2986" t="s">
        <v>3289</v>
      </c>
      <c r="C2986" t="s">
        <v>9567</v>
      </c>
      <c r="D2986" t="s">
        <v>16377</v>
      </c>
      <c r="E2986" t="s">
        <v>16378</v>
      </c>
      <c r="F2986" t="s">
        <v>16379</v>
      </c>
      <c r="G2986" t="s">
        <v>19188</v>
      </c>
      <c r="H2986" t="s">
        <v>19975</v>
      </c>
      <c r="I2986" t="s">
        <v>18774</v>
      </c>
      <c r="J2986" t="s">
        <v>18775</v>
      </c>
      <c r="K2986" t="str">
        <f>HYPERLINK("http://tuberculist.epfl.ch/quicksearch.php?gene+name=Rv2903c&amp;submit=Search")</f>
        <v>http://tuberculist.epfl.ch/quicksearch.php?gene+name=Rv2903c&amp;submit=Search</v>
      </c>
    </row>
    <row r="2987" spans="1:11">
      <c r="A2987" t="s">
        <v>4511</v>
      </c>
      <c r="B2987" t="s">
        <v>1019</v>
      </c>
      <c r="C2987" t="s">
        <v>9567</v>
      </c>
      <c r="D2987" t="s">
        <v>16380</v>
      </c>
      <c r="E2987" t="s">
        <v>16381</v>
      </c>
      <c r="F2987" t="s">
        <v>16382</v>
      </c>
      <c r="G2987" t="s">
        <v>19181</v>
      </c>
      <c r="H2987" t="s">
        <v>19976</v>
      </c>
      <c r="I2987" t="s">
        <v>18800</v>
      </c>
      <c r="K2987" t="str">
        <f>HYPERLINK("http://tuberculist.epfl.ch/quicksearch.php?gene+name=Rv2904c&amp;submit=Search")</f>
        <v>http://tuberculist.epfl.ch/quicksearch.php?gene+name=Rv2904c&amp;submit=Search</v>
      </c>
    </row>
    <row r="2988" spans="1:11">
      <c r="A2988" t="s">
        <v>5606</v>
      </c>
      <c r="B2988" t="s">
        <v>1567</v>
      </c>
      <c r="C2988" t="s">
        <v>9567</v>
      </c>
      <c r="D2988" t="s">
        <v>9587</v>
      </c>
      <c r="E2988" t="s">
        <v>16383</v>
      </c>
      <c r="F2988" t="s">
        <v>16384</v>
      </c>
      <c r="G2988" t="s">
        <v>19188</v>
      </c>
      <c r="H2988" t="s">
        <v>19977</v>
      </c>
      <c r="I2988" t="s">
        <v>18789</v>
      </c>
      <c r="K2988" t="str">
        <f>HYPERLINK("http://tuberculist.epfl.ch/quicksearch.php?gene+name=Rv2905&amp;submit=Search")</f>
        <v>http://tuberculist.epfl.ch/quicksearch.php?gene+name=Rv2905&amp;submit=Search</v>
      </c>
    </row>
    <row r="2989" spans="1:11">
      <c r="A2989" t="s">
        <v>7762</v>
      </c>
      <c r="B2989" t="s">
        <v>2634</v>
      </c>
      <c r="C2989" t="s">
        <v>9567</v>
      </c>
      <c r="D2989" t="s">
        <v>16385</v>
      </c>
      <c r="E2989" t="s">
        <v>16386</v>
      </c>
      <c r="F2989" t="s">
        <v>16387</v>
      </c>
      <c r="G2989" t="s">
        <v>19181</v>
      </c>
      <c r="H2989" t="s">
        <v>19213</v>
      </c>
      <c r="I2989" t="s">
        <v>18774</v>
      </c>
      <c r="K2989" t="str">
        <f>HYPERLINK("http://tuberculist.epfl.ch/quicksearch.php?gene+name=Rv2906c&amp;submit=Search")</f>
        <v>http://tuberculist.epfl.ch/quicksearch.php?gene+name=Rv2906c&amp;submit=Search</v>
      </c>
    </row>
    <row r="2990" spans="1:11">
      <c r="A2990" t="s">
        <v>8393</v>
      </c>
      <c r="B2990" t="s">
        <v>2946</v>
      </c>
      <c r="C2990" t="s">
        <v>9567</v>
      </c>
      <c r="D2990" t="s">
        <v>16388</v>
      </c>
      <c r="E2990" t="s">
        <v>16389</v>
      </c>
      <c r="F2990" t="s">
        <v>16390</v>
      </c>
      <c r="G2990" t="s">
        <v>19181</v>
      </c>
      <c r="I2990" t="s">
        <v>18774</v>
      </c>
      <c r="K2990" t="str">
        <f>HYPERLINK("http://tuberculist.epfl.ch/quicksearch.php?gene+name=Rv2907c&amp;submit=Search")</f>
        <v>http://tuberculist.epfl.ch/quicksearch.php?gene+name=Rv2907c&amp;submit=Search</v>
      </c>
    </row>
    <row r="2991" spans="1:11">
      <c r="A2991" t="s">
        <v>16391</v>
      </c>
      <c r="B2991" t="s">
        <v>16391</v>
      </c>
      <c r="C2991" t="s">
        <v>9567</v>
      </c>
      <c r="D2991" t="s">
        <v>9578</v>
      </c>
      <c r="E2991" t="s">
        <v>9579</v>
      </c>
      <c r="F2991" t="s">
        <v>16392</v>
      </c>
      <c r="G2991" t="s">
        <v>19185</v>
      </c>
      <c r="H2991" t="s">
        <v>19209</v>
      </c>
      <c r="I2991" t="s">
        <v>18800</v>
      </c>
      <c r="K2991" t="str">
        <f>HYPERLINK("http://tuberculist.epfl.ch/quicksearch.php?gene+name=Rv2908c&amp;submit=Search")</f>
        <v>http://tuberculist.epfl.ch/quicksearch.php?gene+name=Rv2908c&amp;submit=Search</v>
      </c>
    </row>
    <row r="2992" spans="1:11">
      <c r="A2992" t="s">
        <v>7177</v>
      </c>
      <c r="B2992" t="s">
        <v>2351</v>
      </c>
      <c r="C2992" t="s">
        <v>9567</v>
      </c>
      <c r="D2992" t="s">
        <v>11861</v>
      </c>
      <c r="E2992" t="s">
        <v>16393</v>
      </c>
      <c r="F2992" t="s">
        <v>16394</v>
      </c>
      <c r="G2992" t="s">
        <v>19181</v>
      </c>
      <c r="H2992" t="s">
        <v>19225</v>
      </c>
      <c r="I2992" t="s">
        <v>18779</v>
      </c>
      <c r="J2992" t="s">
        <v>18816</v>
      </c>
      <c r="K2992" t="str">
        <f>HYPERLINK("http://tuberculist.epfl.ch/quicksearch.php?gene+name=Rv2909c&amp;submit=Search")</f>
        <v>http://tuberculist.epfl.ch/quicksearch.php?gene+name=Rv2909c&amp;submit=Search</v>
      </c>
    </row>
    <row r="2993" spans="1:11">
      <c r="A2993" t="s">
        <v>2657</v>
      </c>
      <c r="B2993" t="s">
        <v>2657</v>
      </c>
      <c r="C2993" t="s">
        <v>9567</v>
      </c>
      <c r="D2993" t="s">
        <v>9578</v>
      </c>
      <c r="E2993" t="s">
        <v>9579</v>
      </c>
      <c r="F2993" t="s">
        <v>16395</v>
      </c>
      <c r="G2993" t="s">
        <v>19185</v>
      </c>
      <c r="H2993" t="s">
        <v>19213</v>
      </c>
      <c r="I2993" t="s">
        <v>18789</v>
      </c>
      <c r="K2993" t="str">
        <f>HYPERLINK("http://tuberculist.epfl.ch/quicksearch.php?gene+name=Rv2910c&amp;submit=Search")</f>
        <v>http://tuberculist.epfl.ch/quicksearch.php?gene+name=Rv2910c&amp;submit=Search</v>
      </c>
    </row>
    <row r="2994" spans="1:11">
      <c r="A2994" t="s">
        <v>6920</v>
      </c>
      <c r="B2994" t="s">
        <v>2226</v>
      </c>
      <c r="C2994" t="s">
        <v>9567</v>
      </c>
      <c r="D2994" t="s">
        <v>16396</v>
      </c>
      <c r="E2994" t="s">
        <v>16397</v>
      </c>
      <c r="F2994" t="s">
        <v>16398</v>
      </c>
      <c r="G2994" t="s">
        <v>19188</v>
      </c>
      <c r="H2994" t="s">
        <v>19978</v>
      </c>
      <c r="I2994" t="s">
        <v>18779</v>
      </c>
      <c r="K2994" t="str">
        <f>HYPERLINK("http://tuberculist.epfl.ch/quicksearch.php?gene+name=Rv2911&amp;submit=Search")</f>
        <v>http://tuberculist.epfl.ch/quicksearch.php?gene+name=Rv2911&amp;submit=Search</v>
      </c>
    </row>
    <row r="2995" spans="1:11">
      <c r="A2995" t="s">
        <v>1382</v>
      </c>
      <c r="B2995" t="s">
        <v>1382</v>
      </c>
      <c r="C2995" t="s">
        <v>9567</v>
      </c>
      <c r="D2995" t="s">
        <v>11326</v>
      </c>
      <c r="E2995" t="s">
        <v>11955</v>
      </c>
      <c r="F2995" t="s">
        <v>16399</v>
      </c>
      <c r="G2995" t="s">
        <v>19197</v>
      </c>
      <c r="H2995" t="s">
        <v>19750</v>
      </c>
      <c r="I2995" t="s">
        <v>18853</v>
      </c>
      <c r="K2995" t="str">
        <f>HYPERLINK("http://tuberculist.epfl.ch/quicksearch.php?gene+name=Rv2912c&amp;submit=Search")</f>
        <v>http://tuberculist.epfl.ch/quicksearch.php?gene+name=Rv2912c&amp;submit=Search</v>
      </c>
    </row>
    <row r="2996" spans="1:11">
      <c r="A2996" t="s">
        <v>2981</v>
      </c>
      <c r="B2996" t="s">
        <v>2981</v>
      </c>
      <c r="C2996" t="s">
        <v>9567</v>
      </c>
      <c r="D2996" t="s">
        <v>16400</v>
      </c>
      <c r="E2996" t="s">
        <v>16401</v>
      </c>
      <c r="F2996" t="s">
        <v>16402</v>
      </c>
      <c r="G2996" t="s">
        <v>19195</v>
      </c>
      <c r="H2996" t="s">
        <v>19750</v>
      </c>
      <c r="I2996" t="s">
        <v>18777</v>
      </c>
      <c r="K2996" t="str">
        <f>HYPERLINK("http://tuberculist.epfl.ch/quicksearch.php?gene+name=Rv2913c&amp;submit=Search")</f>
        <v>http://tuberculist.epfl.ch/quicksearch.php?gene+name=Rv2913c&amp;submit=Search</v>
      </c>
    </row>
    <row r="2997" spans="1:11">
      <c r="A2997" t="s">
        <v>6333</v>
      </c>
      <c r="B2997" t="s">
        <v>1914</v>
      </c>
      <c r="C2997" t="s">
        <v>9567</v>
      </c>
      <c r="D2997" t="s">
        <v>16403</v>
      </c>
      <c r="E2997" t="s">
        <v>16404</v>
      </c>
      <c r="F2997" t="s">
        <v>16405</v>
      </c>
      <c r="G2997" t="s">
        <v>19197</v>
      </c>
      <c r="H2997" t="s">
        <v>19586</v>
      </c>
      <c r="I2997" t="s">
        <v>19078</v>
      </c>
      <c r="K2997" t="str">
        <f>HYPERLINK("http://tuberculist.epfl.ch/quicksearch.php?gene+name=Rv2914c&amp;submit=Search")</f>
        <v>http://tuberculist.epfl.ch/quicksearch.php?gene+name=Rv2914c&amp;submit=Search</v>
      </c>
    </row>
    <row r="2998" spans="1:11">
      <c r="A2998" t="s">
        <v>895</v>
      </c>
      <c r="B2998" t="s">
        <v>895</v>
      </c>
      <c r="C2998" t="s">
        <v>9567</v>
      </c>
      <c r="D2998" t="s">
        <v>9578</v>
      </c>
      <c r="E2998" t="s">
        <v>9665</v>
      </c>
      <c r="F2998" t="s">
        <v>16406</v>
      </c>
      <c r="G2998" t="s">
        <v>19204</v>
      </c>
      <c r="H2998" t="s">
        <v>19546</v>
      </c>
      <c r="I2998" t="s">
        <v>18780</v>
      </c>
      <c r="K2998" t="str">
        <f>HYPERLINK("http://tuberculist.epfl.ch/quicksearch.php?gene+name=Rv2915c&amp;submit=Search")</f>
        <v>http://tuberculist.epfl.ch/quicksearch.php?gene+name=Rv2915c&amp;submit=Search</v>
      </c>
    </row>
    <row r="2999" spans="1:11">
      <c r="A2999" t="s">
        <v>8638</v>
      </c>
      <c r="B2999" t="s">
        <v>3059</v>
      </c>
      <c r="C2999" t="s">
        <v>9567</v>
      </c>
      <c r="D2999" t="s">
        <v>16407</v>
      </c>
      <c r="E2999" t="s">
        <v>16408</v>
      </c>
      <c r="F2999" t="s">
        <v>16409</v>
      </c>
      <c r="G2999" t="s">
        <v>19188</v>
      </c>
      <c r="H2999" t="s">
        <v>19979</v>
      </c>
      <c r="I2999" t="s">
        <v>18774</v>
      </c>
      <c r="K2999" t="str">
        <f>HYPERLINK("http://tuberculist.epfl.ch/quicksearch.php?gene+name=Rv2916c&amp;submit=Search")</f>
        <v>http://tuberculist.epfl.ch/quicksearch.php?gene+name=Rv2916c&amp;submit=Search</v>
      </c>
    </row>
    <row r="3000" spans="1:11">
      <c r="A3000" t="s">
        <v>441</v>
      </c>
      <c r="B3000" t="s">
        <v>441</v>
      </c>
      <c r="C3000" t="s">
        <v>9567</v>
      </c>
      <c r="D3000" t="s">
        <v>9578</v>
      </c>
      <c r="E3000" t="s">
        <v>16410</v>
      </c>
      <c r="F3000" t="s">
        <v>16411</v>
      </c>
      <c r="G3000" t="s">
        <v>19210</v>
      </c>
      <c r="H3000" t="s">
        <v>19207</v>
      </c>
      <c r="I3000" t="s">
        <v>18780</v>
      </c>
      <c r="K3000" t="str">
        <f>HYPERLINK("http://tuberculist.epfl.ch/quicksearch.php?gene+name=Rv2917&amp;submit=Search")</f>
        <v>http://tuberculist.epfl.ch/quicksearch.php?gene+name=Rv2917&amp;submit=Search</v>
      </c>
    </row>
    <row r="3001" spans="1:11">
      <c r="A3001" t="s">
        <v>8046</v>
      </c>
      <c r="B3001" t="s">
        <v>2779</v>
      </c>
      <c r="C3001" t="s">
        <v>9567</v>
      </c>
      <c r="D3001" t="s">
        <v>16412</v>
      </c>
      <c r="E3001" t="s">
        <v>16413</v>
      </c>
      <c r="F3001" t="s">
        <v>16414</v>
      </c>
      <c r="G3001" t="s">
        <v>19195</v>
      </c>
      <c r="H3001" t="s">
        <v>19263</v>
      </c>
      <c r="I3001" t="s">
        <v>18818</v>
      </c>
      <c r="K3001" t="str">
        <f>HYPERLINK("http://tuberculist.epfl.ch/quicksearch.php?gene+name=Rv2918c&amp;submit=Search")</f>
        <v>http://tuberculist.epfl.ch/quicksearch.php?gene+name=Rv2918c&amp;submit=Search</v>
      </c>
    </row>
    <row r="3002" spans="1:11">
      <c r="A3002" t="s">
        <v>7180</v>
      </c>
      <c r="B3002" t="s">
        <v>2352</v>
      </c>
      <c r="C3002" t="s">
        <v>9567</v>
      </c>
      <c r="D3002" t="s">
        <v>16415</v>
      </c>
      <c r="E3002" t="s">
        <v>16416</v>
      </c>
      <c r="F3002" t="s">
        <v>16417</v>
      </c>
      <c r="G3002" t="s">
        <v>19197</v>
      </c>
      <c r="H3002" t="s">
        <v>19225</v>
      </c>
      <c r="I3002" t="s">
        <v>18867</v>
      </c>
      <c r="K3002" t="str">
        <f>HYPERLINK("http://tuberculist.epfl.ch/quicksearch.php?gene+name=Rv2919c&amp;submit=Search")</f>
        <v>http://tuberculist.epfl.ch/quicksearch.php?gene+name=Rv2919c&amp;submit=Search</v>
      </c>
    </row>
    <row r="3003" spans="1:11">
      <c r="A3003" t="s">
        <v>357</v>
      </c>
      <c r="B3003" t="s">
        <v>356</v>
      </c>
      <c r="C3003" t="s">
        <v>9567</v>
      </c>
      <c r="D3003" t="s">
        <v>16418</v>
      </c>
      <c r="E3003" t="s">
        <v>16419</v>
      </c>
      <c r="F3003" t="s">
        <v>16420</v>
      </c>
      <c r="G3003" t="s">
        <v>19188</v>
      </c>
      <c r="H3003" t="s">
        <v>19233</v>
      </c>
      <c r="I3003" t="s">
        <v>18780</v>
      </c>
      <c r="K3003" t="str">
        <f>HYPERLINK("http://tuberculist.epfl.ch/quicksearch.php?gene+name=Rv2920c&amp;submit=Search")</f>
        <v>http://tuberculist.epfl.ch/quicksearch.php?gene+name=Rv2920c&amp;submit=Search</v>
      </c>
    </row>
    <row r="3004" spans="1:11">
      <c r="A3004" t="s">
        <v>6544</v>
      </c>
      <c r="B3004" t="s">
        <v>2023</v>
      </c>
      <c r="C3004" t="s">
        <v>9567</v>
      </c>
      <c r="D3004" t="s">
        <v>16421</v>
      </c>
      <c r="E3004" t="s">
        <v>16422</v>
      </c>
      <c r="F3004" t="s">
        <v>16423</v>
      </c>
      <c r="G3004" t="s">
        <v>19188</v>
      </c>
      <c r="H3004" t="s">
        <v>19858</v>
      </c>
      <c r="I3004" t="s">
        <v>18846</v>
      </c>
      <c r="K3004" t="str">
        <f>HYPERLINK("http://tuberculist.epfl.ch/quicksearch.php?gene+name=Rv2921c&amp;submit=Search")</f>
        <v>http://tuberculist.epfl.ch/quicksearch.php?gene+name=Rv2921c&amp;submit=Search</v>
      </c>
    </row>
    <row r="3005" spans="1:11">
      <c r="A3005" t="s">
        <v>16424</v>
      </c>
      <c r="B3005" t="s">
        <v>16425</v>
      </c>
      <c r="C3005" t="s">
        <v>9567</v>
      </c>
      <c r="D3005" t="s">
        <v>16426</v>
      </c>
      <c r="E3005" t="s">
        <v>16427</v>
      </c>
      <c r="F3005" t="s">
        <v>16428</v>
      </c>
      <c r="G3005" t="s">
        <v>19195</v>
      </c>
      <c r="H3005" t="s">
        <v>19213</v>
      </c>
      <c r="I3005" t="s">
        <v>18773</v>
      </c>
      <c r="K3005" t="str">
        <f>HYPERLINK("http://tuberculist.epfl.ch/quicksearch.php?gene+name=Rv2922A&amp;submit=Search")</f>
        <v>http://tuberculist.epfl.ch/quicksearch.php?gene+name=Rv2922A&amp;submit=Search</v>
      </c>
    </row>
    <row r="3006" spans="1:11">
      <c r="A3006" t="s">
        <v>4779</v>
      </c>
      <c r="B3006" t="s">
        <v>1147</v>
      </c>
      <c r="C3006" t="s">
        <v>9567</v>
      </c>
      <c r="D3006" t="s">
        <v>16429</v>
      </c>
      <c r="E3006" t="s">
        <v>16430</v>
      </c>
      <c r="F3006" t="s">
        <v>16431</v>
      </c>
      <c r="G3006" t="s">
        <v>19188</v>
      </c>
      <c r="H3006" t="s">
        <v>19820</v>
      </c>
      <c r="I3006" t="s">
        <v>18777</v>
      </c>
      <c r="K3006" t="str">
        <f>HYPERLINK("http://tuberculist.epfl.ch/quicksearch.php?gene+name=Rv2922c&amp;submit=Search")</f>
        <v>http://tuberculist.epfl.ch/quicksearch.php?gene+name=Rv2922c&amp;submit=Search</v>
      </c>
    </row>
    <row r="3007" spans="1:11">
      <c r="A3007" t="s">
        <v>491</v>
      </c>
      <c r="B3007" t="s">
        <v>491</v>
      </c>
      <c r="C3007" t="s">
        <v>9567</v>
      </c>
      <c r="D3007" t="s">
        <v>9578</v>
      </c>
      <c r="E3007" t="s">
        <v>9665</v>
      </c>
      <c r="F3007" t="s">
        <v>16432</v>
      </c>
      <c r="G3007" t="s">
        <v>19210</v>
      </c>
      <c r="H3007" t="s">
        <v>19243</v>
      </c>
      <c r="I3007" t="s">
        <v>18777</v>
      </c>
      <c r="K3007" t="str">
        <f>HYPERLINK("http://tuberculist.epfl.ch/quicksearch.php?gene+name=Rv2923c&amp;submit=Search")</f>
        <v>http://tuberculist.epfl.ch/quicksearch.php?gene+name=Rv2923c&amp;submit=Search</v>
      </c>
    </row>
    <row r="3008" spans="1:11">
      <c r="A3008" t="s">
        <v>3470</v>
      </c>
      <c r="B3008" t="s">
        <v>492</v>
      </c>
      <c r="C3008" t="s">
        <v>9567</v>
      </c>
      <c r="D3008" t="s">
        <v>16433</v>
      </c>
      <c r="E3008" t="s">
        <v>16434</v>
      </c>
      <c r="F3008" t="s">
        <v>16435</v>
      </c>
      <c r="G3008" t="s">
        <v>19181</v>
      </c>
      <c r="H3008" t="s">
        <v>19207</v>
      </c>
      <c r="I3008" t="s">
        <v>18862</v>
      </c>
      <c r="K3008" t="str">
        <f>HYPERLINK("http://tuberculist.epfl.ch/quicksearch.php?gene+name=Rv2924c&amp;submit=Search")</f>
        <v>http://tuberculist.epfl.ch/quicksearch.php?gene+name=Rv2924c&amp;submit=Search</v>
      </c>
    </row>
    <row r="3009" spans="1:11">
      <c r="A3009" t="s">
        <v>6812</v>
      </c>
      <c r="B3009" t="s">
        <v>2167</v>
      </c>
      <c r="C3009" t="s">
        <v>9567</v>
      </c>
      <c r="D3009" t="s">
        <v>16436</v>
      </c>
      <c r="E3009" t="s">
        <v>16437</v>
      </c>
      <c r="F3009" t="s">
        <v>16438</v>
      </c>
      <c r="G3009" t="s">
        <v>19181</v>
      </c>
      <c r="H3009" t="s">
        <v>19233</v>
      </c>
      <c r="I3009" t="s">
        <v>18774</v>
      </c>
      <c r="K3009" t="str">
        <f>HYPERLINK("http://tuberculist.epfl.ch/quicksearch.php?gene+name=Rv2925c&amp;submit=Search")</f>
        <v>http://tuberculist.epfl.ch/quicksearch.php?gene+name=Rv2925c&amp;submit=Search</v>
      </c>
    </row>
    <row r="3010" spans="1:11">
      <c r="A3010" t="s">
        <v>3129</v>
      </c>
      <c r="B3010" t="s">
        <v>3129</v>
      </c>
      <c r="C3010" t="s">
        <v>9567</v>
      </c>
      <c r="D3010" t="s">
        <v>9578</v>
      </c>
      <c r="E3010" t="s">
        <v>9665</v>
      </c>
      <c r="F3010" t="s">
        <v>16439</v>
      </c>
      <c r="G3010" t="s">
        <v>19204</v>
      </c>
      <c r="H3010" t="s">
        <v>19233</v>
      </c>
      <c r="I3010" t="s">
        <v>18800</v>
      </c>
      <c r="K3010" t="str">
        <f>HYPERLINK("http://tuberculist.epfl.ch/quicksearch.php?gene+name=Rv2926c&amp;submit=Search")</f>
        <v>http://tuberculist.epfl.ch/quicksearch.php?gene+name=Rv2926c&amp;submit=Search</v>
      </c>
    </row>
    <row r="3011" spans="1:11">
      <c r="A3011" t="s">
        <v>1793</v>
      </c>
      <c r="B3011" t="s">
        <v>1793</v>
      </c>
      <c r="C3011" t="s">
        <v>9567</v>
      </c>
      <c r="D3011" t="s">
        <v>9578</v>
      </c>
      <c r="E3011" t="s">
        <v>9579</v>
      </c>
      <c r="F3011" t="s">
        <v>16440</v>
      </c>
      <c r="G3011" t="s">
        <v>19185</v>
      </c>
      <c r="H3011" t="s">
        <v>19213</v>
      </c>
      <c r="I3011" t="s">
        <v>18774</v>
      </c>
      <c r="K3011" t="str">
        <f>HYPERLINK("http://tuberculist.epfl.ch/quicksearch.php?gene+name=Rv2927c&amp;submit=Search")</f>
        <v>http://tuberculist.epfl.ch/quicksearch.php?gene+name=Rv2927c&amp;submit=Search</v>
      </c>
    </row>
    <row r="3012" spans="1:11">
      <c r="A3012" t="s">
        <v>8375</v>
      </c>
      <c r="B3012" t="s">
        <v>2938</v>
      </c>
      <c r="C3012" t="s">
        <v>9567</v>
      </c>
      <c r="D3012" t="s">
        <v>16441</v>
      </c>
      <c r="E3012" t="s">
        <v>16442</v>
      </c>
      <c r="F3012" t="s">
        <v>16443</v>
      </c>
      <c r="G3012" t="s">
        <v>19219</v>
      </c>
      <c r="H3012" t="s">
        <v>19980</v>
      </c>
      <c r="I3012" t="s">
        <v>19079</v>
      </c>
      <c r="J3012" t="s">
        <v>18775</v>
      </c>
      <c r="K3012" t="str">
        <f>HYPERLINK("http://tuberculist.epfl.ch/quicksearch.php?gene+name=Rv2928&amp;submit=Search")</f>
        <v>http://tuberculist.epfl.ch/quicksearch.php?gene+name=Rv2928&amp;submit=Search</v>
      </c>
    </row>
    <row r="3013" spans="1:11">
      <c r="A3013" t="s">
        <v>37</v>
      </c>
      <c r="B3013" t="s">
        <v>37</v>
      </c>
      <c r="C3013" t="s">
        <v>9567</v>
      </c>
      <c r="D3013" t="s">
        <v>9587</v>
      </c>
      <c r="E3013" t="s">
        <v>9713</v>
      </c>
      <c r="F3013" t="s">
        <v>16444</v>
      </c>
      <c r="G3013" t="s">
        <v>19220</v>
      </c>
      <c r="I3013" t="s">
        <v>18780</v>
      </c>
      <c r="K3013" t="str">
        <f>HYPERLINK("http://tuberculist.epfl.ch/quicksearch.php?gene+name=Rv2929&amp;submit=Search")</f>
        <v>http://tuberculist.epfl.ch/quicksearch.php?gene+name=Rv2929&amp;submit=Search</v>
      </c>
    </row>
    <row r="3014" spans="1:11">
      <c r="A3014" t="s">
        <v>18</v>
      </c>
      <c r="B3014" t="s">
        <v>17</v>
      </c>
      <c r="C3014" t="s">
        <v>9567</v>
      </c>
      <c r="D3014" t="s">
        <v>16445</v>
      </c>
      <c r="E3014" t="s">
        <v>16446</v>
      </c>
      <c r="F3014" t="s">
        <v>16447</v>
      </c>
      <c r="G3014" t="s">
        <v>19219</v>
      </c>
      <c r="H3014" t="s">
        <v>19650</v>
      </c>
      <c r="I3014" t="s">
        <v>19080</v>
      </c>
      <c r="J3014" t="s">
        <v>18832</v>
      </c>
      <c r="K3014" t="str">
        <f>HYPERLINK("http://tuberculist.epfl.ch/quicksearch.php?gene+name=Rv2930&amp;submit=Search")</f>
        <v>http://tuberculist.epfl.ch/quicksearch.php?gene+name=Rv2930&amp;submit=Search</v>
      </c>
    </row>
    <row r="3015" spans="1:11">
      <c r="A3015" t="s">
        <v>33</v>
      </c>
      <c r="B3015" t="s">
        <v>32</v>
      </c>
      <c r="C3015" t="s">
        <v>9567</v>
      </c>
      <c r="D3015" t="s">
        <v>16448</v>
      </c>
      <c r="E3015" t="s">
        <v>16449</v>
      </c>
      <c r="F3015" t="s">
        <v>16450</v>
      </c>
      <c r="G3015" t="s">
        <v>19219</v>
      </c>
      <c r="H3015" t="s">
        <v>19981</v>
      </c>
      <c r="I3015" t="s">
        <v>18792</v>
      </c>
      <c r="K3015" t="str">
        <f>HYPERLINK("http://tuberculist.epfl.ch/quicksearch.php?gene+name=Rv2931&amp;submit=Search")</f>
        <v>http://tuberculist.epfl.ch/quicksearch.php?gene+name=Rv2931&amp;submit=Search</v>
      </c>
    </row>
    <row r="3016" spans="1:11">
      <c r="A3016" t="s">
        <v>7927</v>
      </c>
      <c r="B3016" t="s">
        <v>2726</v>
      </c>
      <c r="C3016" t="s">
        <v>9567</v>
      </c>
      <c r="D3016" t="s">
        <v>16451</v>
      </c>
      <c r="E3016" t="s">
        <v>16452</v>
      </c>
      <c r="F3016" t="s">
        <v>16453</v>
      </c>
      <c r="G3016" t="s">
        <v>19219</v>
      </c>
      <c r="H3016" t="s">
        <v>19318</v>
      </c>
      <c r="I3016" t="s">
        <v>19081</v>
      </c>
      <c r="K3016" t="str">
        <f>HYPERLINK("http://tuberculist.epfl.ch/quicksearch.php?gene+name=Rv2932&amp;submit=Search")</f>
        <v>http://tuberculist.epfl.ch/quicksearch.php?gene+name=Rv2932&amp;submit=Search</v>
      </c>
    </row>
    <row r="3017" spans="1:11">
      <c r="A3017" t="s">
        <v>7581</v>
      </c>
      <c r="B3017" t="s">
        <v>2544</v>
      </c>
      <c r="C3017" t="s">
        <v>9567</v>
      </c>
      <c r="D3017" t="s">
        <v>16454</v>
      </c>
      <c r="E3017" t="s">
        <v>16455</v>
      </c>
      <c r="F3017" t="s">
        <v>16456</v>
      </c>
      <c r="G3017" t="s">
        <v>19219</v>
      </c>
      <c r="H3017" t="s">
        <v>19982</v>
      </c>
      <c r="I3017" t="s">
        <v>18794</v>
      </c>
      <c r="K3017" t="str">
        <f>HYPERLINK("http://tuberculist.epfl.ch/quicksearch.php?gene+name=Rv2933&amp;submit=Search")</f>
        <v>http://tuberculist.epfl.ch/quicksearch.php?gene+name=Rv2933&amp;submit=Search</v>
      </c>
    </row>
    <row r="3018" spans="1:11">
      <c r="A3018" t="s">
        <v>6180</v>
      </c>
      <c r="B3018" t="s">
        <v>1849</v>
      </c>
      <c r="C3018" t="s">
        <v>9567</v>
      </c>
      <c r="D3018" t="s">
        <v>16457</v>
      </c>
      <c r="E3018" t="s">
        <v>16458</v>
      </c>
      <c r="F3018" t="s">
        <v>16459</v>
      </c>
      <c r="G3018" t="s">
        <v>19219</v>
      </c>
      <c r="H3018" t="s">
        <v>19983</v>
      </c>
      <c r="I3018" t="s">
        <v>18792</v>
      </c>
      <c r="K3018" t="str">
        <f>HYPERLINK("http://tuberculist.epfl.ch/quicksearch.php?gene+name=Rv2934&amp;submit=Search")</f>
        <v>http://tuberculist.epfl.ch/quicksearch.php?gene+name=Rv2934&amp;submit=Search</v>
      </c>
    </row>
    <row r="3019" spans="1:11">
      <c r="A3019" t="s">
        <v>9428</v>
      </c>
      <c r="B3019" t="s">
        <v>455</v>
      </c>
      <c r="C3019" t="s">
        <v>9567</v>
      </c>
      <c r="D3019" t="s">
        <v>16460</v>
      </c>
      <c r="E3019" t="s">
        <v>16461</v>
      </c>
      <c r="F3019" t="s">
        <v>16462</v>
      </c>
      <c r="G3019" t="s">
        <v>19219</v>
      </c>
      <c r="H3019" t="s">
        <v>19984</v>
      </c>
      <c r="I3019" t="s">
        <v>18792</v>
      </c>
      <c r="K3019" t="str">
        <f>HYPERLINK("http://tuberculist.epfl.ch/quicksearch.php?gene+name=Rv2935&amp;submit=Search")</f>
        <v>http://tuberculist.epfl.ch/quicksearch.php?gene+name=Rv2935&amp;submit=Search</v>
      </c>
    </row>
    <row r="3020" spans="1:11">
      <c r="A3020" t="s">
        <v>9238</v>
      </c>
      <c r="B3020" t="s">
        <v>3342</v>
      </c>
      <c r="C3020" t="s">
        <v>9567</v>
      </c>
      <c r="D3020" t="s">
        <v>16463</v>
      </c>
      <c r="E3020" t="s">
        <v>16464</v>
      </c>
      <c r="F3020" t="s">
        <v>16465</v>
      </c>
      <c r="G3020" t="s">
        <v>19188</v>
      </c>
      <c r="H3020" t="s">
        <v>19267</v>
      </c>
      <c r="I3020" t="s">
        <v>18812</v>
      </c>
      <c r="K3020" t="str">
        <f>HYPERLINK("http://tuberculist.epfl.ch/quicksearch.php?gene+name=Rv2936&amp;submit=Search")</f>
        <v>http://tuberculist.epfl.ch/quicksearch.php?gene+name=Rv2936&amp;submit=Search</v>
      </c>
    </row>
    <row r="3021" spans="1:11">
      <c r="A3021" t="s">
        <v>3674</v>
      </c>
      <c r="B3021" t="s">
        <v>601</v>
      </c>
      <c r="C3021" t="s">
        <v>9567</v>
      </c>
      <c r="D3021" t="s">
        <v>16466</v>
      </c>
      <c r="E3021" t="s">
        <v>16467</v>
      </c>
      <c r="F3021" t="s">
        <v>16468</v>
      </c>
      <c r="G3021" t="s">
        <v>19188</v>
      </c>
      <c r="H3021" t="s">
        <v>19192</v>
      </c>
      <c r="I3021" t="s">
        <v>19082</v>
      </c>
      <c r="K3021" t="str">
        <f>HYPERLINK("http://tuberculist.epfl.ch/quicksearch.php?gene+name=Rv2937&amp;submit=Search")</f>
        <v>http://tuberculist.epfl.ch/quicksearch.php?gene+name=Rv2937&amp;submit=Search</v>
      </c>
    </row>
    <row r="3022" spans="1:11">
      <c r="A3022" t="s">
        <v>3697</v>
      </c>
      <c r="B3022" t="s">
        <v>612</v>
      </c>
      <c r="C3022" t="s">
        <v>9567</v>
      </c>
      <c r="D3022" t="s">
        <v>16469</v>
      </c>
      <c r="E3022" t="s">
        <v>16470</v>
      </c>
      <c r="F3022" t="s">
        <v>16471</v>
      </c>
      <c r="G3022" t="s">
        <v>19188</v>
      </c>
      <c r="H3022" t="s">
        <v>19274</v>
      </c>
      <c r="I3022" t="s">
        <v>18810</v>
      </c>
      <c r="K3022" t="str">
        <f>HYPERLINK("http://tuberculist.epfl.ch/quicksearch.php?gene+name=Rv2938&amp;submit=Search")</f>
        <v>http://tuberculist.epfl.ch/quicksearch.php?gene+name=Rv2938&amp;submit=Search</v>
      </c>
    </row>
    <row r="3023" spans="1:11">
      <c r="A3023" t="s">
        <v>7911</v>
      </c>
      <c r="B3023" t="s">
        <v>2718</v>
      </c>
      <c r="C3023" t="s">
        <v>9567</v>
      </c>
      <c r="D3023" t="s">
        <v>16472</v>
      </c>
      <c r="E3023" t="s">
        <v>16473</v>
      </c>
      <c r="F3023" t="s">
        <v>16474</v>
      </c>
      <c r="G3023" t="s">
        <v>19219</v>
      </c>
      <c r="H3023" t="s">
        <v>19614</v>
      </c>
      <c r="I3023" t="s">
        <v>18789</v>
      </c>
      <c r="K3023" t="str">
        <f>HYPERLINK("http://tuberculist.epfl.ch/quicksearch.php?gene+name=Rv2939&amp;submit=Search")</f>
        <v>http://tuberculist.epfl.ch/quicksearch.php?gene+name=Rv2939&amp;submit=Search</v>
      </c>
    </row>
    <row r="3024" spans="1:11">
      <c r="A3024" t="s">
        <v>42</v>
      </c>
      <c r="B3024" t="s">
        <v>41</v>
      </c>
      <c r="C3024" t="s">
        <v>9567</v>
      </c>
      <c r="D3024" t="s">
        <v>16475</v>
      </c>
      <c r="E3024" t="s">
        <v>16476</v>
      </c>
      <c r="F3024" t="s">
        <v>16477</v>
      </c>
      <c r="G3024" t="s">
        <v>19219</v>
      </c>
      <c r="H3024" t="s">
        <v>19985</v>
      </c>
      <c r="I3024" t="s">
        <v>18789</v>
      </c>
      <c r="K3024" t="str">
        <f>HYPERLINK("http://tuberculist.epfl.ch/quicksearch.php?gene+name=Rv2940c&amp;submit=Search")</f>
        <v>http://tuberculist.epfl.ch/quicksearch.php?gene+name=Rv2940c&amp;submit=Search</v>
      </c>
    </row>
    <row r="3025" spans="1:11">
      <c r="A3025" t="s">
        <v>51</v>
      </c>
      <c r="B3025" t="s">
        <v>50</v>
      </c>
      <c r="C3025" t="s">
        <v>9567</v>
      </c>
      <c r="D3025" t="s">
        <v>16478</v>
      </c>
      <c r="E3025" t="s">
        <v>16479</v>
      </c>
      <c r="F3025" t="s">
        <v>16480</v>
      </c>
      <c r="G3025" t="s">
        <v>19219</v>
      </c>
      <c r="H3025" t="s">
        <v>19512</v>
      </c>
      <c r="I3025" t="s">
        <v>18792</v>
      </c>
      <c r="K3025" t="str">
        <f>HYPERLINK("http://tuberculist.epfl.ch/quicksearch.php?gene+name=Rv2941&amp;submit=Search")</f>
        <v>http://tuberculist.epfl.ch/quicksearch.php?gene+name=Rv2941&amp;submit=Search</v>
      </c>
    </row>
    <row r="3026" spans="1:11">
      <c r="A3026" t="s">
        <v>8800</v>
      </c>
      <c r="B3026" t="s">
        <v>3138</v>
      </c>
      <c r="C3026" t="s">
        <v>9567</v>
      </c>
      <c r="D3026" t="s">
        <v>16481</v>
      </c>
      <c r="E3026" t="s">
        <v>16482</v>
      </c>
      <c r="F3026" t="s">
        <v>16483</v>
      </c>
      <c r="G3026" t="s">
        <v>19188</v>
      </c>
      <c r="H3026" t="s">
        <v>19975</v>
      </c>
      <c r="I3026" t="s">
        <v>18828</v>
      </c>
      <c r="K3026" t="str">
        <f>HYPERLINK("http://tuberculist.epfl.ch/quicksearch.php?gene+name=Rv2942&amp;submit=Search")</f>
        <v>http://tuberculist.epfl.ch/quicksearch.php?gene+name=Rv2942&amp;submit=Search</v>
      </c>
    </row>
    <row r="3027" spans="1:11">
      <c r="A3027" t="s">
        <v>2207</v>
      </c>
      <c r="B3027" t="s">
        <v>2207</v>
      </c>
      <c r="C3027" t="s">
        <v>9567</v>
      </c>
      <c r="D3027" t="s">
        <v>16484</v>
      </c>
      <c r="E3027" t="s">
        <v>16485</v>
      </c>
      <c r="F3027" t="s">
        <v>16486</v>
      </c>
      <c r="G3027" t="s">
        <v>19217</v>
      </c>
      <c r="H3027" t="s">
        <v>19214</v>
      </c>
      <c r="I3027" t="s">
        <v>18821</v>
      </c>
      <c r="K3027" t="str">
        <f>HYPERLINK("http://tuberculist.epfl.ch/quicksearch.php?gene+name=Rv2943&amp;submit=Search")</f>
        <v>http://tuberculist.epfl.ch/quicksearch.php?gene+name=Rv2943&amp;submit=Search</v>
      </c>
    </row>
    <row r="3028" spans="1:11">
      <c r="A3028" t="s">
        <v>16487</v>
      </c>
      <c r="B3028" t="s">
        <v>16487</v>
      </c>
      <c r="C3028" t="s">
        <v>9567</v>
      </c>
      <c r="D3028" t="s">
        <v>11582</v>
      </c>
      <c r="E3028" t="s">
        <v>11734</v>
      </c>
      <c r="F3028" t="s">
        <v>16488</v>
      </c>
      <c r="G3028" t="s">
        <v>19217</v>
      </c>
      <c r="H3028" t="s">
        <v>19214</v>
      </c>
      <c r="I3028" t="s">
        <v>18804</v>
      </c>
      <c r="K3028" t="str">
        <f>HYPERLINK("http://tuberculist.epfl.ch/quicksearch.php?gene+name=Rv2943A&amp;submit=Search")</f>
        <v>http://tuberculist.epfl.ch/quicksearch.php?gene+name=Rv2943A&amp;submit=Search</v>
      </c>
    </row>
    <row r="3029" spans="1:11">
      <c r="A3029" t="s">
        <v>16489</v>
      </c>
      <c r="B3029" t="s">
        <v>16489</v>
      </c>
      <c r="C3029" t="s">
        <v>9567</v>
      </c>
      <c r="D3029" t="s">
        <v>16490</v>
      </c>
      <c r="E3029" t="s">
        <v>16491</v>
      </c>
      <c r="F3029" t="s">
        <v>16492</v>
      </c>
      <c r="G3029" t="s">
        <v>19217</v>
      </c>
      <c r="I3029" t="s">
        <v>18804</v>
      </c>
      <c r="K3029" t="str">
        <f>HYPERLINK("http://tuberculist.epfl.ch/quicksearch.php?gene+name=Rv2944&amp;submit=Search")</f>
        <v>http://tuberculist.epfl.ch/quicksearch.php?gene+name=Rv2944&amp;submit=Search</v>
      </c>
    </row>
    <row r="3030" spans="1:11">
      <c r="A3030" t="s">
        <v>3577</v>
      </c>
      <c r="B3030" t="s">
        <v>548</v>
      </c>
      <c r="C3030" t="s">
        <v>9567</v>
      </c>
      <c r="D3030" t="s">
        <v>9587</v>
      </c>
      <c r="E3030" t="s">
        <v>16493</v>
      </c>
      <c r="F3030" t="s">
        <v>16494</v>
      </c>
      <c r="G3030" t="s">
        <v>19188</v>
      </c>
      <c r="H3030" t="s">
        <v>19986</v>
      </c>
      <c r="I3030" t="s">
        <v>18810</v>
      </c>
      <c r="J3030" t="s">
        <v>18775</v>
      </c>
      <c r="K3030" t="str">
        <f>HYPERLINK("http://tuberculist.epfl.ch/quicksearch.php?gene+name=Rv2945c&amp;submit=Search")</f>
        <v>http://tuberculist.epfl.ch/quicksearch.php?gene+name=Rv2945c&amp;submit=Search</v>
      </c>
    </row>
    <row r="3031" spans="1:11">
      <c r="A3031" t="s">
        <v>9467</v>
      </c>
      <c r="B3031" t="s">
        <v>454</v>
      </c>
      <c r="C3031" t="s">
        <v>9567</v>
      </c>
      <c r="D3031" t="s">
        <v>16495</v>
      </c>
      <c r="E3031" t="s">
        <v>16496</v>
      </c>
      <c r="F3031" t="s">
        <v>16497</v>
      </c>
      <c r="G3031" t="s">
        <v>19219</v>
      </c>
      <c r="H3031" t="s">
        <v>19207</v>
      </c>
      <c r="I3031" t="s">
        <v>18789</v>
      </c>
      <c r="K3031" t="str">
        <f>HYPERLINK("http://tuberculist.epfl.ch/quicksearch.php?gene+name=Rv2946c&amp;submit=Search")</f>
        <v>http://tuberculist.epfl.ch/quicksearch.php?gene+name=Rv2946c&amp;submit=Search</v>
      </c>
    </row>
    <row r="3032" spans="1:11">
      <c r="A3032" t="s">
        <v>16498</v>
      </c>
      <c r="B3032" t="s">
        <v>16499</v>
      </c>
      <c r="C3032" t="s">
        <v>9567</v>
      </c>
      <c r="D3032" t="s">
        <v>16495</v>
      </c>
      <c r="E3032" t="s">
        <v>16500</v>
      </c>
      <c r="F3032" t="s">
        <v>16501</v>
      </c>
      <c r="G3032" t="s">
        <v>19219</v>
      </c>
      <c r="H3032" t="s">
        <v>19236</v>
      </c>
      <c r="I3032" t="s">
        <v>18789</v>
      </c>
      <c r="J3032" t="s">
        <v>18775</v>
      </c>
      <c r="K3032" t="str">
        <f>HYPERLINK("http://tuberculist.epfl.ch/quicksearch.php?gene+name=Rv2947c&amp;submit=Search")</f>
        <v>http://tuberculist.epfl.ch/quicksearch.php?gene+name=Rv2947c&amp;submit=Search</v>
      </c>
    </row>
    <row r="3033" spans="1:11">
      <c r="A3033" t="s">
        <v>6136</v>
      </c>
      <c r="B3033" t="s">
        <v>1820</v>
      </c>
      <c r="C3033" t="s">
        <v>9567</v>
      </c>
      <c r="D3033" t="s">
        <v>16502</v>
      </c>
      <c r="E3033" t="s">
        <v>16503</v>
      </c>
      <c r="F3033" t="s">
        <v>16504</v>
      </c>
      <c r="G3033" t="s">
        <v>19219</v>
      </c>
      <c r="I3033" t="s">
        <v>19083</v>
      </c>
      <c r="K3033" t="str">
        <f>HYPERLINK("http://tuberculist.epfl.ch/quicksearch.php?gene+name=Rv2948c&amp;submit=Search")</f>
        <v>http://tuberculist.epfl.ch/quicksearch.php?gene+name=Rv2948c&amp;submit=Search</v>
      </c>
    </row>
    <row r="3034" spans="1:11">
      <c r="A3034" t="s">
        <v>995</v>
      </c>
      <c r="B3034" t="s">
        <v>995</v>
      </c>
      <c r="C3034" t="s">
        <v>9567</v>
      </c>
      <c r="D3034" t="s">
        <v>16505</v>
      </c>
      <c r="E3034" t="s">
        <v>16506</v>
      </c>
      <c r="F3034" t="s">
        <v>16507</v>
      </c>
      <c r="G3034" t="s">
        <v>19195</v>
      </c>
      <c r="H3034" t="s">
        <v>19209</v>
      </c>
      <c r="I3034" t="s">
        <v>18788</v>
      </c>
      <c r="K3034" t="str">
        <f>HYPERLINK("http://tuberculist.epfl.ch/quicksearch.php?gene+name=Rv2949c&amp;submit=Search")</f>
        <v>http://tuberculist.epfl.ch/quicksearch.php?gene+name=Rv2949c&amp;submit=Search</v>
      </c>
    </row>
    <row r="3035" spans="1:11">
      <c r="A3035" t="s">
        <v>8129</v>
      </c>
      <c r="B3035" t="s">
        <v>2819</v>
      </c>
      <c r="C3035" t="s">
        <v>9567</v>
      </c>
      <c r="D3035" t="s">
        <v>16502</v>
      </c>
      <c r="E3035" t="s">
        <v>16508</v>
      </c>
      <c r="F3035" t="s">
        <v>16509</v>
      </c>
      <c r="G3035" t="s">
        <v>19219</v>
      </c>
      <c r="H3035" t="s">
        <v>19211</v>
      </c>
      <c r="I3035" t="s">
        <v>19084</v>
      </c>
      <c r="K3035" t="str">
        <f>HYPERLINK("http://tuberculist.epfl.ch/quicksearch.php?gene+name=Rv2950c&amp;submit=Search")</f>
        <v>http://tuberculist.epfl.ch/quicksearch.php?gene+name=Rv2950c&amp;submit=Search</v>
      </c>
    </row>
    <row r="3036" spans="1:11">
      <c r="A3036" t="s">
        <v>2781</v>
      </c>
      <c r="B3036" t="s">
        <v>2781</v>
      </c>
      <c r="C3036" t="s">
        <v>9567</v>
      </c>
      <c r="D3036" t="s">
        <v>9682</v>
      </c>
      <c r="E3036" t="s">
        <v>9683</v>
      </c>
      <c r="F3036" t="s">
        <v>16510</v>
      </c>
      <c r="G3036" t="s">
        <v>19195</v>
      </c>
      <c r="H3036" t="s">
        <v>19987</v>
      </c>
      <c r="I3036" t="s">
        <v>18789</v>
      </c>
      <c r="K3036" t="str">
        <f>HYPERLINK("http://tuberculist.epfl.ch/quicksearch.php?gene+name=Rv2951c&amp;submit=Search")</f>
        <v>http://tuberculist.epfl.ch/quicksearch.php?gene+name=Rv2951c&amp;submit=Search</v>
      </c>
    </row>
    <row r="3037" spans="1:11">
      <c r="A3037" t="s">
        <v>2941</v>
      </c>
      <c r="B3037" t="s">
        <v>2941</v>
      </c>
      <c r="C3037" t="s">
        <v>9567</v>
      </c>
      <c r="D3037" t="s">
        <v>9787</v>
      </c>
      <c r="E3037" t="s">
        <v>10071</v>
      </c>
      <c r="F3037" t="s">
        <v>16511</v>
      </c>
      <c r="G3037" t="s">
        <v>19195</v>
      </c>
      <c r="H3037" t="s">
        <v>19988</v>
      </c>
      <c r="I3037" t="s">
        <v>18780</v>
      </c>
      <c r="K3037" t="str">
        <f>HYPERLINK("http://tuberculist.epfl.ch/quicksearch.php?gene+name=Rv2952&amp;submit=Search")</f>
        <v>http://tuberculist.epfl.ch/quicksearch.php?gene+name=Rv2952&amp;submit=Search</v>
      </c>
    </row>
    <row r="3038" spans="1:11">
      <c r="A3038" t="s">
        <v>3330</v>
      </c>
      <c r="B3038" t="s">
        <v>3330</v>
      </c>
      <c r="C3038" t="s">
        <v>9567</v>
      </c>
      <c r="D3038" t="s">
        <v>16512</v>
      </c>
      <c r="E3038" t="s">
        <v>16513</v>
      </c>
      <c r="F3038" t="s">
        <v>16514</v>
      </c>
      <c r="G3038" t="s">
        <v>19219</v>
      </c>
      <c r="H3038" t="s">
        <v>19989</v>
      </c>
      <c r="I3038" t="s">
        <v>18777</v>
      </c>
      <c r="K3038" t="str">
        <f>HYPERLINK("http://tuberculist.epfl.ch/quicksearch.php?gene+name=Rv2953&amp;submit=Search")</f>
        <v>http://tuberculist.epfl.ch/quicksearch.php?gene+name=Rv2953&amp;submit=Search</v>
      </c>
    </row>
    <row r="3039" spans="1:11">
      <c r="A3039" t="s">
        <v>1024</v>
      </c>
      <c r="B3039" t="s">
        <v>1024</v>
      </c>
      <c r="C3039" t="s">
        <v>9567</v>
      </c>
      <c r="D3039" t="s">
        <v>9587</v>
      </c>
      <c r="E3039" t="s">
        <v>9713</v>
      </c>
      <c r="F3039" t="s">
        <v>16515</v>
      </c>
      <c r="G3039" t="s">
        <v>19212</v>
      </c>
      <c r="I3039" t="s">
        <v>18780</v>
      </c>
      <c r="K3039" t="str">
        <f>HYPERLINK("http://tuberculist.epfl.ch/quicksearch.php?gene+name=Rv2954c&amp;submit=Search")</f>
        <v>http://tuberculist.epfl.ch/quicksearch.php?gene+name=Rv2954c&amp;submit=Search</v>
      </c>
    </row>
    <row r="3040" spans="1:11">
      <c r="A3040" t="s">
        <v>3361</v>
      </c>
      <c r="B3040" t="s">
        <v>3361</v>
      </c>
      <c r="C3040" t="s">
        <v>9567</v>
      </c>
      <c r="D3040" t="s">
        <v>9578</v>
      </c>
      <c r="E3040" t="s">
        <v>9665</v>
      </c>
      <c r="F3040" t="s">
        <v>16516</v>
      </c>
      <c r="G3040" t="s">
        <v>19212</v>
      </c>
      <c r="H3040" t="s">
        <v>19990</v>
      </c>
      <c r="I3040" t="s">
        <v>18789</v>
      </c>
      <c r="K3040" t="str">
        <f>HYPERLINK("http://tuberculist.epfl.ch/quicksearch.php?gene+name=Rv2955c&amp;submit=Search")</f>
        <v>http://tuberculist.epfl.ch/quicksearch.php?gene+name=Rv2955c&amp;submit=Search</v>
      </c>
    </row>
    <row r="3041" spans="1:11">
      <c r="A3041" t="s">
        <v>1721</v>
      </c>
      <c r="B3041" t="s">
        <v>1721</v>
      </c>
      <c r="C3041" t="s">
        <v>9567</v>
      </c>
      <c r="D3041" t="s">
        <v>9578</v>
      </c>
      <c r="E3041" t="s">
        <v>9665</v>
      </c>
      <c r="F3041" t="s">
        <v>16517</v>
      </c>
      <c r="G3041" t="s">
        <v>19185</v>
      </c>
      <c r="H3041" t="s">
        <v>19196</v>
      </c>
      <c r="I3041" t="s">
        <v>18776</v>
      </c>
      <c r="K3041" t="str">
        <f>HYPERLINK("http://tuberculist.epfl.ch/quicksearch.php?gene+name=Rv2956&amp;submit=Search")</f>
        <v>http://tuberculist.epfl.ch/quicksearch.php?gene+name=Rv2956&amp;submit=Search</v>
      </c>
    </row>
    <row r="3042" spans="1:11">
      <c r="A3042" t="s">
        <v>794</v>
      </c>
      <c r="B3042" t="s">
        <v>794</v>
      </c>
      <c r="C3042" t="s">
        <v>9567</v>
      </c>
      <c r="D3042" t="s">
        <v>9682</v>
      </c>
      <c r="E3042" t="s">
        <v>16518</v>
      </c>
      <c r="F3042" t="s">
        <v>16519</v>
      </c>
      <c r="G3042" t="s">
        <v>19195</v>
      </c>
      <c r="I3042" t="s">
        <v>18789</v>
      </c>
      <c r="K3042" t="str">
        <f>HYPERLINK("http://tuberculist.epfl.ch/quicksearch.php?gene+name=Rv2957&amp;submit=Search")</f>
        <v>http://tuberculist.epfl.ch/quicksearch.php?gene+name=Rv2957&amp;submit=Search</v>
      </c>
    </row>
    <row r="3043" spans="1:11">
      <c r="A3043" t="s">
        <v>3347</v>
      </c>
      <c r="B3043" t="s">
        <v>3347</v>
      </c>
      <c r="C3043" t="s">
        <v>9567</v>
      </c>
      <c r="D3043" t="s">
        <v>16520</v>
      </c>
      <c r="E3043" t="s">
        <v>16518</v>
      </c>
      <c r="F3043" t="s">
        <v>16521</v>
      </c>
      <c r="G3043" t="s">
        <v>19195</v>
      </c>
      <c r="H3043" t="s">
        <v>19379</v>
      </c>
      <c r="I3043" t="s">
        <v>18780</v>
      </c>
      <c r="K3043" t="str">
        <f>HYPERLINK("http://tuberculist.epfl.ch/quicksearch.php?gene+name=Rv2958c&amp;submit=Search")</f>
        <v>http://tuberculist.epfl.ch/quicksearch.php?gene+name=Rv2958c&amp;submit=Search</v>
      </c>
    </row>
    <row r="3044" spans="1:11">
      <c r="A3044" t="s">
        <v>1701</v>
      </c>
      <c r="B3044" t="s">
        <v>1701</v>
      </c>
      <c r="C3044" t="s">
        <v>9567</v>
      </c>
      <c r="D3044" t="s">
        <v>9787</v>
      </c>
      <c r="E3044" t="s">
        <v>10071</v>
      </c>
      <c r="F3044" t="s">
        <v>16522</v>
      </c>
      <c r="G3044" t="s">
        <v>19195</v>
      </c>
      <c r="H3044" t="s">
        <v>19991</v>
      </c>
      <c r="I3044" t="s">
        <v>18818</v>
      </c>
      <c r="K3044" t="str">
        <f>HYPERLINK("http://tuberculist.epfl.ch/quicksearch.php?gene+name=Rv2959c&amp;submit=Search")</f>
        <v>http://tuberculist.epfl.ch/quicksearch.php?gene+name=Rv2959c&amp;submit=Search</v>
      </c>
    </row>
    <row r="3045" spans="1:11">
      <c r="A3045" t="s">
        <v>16523</v>
      </c>
      <c r="B3045" t="s">
        <v>16523</v>
      </c>
      <c r="C3045" t="s">
        <v>9567</v>
      </c>
      <c r="D3045" t="s">
        <v>9587</v>
      </c>
      <c r="E3045" t="s">
        <v>9713</v>
      </c>
      <c r="F3045" t="s">
        <v>16524</v>
      </c>
      <c r="G3045" t="s">
        <v>19212</v>
      </c>
      <c r="I3045" t="s">
        <v>18780</v>
      </c>
      <c r="K3045" t="str">
        <f>HYPERLINK("http://tuberculist.epfl.ch/quicksearch.php?gene+name=Rv2960c&amp;submit=Search")</f>
        <v>http://tuberculist.epfl.ch/quicksearch.php?gene+name=Rv2960c&amp;submit=Search</v>
      </c>
    </row>
    <row r="3046" spans="1:11">
      <c r="A3046" t="s">
        <v>2472</v>
      </c>
      <c r="B3046" t="s">
        <v>2472</v>
      </c>
      <c r="C3046" t="s">
        <v>9567</v>
      </c>
      <c r="D3046" t="s">
        <v>11582</v>
      </c>
      <c r="E3046" t="s">
        <v>11730</v>
      </c>
      <c r="F3046" t="s">
        <v>16525</v>
      </c>
      <c r="G3046" t="s">
        <v>19217</v>
      </c>
      <c r="H3046" t="s">
        <v>19302</v>
      </c>
      <c r="I3046" t="s">
        <v>18780</v>
      </c>
      <c r="K3046" t="str">
        <f>HYPERLINK("http://tuberculist.epfl.ch/quicksearch.php?gene+name=Rv2961&amp;submit=Search")</f>
        <v>http://tuberculist.epfl.ch/quicksearch.php?gene+name=Rv2961&amp;submit=Search</v>
      </c>
    </row>
    <row r="3047" spans="1:11">
      <c r="A3047" t="s">
        <v>2957</v>
      </c>
      <c r="B3047" t="s">
        <v>2957</v>
      </c>
      <c r="C3047" t="s">
        <v>9567</v>
      </c>
      <c r="D3047" t="s">
        <v>16520</v>
      </c>
      <c r="E3047" t="s">
        <v>16518</v>
      </c>
      <c r="F3047" t="s">
        <v>16526</v>
      </c>
      <c r="G3047" t="s">
        <v>19195</v>
      </c>
      <c r="H3047" t="s">
        <v>19207</v>
      </c>
      <c r="I3047" t="s">
        <v>18789</v>
      </c>
      <c r="K3047" t="str">
        <f>HYPERLINK("http://tuberculist.epfl.ch/quicksearch.php?gene+name=Rv2962c&amp;submit=Search")</f>
        <v>http://tuberculist.epfl.ch/quicksearch.php?gene+name=Rv2962c&amp;submit=Search</v>
      </c>
    </row>
    <row r="3048" spans="1:11">
      <c r="A3048" t="s">
        <v>1341</v>
      </c>
      <c r="B3048" t="s">
        <v>1341</v>
      </c>
      <c r="C3048" t="s">
        <v>9567</v>
      </c>
      <c r="D3048" t="s">
        <v>9587</v>
      </c>
      <c r="E3048" t="s">
        <v>10806</v>
      </c>
      <c r="F3048" t="s">
        <v>16527</v>
      </c>
      <c r="G3048" t="s">
        <v>19188</v>
      </c>
      <c r="H3048" t="s">
        <v>19192</v>
      </c>
      <c r="I3048" t="s">
        <v>18780</v>
      </c>
      <c r="K3048" t="str">
        <f>HYPERLINK("http://tuberculist.epfl.ch/quicksearch.php?gene+name=Rv2963&amp;submit=Search")</f>
        <v>http://tuberculist.epfl.ch/quicksearch.php?gene+name=Rv2963&amp;submit=Search</v>
      </c>
    </row>
    <row r="3049" spans="1:11">
      <c r="A3049" t="s">
        <v>4154</v>
      </c>
      <c r="B3049" t="s">
        <v>838</v>
      </c>
      <c r="C3049" t="s">
        <v>9567</v>
      </c>
      <c r="D3049" t="s">
        <v>16528</v>
      </c>
      <c r="E3049" t="s">
        <v>16529</v>
      </c>
      <c r="F3049" t="s">
        <v>16530</v>
      </c>
      <c r="G3049" t="s">
        <v>19195</v>
      </c>
      <c r="H3049" t="s">
        <v>19213</v>
      </c>
      <c r="I3049" t="s">
        <v>18780</v>
      </c>
      <c r="K3049" t="str">
        <f>HYPERLINK("http://tuberculist.epfl.ch/quicksearch.php?gene+name=Rv2964&amp;submit=Search")</f>
        <v>http://tuberculist.epfl.ch/quicksearch.php?gene+name=Rv2964&amp;submit=Search</v>
      </c>
    </row>
    <row r="3050" spans="1:11">
      <c r="A3050" t="s">
        <v>16531</v>
      </c>
      <c r="B3050" t="s">
        <v>3235</v>
      </c>
      <c r="C3050" t="s">
        <v>9567</v>
      </c>
      <c r="D3050" t="s">
        <v>16532</v>
      </c>
      <c r="E3050" t="s">
        <v>16533</v>
      </c>
      <c r="F3050" t="s">
        <v>16534</v>
      </c>
      <c r="G3050" t="s">
        <v>19188</v>
      </c>
      <c r="H3050" t="s">
        <v>19272</v>
      </c>
      <c r="I3050" t="s">
        <v>18779</v>
      </c>
      <c r="K3050" t="str">
        <f>HYPERLINK("http://tuberculist.epfl.ch/quicksearch.php?gene+name=Rv2965c&amp;submit=Search")</f>
        <v>http://tuberculist.epfl.ch/quicksearch.php?gene+name=Rv2965c&amp;submit=Search</v>
      </c>
    </row>
    <row r="3051" spans="1:11">
      <c r="A3051" t="s">
        <v>1935</v>
      </c>
      <c r="B3051" t="s">
        <v>1935</v>
      </c>
      <c r="C3051" t="s">
        <v>9567</v>
      </c>
      <c r="D3051" t="s">
        <v>9787</v>
      </c>
      <c r="E3051" t="s">
        <v>10071</v>
      </c>
      <c r="F3051" t="s">
        <v>16535</v>
      </c>
      <c r="G3051" t="s">
        <v>19195</v>
      </c>
      <c r="H3051" t="s">
        <v>19214</v>
      </c>
      <c r="I3051" t="s">
        <v>18780</v>
      </c>
      <c r="K3051" t="str">
        <f>HYPERLINK("http://tuberculist.epfl.ch/quicksearch.php?gene+name=Rv2966c&amp;submit=Search")</f>
        <v>http://tuberculist.epfl.ch/quicksearch.php?gene+name=Rv2966c&amp;submit=Search</v>
      </c>
    </row>
    <row r="3052" spans="1:11">
      <c r="A3052" t="s">
        <v>8483</v>
      </c>
      <c r="B3052" t="s">
        <v>2987</v>
      </c>
      <c r="C3052" t="s">
        <v>9567</v>
      </c>
      <c r="D3052" t="s">
        <v>16536</v>
      </c>
      <c r="E3052" t="s">
        <v>16537</v>
      </c>
      <c r="F3052" t="s">
        <v>16538</v>
      </c>
      <c r="G3052" t="s">
        <v>19195</v>
      </c>
      <c r="H3052" t="s">
        <v>19992</v>
      </c>
      <c r="I3052" t="s">
        <v>19085</v>
      </c>
      <c r="K3052" t="str">
        <f>HYPERLINK("http://tuberculist.epfl.ch/quicksearch.php?gene+name=Rv2967c&amp;submit=Search")</f>
        <v>http://tuberculist.epfl.ch/quicksearch.php?gene+name=Rv2967c&amp;submit=Search</v>
      </c>
    </row>
    <row r="3053" spans="1:11">
      <c r="A3053" t="s">
        <v>2094</v>
      </c>
      <c r="B3053" t="s">
        <v>2094</v>
      </c>
      <c r="C3053" t="s">
        <v>9567</v>
      </c>
      <c r="D3053" t="s">
        <v>9587</v>
      </c>
      <c r="E3053" t="s">
        <v>9668</v>
      </c>
      <c r="F3053" t="s">
        <v>16539</v>
      </c>
      <c r="G3053" t="s">
        <v>19188</v>
      </c>
      <c r="H3053" t="s">
        <v>19207</v>
      </c>
      <c r="I3053" t="s">
        <v>18774</v>
      </c>
      <c r="K3053" t="str">
        <f>HYPERLINK("http://tuberculist.epfl.ch/quicksearch.php?gene+name=Rv2968c&amp;submit=Search")</f>
        <v>http://tuberculist.epfl.ch/quicksearch.php?gene+name=Rv2968c&amp;submit=Search</v>
      </c>
    </row>
    <row r="3054" spans="1:11">
      <c r="A3054" t="s">
        <v>2010</v>
      </c>
      <c r="B3054" t="s">
        <v>2010</v>
      </c>
      <c r="C3054" t="s">
        <v>9567</v>
      </c>
      <c r="D3054" t="s">
        <v>9587</v>
      </c>
      <c r="E3054" t="s">
        <v>16540</v>
      </c>
      <c r="F3054" t="s">
        <v>16541</v>
      </c>
      <c r="G3054" t="s">
        <v>19188</v>
      </c>
      <c r="H3054" t="s">
        <v>19993</v>
      </c>
      <c r="I3054" t="s">
        <v>18774</v>
      </c>
      <c r="K3054" t="str">
        <f>HYPERLINK("http://tuberculist.epfl.ch/quicksearch.php?gene+name=Rv2969c&amp;submit=Search")</f>
        <v>http://tuberculist.epfl.ch/quicksearch.php?gene+name=Rv2969c&amp;submit=Search</v>
      </c>
    </row>
    <row r="3055" spans="1:11">
      <c r="A3055" t="s">
        <v>16542</v>
      </c>
      <c r="B3055" t="s">
        <v>16542</v>
      </c>
      <c r="C3055" t="s">
        <v>9567</v>
      </c>
      <c r="D3055" t="s">
        <v>9578</v>
      </c>
      <c r="E3055" t="s">
        <v>9579</v>
      </c>
      <c r="F3055" t="s">
        <v>16543</v>
      </c>
      <c r="G3055" t="s">
        <v>19212</v>
      </c>
      <c r="I3055" t="s">
        <v>18793</v>
      </c>
      <c r="K3055" t="str">
        <f>HYPERLINK("http://tuberculist.epfl.ch/quicksearch.php?gene+name=Rv2970A&amp;submit=Search")</f>
        <v>http://tuberculist.epfl.ch/quicksearch.php?gene+name=Rv2970A&amp;submit=Search</v>
      </c>
    </row>
    <row r="3056" spans="1:11">
      <c r="A3056" t="s">
        <v>4326</v>
      </c>
      <c r="B3056" t="s">
        <v>922</v>
      </c>
      <c r="C3056" t="s">
        <v>9567</v>
      </c>
      <c r="D3056" t="s">
        <v>11074</v>
      </c>
      <c r="E3056" t="s">
        <v>16544</v>
      </c>
      <c r="F3056" t="s">
        <v>16545</v>
      </c>
      <c r="G3056" t="s">
        <v>19195</v>
      </c>
      <c r="H3056" t="s">
        <v>19230</v>
      </c>
      <c r="I3056" t="s">
        <v>18780</v>
      </c>
      <c r="K3056" t="str">
        <f>HYPERLINK("http://tuberculist.epfl.ch/quicksearch.php?gene+name=Rv2970c&amp;submit=Search")</f>
        <v>http://tuberculist.epfl.ch/quicksearch.php?gene+name=Rv2970c&amp;submit=Search</v>
      </c>
    </row>
    <row r="3057" spans="1:11">
      <c r="A3057" t="s">
        <v>1419</v>
      </c>
      <c r="B3057" t="s">
        <v>1419</v>
      </c>
      <c r="C3057" t="s">
        <v>9567</v>
      </c>
      <c r="D3057" t="s">
        <v>9682</v>
      </c>
      <c r="E3057" t="s">
        <v>9739</v>
      </c>
      <c r="F3057" t="s">
        <v>16546</v>
      </c>
      <c r="G3057" t="s">
        <v>19195</v>
      </c>
      <c r="H3057" t="s">
        <v>19994</v>
      </c>
      <c r="I3057" t="s">
        <v>18774</v>
      </c>
      <c r="J3057" t="s">
        <v>18873</v>
      </c>
      <c r="K3057" t="str">
        <f>HYPERLINK("http://tuberculist.epfl.ch/quicksearch.php?gene+name=Rv2971&amp;submit=Search")</f>
        <v>http://tuberculist.epfl.ch/quicksearch.php?gene+name=Rv2971&amp;submit=Search</v>
      </c>
    </row>
    <row r="3058" spans="1:11">
      <c r="A3058" t="s">
        <v>892</v>
      </c>
      <c r="B3058" t="s">
        <v>892</v>
      </c>
      <c r="C3058" t="s">
        <v>9567</v>
      </c>
      <c r="D3058" t="s">
        <v>9587</v>
      </c>
      <c r="E3058" t="s">
        <v>16547</v>
      </c>
      <c r="F3058" t="s">
        <v>16548</v>
      </c>
      <c r="G3058" t="s">
        <v>19188</v>
      </c>
      <c r="I3058" t="s">
        <v>18780</v>
      </c>
      <c r="K3058" t="str">
        <f>HYPERLINK("http://tuberculist.epfl.ch/quicksearch.php?gene+name=Rv2972c&amp;submit=Search")</f>
        <v>http://tuberculist.epfl.ch/quicksearch.php?gene+name=Rv2972c&amp;submit=Search</v>
      </c>
    </row>
    <row r="3059" spans="1:11">
      <c r="A3059" t="s">
        <v>4314</v>
      </c>
      <c r="B3059" t="s">
        <v>916</v>
      </c>
      <c r="C3059" t="s">
        <v>9567</v>
      </c>
      <c r="D3059" t="s">
        <v>16549</v>
      </c>
      <c r="E3059" t="s">
        <v>16550</v>
      </c>
      <c r="F3059" t="s">
        <v>16551</v>
      </c>
      <c r="G3059" t="s">
        <v>19181</v>
      </c>
      <c r="H3059" t="s">
        <v>19207</v>
      </c>
      <c r="I3059" t="s">
        <v>18795</v>
      </c>
      <c r="K3059" t="str">
        <f>HYPERLINK("http://tuberculist.epfl.ch/quicksearch.php?gene+name=Rv2973c&amp;submit=Search")</f>
        <v>http://tuberculist.epfl.ch/quicksearch.php?gene+name=Rv2973c&amp;submit=Search</v>
      </c>
    </row>
    <row r="3060" spans="1:11">
      <c r="A3060" t="s">
        <v>944</v>
      </c>
      <c r="B3060" t="s">
        <v>944</v>
      </c>
      <c r="C3060" t="s">
        <v>9567</v>
      </c>
      <c r="D3060" t="s">
        <v>9578</v>
      </c>
      <c r="E3060" t="s">
        <v>15865</v>
      </c>
      <c r="F3060" t="s">
        <v>16552</v>
      </c>
      <c r="G3060" t="s">
        <v>19210</v>
      </c>
      <c r="H3060" t="s">
        <v>19235</v>
      </c>
      <c r="I3060" t="s">
        <v>18780</v>
      </c>
      <c r="K3060" t="str">
        <f>HYPERLINK("http://tuberculist.epfl.ch/quicksearch.php?gene+name=Rv2974c&amp;submit=Search")</f>
        <v>http://tuberculist.epfl.ch/quicksearch.php?gene+name=Rv2974c&amp;submit=Search</v>
      </c>
    </row>
    <row r="3061" spans="1:11">
      <c r="A3061" t="s">
        <v>16553</v>
      </c>
      <c r="B3061" t="s">
        <v>16553</v>
      </c>
      <c r="C3061" t="s">
        <v>9567</v>
      </c>
      <c r="D3061" t="s">
        <v>9578</v>
      </c>
      <c r="E3061" t="s">
        <v>9579</v>
      </c>
      <c r="F3061" t="s">
        <v>16554</v>
      </c>
      <c r="G3061" t="s">
        <v>19212</v>
      </c>
      <c r="I3061" t="s">
        <v>18779</v>
      </c>
      <c r="K3061" t="str">
        <f>HYPERLINK("http://tuberculist.epfl.ch/quicksearch.php?gene+name=Rv2975c&amp;submit=Search")</f>
        <v>http://tuberculist.epfl.ch/quicksearch.php?gene+name=Rv2975c&amp;submit=Search</v>
      </c>
    </row>
    <row r="3062" spans="1:11">
      <c r="A3062" t="s">
        <v>9349</v>
      </c>
      <c r="B3062" t="s">
        <v>3394</v>
      </c>
      <c r="C3062" t="s">
        <v>9567</v>
      </c>
      <c r="D3062" t="s">
        <v>16555</v>
      </c>
      <c r="E3062" t="s">
        <v>16556</v>
      </c>
      <c r="F3062" t="s">
        <v>16557</v>
      </c>
      <c r="G3062" t="s">
        <v>19181</v>
      </c>
      <c r="H3062" t="s">
        <v>19287</v>
      </c>
      <c r="I3062" t="s">
        <v>18853</v>
      </c>
      <c r="K3062" t="str">
        <f>HYPERLINK("http://tuberculist.epfl.ch/quicksearch.php?gene+name=Rv2976c&amp;submit=Search")</f>
        <v>http://tuberculist.epfl.ch/quicksearch.php?gene+name=Rv2976c&amp;submit=Search</v>
      </c>
    </row>
    <row r="3063" spans="1:11">
      <c r="A3063" t="s">
        <v>6923</v>
      </c>
      <c r="B3063" t="s">
        <v>2227</v>
      </c>
      <c r="C3063" t="s">
        <v>9567</v>
      </c>
      <c r="D3063" t="s">
        <v>16558</v>
      </c>
      <c r="E3063" t="s">
        <v>16559</v>
      </c>
      <c r="F3063" t="s">
        <v>16560</v>
      </c>
      <c r="G3063" t="s">
        <v>19195</v>
      </c>
      <c r="H3063" t="s">
        <v>19278</v>
      </c>
      <c r="I3063" t="s">
        <v>18774</v>
      </c>
      <c r="K3063" t="str">
        <f>HYPERLINK("http://tuberculist.epfl.ch/quicksearch.php?gene+name=Rv2977c&amp;submit=Search")</f>
        <v>http://tuberculist.epfl.ch/quicksearch.php?gene+name=Rv2977c&amp;submit=Search</v>
      </c>
    </row>
    <row r="3064" spans="1:11">
      <c r="A3064" t="s">
        <v>808</v>
      </c>
      <c r="B3064" t="s">
        <v>808</v>
      </c>
      <c r="C3064" t="s">
        <v>9567</v>
      </c>
      <c r="D3064" t="s">
        <v>16561</v>
      </c>
      <c r="E3064" t="s">
        <v>11730</v>
      </c>
      <c r="F3064" t="s">
        <v>16562</v>
      </c>
      <c r="G3064" t="s">
        <v>19217</v>
      </c>
      <c r="H3064" t="s">
        <v>19205</v>
      </c>
      <c r="I3064" t="s">
        <v>18779</v>
      </c>
      <c r="K3064" t="str">
        <f>HYPERLINK("http://tuberculist.epfl.ch/quicksearch.php?gene+name=Rv2978c&amp;submit=Search")</f>
        <v>http://tuberculist.epfl.ch/quicksearch.php?gene+name=Rv2978c&amp;submit=Search</v>
      </c>
    </row>
    <row r="3065" spans="1:11">
      <c r="A3065" t="s">
        <v>2961</v>
      </c>
      <c r="B3065" t="s">
        <v>2961</v>
      </c>
      <c r="C3065" t="s">
        <v>9567</v>
      </c>
      <c r="D3065" t="s">
        <v>10963</v>
      </c>
      <c r="E3065" t="s">
        <v>16339</v>
      </c>
      <c r="F3065" t="s">
        <v>16563</v>
      </c>
      <c r="G3065" t="s">
        <v>19217</v>
      </c>
      <c r="H3065" t="s">
        <v>19215</v>
      </c>
      <c r="I3065" t="s">
        <v>18780</v>
      </c>
      <c r="K3065" t="str">
        <f>HYPERLINK("http://tuberculist.epfl.ch/quicksearch.php?gene+name=Rv2979c&amp;submit=Search")</f>
        <v>http://tuberculist.epfl.ch/quicksearch.php?gene+name=Rv2979c&amp;submit=Search</v>
      </c>
    </row>
    <row r="3066" spans="1:11">
      <c r="A3066" t="s">
        <v>2064</v>
      </c>
      <c r="B3066" t="s">
        <v>2064</v>
      </c>
      <c r="C3066" t="s">
        <v>9567</v>
      </c>
      <c r="D3066" t="s">
        <v>9587</v>
      </c>
      <c r="E3066" t="s">
        <v>10446</v>
      </c>
      <c r="F3066" t="s">
        <v>16564</v>
      </c>
      <c r="G3066" t="s">
        <v>19188</v>
      </c>
      <c r="H3066" t="s">
        <v>19233</v>
      </c>
      <c r="I3066" t="s">
        <v>18776</v>
      </c>
      <c r="K3066" t="str">
        <f>HYPERLINK("http://tuberculist.epfl.ch/quicksearch.php?gene+name=Rv2980&amp;submit=Search")</f>
        <v>http://tuberculist.epfl.ch/quicksearch.php?gene+name=Rv2980&amp;submit=Search</v>
      </c>
    </row>
    <row r="3067" spans="1:11">
      <c r="A3067" t="s">
        <v>16565</v>
      </c>
      <c r="B3067" t="s">
        <v>3065</v>
      </c>
      <c r="C3067" t="s">
        <v>9567</v>
      </c>
      <c r="D3067" t="s">
        <v>16566</v>
      </c>
      <c r="E3067" t="s">
        <v>16567</v>
      </c>
      <c r="F3067" t="s">
        <v>16568</v>
      </c>
      <c r="G3067" t="s">
        <v>19188</v>
      </c>
      <c r="H3067" t="s">
        <v>19642</v>
      </c>
      <c r="I3067" t="s">
        <v>18885</v>
      </c>
      <c r="K3067" t="str">
        <f>HYPERLINK("http://tuberculist.epfl.ch/quicksearch.php?gene+name=Rv2981c&amp;submit=Search")</f>
        <v>http://tuberculist.epfl.ch/quicksearch.php?gene+name=Rv2981c&amp;submit=Search</v>
      </c>
    </row>
    <row r="3068" spans="1:11">
      <c r="A3068" t="s">
        <v>16569</v>
      </c>
      <c r="B3068" t="s">
        <v>2089</v>
      </c>
      <c r="C3068" t="s">
        <v>9567</v>
      </c>
      <c r="D3068" t="s">
        <v>16570</v>
      </c>
      <c r="E3068" t="s">
        <v>16571</v>
      </c>
      <c r="F3068" t="s">
        <v>16572</v>
      </c>
      <c r="G3068" t="s">
        <v>19219</v>
      </c>
      <c r="H3068" t="s">
        <v>19995</v>
      </c>
      <c r="I3068" t="s">
        <v>18780</v>
      </c>
      <c r="K3068" t="str">
        <f>HYPERLINK("http://tuberculist.epfl.ch/quicksearch.php?gene+name=Rv2982c&amp;submit=Search")</f>
        <v>http://tuberculist.epfl.ch/quicksearch.php?gene+name=Rv2982c&amp;submit=Search</v>
      </c>
    </row>
    <row r="3069" spans="1:11">
      <c r="A3069" t="s">
        <v>16573</v>
      </c>
      <c r="B3069" t="s">
        <v>16573</v>
      </c>
      <c r="C3069" t="s">
        <v>9567</v>
      </c>
      <c r="D3069" t="s">
        <v>9578</v>
      </c>
      <c r="E3069" t="s">
        <v>15865</v>
      </c>
      <c r="F3069" t="s">
        <v>16574</v>
      </c>
      <c r="G3069" t="s">
        <v>19204</v>
      </c>
      <c r="H3069" t="s">
        <v>19211</v>
      </c>
      <c r="I3069" t="s">
        <v>18779</v>
      </c>
      <c r="K3069" t="str">
        <f>HYPERLINK("http://tuberculist.epfl.ch/quicksearch.php?gene+name=Rv2983&amp;submit=Search")</f>
        <v>http://tuberculist.epfl.ch/quicksearch.php?gene+name=Rv2983&amp;submit=Search</v>
      </c>
    </row>
    <row r="3070" spans="1:11">
      <c r="A3070" t="s">
        <v>16575</v>
      </c>
      <c r="B3070" t="s">
        <v>2347</v>
      </c>
      <c r="C3070" t="s">
        <v>9567</v>
      </c>
      <c r="D3070" t="s">
        <v>16576</v>
      </c>
      <c r="E3070" t="s">
        <v>16577</v>
      </c>
      <c r="F3070" t="s">
        <v>16578</v>
      </c>
      <c r="G3070" t="s">
        <v>19195</v>
      </c>
      <c r="H3070" t="s">
        <v>19869</v>
      </c>
      <c r="I3070" t="s">
        <v>19086</v>
      </c>
      <c r="K3070" t="str">
        <f>HYPERLINK("http://tuberculist.epfl.ch/quicksearch.php?gene+name=Rv2984&amp;submit=Search")</f>
        <v>http://tuberculist.epfl.ch/quicksearch.php?gene+name=Rv2984&amp;submit=Search</v>
      </c>
    </row>
    <row r="3071" spans="1:11">
      <c r="A3071" t="s">
        <v>3875</v>
      </c>
      <c r="B3071" t="s">
        <v>692</v>
      </c>
      <c r="C3071" t="s">
        <v>9567</v>
      </c>
      <c r="D3071" t="s">
        <v>16579</v>
      </c>
      <c r="E3071" t="s">
        <v>16580</v>
      </c>
      <c r="F3071" t="s">
        <v>16581</v>
      </c>
      <c r="G3071" t="s">
        <v>19181</v>
      </c>
      <c r="H3071" t="s">
        <v>19213</v>
      </c>
      <c r="I3071" t="s">
        <v>18891</v>
      </c>
      <c r="K3071" t="str">
        <f>HYPERLINK("http://tuberculist.epfl.ch/quicksearch.php?gene+name=Rv2985&amp;submit=Search")</f>
        <v>http://tuberculist.epfl.ch/quicksearch.php?gene+name=Rv2985&amp;submit=Search</v>
      </c>
    </row>
    <row r="3072" spans="1:11">
      <c r="A3072" t="s">
        <v>8995</v>
      </c>
      <c r="B3072" t="s">
        <v>3227</v>
      </c>
      <c r="C3072" t="s">
        <v>9567</v>
      </c>
      <c r="D3072" t="s">
        <v>16582</v>
      </c>
      <c r="E3072" t="s">
        <v>16583</v>
      </c>
      <c r="F3072" t="s">
        <v>16584</v>
      </c>
      <c r="G3072" t="s">
        <v>19181</v>
      </c>
      <c r="H3072" t="s">
        <v>19996</v>
      </c>
      <c r="I3072" t="s">
        <v>18774</v>
      </c>
      <c r="K3072" t="str">
        <f>HYPERLINK("http://tuberculist.epfl.ch/quicksearch.php?gene+name=Rv2986c&amp;submit=Search")</f>
        <v>http://tuberculist.epfl.ch/quicksearch.php?gene+name=Rv2986c&amp;submit=Search</v>
      </c>
    </row>
    <row r="3073" spans="1:11">
      <c r="A3073" t="s">
        <v>3938</v>
      </c>
      <c r="B3073" t="s">
        <v>727</v>
      </c>
      <c r="C3073" t="s">
        <v>9567</v>
      </c>
      <c r="D3073" t="s">
        <v>16585</v>
      </c>
      <c r="E3073" t="s">
        <v>16586</v>
      </c>
      <c r="F3073" t="s">
        <v>16587</v>
      </c>
      <c r="G3073" t="s">
        <v>19195</v>
      </c>
      <c r="H3073" t="s">
        <v>19403</v>
      </c>
      <c r="I3073" t="s">
        <v>18774</v>
      </c>
      <c r="K3073" t="str">
        <f>HYPERLINK("http://tuberculist.epfl.ch/quicksearch.php?gene+name=Rv2987c&amp;submit=Search")</f>
        <v>http://tuberculist.epfl.ch/quicksearch.php?gene+name=Rv2987c&amp;submit=Search</v>
      </c>
    </row>
    <row r="3074" spans="1:11">
      <c r="A3074" t="s">
        <v>3640</v>
      </c>
      <c r="B3074" t="s">
        <v>580</v>
      </c>
      <c r="C3074" t="s">
        <v>9567</v>
      </c>
      <c r="D3074" t="s">
        <v>16585</v>
      </c>
      <c r="E3074" t="s">
        <v>16588</v>
      </c>
      <c r="F3074" t="s">
        <v>16589</v>
      </c>
      <c r="G3074" t="s">
        <v>19195</v>
      </c>
      <c r="H3074" t="s">
        <v>19205</v>
      </c>
      <c r="I3074" t="s">
        <v>18776</v>
      </c>
      <c r="K3074" t="str">
        <f>HYPERLINK("http://tuberculist.epfl.ch/quicksearch.php?gene+name=Rv2988c&amp;submit=Search")</f>
        <v>http://tuberculist.epfl.ch/quicksearch.php?gene+name=Rv2988c&amp;submit=Search</v>
      </c>
    </row>
    <row r="3075" spans="1:11">
      <c r="A3075" t="s">
        <v>3301</v>
      </c>
      <c r="B3075" t="s">
        <v>3301</v>
      </c>
      <c r="C3075" t="s">
        <v>9567</v>
      </c>
      <c r="D3075" t="s">
        <v>9629</v>
      </c>
      <c r="E3075" t="s">
        <v>9763</v>
      </c>
      <c r="F3075" t="s">
        <v>16590</v>
      </c>
      <c r="G3075" t="s">
        <v>19197</v>
      </c>
      <c r="H3075" t="s">
        <v>19997</v>
      </c>
      <c r="I3075" t="s">
        <v>18773</v>
      </c>
      <c r="J3075" t="s">
        <v>18775</v>
      </c>
      <c r="K3075" t="str">
        <f>HYPERLINK("http://tuberculist.epfl.ch/quicksearch.php?gene+name=Rv2989&amp;submit=Search")</f>
        <v>http://tuberculist.epfl.ch/quicksearch.php?gene+name=Rv2989&amp;submit=Search</v>
      </c>
    </row>
    <row r="3076" spans="1:11">
      <c r="A3076" t="s">
        <v>148</v>
      </c>
      <c r="B3076" t="s">
        <v>148</v>
      </c>
      <c r="C3076" t="s">
        <v>9567</v>
      </c>
      <c r="D3076" t="s">
        <v>9587</v>
      </c>
      <c r="E3076" t="s">
        <v>9713</v>
      </c>
      <c r="F3076" t="s">
        <v>16591</v>
      </c>
      <c r="G3076" t="s">
        <v>19212</v>
      </c>
      <c r="I3076" t="s">
        <v>18789</v>
      </c>
      <c r="J3076" t="s">
        <v>18840</v>
      </c>
      <c r="K3076" t="str">
        <f>HYPERLINK("http://tuberculist.epfl.ch/quicksearch.php?gene+name=Rv2990c&amp;submit=Search")</f>
        <v>http://tuberculist.epfl.ch/quicksearch.php?gene+name=Rv2990c&amp;submit=Search</v>
      </c>
    </row>
    <row r="3077" spans="1:11">
      <c r="A3077" t="s">
        <v>1520</v>
      </c>
      <c r="B3077" t="s">
        <v>1520</v>
      </c>
      <c r="C3077" t="s">
        <v>9567</v>
      </c>
      <c r="D3077" t="s">
        <v>9578</v>
      </c>
      <c r="E3077" t="s">
        <v>9665</v>
      </c>
      <c r="F3077" t="s">
        <v>16592</v>
      </c>
      <c r="G3077" t="s">
        <v>19212</v>
      </c>
      <c r="H3077" t="s">
        <v>19229</v>
      </c>
      <c r="I3077" t="s">
        <v>18780</v>
      </c>
      <c r="K3077" t="str">
        <f>HYPERLINK("http://tuberculist.epfl.ch/quicksearch.php?gene+name=Rv2991&amp;submit=Search")</f>
        <v>http://tuberculist.epfl.ch/quicksearch.php?gene+name=Rv2991&amp;submit=Search</v>
      </c>
    </row>
    <row r="3078" spans="1:11">
      <c r="A3078" t="s">
        <v>16593</v>
      </c>
      <c r="B3078" t="s">
        <v>1739</v>
      </c>
      <c r="C3078" t="s">
        <v>9567</v>
      </c>
      <c r="D3078" t="s">
        <v>16594</v>
      </c>
      <c r="E3078" t="s">
        <v>16595</v>
      </c>
      <c r="F3078" t="s">
        <v>16596</v>
      </c>
      <c r="G3078" t="s">
        <v>19181</v>
      </c>
      <c r="H3078" t="s">
        <v>19579</v>
      </c>
      <c r="I3078" t="s">
        <v>18774</v>
      </c>
      <c r="K3078" t="str">
        <f>HYPERLINK("http://tuberculist.epfl.ch/quicksearch.php?gene+name=Rv2992c&amp;submit=Search")</f>
        <v>http://tuberculist.epfl.ch/quicksearch.php?gene+name=Rv2992c&amp;submit=Search</v>
      </c>
    </row>
    <row r="3079" spans="1:11">
      <c r="A3079" t="s">
        <v>2575</v>
      </c>
      <c r="B3079" t="s">
        <v>2575</v>
      </c>
      <c r="C3079" t="s">
        <v>9567</v>
      </c>
      <c r="D3079" t="s">
        <v>16597</v>
      </c>
      <c r="E3079" t="s">
        <v>16598</v>
      </c>
      <c r="F3079" t="s">
        <v>16599</v>
      </c>
      <c r="G3079" t="s">
        <v>19195</v>
      </c>
      <c r="H3079" t="s">
        <v>19532</v>
      </c>
      <c r="I3079" t="s">
        <v>18773</v>
      </c>
      <c r="K3079" t="str">
        <f>HYPERLINK("http://tuberculist.epfl.ch/quicksearch.php?gene+name=Rv2993c&amp;submit=Search")</f>
        <v>http://tuberculist.epfl.ch/quicksearch.php?gene+name=Rv2993c&amp;submit=Search</v>
      </c>
    </row>
    <row r="3080" spans="1:11">
      <c r="A3080" t="s">
        <v>2382</v>
      </c>
      <c r="B3080" t="s">
        <v>2382</v>
      </c>
      <c r="C3080" t="s">
        <v>9567</v>
      </c>
      <c r="D3080" t="s">
        <v>16600</v>
      </c>
      <c r="E3080" t="s">
        <v>9668</v>
      </c>
      <c r="F3080" t="s">
        <v>16601</v>
      </c>
      <c r="G3080" t="s">
        <v>19188</v>
      </c>
      <c r="H3080" t="s">
        <v>19998</v>
      </c>
      <c r="I3080" t="s">
        <v>18780</v>
      </c>
      <c r="K3080" t="str">
        <f>HYPERLINK("http://tuberculist.epfl.ch/quicksearch.php?gene+name=Rv2994&amp;submit=Search")</f>
        <v>http://tuberculist.epfl.ch/quicksearch.php?gene+name=Rv2994&amp;submit=Search</v>
      </c>
    </row>
    <row r="3081" spans="1:11">
      <c r="A3081" t="s">
        <v>6435</v>
      </c>
      <c r="B3081" t="s">
        <v>1967</v>
      </c>
      <c r="C3081" t="s">
        <v>9567</v>
      </c>
      <c r="D3081" t="s">
        <v>16602</v>
      </c>
      <c r="E3081" t="s">
        <v>16603</v>
      </c>
      <c r="F3081" t="s">
        <v>16604</v>
      </c>
      <c r="G3081" t="s">
        <v>19195</v>
      </c>
      <c r="H3081" t="s">
        <v>19375</v>
      </c>
      <c r="I3081" t="s">
        <v>18774</v>
      </c>
      <c r="K3081" t="str">
        <f>HYPERLINK("http://tuberculist.epfl.ch/quicksearch.php?gene+name=Rv2995c&amp;submit=Search")</f>
        <v>http://tuberculist.epfl.ch/quicksearch.php?gene+name=Rv2995c&amp;submit=Search</v>
      </c>
    </row>
    <row r="3082" spans="1:11">
      <c r="A3082" t="s">
        <v>9030</v>
      </c>
      <c r="B3082" t="s">
        <v>3243</v>
      </c>
      <c r="C3082" t="s">
        <v>9567</v>
      </c>
      <c r="D3082" t="s">
        <v>16605</v>
      </c>
      <c r="E3082" t="s">
        <v>16606</v>
      </c>
      <c r="F3082" t="s">
        <v>16607</v>
      </c>
      <c r="G3082" t="s">
        <v>19195</v>
      </c>
      <c r="H3082" t="s">
        <v>19999</v>
      </c>
      <c r="I3082" t="s">
        <v>18774</v>
      </c>
      <c r="K3082" t="str">
        <f>HYPERLINK("http://tuberculist.epfl.ch/quicksearch.php?gene+name=Rv2996c&amp;submit=Search")</f>
        <v>http://tuberculist.epfl.ch/quicksearch.php?gene+name=Rv2996c&amp;submit=Search</v>
      </c>
    </row>
    <row r="3083" spans="1:11">
      <c r="A3083" t="s">
        <v>924</v>
      </c>
      <c r="B3083" t="s">
        <v>924</v>
      </c>
      <c r="C3083" t="s">
        <v>9567</v>
      </c>
      <c r="D3083" t="s">
        <v>9682</v>
      </c>
      <c r="E3083" t="s">
        <v>16608</v>
      </c>
      <c r="F3083" t="s">
        <v>16609</v>
      </c>
      <c r="G3083" t="s">
        <v>19195</v>
      </c>
      <c r="I3083" t="s">
        <v>18793</v>
      </c>
      <c r="K3083" t="str">
        <f>HYPERLINK("http://tuberculist.epfl.ch/quicksearch.php?gene+name=Rv2997&amp;submit=Search")</f>
        <v>http://tuberculist.epfl.ch/quicksearch.php?gene+name=Rv2997&amp;submit=Search</v>
      </c>
    </row>
    <row r="3084" spans="1:11">
      <c r="A3084" t="s">
        <v>3120</v>
      </c>
      <c r="B3084" t="s">
        <v>3120</v>
      </c>
      <c r="C3084" t="s">
        <v>9567</v>
      </c>
      <c r="D3084" t="s">
        <v>9587</v>
      </c>
      <c r="E3084" t="s">
        <v>9713</v>
      </c>
      <c r="F3084" t="s">
        <v>16610</v>
      </c>
      <c r="G3084" t="s">
        <v>19212</v>
      </c>
      <c r="H3084" t="s">
        <v>19207</v>
      </c>
      <c r="I3084" t="s">
        <v>18810</v>
      </c>
      <c r="K3084" t="str">
        <f>HYPERLINK("http://tuberculist.epfl.ch/quicksearch.php?gene+name=Rv2998&amp;submit=Search")</f>
        <v>http://tuberculist.epfl.ch/quicksearch.php?gene+name=Rv2998&amp;submit=Search</v>
      </c>
    </row>
    <row r="3085" spans="1:11">
      <c r="A3085" t="s">
        <v>16611</v>
      </c>
      <c r="B3085" t="s">
        <v>16611</v>
      </c>
      <c r="C3085" t="s">
        <v>9567</v>
      </c>
      <c r="D3085" t="s">
        <v>9578</v>
      </c>
      <c r="E3085" t="s">
        <v>9579</v>
      </c>
      <c r="F3085" t="s">
        <v>16612</v>
      </c>
      <c r="G3085" t="s">
        <v>19212</v>
      </c>
      <c r="I3085" t="s">
        <v>18773</v>
      </c>
      <c r="K3085" t="str">
        <f>HYPERLINK("http://tuberculist.epfl.ch/quicksearch.php?gene+name=Rv2998A&amp;submit=Search")</f>
        <v>http://tuberculist.epfl.ch/quicksearch.php?gene+name=Rv2998A&amp;submit=Search</v>
      </c>
    </row>
    <row r="3086" spans="1:11">
      <c r="A3086" t="s">
        <v>7561</v>
      </c>
      <c r="B3086" t="s">
        <v>2534</v>
      </c>
      <c r="C3086" t="s">
        <v>9567</v>
      </c>
      <c r="D3086" t="s">
        <v>9587</v>
      </c>
      <c r="E3086" t="s">
        <v>16613</v>
      </c>
      <c r="F3086" t="s">
        <v>16614</v>
      </c>
      <c r="G3086" t="s">
        <v>19188</v>
      </c>
      <c r="H3086" t="s">
        <v>19410</v>
      </c>
      <c r="I3086" t="s">
        <v>18800</v>
      </c>
      <c r="K3086" t="str">
        <f>HYPERLINK("http://tuberculist.epfl.ch/quicksearch.php?gene+name=Rv2999&amp;submit=Search")</f>
        <v>http://tuberculist.epfl.ch/quicksearch.php?gene+name=Rv2999&amp;submit=Search</v>
      </c>
    </row>
    <row r="3087" spans="1:11">
      <c r="A3087" t="s">
        <v>1453</v>
      </c>
      <c r="B3087" t="s">
        <v>1453</v>
      </c>
      <c r="C3087" t="s">
        <v>9567</v>
      </c>
      <c r="D3087" t="s">
        <v>9587</v>
      </c>
      <c r="E3087" t="s">
        <v>9671</v>
      </c>
      <c r="F3087" t="s">
        <v>16615</v>
      </c>
      <c r="G3087" t="s">
        <v>19188</v>
      </c>
      <c r="H3087" t="s">
        <v>19207</v>
      </c>
      <c r="I3087" t="s">
        <v>18780</v>
      </c>
      <c r="K3087" t="str">
        <f>HYPERLINK("http://tuberculist.epfl.ch/quicksearch.php?gene+name=Rv3000&amp;submit=Search")</f>
        <v>http://tuberculist.epfl.ch/quicksearch.php?gene+name=Rv3000&amp;submit=Search</v>
      </c>
    </row>
    <row r="3088" spans="1:11">
      <c r="A3088" t="s">
        <v>5206</v>
      </c>
      <c r="B3088" t="s">
        <v>1353</v>
      </c>
      <c r="C3088" t="s">
        <v>9567</v>
      </c>
      <c r="D3088" t="s">
        <v>16616</v>
      </c>
      <c r="E3088" t="s">
        <v>16617</v>
      </c>
      <c r="F3088" t="s">
        <v>16618</v>
      </c>
      <c r="G3088" t="s">
        <v>19195</v>
      </c>
      <c r="H3088" t="s">
        <v>20000</v>
      </c>
      <c r="I3088" t="s">
        <v>18774</v>
      </c>
      <c r="K3088" t="str">
        <f>HYPERLINK("http://tuberculist.epfl.ch/quicksearch.php?gene+name=Rv3001c&amp;submit=Search")</f>
        <v>http://tuberculist.epfl.ch/quicksearch.php?gene+name=Rv3001c&amp;submit=Search</v>
      </c>
    </row>
    <row r="3089" spans="1:11">
      <c r="A3089" t="s">
        <v>16619</v>
      </c>
      <c r="B3089" t="s">
        <v>1761</v>
      </c>
      <c r="C3089" t="s">
        <v>9567</v>
      </c>
      <c r="D3089" t="s">
        <v>16620</v>
      </c>
      <c r="E3089" t="s">
        <v>16621</v>
      </c>
      <c r="F3089" t="s">
        <v>16622</v>
      </c>
      <c r="G3089" t="s">
        <v>19195</v>
      </c>
      <c r="H3089" t="s">
        <v>19225</v>
      </c>
      <c r="I3089" t="s">
        <v>18800</v>
      </c>
      <c r="K3089" t="str">
        <f>HYPERLINK("http://tuberculist.epfl.ch/quicksearch.php?gene+name=Rv3002c&amp;submit=Search")</f>
        <v>http://tuberculist.epfl.ch/quicksearch.php?gene+name=Rv3002c&amp;submit=Search</v>
      </c>
    </row>
    <row r="3090" spans="1:11">
      <c r="A3090" t="s">
        <v>8586</v>
      </c>
      <c r="B3090" t="s">
        <v>3035</v>
      </c>
      <c r="C3090" t="s">
        <v>9567</v>
      </c>
      <c r="D3090" t="s">
        <v>16623</v>
      </c>
      <c r="E3090" t="s">
        <v>16624</v>
      </c>
      <c r="F3090" t="s">
        <v>16625</v>
      </c>
      <c r="G3090" t="s">
        <v>19195</v>
      </c>
      <c r="H3090" t="s">
        <v>20001</v>
      </c>
      <c r="I3090" t="s">
        <v>18774</v>
      </c>
      <c r="K3090" t="str">
        <f>HYPERLINK("http://tuberculist.epfl.ch/quicksearch.php?gene+name=Rv3003c&amp;submit=Search")</f>
        <v>http://tuberculist.epfl.ch/quicksearch.php?gene+name=Rv3003c&amp;submit=Search</v>
      </c>
    </row>
    <row r="3091" spans="1:11">
      <c r="A3091" t="s">
        <v>5260</v>
      </c>
      <c r="B3091" t="s">
        <v>1383</v>
      </c>
      <c r="C3091" t="s">
        <v>9567</v>
      </c>
      <c r="D3091" t="s">
        <v>16626</v>
      </c>
      <c r="E3091" t="s">
        <v>16627</v>
      </c>
      <c r="F3091" t="s">
        <v>16628</v>
      </c>
      <c r="G3091" t="s">
        <v>19188</v>
      </c>
      <c r="H3091" t="s">
        <v>20002</v>
      </c>
      <c r="I3091" t="s">
        <v>18779</v>
      </c>
      <c r="K3091" t="str">
        <f>HYPERLINK("http://tuberculist.epfl.ch/quicksearch.php?gene+name=Rv3004&amp;submit=Search")</f>
        <v>http://tuberculist.epfl.ch/quicksearch.php?gene+name=Rv3004&amp;submit=Search</v>
      </c>
    </row>
    <row r="3092" spans="1:11">
      <c r="A3092" t="s">
        <v>1847</v>
      </c>
      <c r="B3092" t="s">
        <v>1847</v>
      </c>
      <c r="C3092" t="s">
        <v>9567</v>
      </c>
      <c r="D3092" t="s">
        <v>9578</v>
      </c>
      <c r="E3092" t="s">
        <v>9579</v>
      </c>
      <c r="F3092" t="s">
        <v>16629</v>
      </c>
      <c r="G3092" t="s">
        <v>19210</v>
      </c>
      <c r="H3092" t="s">
        <v>19213</v>
      </c>
      <c r="I3092" t="s">
        <v>18789</v>
      </c>
      <c r="K3092" t="str">
        <f>HYPERLINK("http://tuberculist.epfl.ch/quicksearch.php?gene+name=Rv3005c&amp;submit=Search")</f>
        <v>http://tuberculist.epfl.ch/quicksearch.php?gene+name=Rv3005c&amp;submit=Search</v>
      </c>
    </row>
    <row r="3093" spans="1:11">
      <c r="A3093" t="s">
        <v>4497</v>
      </c>
      <c r="B3093" t="s">
        <v>1011</v>
      </c>
      <c r="C3093" t="s">
        <v>9567</v>
      </c>
      <c r="D3093" t="s">
        <v>9587</v>
      </c>
      <c r="E3093" t="s">
        <v>16630</v>
      </c>
      <c r="F3093" t="s">
        <v>16631</v>
      </c>
      <c r="G3093" t="s">
        <v>19188</v>
      </c>
      <c r="H3093" t="s">
        <v>20003</v>
      </c>
      <c r="I3093" t="s">
        <v>18776</v>
      </c>
      <c r="K3093" t="str">
        <f>HYPERLINK("http://tuberculist.epfl.ch/quicksearch.php?gene+name=Rv3006&amp;submit=Search")</f>
        <v>http://tuberculist.epfl.ch/quicksearch.php?gene+name=Rv3006&amp;submit=Search</v>
      </c>
    </row>
    <row r="3094" spans="1:11">
      <c r="A3094" t="s">
        <v>1678</v>
      </c>
      <c r="B3094" t="s">
        <v>1678</v>
      </c>
      <c r="C3094" t="s">
        <v>9567</v>
      </c>
      <c r="D3094" t="s">
        <v>9682</v>
      </c>
      <c r="E3094" t="s">
        <v>9683</v>
      </c>
      <c r="F3094" t="s">
        <v>16632</v>
      </c>
      <c r="G3094" t="s">
        <v>19195</v>
      </c>
      <c r="I3094" t="s">
        <v>18789</v>
      </c>
      <c r="K3094" t="str">
        <f>HYPERLINK("http://tuberculist.epfl.ch/quicksearch.php?gene+name=Rv3007c&amp;submit=Search")</f>
        <v>http://tuberculist.epfl.ch/quicksearch.php?gene+name=Rv3007c&amp;submit=Search</v>
      </c>
    </row>
    <row r="3095" spans="1:11">
      <c r="A3095" t="s">
        <v>2956</v>
      </c>
      <c r="B3095" t="s">
        <v>2956</v>
      </c>
      <c r="C3095" t="s">
        <v>9567</v>
      </c>
      <c r="D3095" t="s">
        <v>9587</v>
      </c>
      <c r="E3095" t="s">
        <v>9713</v>
      </c>
      <c r="F3095" t="s">
        <v>16633</v>
      </c>
      <c r="G3095" t="s">
        <v>19204</v>
      </c>
      <c r="H3095" t="s">
        <v>19215</v>
      </c>
      <c r="I3095" t="s">
        <v>18789</v>
      </c>
      <c r="K3095" t="str">
        <f>HYPERLINK("http://tuberculist.epfl.ch/quicksearch.php?gene+name=Rv3008&amp;submit=Search")</f>
        <v>http://tuberculist.epfl.ch/quicksearch.php?gene+name=Rv3008&amp;submit=Search</v>
      </c>
    </row>
    <row r="3096" spans="1:11">
      <c r="A3096" t="s">
        <v>8665</v>
      </c>
      <c r="B3096" t="s">
        <v>3069</v>
      </c>
      <c r="C3096" t="s">
        <v>9567</v>
      </c>
      <c r="D3096" t="s">
        <v>16634</v>
      </c>
      <c r="E3096" t="s">
        <v>16635</v>
      </c>
      <c r="F3096" t="s">
        <v>16636</v>
      </c>
      <c r="G3096" t="s">
        <v>19181</v>
      </c>
      <c r="H3096" t="s">
        <v>19780</v>
      </c>
      <c r="I3096" t="s">
        <v>18842</v>
      </c>
      <c r="K3096" t="str">
        <f>HYPERLINK("http://tuberculist.epfl.ch/quicksearch.php?gene+name=Rv3009c&amp;submit=Search")</f>
        <v>http://tuberculist.epfl.ch/quicksearch.php?gene+name=Rv3009c&amp;submit=Search</v>
      </c>
    </row>
    <row r="3097" spans="1:11">
      <c r="A3097" t="s">
        <v>5534</v>
      </c>
      <c r="B3097" t="s">
        <v>1529</v>
      </c>
      <c r="C3097" t="s">
        <v>9567</v>
      </c>
      <c r="D3097" t="s">
        <v>16637</v>
      </c>
      <c r="E3097" t="s">
        <v>16638</v>
      </c>
      <c r="F3097" t="s">
        <v>16639</v>
      </c>
      <c r="G3097" t="s">
        <v>19195</v>
      </c>
      <c r="H3097" t="s">
        <v>20004</v>
      </c>
      <c r="I3097" t="s">
        <v>18780</v>
      </c>
      <c r="K3097" t="str">
        <f>HYPERLINK("http://tuberculist.epfl.ch/quicksearch.php?gene+name=Rv3010c&amp;submit=Search")</f>
        <v>http://tuberculist.epfl.ch/quicksearch.php?gene+name=Rv3010c&amp;submit=Search</v>
      </c>
    </row>
    <row r="3098" spans="1:11">
      <c r="A3098" t="s">
        <v>4682</v>
      </c>
      <c r="B3098" t="s">
        <v>1099</v>
      </c>
      <c r="C3098" t="s">
        <v>9567</v>
      </c>
      <c r="D3098" t="s">
        <v>16640</v>
      </c>
      <c r="E3098" t="s">
        <v>16641</v>
      </c>
      <c r="F3098" t="s">
        <v>16642</v>
      </c>
      <c r="G3098" t="s">
        <v>19181</v>
      </c>
      <c r="H3098" t="s">
        <v>19287</v>
      </c>
      <c r="I3098" t="s">
        <v>18774</v>
      </c>
      <c r="K3098" t="str">
        <f>HYPERLINK("http://tuberculist.epfl.ch/quicksearch.php?gene+name=Rv3011c&amp;submit=Search")</f>
        <v>http://tuberculist.epfl.ch/quicksearch.php?gene+name=Rv3011c&amp;submit=Search</v>
      </c>
    </row>
    <row r="3099" spans="1:11">
      <c r="A3099" t="s">
        <v>8713</v>
      </c>
      <c r="B3099" t="s">
        <v>3097</v>
      </c>
      <c r="C3099" t="s">
        <v>9567</v>
      </c>
      <c r="D3099" t="s">
        <v>16634</v>
      </c>
      <c r="E3099" t="s">
        <v>16643</v>
      </c>
      <c r="F3099" t="s">
        <v>16644</v>
      </c>
      <c r="G3099" t="s">
        <v>19181</v>
      </c>
      <c r="H3099" t="s">
        <v>19274</v>
      </c>
      <c r="I3099" t="s">
        <v>18773</v>
      </c>
      <c r="K3099" t="str">
        <f>HYPERLINK("http://tuberculist.epfl.ch/quicksearch.php?gene+name=Rv3012c&amp;submit=Search")</f>
        <v>http://tuberculist.epfl.ch/quicksearch.php?gene+name=Rv3012c&amp;submit=Search</v>
      </c>
    </row>
    <row r="3100" spans="1:11">
      <c r="A3100" t="s">
        <v>16645</v>
      </c>
      <c r="B3100" t="s">
        <v>16645</v>
      </c>
      <c r="C3100" t="s">
        <v>9567</v>
      </c>
      <c r="D3100" t="s">
        <v>9578</v>
      </c>
      <c r="E3100" t="s">
        <v>9665</v>
      </c>
      <c r="F3100" t="s">
        <v>16646</v>
      </c>
      <c r="G3100" t="s">
        <v>19212</v>
      </c>
      <c r="H3100" t="s">
        <v>19233</v>
      </c>
      <c r="I3100" t="s">
        <v>18780</v>
      </c>
      <c r="K3100" t="str">
        <f>HYPERLINK("http://tuberculist.epfl.ch/quicksearch.php?gene+name=Rv3013&amp;submit=Search")</f>
        <v>http://tuberculist.epfl.ch/quicksearch.php?gene+name=Rv3013&amp;submit=Search</v>
      </c>
    </row>
    <row r="3101" spans="1:11">
      <c r="A3101" t="s">
        <v>5303</v>
      </c>
      <c r="B3101" t="s">
        <v>1405</v>
      </c>
      <c r="C3101" t="s">
        <v>9567</v>
      </c>
      <c r="D3101" t="s">
        <v>16647</v>
      </c>
      <c r="E3101" t="s">
        <v>16648</v>
      </c>
      <c r="F3101" t="s">
        <v>16649</v>
      </c>
      <c r="G3101" t="s">
        <v>19181</v>
      </c>
      <c r="H3101" t="s">
        <v>19809</v>
      </c>
      <c r="I3101" t="s">
        <v>18774</v>
      </c>
      <c r="K3101" t="str">
        <f>HYPERLINK("http://tuberculist.epfl.ch/quicksearch.php?gene+name=Rv3014c&amp;submit=Search")</f>
        <v>http://tuberculist.epfl.ch/quicksearch.php?gene+name=Rv3014c&amp;submit=Search</v>
      </c>
    </row>
    <row r="3102" spans="1:11">
      <c r="A3102" t="s">
        <v>1580</v>
      </c>
      <c r="B3102" t="s">
        <v>1580</v>
      </c>
      <c r="C3102" t="s">
        <v>9567</v>
      </c>
      <c r="D3102" t="s">
        <v>9578</v>
      </c>
      <c r="E3102" t="s">
        <v>9579</v>
      </c>
      <c r="F3102" t="s">
        <v>16650</v>
      </c>
      <c r="G3102" t="s">
        <v>19185</v>
      </c>
      <c r="H3102" t="s">
        <v>19334</v>
      </c>
      <c r="I3102" t="s">
        <v>18780</v>
      </c>
      <c r="K3102" t="str">
        <f>HYPERLINK("http://tuberculist.epfl.ch/quicksearch.php?gene+name=Rv3015c&amp;submit=Search")</f>
        <v>http://tuberculist.epfl.ch/quicksearch.php?gene+name=Rv3015c&amp;submit=Search</v>
      </c>
    </row>
    <row r="3103" spans="1:11">
      <c r="A3103" t="s">
        <v>4022</v>
      </c>
      <c r="B3103" t="s">
        <v>770</v>
      </c>
      <c r="C3103" t="s">
        <v>9567</v>
      </c>
      <c r="D3103" t="s">
        <v>9587</v>
      </c>
      <c r="E3103" t="s">
        <v>16651</v>
      </c>
      <c r="F3103" t="s">
        <v>16652</v>
      </c>
      <c r="G3103" t="s">
        <v>19188</v>
      </c>
      <c r="H3103" t="s">
        <v>19528</v>
      </c>
      <c r="I3103" t="s">
        <v>18780</v>
      </c>
      <c r="K3103" t="str">
        <f>HYPERLINK("http://tuberculist.epfl.ch/quicksearch.php?gene+name=Rv3016&amp;submit=Search")</f>
        <v>http://tuberculist.epfl.ch/quicksearch.php?gene+name=Rv3016&amp;submit=Search</v>
      </c>
    </row>
    <row r="3104" spans="1:11">
      <c r="A3104" t="s">
        <v>156</v>
      </c>
      <c r="B3104" t="s">
        <v>155</v>
      </c>
      <c r="C3104" t="s">
        <v>9567</v>
      </c>
      <c r="D3104" t="s">
        <v>9587</v>
      </c>
      <c r="E3104" t="s">
        <v>16653</v>
      </c>
      <c r="F3104" t="s">
        <v>16654</v>
      </c>
      <c r="G3104" t="s">
        <v>19188</v>
      </c>
      <c r="H3104" t="s">
        <v>20005</v>
      </c>
      <c r="I3104" t="s">
        <v>18780</v>
      </c>
      <c r="J3104" t="s">
        <v>18840</v>
      </c>
      <c r="K3104" t="str">
        <f>HYPERLINK("http://tuberculist.epfl.ch/quicksearch.php?gene+name=Rv3017c&amp;submit=Search")</f>
        <v>http://tuberculist.epfl.ch/quicksearch.php?gene+name=Rv3017c&amp;submit=Search</v>
      </c>
    </row>
    <row r="3105" spans="1:11">
      <c r="A3105" t="s">
        <v>16655</v>
      </c>
      <c r="B3105" t="s">
        <v>16656</v>
      </c>
      <c r="C3105" t="s">
        <v>9567</v>
      </c>
      <c r="D3105" t="s">
        <v>9578</v>
      </c>
      <c r="E3105" t="s">
        <v>16657</v>
      </c>
      <c r="F3105" t="s">
        <v>16658</v>
      </c>
      <c r="G3105" t="s">
        <v>19262</v>
      </c>
      <c r="I3105" t="s">
        <v>18773</v>
      </c>
      <c r="K3105" t="str">
        <f>HYPERLINK("http://tuberculist.epfl.ch/quicksearch.php?gene+name=Rv3018A&amp;submit=Search")</f>
        <v>http://tuberculist.epfl.ch/quicksearch.php?gene+name=Rv3018A&amp;submit=Search</v>
      </c>
    </row>
    <row r="3106" spans="1:11">
      <c r="A3106" t="s">
        <v>6365</v>
      </c>
      <c r="B3106" t="s">
        <v>1928</v>
      </c>
      <c r="C3106" t="s">
        <v>9567</v>
      </c>
      <c r="D3106" t="s">
        <v>9587</v>
      </c>
      <c r="E3106" t="s">
        <v>16659</v>
      </c>
      <c r="F3106" t="s">
        <v>16660</v>
      </c>
      <c r="G3106" t="s">
        <v>19253</v>
      </c>
      <c r="I3106" t="s">
        <v>18899</v>
      </c>
      <c r="K3106" t="str">
        <f>HYPERLINK("http://tuberculist.epfl.ch/quicksearch.php?gene+name=Rv3018c&amp;submit=Search")</f>
        <v>http://tuberculist.epfl.ch/quicksearch.php?gene+name=Rv3018c&amp;submit=Search</v>
      </c>
    </row>
    <row r="3107" spans="1:11">
      <c r="A3107" t="s">
        <v>164</v>
      </c>
      <c r="B3107" t="s">
        <v>163</v>
      </c>
      <c r="C3107" t="s">
        <v>9567</v>
      </c>
      <c r="D3107" t="s">
        <v>9587</v>
      </c>
      <c r="E3107" t="s">
        <v>16661</v>
      </c>
      <c r="F3107" t="s">
        <v>16662</v>
      </c>
      <c r="G3107" t="s">
        <v>19188</v>
      </c>
      <c r="H3107" t="s">
        <v>20006</v>
      </c>
      <c r="I3107" t="s">
        <v>18779</v>
      </c>
      <c r="J3107" t="s">
        <v>18840</v>
      </c>
      <c r="K3107" t="str">
        <f>HYPERLINK("http://tuberculist.epfl.ch/quicksearch.php?gene+name=Rv3019c&amp;submit=Search")</f>
        <v>http://tuberculist.epfl.ch/quicksearch.php?gene+name=Rv3019c&amp;submit=Search</v>
      </c>
    </row>
    <row r="3108" spans="1:11">
      <c r="A3108" t="s">
        <v>171</v>
      </c>
      <c r="B3108" t="s">
        <v>170</v>
      </c>
      <c r="C3108" t="s">
        <v>9567</v>
      </c>
      <c r="D3108" t="s">
        <v>9578</v>
      </c>
      <c r="E3108" t="s">
        <v>16663</v>
      </c>
      <c r="F3108" t="s">
        <v>16664</v>
      </c>
      <c r="G3108" t="s">
        <v>19188</v>
      </c>
      <c r="I3108" t="s">
        <v>18779</v>
      </c>
      <c r="J3108" t="s">
        <v>19087</v>
      </c>
      <c r="K3108" t="str">
        <f>HYPERLINK("http://tuberculist.epfl.ch/quicksearch.php?gene+name=Rv3020c&amp;submit=Search")</f>
        <v>http://tuberculist.epfl.ch/quicksearch.php?gene+name=Rv3020c&amp;submit=Search</v>
      </c>
    </row>
    <row r="3109" spans="1:11">
      <c r="A3109" t="s">
        <v>16665</v>
      </c>
      <c r="B3109" t="s">
        <v>16666</v>
      </c>
      <c r="C3109" t="s">
        <v>10216</v>
      </c>
      <c r="D3109" t="s">
        <v>9587</v>
      </c>
      <c r="E3109" t="s">
        <v>16667</v>
      </c>
      <c r="F3109" t="s">
        <v>16668</v>
      </c>
      <c r="G3109" t="s">
        <v>19253</v>
      </c>
      <c r="I3109" t="s">
        <v>18776</v>
      </c>
      <c r="K3109" t="str">
        <f>HYPERLINK("http://tuberculist.epfl.ch/quicksearch.php?gene+name=Rv3021c&amp;submit=Search")</f>
        <v>http://tuberculist.epfl.ch/quicksearch.php?gene+name=Rv3021c&amp;submit=Search</v>
      </c>
    </row>
    <row r="3110" spans="1:11">
      <c r="A3110" t="s">
        <v>16669</v>
      </c>
      <c r="B3110" t="s">
        <v>16670</v>
      </c>
      <c r="C3110" t="s">
        <v>9567</v>
      </c>
      <c r="D3110" t="s">
        <v>9578</v>
      </c>
      <c r="E3110" t="s">
        <v>16671</v>
      </c>
      <c r="F3110" t="s">
        <v>16672</v>
      </c>
      <c r="G3110" t="s">
        <v>19262</v>
      </c>
      <c r="I3110" t="s">
        <v>18793</v>
      </c>
      <c r="K3110" t="str">
        <f>HYPERLINK("http://tuberculist.epfl.ch/quicksearch.php?gene+name=Rv3022A&amp;submit=Search")</f>
        <v>http://tuberculist.epfl.ch/quicksearch.php?gene+name=Rv3022A&amp;submit=Search</v>
      </c>
    </row>
    <row r="3111" spans="1:11">
      <c r="A3111" t="s">
        <v>178</v>
      </c>
      <c r="B3111" t="s">
        <v>177</v>
      </c>
      <c r="C3111" t="s">
        <v>10216</v>
      </c>
      <c r="D3111" t="s">
        <v>9578</v>
      </c>
      <c r="E3111" t="s">
        <v>16673</v>
      </c>
      <c r="F3111" t="s">
        <v>16674</v>
      </c>
      <c r="G3111" t="s">
        <v>19253</v>
      </c>
      <c r="I3111" t="s">
        <v>18773</v>
      </c>
      <c r="J3111" t="s">
        <v>18840</v>
      </c>
      <c r="K3111" t="str">
        <f>HYPERLINK("http://tuberculist.epfl.ch/quicksearch.php?gene+name=Rv3022c&amp;submit=Search")</f>
        <v>http://tuberculist.epfl.ch/quicksearch.php?gene+name=Rv3022c&amp;submit=Search</v>
      </c>
    </row>
    <row r="3112" spans="1:11">
      <c r="A3112" t="s">
        <v>16675</v>
      </c>
      <c r="B3112" t="s">
        <v>16675</v>
      </c>
      <c r="C3112" t="s">
        <v>9567</v>
      </c>
      <c r="D3112" t="s">
        <v>16676</v>
      </c>
      <c r="E3112" t="s">
        <v>11730</v>
      </c>
      <c r="F3112" t="s">
        <v>16677</v>
      </c>
      <c r="G3112" t="s">
        <v>19217</v>
      </c>
      <c r="I3112" t="s">
        <v>18773</v>
      </c>
      <c r="K3112" t="str">
        <f>HYPERLINK("http://tuberculist.epfl.ch/quicksearch.php?gene+name=Rv3023c&amp;submit=Search")</f>
        <v>http://tuberculist.epfl.ch/quicksearch.php?gene+name=Rv3023c&amp;submit=Search</v>
      </c>
    </row>
    <row r="3113" spans="1:11">
      <c r="A3113" t="s">
        <v>16678</v>
      </c>
      <c r="B3113" t="s">
        <v>2836</v>
      </c>
      <c r="C3113" t="s">
        <v>9567</v>
      </c>
      <c r="D3113" t="s">
        <v>16679</v>
      </c>
      <c r="E3113" t="s">
        <v>16680</v>
      </c>
      <c r="F3113" t="s">
        <v>16681</v>
      </c>
      <c r="G3113" t="s">
        <v>19181</v>
      </c>
      <c r="I3113" t="s">
        <v>18776</v>
      </c>
      <c r="K3113" t="str">
        <f>HYPERLINK("http://tuberculist.epfl.ch/quicksearch.php?gene+name=Rv3024c&amp;submit=Search")</f>
        <v>http://tuberculist.epfl.ch/quicksearch.php?gene+name=Rv3024c&amp;submit=Search</v>
      </c>
    </row>
    <row r="3114" spans="1:11">
      <c r="A3114" t="s">
        <v>3677</v>
      </c>
      <c r="B3114" t="s">
        <v>602</v>
      </c>
      <c r="C3114" t="s">
        <v>9567</v>
      </c>
      <c r="D3114" t="s">
        <v>16682</v>
      </c>
      <c r="E3114" t="s">
        <v>16683</v>
      </c>
      <c r="F3114" t="s">
        <v>16684</v>
      </c>
      <c r="G3114" t="s">
        <v>19195</v>
      </c>
      <c r="H3114" t="s">
        <v>19274</v>
      </c>
      <c r="I3114" t="s">
        <v>18774</v>
      </c>
      <c r="K3114" t="str">
        <f>HYPERLINK("http://tuberculist.epfl.ch/quicksearch.php?gene+name=Rv3025c&amp;submit=Search")</f>
        <v>http://tuberculist.epfl.ch/quicksearch.php?gene+name=Rv3025c&amp;submit=Search</v>
      </c>
    </row>
    <row r="3115" spans="1:11">
      <c r="A3115" t="s">
        <v>1634</v>
      </c>
      <c r="B3115" t="s">
        <v>1634</v>
      </c>
      <c r="C3115" t="s">
        <v>9567</v>
      </c>
      <c r="D3115" t="s">
        <v>9578</v>
      </c>
      <c r="E3115" t="s">
        <v>9579</v>
      </c>
      <c r="F3115" t="s">
        <v>16685</v>
      </c>
      <c r="G3115" t="s">
        <v>19204</v>
      </c>
      <c r="I3115" t="s">
        <v>18780</v>
      </c>
      <c r="K3115" t="str">
        <f>HYPERLINK("http://tuberculist.epfl.ch/quicksearch.php?gene+name=Rv3026c&amp;submit=Search")</f>
        <v>http://tuberculist.epfl.ch/quicksearch.php?gene+name=Rv3026c&amp;submit=Search</v>
      </c>
    </row>
    <row r="3116" spans="1:11">
      <c r="A3116" t="s">
        <v>573</v>
      </c>
      <c r="B3116" t="s">
        <v>573</v>
      </c>
      <c r="C3116" t="s">
        <v>9567</v>
      </c>
      <c r="D3116" t="s">
        <v>9898</v>
      </c>
      <c r="E3116" t="s">
        <v>9899</v>
      </c>
      <c r="F3116" t="s">
        <v>16686</v>
      </c>
      <c r="G3116" t="s">
        <v>19195</v>
      </c>
      <c r="I3116" t="s">
        <v>18789</v>
      </c>
      <c r="K3116" t="str">
        <f>HYPERLINK("http://tuberculist.epfl.ch/quicksearch.php?gene+name=Rv3027c&amp;submit=Search")</f>
        <v>http://tuberculist.epfl.ch/quicksearch.php?gene+name=Rv3027c&amp;submit=Search</v>
      </c>
    </row>
    <row r="3117" spans="1:11">
      <c r="A3117" t="s">
        <v>4476</v>
      </c>
      <c r="B3117" t="s">
        <v>1002</v>
      </c>
      <c r="C3117" t="s">
        <v>9567</v>
      </c>
      <c r="D3117" t="s">
        <v>16687</v>
      </c>
      <c r="E3117" t="s">
        <v>16688</v>
      </c>
      <c r="F3117" t="s">
        <v>16689</v>
      </c>
      <c r="G3117" t="s">
        <v>19195</v>
      </c>
      <c r="H3117" t="s">
        <v>20007</v>
      </c>
      <c r="I3117" t="s">
        <v>18776</v>
      </c>
      <c r="J3117" t="s">
        <v>18775</v>
      </c>
      <c r="K3117" t="str">
        <f>HYPERLINK("http://tuberculist.epfl.ch/quicksearch.php?gene+name=Rv3028c&amp;submit=Search")</f>
        <v>http://tuberculist.epfl.ch/quicksearch.php?gene+name=Rv3028c&amp;submit=Search</v>
      </c>
    </row>
    <row r="3118" spans="1:11">
      <c r="A3118" t="s">
        <v>5787</v>
      </c>
      <c r="B3118" t="s">
        <v>1650</v>
      </c>
      <c r="C3118" t="s">
        <v>9567</v>
      </c>
      <c r="D3118" t="s">
        <v>16687</v>
      </c>
      <c r="E3118" t="s">
        <v>16690</v>
      </c>
      <c r="F3118" t="s">
        <v>16691</v>
      </c>
      <c r="G3118" t="s">
        <v>19195</v>
      </c>
      <c r="H3118" t="s">
        <v>20008</v>
      </c>
      <c r="I3118" t="s">
        <v>18774</v>
      </c>
      <c r="J3118" t="s">
        <v>18775</v>
      </c>
      <c r="K3118" t="str">
        <f>HYPERLINK("http://tuberculist.epfl.ch/quicksearch.php?gene+name=Rv3029c&amp;submit=Search")</f>
        <v>http://tuberculist.epfl.ch/quicksearch.php?gene+name=Rv3029c&amp;submit=Search</v>
      </c>
    </row>
    <row r="3119" spans="1:11">
      <c r="A3119" t="s">
        <v>2367</v>
      </c>
      <c r="B3119" t="s">
        <v>2367</v>
      </c>
      <c r="C3119" t="s">
        <v>9567</v>
      </c>
      <c r="D3119" t="s">
        <v>9578</v>
      </c>
      <c r="E3119" t="s">
        <v>9665</v>
      </c>
      <c r="F3119" t="s">
        <v>16692</v>
      </c>
      <c r="G3119" t="s">
        <v>19204</v>
      </c>
      <c r="H3119" t="s">
        <v>20009</v>
      </c>
      <c r="I3119" t="s">
        <v>18774</v>
      </c>
      <c r="K3119" t="str">
        <f>HYPERLINK("http://tuberculist.epfl.ch/quicksearch.php?gene+name=Rv3030&amp;submit=Search")</f>
        <v>http://tuberculist.epfl.ch/quicksearch.php?gene+name=Rv3030&amp;submit=Search</v>
      </c>
    </row>
    <row r="3120" spans="1:11">
      <c r="A3120" t="s">
        <v>2254</v>
      </c>
      <c r="B3120" t="s">
        <v>2254</v>
      </c>
      <c r="C3120" t="s">
        <v>9567</v>
      </c>
      <c r="D3120" t="s">
        <v>9578</v>
      </c>
      <c r="E3120" t="s">
        <v>9665</v>
      </c>
      <c r="F3120" t="s">
        <v>16693</v>
      </c>
      <c r="G3120" t="s">
        <v>19204</v>
      </c>
      <c r="H3120" t="s">
        <v>20010</v>
      </c>
      <c r="I3120" t="s">
        <v>18774</v>
      </c>
      <c r="K3120" t="str">
        <f>HYPERLINK("http://tuberculist.epfl.ch/quicksearch.php?gene+name=Rv3031&amp;submit=Search")</f>
        <v>http://tuberculist.epfl.ch/quicksearch.php?gene+name=Rv3031&amp;submit=Search</v>
      </c>
    </row>
    <row r="3121" spans="1:11">
      <c r="A3121" t="s">
        <v>1105</v>
      </c>
      <c r="B3121" t="s">
        <v>1105</v>
      </c>
      <c r="C3121" t="s">
        <v>9567</v>
      </c>
      <c r="D3121" t="s">
        <v>16694</v>
      </c>
      <c r="E3121" t="s">
        <v>16695</v>
      </c>
      <c r="F3121" t="s">
        <v>16696</v>
      </c>
      <c r="G3121" t="s">
        <v>19195</v>
      </c>
      <c r="I3121" t="s">
        <v>19088</v>
      </c>
      <c r="K3121" t="str">
        <f>HYPERLINK("http://tuberculist.epfl.ch/quicksearch.php?gene+name=Rv3032&amp;submit=Search")</f>
        <v>http://tuberculist.epfl.ch/quicksearch.php?gene+name=Rv3032&amp;submit=Search</v>
      </c>
    </row>
    <row r="3122" spans="1:11">
      <c r="A3122" t="s">
        <v>16697</v>
      </c>
      <c r="B3122" t="s">
        <v>16697</v>
      </c>
      <c r="C3122" t="s">
        <v>9567</v>
      </c>
      <c r="D3122" t="s">
        <v>9587</v>
      </c>
      <c r="E3122" t="s">
        <v>9665</v>
      </c>
      <c r="F3122" t="s">
        <v>16698</v>
      </c>
      <c r="G3122" t="s">
        <v>19212</v>
      </c>
      <c r="H3122" t="s">
        <v>19434</v>
      </c>
      <c r="I3122" t="s">
        <v>18773</v>
      </c>
      <c r="K3122" t="str">
        <f>HYPERLINK("http://tuberculist.epfl.ch/quicksearch.php?gene+name=Rv3032A&amp;submit=Search")</f>
        <v>http://tuberculist.epfl.ch/quicksearch.php?gene+name=Rv3032A&amp;submit=Search</v>
      </c>
    </row>
    <row r="3123" spans="1:11">
      <c r="A3123" t="s">
        <v>2328</v>
      </c>
      <c r="B3123" t="s">
        <v>2328</v>
      </c>
      <c r="C3123" t="s">
        <v>9567</v>
      </c>
      <c r="D3123" t="s">
        <v>9587</v>
      </c>
      <c r="E3123" t="s">
        <v>9768</v>
      </c>
      <c r="F3123" t="s">
        <v>16699</v>
      </c>
      <c r="G3123" t="s">
        <v>19204</v>
      </c>
      <c r="H3123" t="s">
        <v>20011</v>
      </c>
      <c r="I3123" t="s">
        <v>19049</v>
      </c>
      <c r="K3123" t="str">
        <f>HYPERLINK("http://tuberculist.epfl.ch/quicksearch.php?gene+name=Rv3033&amp;submit=Search")</f>
        <v>http://tuberculist.epfl.ch/quicksearch.php?gene+name=Rv3033&amp;submit=Search</v>
      </c>
    </row>
    <row r="3124" spans="1:11">
      <c r="A3124" t="s">
        <v>3334</v>
      </c>
      <c r="B3124" t="s">
        <v>3334</v>
      </c>
      <c r="C3124" t="s">
        <v>9567</v>
      </c>
      <c r="D3124" t="s">
        <v>9931</v>
      </c>
      <c r="E3124" t="s">
        <v>16700</v>
      </c>
      <c r="F3124" t="s">
        <v>16701</v>
      </c>
      <c r="G3124" t="s">
        <v>19195</v>
      </c>
      <c r="H3124" t="s">
        <v>19374</v>
      </c>
      <c r="I3124" t="s">
        <v>18788</v>
      </c>
      <c r="K3124" t="str">
        <f>HYPERLINK("http://tuberculist.epfl.ch/quicksearch.php?gene+name=Rv3034c&amp;submit=Search")</f>
        <v>http://tuberculist.epfl.ch/quicksearch.php?gene+name=Rv3034c&amp;submit=Search</v>
      </c>
    </row>
    <row r="3125" spans="1:11">
      <c r="A3125" t="s">
        <v>2858</v>
      </c>
      <c r="B3125" t="s">
        <v>2858</v>
      </c>
      <c r="C3125" t="s">
        <v>9567</v>
      </c>
      <c r="D3125" t="s">
        <v>9578</v>
      </c>
      <c r="E3125" t="s">
        <v>9665</v>
      </c>
      <c r="F3125" t="s">
        <v>16702</v>
      </c>
      <c r="G3125" t="s">
        <v>19210</v>
      </c>
      <c r="H3125" t="s">
        <v>19277</v>
      </c>
      <c r="I3125" t="s">
        <v>18788</v>
      </c>
      <c r="K3125" t="str">
        <f>HYPERLINK("http://tuberculist.epfl.ch/quicksearch.php?gene+name=Rv3035&amp;submit=Search")</f>
        <v>http://tuberculist.epfl.ch/quicksearch.php?gene+name=Rv3035&amp;submit=Search</v>
      </c>
    </row>
    <row r="3126" spans="1:11">
      <c r="A3126" t="s">
        <v>4132</v>
      </c>
      <c r="B3126" t="s">
        <v>826</v>
      </c>
      <c r="C3126" t="s">
        <v>9567</v>
      </c>
      <c r="D3126" t="s">
        <v>9587</v>
      </c>
      <c r="E3126" t="s">
        <v>16703</v>
      </c>
      <c r="F3126" t="s">
        <v>16704</v>
      </c>
      <c r="G3126" t="s">
        <v>19188</v>
      </c>
      <c r="H3126" t="s">
        <v>20012</v>
      </c>
      <c r="I3126" t="s">
        <v>18789</v>
      </c>
      <c r="K3126" t="str">
        <f>HYPERLINK("http://tuberculist.epfl.ch/quicksearch.php?gene+name=Rv3036c&amp;submit=Search")</f>
        <v>http://tuberculist.epfl.ch/quicksearch.php?gene+name=Rv3036c&amp;submit=Search</v>
      </c>
    </row>
    <row r="3127" spans="1:11">
      <c r="A3127" t="s">
        <v>1951</v>
      </c>
      <c r="B3127" t="s">
        <v>1951</v>
      </c>
      <c r="C3127" t="s">
        <v>9567</v>
      </c>
      <c r="D3127" t="s">
        <v>9578</v>
      </c>
      <c r="E3127" t="s">
        <v>9579</v>
      </c>
      <c r="F3127" t="s">
        <v>16705</v>
      </c>
      <c r="G3127" t="s">
        <v>19210</v>
      </c>
      <c r="I3127" t="s">
        <v>18786</v>
      </c>
      <c r="K3127" t="str">
        <f>HYPERLINK("http://tuberculist.epfl.ch/quicksearch.php?gene+name=Rv3037c&amp;submit=Search")</f>
        <v>http://tuberculist.epfl.ch/quicksearch.php?gene+name=Rv3037c&amp;submit=Search</v>
      </c>
    </row>
    <row r="3128" spans="1:11">
      <c r="A3128" t="s">
        <v>2251</v>
      </c>
      <c r="B3128" t="s">
        <v>2251</v>
      </c>
      <c r="C3128" t="s">
        <v>9567</v>
      </c>
      <c r="D3128" t="s">
        <v>9578</v>
      </c>
      <c r="E3128" t="s">
        <v>9665</v>
      </c>
      <c r="F3128" t="s">
        <v>16706</v>
      </c>
      <c r="G3128" t="s">
        <v>19204</v>
      </c>
      <c r="H3128" t="s">
        <v>20013</v>
      </c>
      <c r="I3128" t="s">
        <v>18776</v>
      </c>
      <c r="K3128" t="str">
        <f>HYPERLINK("http://tuberculist.epfl.ch/quicksearch.php?gene+name=Rv3038c&amp;submit=Search")</f>
        <v>http://tuberculist.epfl.ch/quicksearch.php?gene+name=Rv3038c&amp;submit=Search</v>
      </c>
    </row>
    <row r="3129" spans="1:11">
      <c r="A3129" t="s">
        <v>16707</v>
      </c>
      <c r="B3129" t="s">
        <v>16708</v>
      </c>
      <c r="C3129" t="s">
        <v>9567</v>
      </c>
      <c r="D3129" t="s">
        <v>10092</v>
      </c>
      <c r="E3129" t="s">
        <v>16709</v>
      </c>
      <c r="F3129" t="s">
        <v>16710</v>
      </c>
      <c r="G3129" t="s">
        <v>19219</v>
      </c>
      <c r="H3129" t="s">
        <v>19283</v>
      </c>
      <c r="I3129" t="s">
        <v>18776</v>
      </c>
      <c r="K3129" t="str">
        <f>HYPERLINK("http://tuberculist.epfl.ch/quicksearch.php?gene+name=Rv3039c&amp;submit=Search")</f>
        <v>http://tuberculist.epfl.ch/quicksearch.php?gene+name=Rv3039c&amp;submit=Search</v>
      </c>
    </row>
    <row r="3130" spans="1:11">
      <c r="A3130" t="s">
        <v>493</v>
      </c>
      <c r="B3130" t="s">
        <v>493</v>
      </c>
      <c r="C3130" t="s">
        <v>9567</v>
      </c>
      <c r="D3130" t="s">
        <v>9578</v>
      </c>
      <c r="E3130" t="s">
        <v>9665</v>
      </c>
      <c r="F3130" t="s">
        <v>16711</v>
      </c>
      <c r="G3130" t="s">
        <v>19212</v>
      </c>
      <c r="H3130" t="s">
        <v>19196</v>
      </c>
      <c r="I3130" t="s">
        <v>18780</v>
      </c>
      <c r="K3130" t="str">
        <f>HYPERLINK("http://tuberculist.epfl.ch/quicksearch.php?gene+name=Rv3040c&amp;submit=Search")</f>
        <v>http://tuberculist.epfl.ch/quicksearch.php?gene+name=Rv3040c&amp;submit=Search</v>
      </c>
    </row>
    <row r="3131" spans="1:11">
      <c r="A3131" t="s">
        <v>2928</v>
      </c>
      <c r="B3131" t="s">
        <v>2928</v>
      </c>
      <c r="C3131" t="s">
        <v>9567</v>
      </c>
      <c r="D3131" t="s">
        <v>16712</v>
      </c>
      <c r="E3131" t="s">
        <v>13012</v>
      </c>
      <c r="F3131" t="s">
        <v>16713</v>
      </c>
      <c r="G3131" t="s">
        <v>19188</v>
      </c>
      <c r="H3131" t="s">
        <v>19213</v>
      </c>
      <c r="I3131" t="s">
        <v>18789</v>
      </c>
      <c r="K3131" t="str">
        <f>HYPERLINK("http://tuberculist.epfl.ch/quicksearch.php?gene+name=Rv3041c&amp;submit=Search")</f>
        <v>http://tuberculist.epfl.ch/quicksearch.php?gene+name=Rv3041c&amp;submit=Search</v>
      </c>
    </row>
    <row r="3132" spans="1:11">
      <c r="A3132" t="s">
        <v>8839</v>
      </c>
      <c r="B3132" t="s">
        <v>3153</v>
      </c>
      <c r="C3132" t="s">
        <v>9567</v>
      </c>
      <c r="D3132" t="s">
        <v>16714</v>
      </c>
      <c r="E3132" t="s">
        <v>16715</v>
      </c>
      <c r="F3132" t="s">
        <v>16716</v>
      </c>
      <c r="G3132" t="s">
        <v>19195</v>
      </c>
      <c r="H3132" t="s">
        <v>19213</v>
      </c>
      <c r="I3132" t="s">
        <v>18885</v>
      </c>
      <c r="K3132" t="str">
        <f>HYPERLINK("http://tuberculist.epfl.ch/quicksearch.php?gene+name=Rv3042c&amp;submit=Search")</f>
        <v>http://tuberculist.epfl.ch/quicksearch.php?gene+name=Rv3042c&amp;submit=Search</v>
      </c>
    </row>
    <row r="3133" spans="1:11">
      <c r="A3133" t="s">
        <v>7204</v>
      </c>
      <c r="B3133" t="s">
        <v>2362</v>
      </c>
      <c r="C3133" t="s">
        <v>9567</v>
      </c>
      <c r="D3133" t="s">
        <v>16717</v>
      </c>
      <c r="E3133" t="s">
        <v>16718</v>
      </c>
      <c r="F3133" t="s">
        <v>16719</v>
      </c>
      <c r="G3133" t="s">
        <v>19195</v>
      </c>
      <c r="H3133" t="s">
        <v>20014</v>
      </c>
      <c r="I3133" t="s">
        <v>18774</v>
      </c>
      <c r="K3133" t="str">
        <f>HYPERLINK("http://tuberculist.epfl.ch/quicksearch.php?gene+name=Rv3043c&amp;submit=Search")</f>
        <v>http://tuberculist.epfl.ch/quicksearch.php?gene+name=Rv3043c&amp;submit=Search</v>
      </c>
    </row>
    <row r="3134" spans="1:11">
      <c r="A3134" t="s">
        <v>5671</v>
      </c>
      <c r="B3134" t="s">
        <v>1598</v>
      </c>
      <c r="C3134" t="s">
        <v>9567</v>
      </c>
      <c r="D3134" t="s">
        <v>16720</v>
      </c>
      <c r="E3134" t="s">
        <v>16721</v>
      </c>
      <c r="F3134" t="s">
        <v>16722</v>
      </c>
      <c r="G3134" t="s">
        <v>19188</v>
      </c>
      <c r="H3134" t="s">
        <v>20015</v>
      </c>
      <c r="I3134" t="s">
        <v>18788</v>
      </c>
      <c r="J3134" t="s">
        <v>18852</v>
      </c>
      <c r="K3134" t="str">
        <f>HYPERLINK("http://tuberculist.epfl.ch/quicksearch.php?gene+name=Rv3044&amp;submit=Search")</f>
        <v>http://tuberculist.epfl.ch/quicksearch.php?gene+name=Rv3044&amp;submit=Search</v>
      </c>
    </row>
    <row r="3135" spans="1:11">
      <c r="A3135" t="s">
        <v>7136</v>
      </c>
      <c r="B3135" t="s">
        <v>2332</v>
      </c>
      <c r="C3135" t="s">
        <v>9567</v>
      </c>
      <c r="D3135" t="s">
        <v>16723</v>
      </c>
      <c r="E3135" t="s">
        <v>16724</v>
      </c>
      <c r="F3135" t="s">
        <v>16725</v>
      </c>
      <c r="G3135" t="s">
        <v>19195</v>
      </c>
      <c r="H3135" t="s">
        <v>20016</v>
      </c>
      <c r="I3135" t="s">
        <v>18780</v>
      </c>
      <c r="K3135" t="str">
        <f>HYPERLINK("http://tuberculist.epfl.ch/quicksearch.php?gene+name=Rv3045&amp;submit=Search")</f>
        <v>http://tuberculist.epfl.ch/quicksearch.php?gene+name=Rv3045&amp;submit=Search</v>
      </c>
    </row>
    <row r="3136" spans="1:11">
      <c r="A3136" t="s">
        <v>359</v>
      </c>
      <c r="B3136" t="s">
        <v>359</v>
      </c>
      <c r="C3136" t="s">
        <v>9567</v>
      </c>
      <c r="D3136" t="s">
        <v>9578</v>
      </c>
      <c r="E3136" t="s">
        <v>9665</v>
      </c>
      <c r="F3136" t="s">
        <v>16726</v>
      </c>
      <c r="G3136" t="s">
        <v>19212</v>
      </c>
      <c r="H3136" t="s">
        <v>20017</v>
      </c>
      <c r="I3136" t="s">
        <v>18779</v>
      </c>
      <c r="K3136" t="str">
        <f>HYPERLINK("http://tuberculist.epfl.ch/quicksearch.php?gene+name=Rv3046c&amp;submit=Search")</f>
        <v>http://tuberculist.epfl.ch/quicksearch.php?gene+name=Rv3046c&amp;submit=Search</v>
      </c>
    </row>
    <row r="3137" spans="1:11">
      <c r="A3137" t="s">
        <v>3300</v>
      </c>
      <c r="B3137" t="s">
        <v>3300</v>
      </c>
      <c r="C3137" t="s">
        <v>9567</v>
      </c>
      <c r="D3137" t="s">
        <v>9587</v>
      </c>
      <c r="E3137" t="s">
        <v>9713</v>
      </c>
      <c r="F3137" t="s">
        <v>16727</v>
      </c>
      <c r="G3137" t="s">
        <v>19185</v>
      </c>
      <c r="I3137" t="s">
        <v>18780</v>
      </c>
      <c r="K3137" t="str">
        <f>HYPERLINK("http://tuberculist.epfl.ch/quicksearch.php?gene+name=Rv3047c&amp;submit=Search")</f>
        <v>http://tuberculist.epfl.ch/quicksearch.php?gene+name=Rv3047c&amp;submit=Search</v>
      </c>
    </row>
    <row r="3138" spans="1:11">
      <c r="A3138" t="s">
        <v>16728</v>
      </c>
      <c r="B3138" t="s">
        <v>1159</v>
      </c>
      <c r="C3138" t="s">
        <v>9567</v>
      </c>
      <c r="D3138" t="s">
        <v>14235</v>
      </c>
      <c r="E3138" t="s">
        <v>16729</v>
      </c>
      <c r="F3138" t="s">
        <v>16730</v>
      </c>
      <c r="G3138" t="s">
        <v>19181</v>
      </c>
      <c r="H3138" t="s">
        <v>19345</v>
      </c>
      <c r="I3138" t="s">
        <v>19089</v>
      </c>
      <c r="J3138" t="s">
        <v>18775</v>
      </c>
      <c r="K3138" t="str">
        <f>HYPERLINK("http://tuberculist.epfl.ch/quicksearch.php?gene+name=Rv3048c&amp;submit=Search")</f>
        <v>http://tuberculist.epfl.ch/quicksearch.php?gene+name=Rv3048c&amp;submit=Search</v>
      </c>
    </row>
    <row r="3139" spans="1:11">
      <c r="A3139" t="s">
        <v>1005</v>
      </c>
      <c r="B3139" t="s">
        <v>1005</v>
      </c>
      <c r="C3139" t="s">
        <v>9567</v>
      </c>
      <c r="D3139" t="s">
        <v>16731</v>
      </c>
      <c r="E3139" t="s">
        <v>10451</v>
      </c>
      <c r="F3139" t="s">
        <v>16732</v>
      </c>
      <c r="G3139" t="s">
        <v>19195</v>
      </c>
      <c r="H3139" t="s">
        <v>20018</v>
      </c>
      <c r="I3139" t="s">
        <v>18780</v>
      </c>
      <c r="K3139" t="str">
        <f>HYPERLINK("http://tuberculist.epfl.ch/quicksearch.php?gene+name=Rv3049c&amp;submit=Search")</f>
        <v>http://tuberculist.epfl.ch/quicksearch.php?gene+name=Rv3049c&amp;submit=Search</v>
      </c>
    </row>
    <row r="3140" spans="1:11">
      <c r="A3140" t="s">
        <v>2737</v>
      </c>
      <c r="B3140" t="s">
        <v>2737</v>
      </c>
      <c r="C3140" t="s">
        <v>9567</v>
      </c>
      <c r="D3140" t="s">
        <v>9969</v>
      </c>
      <c r="E3140" t="s">
        <v>15005</v>
      </c>
      <c r="F3140" t="s">
        <v>16733</v>
      </c>
      <c r="G3140" t="s">
        <v>19197</v>
      </c>
      <c r="H3140" t="s">
        <v>19371</v>
      </c>
      <c r="I3140" t="s">
        <v>19090</v>
      </c>
      <c r="J3140" t="s">
        <v>18873</v>
      </c>
      <c r="K3140" t="str">
        <f>HYPERLINK("http://tuberculist.epfl.ch/quicksearch.php?gene+name=Rv3050c&amp;submit=Search")</f>
        <v>http://tuberculist.epfl.ch/quicksearch.php?gene+name=Rv3050c&amp;submit=Search</v>
      </c>
    </row>
    <row r="3141" spans="1:11">
      <c r="A3141" t="s">
        <v>4428</v>
      </c>
      <c r="B3141" t="s">
        <v>982</v>
      </c>
      <c r="C3141" t="s">
        <v>9567</v>
      </c>
      <c r="D3141" t="s">
        <v>16734</v>
      </c>
      <c r="E3141" t="s">
        <v>16735</v>
      </c>
      <c r="F3141" t="s">
        <v>16736</v>
      </c>
      <c r="G3141" t="s">
        <v>19181</v>
      </c>
      <c r="H3141" t="s">
        <v>19765</v>
      </c>
      <c r="I3141" t="s">
        <v>19089</v>
      </c>
      <c r="K3141" t="str">
        <f>HYPERLINK("http://tuberculist.epfl.ch/quicksearch.php?gene+name=Rv3051c&amp;submit=Search")</f>
        <v>http://tuberculist.epfl.ch/quicksearch.php?gene+name=Rv3051c&amp;submit=Search</v>
      </c>
    </row>
    <row r="3142" spans="1:11">
      <c r="A3142" t="s">
        <v>7083</v>
      </c>
      <c r="B3142" t="s">
        <v>2301</v>
      </c>
      <c r="C3142" t="s">
        <v>9567</v>
      </c>
      <c r="D3142" t="s">
        <v>16737</v>
      </c>
      <c r="E3142" t="s">
        <v>16738</v>
      </c>
      <c r="F3142" t="s">
        <v>16739</v>
      </c>
      <c r="G3142" t="s">
        <v>19181</v>
      </c>
      <c r="H3142" t="s">
        <v>19213</v>
      </c>
      <c r="I3142" t="s">
        <v>18788</v>
      </c>
      <c r="J3142" t="s">
        <v>18839</v>
      </c>
      <c r="K3142" t="str">
        <f>HYPERLINK("http://tuberculist.epfl.ch/quicksearch.php?gene+name=Rv3052c&amp;submit=Search")</f>
        <v>http://tuberculist.epfl.ch/quicksearch.php?gene+name=Rv3052c&amp;submit=Search</v>
      </c>
    </row>
    <row r="3143" spans="1:11">
      <c r="A3143" t="s">
        <v>4964</v>
      </c>
      <c r="B3143" t="s">
        <v>443</v>
      </c>
      <c r="C3143" t="s">
        <v>9567</v>
      </c>
      <c r="D3143" t="s">
        <v>16740</v>
      </c>
      <c r="E3143" t="s">
        <v>16741</v>
      </c>
      <c r="F3143" t="s">
        <v>16742</v>
      </c>
      <c r="G3143" t="s">
        <v>19181</v>
      </c>
      <c r="I3143" t="s">
        <v>18776</v>
      </c>
      <c r="K3143" t="str">
        <f>HYPERLINK("http://tuberculist.epfl.ch/quicksearch.php?gene+name=Rv3053c&amp;submit=Search")</f>
        <v>http://tuberculist.epfl.ch/quicksearch.php?gene+name=Rv3053c&amp;submit=Search</v>
      </c>
    </row>
    <row r="3144" spans="1:11">
      <c r="A3144" t="s">
        <v>16743</v>
      </c>
      <c r="B3144" t="s">
        <v>16743</v>
      </c>
      <c r="C3144" t="s">
        <v>9567</v>
      </c>
      <c r="D3144" t="s">
        <v>9578</v>
      </c>
      <c r="E3144" t="s">
        <v>9579</v>
      </c>
      <c r="F3144" t="s">
        <v>16744</v>
      </c>
      <c r="G3144" t="s">
        <v>19212</v>
      </c>
      <c r="H3144" t="s">
        <v>19213</v>
      </c>
      <c r="I3144" t="s">
        <v>18780</v>
      </c>
      <c r="K3144" t="str">
        <f>HYPERLINK("http://tuberculist.epfl.ch/quicksearch.php?gene+name=Rv3054c&amp;submit=Search")</f>
        <v>http://tuberculist.epfl.ch/quicksearch.php?gene+name=Rv3054c&amp;submit=Search</v>
      </c>
    </row>
    <row r="3145" spans="1:11">
      <c r="A3145" t="s">
        <v>1936</v>
      </c>
      <c r="B3145" t="s">
        <v>1936</v>
      </c>
      <c r="C3145" t="s">
        <v>9567</v>
      </c>
      <c r="D3145" t="s">
        <v>9629</v>
      </c>
      <c r="E3145" t="s">
        <v>10130</v>
      </c>
      <c r="F3145" t="s">
        <v>16745</v>
      </c>
      <c r="G3145" t="s">
        <v>19197</v>
      </c>
      <c r="H3145" t="s">
        <v>19207</v>
      </c>
      <c r="I3145" t="s">
        <v>18780</v>
      </c>
      <c r="K3145" t="str">
        <f>HYPERLINK("http://tuberculist.epfl.ch/quicksearch.php?gene+name=Rv3055&amp;submit=Search")</f>
        <v>http://tuberculist.epfl.ch/quicksearch.php?gene+name=Rv3055&amp;submit=Search</v>
      </c>
    </row>
    <row r="3146" spans="1:11">
      <c r="A3146" t="s">
        <v>7337</v>
      </c>
      <c r="B3146" t="s">
        <v>2429</v>
      </c>
      <c r="C3146" t="s">
        <v>9567</v>
      </c>
      <c r="D3146" t="s">
        <v>16746</v>
      </c>
      <c r="E3146" t="s">
        <v>16747</v>
      </c>
      <c r="F3146" t="s">
        <v>16748</v>
      </c>
      <c r="G3146" t="s">
        <v>19181</v>
      </c>
      <c r="H3146" t="s">
        <v>19302</v>
      </c>
      <c r="I3146" t="s">
        <v>18789</v>
      </c>
      <c r="K3146" t="str">
        <f>HYPERLINK("http://tuberculist.epfl.ch/quicksearch.php?gene+name=Rv3056&amp;submit=Search")</f>
        <v>http://tuberculist.epfl.ch/quicksearch.php?gene+name=Rv3056&amp;submit=Search</v>
      </c>
    </row>
    <row r="3147" spans="1:11">
      <c r="A3147" t="s">
        <v>3081</v>
      </c>
      <c r="B3147" t="s">
        <v>3081</v>
      </c>
      <c r="C3147" t="s">
        <v>9567</v>
      </c>
      <c r="D3147" t="s">
        <v>16749</v>
      </c>
      <c r="E3147" t="s">
        <v>16750</v>
      </c>
      <c r="F3147" t="s">
        <v>16751</v>
      </c>
      <c r="G3147" t="s">
        <v>19195</v>
      </c>
      <c r="H3147" t="s">
        <v>19196</v>
      </c>
      <c r="I3147" t="s">
        <v>18789</v>
      </c>
      <c r="K3147" t="str">
        <f>HYPERLINK("http://tuberculist.epfl.ch/quicksearch.php?gene+name=Rv3057c&amp;submit=Search")</f>
        <v>http://tuberculist.epfl.ch/quicksearch.php?gene+name=Rv3057c&amp;submit=Search</v>
      </c>
    </row>
    <row r="3148" spans="1:11">
      <c r="A3148" t="s">
        <v>1952</v>
      </c>
      <c r="B3148" t="s">
        <v>1952</v>
      </c>
      <c r="C3148" t="s">
        <v>9567</v>
      </c>
      <c r="D3148" t="s">
        <v>9629</v>
      </c>
      <c r="E3148" t="s">
        <v>10130</v>
      </c>
      <c r="F3148" t="s">
        <v>16752</v>
      </c>
      <c r="G3148" t="s">
        <v>19197</v>
      </c>
      <c r="H3148" t="s">
        <v>19225</v>
      </c>
      <c r="I3148" t="s">
        <v>18780</v>
      </c>
      <c r="K3148" t="str">
        <f>HYPERLINK("http://tuberculist.epfl.ch/quicksearch.php?gene+name=Rv3058c&amp;submit=Search")</f>
        <v>http://tuberculist.epfl.ch/quicksearch.php?gene+name=Rv3058c&amp;submit=Search</v>
      </c>
    </row>
    <row r="3149" spans="1:11">
      <c r="A3149" t="s">
        <v>5411</v>
      </c>
      <c r="B3149" t="s">
        <v>1467</v>
      </c>
      <c r="C3149" t="s">
        <v>9567</v>
      </c>
      <c r="D3149" t="s">
        <v>9908</v>
      </c>
      <c r="E3149" t="s">
        <v>16753</v>
      </c>
      <c r="F3149" t="s">
        <v>16754</v>
      </c>
      <c r="G3149" t="s">
        <v>19195</v>
      </c>
      <c r="H3149" t="s">
        <v>19334</v>
      </c>
      <c r="I3149" t="s">
        <v>18789</v>
      </c>
      <c r="K3149" t="str">
        <f>HYPERLINK("http://tuberculist.epfl.ch/quicksearch.php?gene+name=Rv3059&amp;submit=Search")</f>
        <v>http://tuberculist.epfl.ch/quicksearch.php?gene+name=Rv3059&amp;submit=Search</v>
      </c>
    </row>
    <row r="3150" spans="1:11">
      <c r="A3150" t="s">
        <v>465</v>
      </c>
      <c r="B3150" t="s">
        <v>465</v>
      </c>
      <c r="C3150" t="s">
        <v>9567</v>
      </c>
      <c r="D3150" t="s">
        <v>9629</v>
      </c>
      <c r="E3150" t="s">
        <v>9680</v>
      </c>
      <c r="F3150" t="s">
        <v>16755</v>
      </c>
      <c r="G3150" t="s">
        <v>19197</v>
      </c>
      <c r="H3150" t="s">
        <v>19263</v>
      </c>
      <c r="I3150" t="s">
        <v>18779</v>
      </c>
      <c r="K3150" t="str">
        <f>HYPERLINK("http://tuberculist.epfl.ch/quicksearch.php?gene+name=Rv3060c&amp;submit=Search")</f>
        <v>http://tuberculist.epfl.ch/quicksearch.php?gene+name=Rv3060c&amp;submit=Search</v>
      </c>
    </row>
    <row r="3151" spans="1:11">
      <c r="A3151" t="s">
        <v>4769</v>
      </c>
      <c r="B3151" t="s">
        <v>1143</v>
      </c>
      <c r="C3151" t="s">
        <v>9567</v>
      </c>
      <c r="D3151" t="s">
        <v>9662</v>
      </c>
      <c r="E3151" t="s">
        <v>16756</v>
      </c>
      <c r="F3151" t="s">
        <v>16757</v>
      </c>
      <c r="G3151" t="s">
        <v>19219</v>
      </c>
      <c r="H3151" t="s">
        <v>20019</v>
      </c>
      <c r="I3151" t="s">
        <v>18812</v>
      </c>
      <c r="K3151" t="str">
        <f>HYPERLINK("http://tuberculist.epfl.ch/quicksearch.php?gene+name=Rv3061c&amp;submit=Search")</f>
        <v>http://tuberculist.epfl.ch/quicksearch.php?gene+name=Rv3061c&amp;submit=Search</v>
      </c>
    </row>
    <row r="3152" spans="1:11">
      <c r="A3152" t="s">
        <v>5319</v>
      </c>
      <c r="B3152" t="s">
        <v>1415</v>
      </c>
      <c r="C3152" t="s">
        <v>9567</v>
      </c>
      <c r="D3152" t="s">
        <v>16758</v>
      </c>
      <c r="E3152" t="s">
        <v>16759</v>
      </c>
      <c r="F3152" t="s">
        <v>16760</v>
      </c>
      <c r="G3152" t="s">
        <v>19181</v>
      </c>
      <c r="H3152" t="s">
        <v>19205</v>
      </c>
      <c r="I3152" t="s">
        <v>19091</v>
      </c>
      <c r="K3152" t="str">
        <f>HYPERLINK("http://tuberculist.epfl.ch/quicksearch.php?gene+name=Rv3062&amp;submit=Search")</f>
        <v>http://tuberculist.epfl.ch/quicksearch.php?gene+name=Rv3062&amp;submit=Search</v>
      </c>
    </row>
    <row r="3153" spans="1:11">
      <c r="A3153" t="s">
        <v>5321</v>
      </c>
      <c r="B3153" t="s">
        <v>1416</v>
      </c>
      <c r="C3153" t="s">
        <v>9567</v>
      </c>
      <c r="D3153" t="s">
        <v>16761</v>
      </c>
      <c r="E3153" t="s">
        <v>16762</v>
      </c>
      <c r="F3153" t="s">
        <v>16763</v>
      </c>
      <c r="G3153" t="s">
        <v>19206</v>
      </c>
      <c r="H3153" t="s">
        <v>19267</v>
      </c>
      <c r="I3153" t="s">
        <v>18789</v>
      </c>
      <c r="K3153" t="str">
        <f>HYPERLINK("http://tuberculist.epfl.ch/quicksearch.php?gene+name=Rv3063&amp;submit=Search")</f>
        <v>http://tuberculist.epfl.ch/quicksearch.php?gene+name=Rv3063&amp;submit=Search</v>
      </c>
    </row>
    <row r="3154" spans="1:11">
      <c r="A3154" t="s">
        <v>16764</v>
      </c>
      <c r="B3154" t="s">
        <v>16764</v>
      </c>
      <c r="C3154" t="s">
        <v>9567</v>
      </c>
      <c r="D3154" t="s">
        <v>9587</v>
      </c>
      <c r="E3154" t="s">
        <v>9668</v>
      </c>
      <c r="F3154" t="s">
        <v>16765</v>
      </c>
      <c r="G3154" t="s">
        <v>19188</v>
      </c>
      <c r="I3154" t="s">
        <v>18789</v>
      </c>
      <c r="K3154" t="str">
        <f>HYPERLINK("http://tuberculist.epfl.ch/quicksearch.php?gene+name=Rv3064c&amp;submit=Search")</f>
        <v>http://tuberculist.epfl.ch/quicksearch.php?gene+name=Rv3064c&amp;submit=Search</v>
      </c>
    </row>
    <row r="3155" spans="1:11">
      <c r="A3155" t="s">
        <v>362</v>
      </c>
      <c r="B3155" t="s">
        <v>361</v>
      </c>
      <c r="C3155" t="s">
        <v>9567</v>
      </c>
      <c r="D3155" t="s">
        <v>16766</v>
      </c>
      <c r="E3155" t="s">
        <v>16767</v>
      </c>
      <c r="F3155" t="s">
        <v>16768</v>
      </c>
      <c r="G3155" t="s">
        <v>19188</v>
      </c>
      <c r="I3155" t="s">
        <v>18780</v>
      </c>
      <c r="K3155" t="str">
        <f>HYPERLINK("http://tuberculist.epfl.ch/quicksearch.php?gene+name=Rv3065&amp;submit=Search")</f>
        <v>http://tuberculist.epfl.ch/quicksearch.php?gene+name=Rv3065&amp;submit=Search</v>
      </c>
    </row>
    <row r="3156" spans="1:11">
      <c r="A3156" t="s">
        <v>2473</v>
      </c>
      <c r="B3156" t="s">
        <v>2473</v>
      </c>
      <c r="C3156" t="s">
        <v>9567</v>
      </c>
      <c r="D3156" t="s">
        <v>9629</v>
      </c>
      <c r="E3156" t="s">
        <v>16769</v>
      </c>
      <c r="F3156" t="s">
        <v>16770</v>
      </c>
      <c r="G3156" t="s">
        <v>19197</v>
      </c>
      <c r="H3156" t="s">
        <v>19192</v>
      </c>
      <c r="I3156" t="s">
        <v>18779</v>
      </c>
      <c r="K3156" t="str">
        <f>HYPERLINK("http://tuberculist.epfl.ch/quicksearch.php?gene+name=Rv3066&amp;submit=Search")</f>
        <v>http://tuberculist.epfl.ch/quicksearch.php?gene+name=Rv3066&amp;submit=Search</v>
      </c>
    </row>
    <row r="3157" spans="1:11">
      <c r="A3157" t="s">
        <v>2641</v>
      </c>
      <c r="B3157" t="s">
        <v>2641</v>
      </c>
      <c r="C3157" t="s">
        <v>9567</v>
      </c>
      <c r="D3157" t="s">
        <v>9578</v>
      </c>
      <c r="E3157" t="s">
        <v>9579</v>
      </c>
      <c r="F3157" t="s">
        <v>16771</v>
      </c>
      <c r="G3157" t="s">
        <v>19210</v>
      </c>
      <c r="H3157" t="s">
        <v>19389</v>
      </c>
      <c r="I3157" t="s">
        <v>18780</v>
      </c>
      <c r="K3157" t="str">
        <f>HYPERLINK("http://tuberculist.epfl.ch/quicksearch.php?gene+name=Rv3067&amp;submit=Search")</f>
        <v>http://tuberculist.epfl.ch/quicksearch.php?gene+name=Rv3067&amp;submit=Search</v>
      </c>
    </row>
    <row r="3158" spans="1:11">
      <c r="A3158" t="s">
        <v>4888</v>
      </c>
      <c r="B3158" t="s">
        <v>1201</v>
      </c>
      <c r="C3158" t="s">
        <v>9567</v>
      </c>
      <c r="D3158" t="s">
        <v>16772</v>
      </c>
      <c r="E3158" t="s">
        <v>16773</v>
      </c>
      <c r="F3158" t="s">
        <v>16774</v>
      </c>
      <c r="G3158" t="s">
        <v>19195</v>
      </c>
      <c r="H3158" t="s">
        <v>19305</v>
      </c>
      <c r="I3158" t="s">
        <v>18789</v>
      </c>
      <c r="K3158" t="str">
        <f>HYPERLINK("http://tuberculist.epfl.ch/quicksearch.php?gene+name=Rv3068c&amp;submit=Search")</f>
        <v>http://tuberculist.epfl.ch/quicksearch.php?gene+name=Rv3068c&amp;submit=Search</v>
      </c>
    </row>
    <row r="3159" spans="1:11">
      <c r="A3159" t="s">
        <v>16775</v>
      </c>
      <c r="B3159" t="s">
        <v>16775</v>
      </c>
      <c r="C3159" t="s">
        <v>9567</v>
      </c>
      <c r="D3159" t="s">
        <v>9587</v>
      </c>
      <c r="E3159" t="s">
        <v>9597</v>
      </c>
      <c r="F3159" t="s">
        <v>16776</v>
      </c>
      <c r="G3159" t="s">
        <v>19188</v>
      </c>
      <c r="H3159" t="s">
        <v>19193</v>
      </c>
      <c r="I3159" t="s">
        <v>18780</v>
      </c>
      <c r="K3159" t="str">
        <f>HYPERLINK("http://tuberculist.epfl.ch/quicksearch.php?gene+name=Rv3069&amp;submit=Search")</f>
        <v>http://tuberculist.epfl.ch/quicksearch.php?gene+name=Rv3069&amp;submit=Search</v>
      </c>
    </row>
    <row r="3160" spans="1:11">
      <c r="A3160" t="s">
        <v>16777</v>
      </c>
      <c r="B3160" t="s">
        <v>16777</v>
      </c>
      <c r="C3160" t="s">
        <v>9567</v>
      </c>
      <c r="D3160" t="s">
        <v>9587</v>
      </c>
      <c r="E3160" t="s">
        <v>9668</v>
      </c>
      <c r="F3160" t="s">
        <v>16778</v>
      </c>
      <c r="G3160" t="s">
        <v>19188</v>
      </c>
      <c r="I3160" t="s">
        <v>18780</v>
      </c>
      <c r="K3160" t="str">
        <f>HYPERLINK("http://tuberculist.epfl.ch/quicksearch.php?gene+name=Rv3070&amp;submit=Search")</f>
        <v>http://tuberculist.epfl.ch/quicksearch.php?gene+name=Rv3070&amp;submit=Search</v>
      </c>
    </row>
    <row r="3161" spans="1:11">
      <c r="A3161" t="s">
        <v>2216</v>
      </c>
      <c r="B3161" t="s">
        <v>2216</v>
      </c>
      <c r="C3161" t="s">
        <v>9567</v>
      </c>
      <c r="D3161" t="s">
        <v>9578</v>
      </c>
      <c r="E3161" t="s">
        <v>9579</v>
      </c>
      <c r="F3161" t="s">
        <v>16779</v>
      </c>
      <c r="G3161" t="s">
        <v>19212</v>
      </c>
      <c r="H3161" t="s">
        <v>19215</v>
      </c>
      <c r="I3161" t="s">
        <v>18780</v>
      </c>
      <c r="K3161" t="str">
        <f>HYPERLINK("http://tuberculist.epfl.ch/quicksearch.php?gene+name=Rv3071&amp;submit=Search")</f>
        <v>http://tuberculist.epfl.ch/quicksearch.php?gene+name=Rv3071&amp;submit=Search</v>
      </c>
    </row>
    <row r="3162" spans="1:11">
      <c r="A3162" t="s">
        <v>3259</v>
      </c>
      <c r="B3162" t="s">
        <v>3259</v>
      </c>
      <c r="C3162" t="s">
        <v>9567</v>
      </c>
      <c r="D3162" t="s">
        <v>9578</v>
      </c>
      <c r="E3162" t="s">
        <v>9579</v>
      </c>
      <c r="F3162" t="s">
        <v>16780</v>
      </c>
      <c r="G3162" t="s">
        <v>19212</v>
      </c>
      <c r="I3162" t="s">
        <v>18780</v>
      </c>
      <c r="K3162" t="str">
        <f>HYPERLINK("http://tuberculist.epfl.ch/quicksearch.php?gene+name=Rv3072c&amp;submit=Search")</f>
        <v>http://tuberculist.epfl.ch/quicksearch.php?gene+name=Rv3072c&amp;submit=Search</v>
      </c>
    </row>
    <row r="3163" spans="1:11">
      <c r="A3163" t="s">
        <v>1313</v>
      </c>
      <c r="B3163" t="s">
        <v>1313</v>
      </c>
      <c r="C3163" t="s">
        <v>9567</v>
      </c>
      <c r="D3163" t="s">
        <v>9578</v>
      </c>
      <c r="E3163" t="s">
        <v>9579</v>
      </c>
      <c r="F3163" t="s">
        <v>16781</v>
      </c>
      <c r="G3163" t="s">
        <v>19212</v>
      </c>
      <c r="I3163" t="s">
        <v>18780</v>
      </c>
      <c r="K3163" t="str">
        <f>HYPERLINK("http://tuberculist.epfl.ch/quicksearch.php?gene+name=Rv3073c&amp;submit=Search")</f>
        <v>http://tuberculist.epfl.ch/quicksearch.php?gene+name=Rv3073c&amp;submit=Search</v>
      </c>
    </row>
    <row r="3164" spans="1:11">
      <c r="A3164" t="s">
        <v>1406</v>
      </c>
      <c r="B3164" t="s">
        <v>1406</v>
      </c>
      <c r="C3164" t="s">
        <v>9567</v>
      </c>
      <c r="D3164" t="s">
        <v>9578</v>
      </c>
      <c r="E3164" t="s">
        <v>9579</v>
      </c>
      <c r="F3164" t="s">
        <v>16782</v>
      </c>
      <c r="G3164" t="s">
        <v>19216</v>
      </c>
      <c r="I3164" t="s">
        <v>18780</v>
      </c>
      <c r="J3164" t="s">
        <v>18855</v>
      </c>
      <c r="K3164" t="str">
        <f>HYPERLINK("http://tuberculist.epfl.ch/quicksearch.php?gene+name=Rv3074&amp;submit=Search")</f>
        <v>http://tuberculist.epfl.ch/quicksearch.php?gene+name=Rv3074&amp;submit=Search</v>
      </c>
    </row>
    <row r="3165" spans="1:11">
      <c r="A3165" t="s">
        <v>3178</v>
      </c>
      <c r="B3165" t="s">
        <v>3178</v>
      </c>
      <c r="C3165" t="s">
        <v>9567</v>
      </c>
      <c r="D3165" t="s">
        <v>9578</v>
      </c>
      <c r="E3165" t="s">
        <v>9665</v>
      </c>
      <c r="F3165" t="s">
        <v>16783</v>
      </c>
      <c r="G3165" t="s">
        <v>19204</v>
      </c>
      <c r="H3165" t="s">
        <v>20020</v>
      </c>
      <c r="I3165" t="s">
        <v>18780</v>
      </c>
      <c r="K3165" t="str">
        <f>HYPERLINK("http://tuberculist.epfl.ch/quicksearch.php?gene+name=Rv3075c&amp;submit=Search")</f>
        <v>http://tuberculist.epfl.ch/quicksearch.php?gene+name=Rv3075c&amp;submit=Search</v>
      </c>
    </row>
    <row r="3166" spans="1:11">
      <c r="A3166" t="s">
        <v>2398</v>
      </c>
      <c r="B3166" t="s">
        <v>2398</v>
      </c>
      <c r="C3166" t="s">
        <v>9567</v>
      </c>
      <c r="D3166" t="s">
        <v>9578</v>
      </c>
      <c r="E3166" t="s">
        <v>9579</v>
      </c>
      <c r="F3166" t="s">
        <v>16784</v>
      </c>
      <c r="G3166" t="s">
        <v>19204</v>
      </c>
      <c r="H3166" t="s">
        <v>19213</v>
      </c>
      <c r="I3166" t="s">
        <v>18780</v>
      </c>
      <c r="K3166" t="str">
        <f>HYPERLINK("http://tuberculist.epfl.ch/quicksearch.php?gene+name=Rv3076&amp;submit=Search")</f>
        <v>http://tuberculist.epfl.ch/quicksearch.php?gene+name=Rv3076&amp;submit=Search</v>
      </c>
    </row>
    <row r="3167" spans="1:11">
      <c r="A3167" t="s">
        <v>1490</v>
      </c>
      <c r="B3167" t="s">
        <v>1490</v>
      </c>
      <c r="C3167" t="s">
        <v>9567</v>
      </c>
      <c r="D3167" t="s">
        <v>9682</v>
      </c>
      <c r="E3167" t="s">
        <v>9686</v>
      </c>
      <c r="F3167" t="s">
        <v>16785</v>
      </c>
      <c r="G3167" t="s">
        <v>19195</v>
      </c>
      <c r="H3167" t="s">
        <v>19211</v>
      </c>
      <c r="I3167" t="s">
        <v>18789</v>
      </c>
      <c r="K3167" t="str">
        <f>HYPERLINK("http://tuberculist.epfl.ch/quicksearch.php?gene+name=Rv3077&amp;submit=Search")</f>
        <v>http://tuberculist.epfl.ch/quicksearch.php?gene+name=Rv3077&amp;submit=Search</v>
      </c>
    </row>
    <row r="3168" spans="1:11">
      <c r="A3168" t="s">
        <v>6608</v>
      </c>
      <c r="B3168" t="s">
        <v>2065</v>
      </c>
      <c r="C3168" t="s">
        <v>9567</v>
      </c>
      <c r="D3168" t="s">
        <v>16786</v>
      </c>
      <c r="E3168" t="s">
        <v>16787</v>
      </c>
      <c r="F3168" t="s">
        <v>16788</v>
      </c>
      <c r="G3168" t="s">
        <v>19195</v>
      </c>
      <c r="H3168" t="s">
        <v>19254</v>
      </c>
      <c r="I3168" t="s">
        <v>18780</v>
      </c>
      <c r="K3168" t="str">
        <f>HYPERLINK("http://tuberculist.epfl.ch/quicksearch.php?gene+name=Rv3078&amp;submit=Search")</f>
        <v>http://tuberculist.epfl.ch/quicksearch.php?gene+name=Rv3078&amp;submit=Search</v>
      </c>
    </row>
    <row r="3169" spans="1:11">
      <c r="A3169" t="s">
        <v>16789</v>
      </c>
      <c r="B3169" t="s">
        <v>16789</v>
      </c>
      <c r="C3169" t="s">
        <v>9567</v>
      </c>
      <c r="D3169" t="s">
        <v>9578</v>
      </c>
      <c r="E3169" t="s">
        <v>9665</v>
      </c>
      <c r="F3169" t="s">
        <v>16790</v>
      </c>
      <c r="G3169" t="s">
        <v>19204</v>
      </c>
      <c r="H3169" t="s">
        <v>19272</v>
      </c>
      <c r="I3169" t="s">
        <v>18780</v>
      </c>
      <c r="K3169" t="str">
        <f>HYPERLINK("http://tuberculist.epfl.ch/quicksearch.php?gene+name=Rv3079c&amp;submit=Search")</f>
        <v>http://tuberculist.epfl.ch/quicksearch.php?gene+name=Rv3079c&amp;submit=Search</v>
      </c>
    </row>
    <row r="3170" spans="1:11">
      <c r="A3170" t="s">
        <v>4134</v>
      </c>
      <c r="B3170" t="s">
        <v>827</v>
      </c>
      <c r="C3170" t="s">
        <v>9567</v>
      </c>
      <c r="D3170" t="s">
        <v>16791</v>
      </c>
      <c r="E3170" t="s">
        <v>16792</v>
      </c>
      <c r="F3170" t="s">
        <v>16793</v>
      </c>
      <c r="G3170" t="s">
        <v>19197</v>
      </c>
      <c r="H3170" t="s">
        <v>20021</v>
      </c>
      <c r="I3170" t="s">
        <v>18793</v>
      </c>
      <c r="K3170" t="str">
        <f>HYPERLINK("http://tuberculist.epfl.ch/quicksearch.php?gene+name=Rv3080c&amp;submit=Search")</f>
        <v>http://tuberculist.epfl.ch/quicksearch.php?gene+name=Rv3080c&amp;submit=Search</v>
      </c>
    </row>
    <row r="3171" spans="1:11">
      <c r="A3171" t="s">
        <v>1854</v>
      </c>
      <c r="B3171" t="s">
        <v>1854</v>
      </c>
      <c r="C3171" t="s">
        <v>9567</v>
      </c>
      <c r="D3171" t="s">
        <v>9578</v>
      </c>
      <c r="E3171" t="s">
        <v>9579</v>
      </c>
      <c r="F3171" t="s">
        <v>16794</v>
      </c>
      <c r="G3171" t="s">
        <v>19212</v>
      </c>
      <c r="H3171" t="s">
        <v>19207</v>
      </c>
      <c r="I3171" t="s">
        <v>18789</v>
      </c>
      <c r="K3171" t="str">
        <f>HYPERLINK("http://tuberculist.epfl.ch/quicksearch.php?gene+name=Rv3081&amp;submit=Search")</f>
        <v>http://tuberculist.epfl.ch/quicksearch.php?gene+name=Rv3081&amp;submit=Search</v>
      </c>
    </row>
    <row r="3172" spans="1:11">
      <c r="A3172" t="s">
        <v>5195</v>
      </c>
      <c r="B3172" t="s">
        <v>1349</v>
      </c>
      <c r="C3172" t="s">
        <v>9567</v>
      </c>
      <c r="D3172" t="s">
        <v>16795</v>
      </c>
      <c r="E3172" t="s">
        <v>16796</v>
      </c>
      <c r="F3172" t="s">
        <v>16797</v>
      </c>
      <c r="G3172" t="s">
        <v>19206</v>
      </c>
      <c r="H3172" t="s">
        <v>19873</v>
      </c>
      <c r="I3172" t="s">
        <v>18789</v>
      </c>
      <c r="K3172" t="str">
        <f>HYPERLINK("http://tuberculist.epfl.ch/quicksearch.php?gene+name=Rv3082c&amp;submit=Search")</f>
        <v>http://tuberculist.epfl.ch/quicksearch.php?gene+name=Rv3082c&amp;submit=Search</v>
      </c>
    </row>
    <row r="3173" spans="1:11">
      <c r="A3173" t="s">
        <v>2852</v>
      </c>
      <c r="B3173" t="s">
        <v>2852</v>
      </c>
      <c r="C3173" t="s">
        <v>9567</v>
      </c>
      <c r="D3173" t="s">
        <v>16798</v>
      </c>
      <c r="E3173" t="s">
        <v>16799</v>
      </c>
      <c r="F3173" t="s">
        <v>16800</v>
      </c>
      <c r="G3173" t="s">
        <v>19195</v>
      </c>
      <c r="H3173" t="s">
        <v>19211</v>
      </c>
      <c r="I3173" t="s">
        <v>18797</v>
      </c>
      <c r="J3173" t="s">
        <v>18775</v>
      </c>
      <c r="K3173" t="str">
        <f>HYPERLINK("http://tuberculist.epfl.ch/quicksearch.php?gene+name=Rv3083&amp;submit=Search")</f>
        <v>http://tuberculist.epfl.ch/quicksearch.php?gene+name=Rv3083&amp;submit=Search</v>
      </c>
    </row>
    <row r="3174" spans="1:11">
      <c r="A3174" t="s">
        <v>16801</v>
      </c>
      <c r="B3174" t="s">
        <v>16802</v>
      </c>
      <c r="C3174" t="s">
        <v>9567</v>
      </c>
      <c r="D3174" t="s">
        <v>11074</v>
      </c>
      <c r="E3174" t="s">
        <v>16803</v>
      </c>
      <c r="F3174" t="s">
        <v>16804</v>
      </c>
      <c r="G3174" t="s">
        <v>19195</v>
      </c>
      <c r="H3174" t="s">
        <v>19257</v>
      </c>
      <c r="I3174" t="s">
        <v>18821</v>
      </c>
      <c r="J3174" t="s">
        <v>18775</v>
      </c>
      <c r="K3174" t="str">
        <f>HYPERLINK("http://tuberculist.epfl.ch/quicksearch.php?gene+name=Rv3084&amp;submit=Search")</f>
        <v>http://tuberculist.epfl.ch/quicksearch.php?gene+name=Rv3084&amp;submit=Search</v>
      </c>
    </row>
    <row r="3175" spans="1:11">
      <c r="A3175" t="s">
        <v>16805</v>
      </c>
      <c r="B3175" t="s">
        <v>16805</v>
      </c>
      <c r="C3175" t="s">
        <v>9567</v>
      </c>
      <c r="D3175" t="s">
        <v>12268</v>
      </c>
      <c r="E3175" t="s">
        <v>9932</v>
      </c>
      <c r="F3175" t="s">
        <v>16806</v>
      </c>
      <c r="G3175" t="s">
        <v>19195</v>
      </c>
      <c r="I3175" t="s">
        <v>18860</v>
      </c>
      <c r="K3175" t="str">
        <f>HYPERLINK("http://tuberculist.epfl.ch/quicksearch.php?gene+name=Rv3085&amp;submit=Search")</f>
        <v>http://tuberculist.epfl.ch/quicksearch.php?gene+name=Rv3085&amp;submit=Search</v>
      </c>
    </row>
    <row r="3176" spans="1:11">
      <c r="A3176" t="s">
        <v>3941</v>
      </c>
      <c r="B3176" t="s">
        <v>728</v>
      </c>
      <c r="C3176" t="s">
        <v>9567</v>
      </c>
      <c r="D3176" t="s">
        <v>16807</v>
      </c>
      <c r="E3176" t="s">
        <v>16808</v>
      </c>
      <c r="F3176" t="s">
        <v>16809</v>
      </c>
      <c r="G3176" t="s">
        <v>19195</v>
      </c>
      <c r="H3176" t="s">
        <v>19233</v>
      </c>
      <c r="I3176" t="s">
        <v>18780</v>
      </c>
      <c r="K3176" t="str">
        <f>HYPERLINK("http://tuberculist.epfl.ch/quicksearch.php?gene+name=Rv3086&amp;submit=Search")</f>
        <v>http://tuberculist.epfl.ch/quicksearch.php?gene+name=Rv3086&amp;submit=Search</v>
      </c>
    </row>
    <row r="3177" spans="1:11">
      <c r="A3177" t="s">
        <v>16810</v>
      </c>
      <c r="B3177" t="s">
        <v>16810</v>
      </c>
      <c r="C3177" t="s">
        <v>9567</v>
      </c>
      <c r="D3177" t="s">
        <v>10087</v>
      </c>
      <c r="E3177" t="s">
        <v>10088</v>
      </c>
      <c r="F3177" t="s">
        <v>16811</v>
      </c>
      <c r="G3177" t="s">
        <v>19219</v>
      </c>
      <c r="H3177" t="s">
        <v>19213</v>
      </c>
      <c r="I3177" t="s">
        <v>18810</v>
      </c>
      <c r="K3177" t="str">
        <f>HYPERLINK("http://tuberculist.epfl.ch/quicksearch.php?gene+name=Rv3087&amp;submit=Search")</f>
        <v>http://tuberculist.epfl.ch/quicksearch.php?gene+name=Rv3087&amp;submit=Search</v>
      </c>
    </row>
    <row r="3178" spans="1:11">
      <c r="A3178" t="s">
        <v>16812</v>
      </c>
      <c r="B3178" t="s">
        <v>1829</v>
      </c>
      <c r="C3178" t="s">
        <v>9567</v>
      </c>
      <c r="D3178" t="s">
        <v>10087</v>
      </c>
      <c r="E3178" t="s">
        <v>16813</v>
      </c>
      <c r="F3178" t="s">
        <v>16814</v>
      </c>
      <c r="G3178" t="s">
        <v>19219</v>
      </c>
      <c r="H3178" t="s">
        <v>19213</v>
      </c>
      <c r="I3178" t="s">
        <v>18789</v>
      </c>
      <c r="K3178" t="str">
        <f>HYPERLINK("http://tuberculist.epfl.ch/quicksearch.php?gene+name=Rv3088&amp;submit=Search")</f>
        <v>http://tuberculist.epfl.ch/quicksearch.php?gene+name=Rv3088&amp;submit=Search</v>
      </c>
    </row>
    <row r="3179" spans="1:11">
      <c r="A3179" t="s">
        <v>3512</v>
      </c>
      <c r="B3179" t="s">
        <v>514</v>
      </c>
      <c r="C3179" t="s">
        <v>9567</v>
      </c>
      <c r="D3179" t="s">
        <v>9662</v>
      </c>
      <c r="E3179" t="s">
        <v>16815</v>
      </c>
      <c r="F3179" t="s">
        <v>16816</v>
      </c>
      <c r="G3179" t="s">
        <v>19219</v>
      </c>
      <c r="H3179" t="s">
        <v>20022</v>
      </c>
      <c r="I3179" t="s">
        <v>18789</v>
      </c>
      <c r="K3179" t="str">
        <f>HYPERLINK("http://tuberculist.epfl.ch/quicksearch.php?gene+name=Rv3089&amp;submit=Search")</f>
        <v>http://tuberculist.epfl.ch/quicksearch.php?gene+name=Rv3089&amp;submit=Search</v>
      </c>
    </row>
    <row r="3180" spans="1:11">
      <c r="A3180" t="s">
        <v>16817</v>
      </c>
      <c r="B3180" t="s">
        <v>16817</v>
      </c>
      <c r="C3180" t="s">
        <v>9567</v>
      </c>
      <c r="D3180" t="s">
        <v>9587</v>
      </c>
      <c r="E3180" t="s">
        <v>16818</v>
      </c>
      <c r="F3180" t="s">
        <v>16819</v>
      </c>
      <c r="G3180" t="s">
        <v>19212</v>
      </c>
      <c r="H3180" t="s">
        <v>19244</v>
      </c>
      <c r="I3180" t="s">
        <v>18793</v>
      </c>
      <c r="K3180" t="str">
        <f>HYPERLINK("http://tuberculist.epfl.ch/quicksearch.php?gene+name=Rv3090&amp;submit=Search")</f>
        <v>http://tuberculist.epfl.ch/quicksearch.php?gene+name=Rv3090&amp;submit=Search</v>
      </c>
    </row>
    <row r="3181" spans="1:11">
      <c r="A3181" t="s">
        <v>2153</v>
      </c>
      <c r="B3181" t="s">
        <v>2153</v>
      </c>
      <c r="C3181" t="s">
        <v>9567</v>
      </c>
      <c r="D3181" t="s">
        <v>9578</v>
      </c>
      <c r="E3181" t="s">
        <v>9665</v>
      </c>
      <c r="F3181" t="s">
        <v>16820</v>
      </c>
      <c r="G3181" t="s">
        <v>19220</v>
      </c>
      <c r="H3181" t="s">
        <v>20023</v>
      </c>
      <c r="I3181" t="s">
        <v>18789</v>
      </c>
      <c r="K3181" t="str">
        <f>HYPERLINK("http://tuberculist.epfl.ch/quicksearch.php?gene+name=Rv3091&amp;submit=Search")</f>
        <v>http://tuberculist.epfl.ch/quicksearch.php?gene+name=Rv3091&amp;submit=Search</v>
      </c>
    </row>
    <row r="3182" spans="1:11">
      <c r="A3182" t="s">
        <v>2102</v>
      </c>
      <c r="B3182" t="s">
        <v>2102</v>
      </c>
      <c r="C3182" t="s">
        <v>9567</v>
      </c>
      <c r="D3182" t="s">
        <v>9587</v>
      </c>
      <c r="E3182" t="s">
        <v>9668</v>
      </c>
      <c r="F3182" t="s">
        <v>16821</v>
      </c>
      <c r="G3182" t="s">
        <v>19188</v>
      </c>
      <c r="H3182" t="s">
        <v>20024</v>
      </c>
      <c r="I3182" t="s">
        <v>18780</v>
      </c>
      <c r="K3182" t="str">
        <f>HYPERLINK("http://tuberculist.epfl.ch/quicksearch.php?gene+name=Rv3092c&amp;submit=Search")</f>
        <v>http://tuberculist.epfl.ch/quicksearch.php?gene+name=Rv3092c&amp;submit=Search</v>
      </c>
    </row>
    <row r="3183" spans="1:11">
      <c r="A3183" t="s">
        <v>2635</v>
      </c>
      <c r="B3183" t="s">
        <v>2635</v>
      </c>
      <c r="C3183" t="s">
        <v>9567</v>
      </c>
      <c r="D3183" t="s">
        <v>16822</v>
      </c>
      <c r="E3183" t="s">
        <v>16823</v>
      </c>
      <c r="F3183" t="s">
        <v>16824</v>
      </c>
      <c r="G3183" t="s">
        <v>19195</v>
      </c>
      <c r="I3183" t="s">
        <v>18780</v>
      </c>
      <c r="K3183" t="str">
        <f>HYPERLINK("http://tuberculist.epfl.ch/quicksearch.php?gene+name=Rv3093c&amp;submit=Search")</f>
        <v>http://tuberculist.epfl.ch/quicksearch.php?gene+name=Rv3093c&amp;submit=Search</v>
      </c>
    </row>
    <row r="3184" spans="1:11">
      <c r="A3184" t="s">
        <v>1830</v>
      </c>
      <c r="B3184" t="s">
        <v>1830</v>
      </c>
      <c r="C3184" t="s">
        <v>9567</v>
      </c>
      <c r="D3184" t="s">
        <v>9578</v>
      </c>
      <c r="E3184" t="s">
        <v>9579</v>
      </c>
      <c r="F3184" t="s">
        <v>16825</v>
      </c>
      <c r="G3184" t="s">
        <v>19212</v>
      </c>
      <c r="H3184" t="s">
        <v>19213</v>
      </c>
      <c r="I3184" t="s">
        <v>18780</v>
      </c>
      <c r="K3184" t="str">
        <f>HYPERLINK("http://tuberculist.epfl.ch/quicksearch.php?gene+name=Rv3094c&amp;submit=Search")</f>
        <v>http://tuberculist.epfl.ch/quicksearch.php?gene+name=Rv3094c&amp;submit=Search</v>
      </c>
    </row>
    <row r="3185" spans="1:11">
      <c r="A3185" t="s">
        <v>3043</v>
      </c>
      <c r="B3185" t="s">
        <v>3043</v>
      </c>
      <c r="C3185" t="s">
        <v>9567</v>
      </c>
      <c r="D3185" t="s">
        <v>16826</v>
      </c>
      <c r="E3185" t="s">
        <v>16827</v>
      </c>
      <c r="F3185" t="s">
        <v>16828</v>
      </c>
      <c r="G3185" t="s">
        <v>19197</v>
      </c>
      <c r="I3185" t="s">
        <v>18780</v>
      </c>
      <c r="K3185" t="str">
        <f>HYPERLINK("http://tuberculist.epfl.ch/quicksearch.php?gene+name=Rv3095&amp;submit=Search")</f>
        <v>http://tuberculist.epfl.ch/quicksearch.php?gene+name=Rv3095&amp;submit=Search</v>
      </c>
    </row>
    <row r="3186" spans="1:11">
      <c r="A3186" t="s">
        <v>932</v>
      </c>
      <c r="B3186" t="s">
        <v>932</v>
      </c>
      <c r="C3186" t="s">
        <v>9567</v>
      </c>
      <c r="D3186" t="s">
        <v>9578</v>
      </c>
      <c r="E3186" t="s">
        <v>9579</v>
      </c>
      <c r="F3186" t="s">
        <v>16829</v>
      </c>
      <c r="G3186" t="s">
        <v>19204</v>
      </c>
      <c r="H3186" t="s">
        <v>19205</v>
      </c>
      <c r="I3186" t="s">
        <v>18780</v>
      </c>
      <c r="K3186" t="str">
        <f>HYPERLINK("http://tuberculist.epfl.ch/quicksearch.php?gene+name=Rv3096&amp;submit=Search")</f>
        <v>http://tuberculist.epfl.ch/quicksearch.php?gene+name=Rv3096&amp;submit=Search</v>
      </c>
    </row>
    <row r="3187" spans="1:11">
      <c r="A3187" t="s">
        <v>16830</v>
      </c>
      <c r="B3187" t="s">
        <v>2583</v>
      </c>
      <c r="C3187" t="s">
        <v>9567</v>
      </c>
      <c r="D3187" t="s">
        <v>16831</v>
      </c>
      <c r="E3187" t="s">
        <v>16832</v>
      </c>
      <c r="F3187" t="s">
        <v>16833</v>
      </c>
      <c r="G3187" t="s">
        <v>19262</v>
      </c>
      <c r="H3187" t="s">
        <v>19254</v>
      </c>
      <c r="I3187" t="s">
        <v>19092</v>
      </c>
      <c r="K3187" t="str">
        <f>HYPERLINK("http://tuberculist.epfl.ch/quicksearch.php?gene+name=Rv3097c&amp;submit=Search")</f>
        <v>http://tuberculist.epfl.ch/quicksearch.php?gene+name=Rv3097c&amp;submit=Search</v>
      </c>
    </row>
    <row r="3188" spans="1:11">
      <c r="A3188" t="s">
        <v>16834</v>
      </c>
      <c r="B3188" t="s">
        <v>16834</v>
      </c>
      <c r="C3188" t="s">
        <v>9567</v>
      </c>
      <c r="D3188" t="s">
        <v>16835</v>
      </c>
      <c r="E3188" t="s">
        <v>16836</v>
      </c>
      <c r="F3188" t="s">
        <v>16837</v>
      </c>
      <c r="G3188" t="s">
        <v>19206</v>
      </c>
      <c r="H3188" t="s">
        <v>19677</v>
      </c>
      <c r="I3188" t="s">
        <v>18773</v>
      </c>
      <c r="K3188" t="str">
        <f>HYPERLINK("http://tuberculist.epfl.ch/quicksearch.php?gene+name=Rv3098A&amp;submit=Search")</f>
        <v>http://tuberculist.epfl.ch/quicksearch.php?gene+name=Rv3098A&amp;submit=Search</v>
      </c>
    </row>
    <row r="3189" spans="1:11">
      <c r="A3189" t="s">
        <v>729</v>
      </c>
      <c r="B3189" t="s">
        <v>729</v>
      </c>
      <c r="C3189" t="s">
        <v>9567</v>
      </c>
      <c r="D3189" t="s">
        <v>9587</v>
      </c>
      <c r="E3189" t="s">
        <v>9713</v>
      </c>
      <c r="F3189" t="s">
        <v>16838</v>
      </c>
      <c r="G3189" t="s">
        <v>19212</v>
      </c>
      <c r="I3189" t="s">
        <v>18780</v>
      </c>
      <c r="K3189" t="str">
        <f>HYPERLINK("http://tuberculist.epfl.ch/quicksearch.php?gene+name=Rv3098c&amp;submit=Search")</f>
        <v>http://tuberculist.epfl.ch/quicksearch.php?gene+name=Rv3098c&amp;submit=Search</v>
      </c>
    </row>
    <row r="3190" spans="1:11">
      <c r="A3190" t="s">
        <v>3198</v>
      </c>
      <c r="B3190" t="s">
        <v>3198</v>
      </c>
      <c r="C3190" t="s">
        <v>9567</v>
      </c>
      <c r="D3190" t="s">
        <v>9578</v>
      </c>
      <c r="E3190" t="s">
        <v>9665</v>
      </c>
      <c r="F3190" t="s">
        <v>16839</v>
      </c>
      <c r="G3190" t="s">
        <v>19210</v>
      </c>
      <c r="H3190" t="s">
        <v>20025</v>
      </c>
      <c r="I3190" t="s">
        <v>18793</v>
      </c>
      <c r="K3190" t="str">
        <f>HYPERLINK("http://tuberculist.epfl.ch/quicksearch.php?gene+name=Rv3099c&amp;submit=Search")</f>
        <v>http://tuberculist.epfl.ch/quicksearch.php?gene+name=Rv3099c&amp;submit=Search</v>
      </c>
    </row>
    <row r="3191" spans="1:11">
      <c r="A3191" t="s">
        <v>7096</v>
      </c>
      <c r="B3191" t="s">
        <v>2308</v>
      </c>
      <c r="C3191" t="s">
        <v>9567</v>
      </c>
      <c r="D3191" t="s">
        <v>16840</v>
      </c>
      <c r="E3191" t="s">
        <v>16841</v>
      </c>
      <c r="F3191" t="s">
        <v>16842</v>
      </c>
      <c r="G3191" t="s">
        <v>19206</v>
      </c>
      <c r="H3191" t="s">
        <v>19215</v>
      </c>
      <c r="I3191" t="s">
        <v>18773</v>
      </c>
      <c r="J3191" t="s">
        <v>18809</v>
      </c>
      <c r="K3191" t="str">
        <f>HYPERLINK("http://tuberculist.epfl.ch/quicksearch.php?gene+name=Rv3100c&amp;submit=Search")</f>
        <v>http://tuberculist.epfl.ch/quicksearch.php?gene+name=Rv3100c&amp;submit=Search</v>
      </c>
    </row>
    <row r="3192" spans="1:11">
      <c r="A3192" t="s">
        <v>8557</v>
      </c>
      <c r="B3192" t="s">
        <v>3022</v>
      </c>
      <c r="C3192" t="s">
        <v>9567</v>
      </c>
      <c r="D3192" t="s">
        <v>16843</v>
      </c>
      <c r="E3192" t="s">
        <v>16844</v>
      </c>
      <c r="F3192" t="s">
        <v>16845</v>
      </c>
      <c r="G3192" t="s">
        <v>19188</v>
      </c>
      <c r="H3192" t="s">
        <v>20026</v>
      </c>
      <c r="I3192" t="s">
        <v>18774</v>
      </c>
      <c r="K3192" t="str">
        <f>HYPERLINK("http://tuberculist.epfl.ch/quicksearch.php?gene+name=Rv3101c&amp;submit=Search")</f>
        <v>http://tuberculist.epfl.ch/quicksearch.php?gene+name=Rv3101c&amp;submit=Search</v>
      </c>
    </row>
    <row r="3193" spans="1:11">
      <c r="A3193" t="s">
        <v>7155</v>
      </c>
      <c r="B3193" t="s">
        <v>2340</v>
      </c>
      <c r="C3193" t="s">
        <v>9567</v>
      </c>
      <c r="D3193" t="s">
        <v>16846</v>
      </c>
      <c r="E3193" t="s">
        <v>16847</v>
      </c>
      <c r="F3193" t="s">
        <v>16848</v>
      </c>
      <c r="G3193" t="s">
        <v>19188</v>
      </c>
      <c r="H3193" t="s">
        <v>19225</v>
      </c>
      <c r="I3193" t="s">
        <v>18995</v>
      </c>
      <c r="K3193" t="str">
        <f>HYPERLINK("http://tuberculist.epfl.ch/quicksearch.php?gene+name=Rv3102c&amp;submit=Search")</f>
        <v>http://tuberculist.epfl.ch/quicksearch.php?gene+name=Rv3102c&amp;submit=Search</v>
      </c>
    </row>
    <row r="3194" spans="1:11">
      <c r="A3194" t="s">
        <v>1265</v>
      </c>
      <c r="B3194" t="s">
        <v>1265</v>
      </c>
      <c r="C3194" t="s">
        <v>9567</v>
      </c>
      <c r="D3194" t="s">
        <v>9587</v>
      </c>
      <c r="E3194" t="s">
        <v>16849</v>
      </c>
      <c r="F3194" t="s">
        <v>16850</v>
      </c>
      <c r="G3194" t="s">
        <v>19212</v>
      </c>
      <c r="I3194" t="s">
        <v>18810</v>
      </c>
      <c r="K3194" t="str">
        <f>HYPERLINK("http://tuberculist.epfl.ch/quicksearch.php?gene+name=Rv3103c&amp;submit=Search")</f>
        <v>http://tuberculist.epfl.ch/quicksearch.php?gene+name=Rv3103c&amp;submit=Search</v>
      </c>
    </row>
    <row r="3195" spans="1:11">
      <c r="A3195" t="s">
        <v>2596</v>
      </c>
      <c r="B3195" t="s">
        <v>2596</v>
      </c>
      <c r="C3195" t="s">
        <v>9567</v>
      </c>
      <c r="D3195" t="s">
        <v>9587</v>
      </c>
      <c r="E3195" t="s">
        <v>9671</v>
      </c>
      <c r="F3195" t="s">
        <v>16851</v>
      </c>
      <c r="G3195" t="s">
        <v>19188</v>
      </c>
      <c r="H3195" t="s">
        <v>19233</v>
      </c>
      <c r="I3195" t="s">
        <v>18780</v>
      </c>
      <c r="K3195" t="str">
        <f>HYPERLINK("http://tuberculist.epfl.ch/quicksearch.php?gene+name=Rv3104c&amp;submit=Search")</f>
        <v>http://tuberculist.epfl.ch/quicksearch.php?gene+name=Rv3104c&amp;submit=Search</v>
      </c>
    </row>
    <row r="3196" spans="1:11">
      <c r="A3196" t="s">
        <v>7258</v>
      </c>
      <c r="B3196" t="s">
        <v>2387</v>
      </c>
      <c r="C3196" t="s">
        <v>9567</v>
      </c>
      <c r="D3196" t="s">
        <v>16852</v>
      </c>
      <c r="E3196" t="s">
        <v>16853</v>
      </c>
      <c r="F3196" t="s">
        <v>16854</v>
      </c>
      <c r="G3196" t="s">
        <v>19181</v>
      </c>
      <c r="H3196" t="s">
        <v>19532</v>
      </c>
      <c r="I3196" t="s">
        <v>18774</v>
      </c>
      <c r="K3196" t="str">
        <f>HYPERLINK("http://tuberculist.epfl.ch/quicksearch.php?gene+name=Rv3105c&amp;submit=Search")</f>
        <v>http://tuberculist.epfl.ch/quicksearch.php?gene+name=Rv3105c&amp;submit=Search</v>
      </c>
    </row>
    <row r="3197" spans="1:11">
      <c r="A3197" t="s">
        <v>5419</v>
      </c>
      <c r="B3197" t="s">
        <v>1469</v>
      </c>
      <c r="C3197" t="s">
        <v>9567</v>
      </c>
      <c r="D3197" t="s">
        <v>16855</v>
      </c>
      <c r="E3197" t="s">
        <v>16856</v>
      </c>
      <c r="F3197" t="s">
        <v>16857</v>
      </c>
      <c r="G3197" t="s">
        <v>19195</v>
      </c>
      <c r="H3197" t="s">
        <v>20027</v>
      </c>
      <c r="I3197" t="s">
        <v>18780</v>
      </c>
      <c r="K3197" t="str">
        <f>HYPERLINK("http://tuberculist.epfl.ch/quicksearch.php?gene+name=Rv3106&amp;submit=Search")</f>
        <v>http://tuberculist.epfl.ch/quicksearch.php?gene+name=Rv3106&amp;submit=Search</v>
      </c>
    </row>
    <row r="3198" spans="1:11">
      <c r="A3198" t="s">
        <v>8495</v>
      </c>
      <c r="B3198" t="s">
        <v>2993</v>
      </c>
      <c r="C3198" t="s">
        <v>9567</v>
      </c>
      <c r="D3198" t="s">
        <v>16858</v>
      </c>
      <c r="E3198" t="s">
        <v>16859</v>
      </c>
      <c r="F3198" t="s">
        <v>16860</v>
      </c>
      <c r="G3198" t="s">
        <v>19219</v>
      </c>
      <c r="H3198" t="s">
        <v>19233</v>
      </c>
      <c r="I3198" t="s">
        <v>18789</v>
      </c>
      <c r="K3198" t="str">
        <f>HYPERLINK("http://tuberculist.epfl.ch/quicksearch.php?gene+name=Rv3107c&amp;submit=Search")</f>
        <v>http://tuberculist.epfl.ch/quicksearch.php?gene+name=Rv3107c&amp;submit=Search</v>
      </c>
    </row>
    <row r="3199" spans="1:11">
      <c r="A3199" t="s">
        <v>870</v>
      </c>
      <c r="B3199" t="s">
        <v>870</v>
      </c>
      <c r="C3199" t="s">
        <v>9567</v>
      </c>
      <c r="D3199" t="s">
        <v>9587</v>
      </c>
      <c r="E3199" t="s">
        <v>9713</v>
      </c>
      <c r="F3199" t="s">
        <v>16861</v>
      </c>
      <c r="G3199" t="s">
        <v>19212</v>
      </c>
      <c r="I3199" t="s">
        <v>18773</v>
      </c>
      <c r="K3199" t="str">
        <f>HYPERLINK("http://tuberculist.epfl.ch/quicksearch.php?gene+name=Rv3108&amp;submit=Search")</f>
        <v>http://tuberculist.epfl.ch/quicksearch.php?gene+name=Rv3108&amp;submit=Search</v>
      </c>
    </row>
    <row r="3200" spans="1:11">
      <c r="A3200" t="s">
        <v>16862</v>
      </c>
      <c r="B3200" t="s">
        <v>1384</v>
      </c>
      <c r="C3200" t="s">
        <v>9567</v>
      </c>
      <c r="D3200" t="s">
        <v>11628</v>
      </c>
      <c r="E3200" t="s">
        <v>16863</v>
      </c>
      <c r="F3200" t="s">
        <v>16864</v>
      </c>
      <c r="G3200" t="s">
        <v>19195</v>
      </c>
      <c r="H3200" t="s">
        <v>19379</v>
      </c>
      <c r="I3200" t="s">
        <v>18774</v>
      </c>
      <c r="J3200" t="s">
        <v>19093</v>
      </c>
      <c r="K3200" t="str">
        <f>HYPERLINK("http://tuberculist.epfl.ch/quicksearch.php?gene+name=Rv3109&amp;submit=Search")</f>
        <v>http://tuberculist.epfl.ch/quicksearch.php?gene+name=Rv3109&amp;submit=Search</v>
      </c>
    </row>
    <row r="3201" spans="1:11">
      <c r="A3201" t="s">
        <v>16865</v>
      </c>
      <c r="B3201" t="s">
        <v>16866</v>
      </c>
      <c r="C3201" t="s">
        <v>9567</v>
      </c>
      <c r="D3201" t="s">
        <v>16867</v>
      </c>
      <c r="E3201" t="s">
        <v>16868</v>
      </c>
      <c r="F3201" t="s">
        <v>16869</v>
      </c>
      <c r="G3201" t="s">
        <v>19195</v>
      </c>
      <c r="I3201" t="s">
        <v>18779</v>
      </c>
      <c r="J3201" t="s">
        <v>19093</v>
      </c>
      <c r="K3201" t="str">
        <f>HYPERLINK("http://tuberculist.epfl.ch/quicksearch.php?gene+name=Rv3110&amp;submit=Search")</f>
        <v>http://tuberculist.epfl.ch/quicksearch.php?gene+name=Rv3110&amp;submit=Search</v>
      </c>
    </row>
    <row r="3202" spans="1:11">
      <c r="A3202" t="s">
        <v>16870</v>
      </c>
      <c r="B3202" t="s">
        <v>16871</v>
      </c>
      <c r="C3202" t="s">
        <v>9567</v>
      </c>
      <c r="D3202" t="s">
        <v>11612</v>
      </c>
      <c r="E3202" t="s">
        <v>16872</v>
      </c>
      <c r="F3202" t="s">
        <v>16873</v>
      </c>
      <c r="G3202" t="s">
        <v>19195</v>
      </c>
      <c r="H3202" t="s">
        <v>19308</v>
      </c>
      <c r="I3202" t="s">
        <v>18774</v>
      </c>
      <c r="J3202" t="s">
        <v>19093</v>
      </c>
      <c r="K3202" t="str">
        <f>HYPERLINK("http://tuberculist.epfl.ch/quicksearch.php?gene+name=Rv3111&amp;submit=Search")</f>
        <v>http://tuberculist.epfl.ch/quicksearch.php?gene+name=Rv3111&amp;submit=Search</v>
      </c>
    </row>
    <row r="3203" spans="1:11">
      <c r="A3203" t="s">
        <v>16874</v>
      </c>
      <c r="B3203" t="s">
        <v>16875</v>
      </c>
      <c r="C3203" t="s">
        <v>9567</v>
      </c>
      <c r="D3203" t="s">
        <v>11624</v>
      </c>
      <c r="E3203" t="s">
        <v>16876</v>
      </c>
      <c r="F3203" t="s">
        <v>16877</v>
      </c>
      <c r="G3203" t="s">
        <v>19195</v>
      </c>
      <c r="I3203" t="s">
        <v>18774</v>
      </c>
      <c r="J3203" t="s">
        <v>19093</v>
      </c>
      <c r="K3203" t="str">
        <f>HYPERLINK("http://tuberculist.epfl.ch/quicksearch.php?gene+name=Rv3112&amp;submit=Search")</f>
        <v>http://tuberculist.epfl.ch/quicksearch.php?gene+name=Rv3112&amp;submit=Search</v>
      </c>
    </row>
    <row r="3204" spans="1:11">
      <c r="A3204" t="s">
        <v>16878</v>
      </c>
      <c r="B3204" t="s">
        <v>16878</v>
      </c>
      <c r="C3204" t="s">
        <v>9567</v>
      </c>
      <c r="D3204" t="s">
        <v>9578</v>
      </c>
      <c r="E3204" t="s">
        <v>16879</v>
      </c>
      <c r="F3204" t="s">
        <v>16880</v>
      </c>
      <c r="G3204" t="s">
        <v>19195</v>
      </c>
      <c r="I3204" t="s">
        <v>18800</v>
      </c>
      <c r="K3204" t="str">
        <f>HYPERLINK("http://tuberculist.epfl.ch/quicksearch.php?gene+name=Rv3113&amp;submit=Search")</f>
        <v>http://tuberculist.epfl.ch/quicksearch.php?gene+name=Rv3113&amp;submit=Search</v>
      </c>
    </row>
    <row r="3205" spans="1:11">
      <c r="A3205" t="s">
        <v>16881</v>
      </c>
      <c r="B3205" t="s">
        <v>16881</v>
      </c>
      <c r="C3205" t="s">
        <v>9567</v>
      </c>
      <c r="D3205" t="s">
        <v>9578</v>
      </c>
      <c r="E3205" t="s">
        <v>9579</v>
      </c>
      <c r="F3205" t="s">
        <v>16882</v>
      </c>
      <c r="G3205" t="s">
        <v>19212</v>
      </c>
      <c r="H3205" t="s">
        <v>19254</v>
      </c>
      <c r="I3205" t="s">
        <v>18835</v>
      </c>
      <c r="K3205" t="str">
        <f>HYPERLINK("http://tuberculist.epfl.ch/quicksearch.php?gene+name=Rv3114&amp;submit=Search")</f>
        <v>http://tuberculist.epfl.ch/quicksearch.php?gene+name=Rv3114&amp;submit=Search</v>
      </c>
    </row>
    <row r="3206" spans="1:11">
      <c r="A3206" t="s">
        <v>16883</v>
      </c>
      <c r="B3206" t="s">
        <v>16883</v>
      </c>
      <c r="C3206" t="s">
        <v>9567</v>
      </c>
      <c r="D3206" t="s">
        <v>16884</v>
      </c>
      <c r="E3206" t="s">
        <v>11730</v>
      </c>
      <c r="F3206" t="s">
        <v>16885</v>
      </c>
      <c r="G3206" t="s">
        <v>19217</v>
      </c>
      <c r="I3206" t="s">
        <v>18773</v>
      </c>
      <c r="K3206" t="str">
        <f>HYPERLINK("http://tuberculist.epfl.ch/quicksearch.php?gene+name=Rv3115&amp;submit=Search")</f>
        <v>http://tuberculist.epfl.ch/quicksearch.php?gene+name=Rv3115&amp;submit=Search</v>
      </c>
    </row>
    <row r="3207" spans="1:11">
      <c r="A3207" t="s">
        <v>6265</v>
      </c>
      <c r="B3207" t="s">
        <v>1886</v>
      </c>
      <c r="C3207" t="s">
        <v>9567</v>
      </c>
      <c r="D3207" t="s">
        <v>16886</v>
      </c>
      <c r="E3207" t="s">
        <v>16887</v>
      </c>
      <c r="F3207" t="s">
        <v>16888</v>
      </c>
      <c r="G3207" t="s">
        <v>19195</v>
      </c>
      <c r="I3207" t="s">
        <v>18789</v>
      </c>
      <c r="K3207" t="str">
        <f>HYPERLINK("http://tuberculist.epfl.ch/quicksearch.php?gene+name=Rv3116&amp;submit=Search")</f>
        <v>http://tuberculist.epfl.ch/quicksearch.php?gene+name=Rv3116&amp;submit=Search</v>
      </c>
    </row>
    <row r="3208" spans="1:11">
      <c r="A3208" t="s">
        <v>8763</v>
      </c>
      <c r="B3208" t="s">
        <v>16889</v>
      </c>
      <c r="C3208" t="s">
        <v>9567</v>
      </c>
      <c r="D3208" t="s">
        <v>11495</v>
      </c>
      <c r="E3208" t="s">
        <v>16890</v>
      </c>
      <c r="F3208" t="s">
        <v>16891</v>
      </c>
      <c r="G3208" t="s">
        <v>19195</v>
      </c>
      <c r="H3208" t="s">
        <v>20028</v>
      </c>
      <c r="I3208" t="s">
        <v>18779</v>
      </c>
      <c r="K3208" t="str">
        <f>HYPERLINK("http://tuberculist.epfl.ch/quicksearch.php?gene+name=Rv3117&amp;submit=Search")</f>
        <v>http://tuberculist.epfl.ch/quicksearch.php?gene+name=Rv3117&amp;submit=Search</v>
      </c>
    </row>
    <row r="3209" spans="1:11">
      <c r="A3209" t="s">
        <v>16892</v>
      </c>
      <c r="B3209" t="s">
        <v>16893</v>
      </c>
      <c r="C3209" t="s">
        <v>9567</v>
      </c>
      <c r="D3209" t="s">
        <v>11491</v>
      </c>
      <c r="E3209" t="s">
        <v>16894</v>
      </c>
      <c r="F3209" t="s">
        <v>16895</v>
      </c>
      <c r="G3209" t="s">
        <v>19195</v>
      </c>
      <c r="I3209" t="s">
        <v>19049</v>
      </c>
      <c r="K3209" t="str">
        <f>HYPERLINK("http://tuberculist.epfl.ch/quicksearch.php?gene+name=Rv3118&amp;submit=Search")</f>
        <v>http://tuberculist.epfl.ch/quicksearch.php?gene+name=Rv3118&amp;submit=Search</v>
      </c>
    </row>
    <row r="3210" spans="1:11">
      <c r="A3210" t="s">
        <v>16896</v>
      </c>
      <c r="B3210" t="s">
        <v>16897</v>
      </c>
      <c r="C3210" t="s">
        <v>9567</v>
      </c>
      <c r="D3210" t="s">
        <v>11618</v>
      </c>
      <c r="E3210" t="s">
        <v>16898</v>
      </c>
      <c r="F3210" t="s">
        <v>16899</v>
      </c>
      <c r="G3210" t="s">
        <v>19195</v>
      </c>
      <c r="H3210" t="s">
        <v>19209</v>
      </c>
      <c r="I3210" t="s">
        <v>18793</v>
      </c>
      <c r="K3210" t="str">
        <f>HYPERLINK("http://tuberculist.epfl.ch/quicksearch.php?gene+name=Rv3119&amp;submit=Search")</f>
        <v>http://tuberculist.epfl.ch/quicksearch.php?gene+name=Rv3119&amp;submit=Search</v>
      </c>
    </row>
    <row r="3211" spans="1:11">
      <c r="A3211" t="s">
        <v>16900</v>
      </c>
      <c r="B3211" t="s">
        <v>16900</v>
      </c>
      <c r="C3211" t="s">
        <v>9567</v>
      </c>
      <c r="D3211" t="s">
        <v>9578</v>
      </c>
      <c r="E3211" t="s">
        <v>9579</v>
      </c>
      <c r="F3211" t="s">
        <v>16901</v>
      </c>
      <c r="G3211" t="s">
        <v>19204</v>
      </c>
      <c r="I3211" t="s">
        <v>18793</v>
      </c>
      <c r="K3211" t="str">
        <f>HYPERLINK("http://tuberculist.epfl.ch/quicksearch.php?gene+name=Rv3120&amp;submit=Search")</f>
        <v>http://tuberculist.epfl.ch/quicksearch.php?gene+name=Rv3120&amp;submit=Search</v>
      </c>
    </row>
    <row r="3212" spans="1:11">
      <c r="A3212" t="s">
        <v>16902</v>
      </c>
      <c r="B3212" t="s">
        <v>16903</v>
      </c>
      <c r="C3212" t="s">
        <v>9567</v>
      </c>
      <c r="D3212" t="s">
        <v>9908</v>
      </c>
      <c r="E3212" t="s">
        <v>16904</v>
      </c>
      <c r="F3212" t="s">
        <v>16905</v>
      </c>
      <c r="G3212" t="s">
        <v>19195</v>
      </c>
      <c r="I3212" t="s">
        <v>18776</v>
      </c>
      <c r="K3212" t="str">
        <f>HYPERLINK("http://tuberculist.epfl.ch/quicksearch.php?gene+name=Rv3121&amp;submit=Search")</f>
        <v>http://tuberculist.epfl.ch/quicksearch.php?gene+name=Rv3121&amp;submit=Search</v>
      </c>
    </row>
    <row r="3213" spans="1:11">
      <c r="A3213" t="s">
        <v>3174</v>
      </c>
      <c r="B3213" t="s">
        <v>3174</v>
      </c>
      <c r="C3213" t="s">
        <v>9567</v>
      </c>
      <c r="D3213" t="s">
        <v>9587</v>
      </c>
      <c r="E3213" t="s">
        <v>9713</v>
      </c>
      <c r="F3213" t="s">
        <v>16906</v>
      </c>
      <c r="G3213" t="s">
        <v>19212</v>
      </c>
      <c r="I3213" t="s">
        <v>18780</v>
      </c>
      <c r="K3213" t="str">
        <f>HYPERLINK("http://tuberculist.epfl.ch/quicksearch.php?gene+name=Rv3122&amp;submit=Search")</f>
        <v>http://tuberculist.epfl.ch/quicksearch.php?gene+name=Rv3122&amp;submit=Search</v>
      </c>
    </row>
    <row r="3214" spans="1:11">
      <c r="A3214" t="s">
        <v>1222</v>
      </c>
      <c r="B3214" t="s">
        <v>1222</v>
      </c>
      <c r="C3214" t="s">
        <v>9567</v>
      </c>
      <c r="D3214" t="s">
        <v>9587</v>
      </c>
      <c r="E3214" t="s">
        <v>9713</v>
      </c>
      <c r="F3214" t="s">
        <v>16907</v>
      </c>
      <c r="G3214" t="s">
        <v>19212</v>
      </c>
      <c r="I3214" t="s">
        <v>18780</v>
      </c>
      <c r="K3214" t="str">
        <f>HYPERLINK("http://tuberculist.epfl.ch/quicksearch.php?gene+name=Rv3123&amp;submit=Search")</f>
        <v>http://tuberculist.epfl.ch/quicksearch.php?gene+name=Rv3123&amp;submit=Search</v>
      </c>
    </row>
    <row r="3215" spans="1:11">
      <c r="A3215" t="s">
        <v>16908</v>
      </c>
      <c r="B3215" t="s">
        <v>16909</v>
      </c>
      <c r="C3215" t="s">
        <v>9567</v>
      </c>
      <c r="D3215" t="s">
        <v>9629</v>
      </c>
      <c r="E3215" t="s">
        <v>16910</v>
      </c>
      <c r="F3215" t="s">
        <v>16911</v>
      </c>
      <c r="G3215" t="s">
        <v>19197</v>
      </c>
      <c r="I3215" t="s">
        <v>18845</v>
      </c>
      <c r="K3215" t="str">
        <f>HYPERLINK("http://tuberculist.epfl.ch/quicksearch.php?gene+name=Rv3124&amp;submit=Search")</f>
        <v>http://tuberculist.epfl.ch/quicksearch.php?gene+name=Rv3124&amp;submit=Search</v>
      </c>
    </row>
    <row r="3216" spans="1:11">
      <c r="A3216" t="s">
        <v>16912</v>
      </c>
      <c r="B3216" t="s">
        <v>3209</v>
      </c>
      <c r="C3216" t="s">
        <v>9567</v>
      </c>
      <c r="D3216" t="s">
        <v>9578</v>
      </c>
      <c r="E3216" t="s">
        <v>16913</v>
      </c>
      <c r="F3216" t="s">
        <v>16914</v>
      </c>
      <c r="G3216" t="s">
        <v>19253</v>
      </c>
      <c r="H3216" t="s">
        <v>19254</v>
      </c>
      <c r="I3216" t="s">
        <v>18789</v>
      </c>
      <c r="K3216" t="str">
        <f>HYPERLINK("http://tuberculist.epfl.ch/quicksearch.php?gene+name=Rv3125c&amp;submit=Search")</f>
        <v>http://tuberculist.epfl.ch/quicksearch.php?gene+name=Rv3125c&amp;submit=Search</v>
      </c>
    </row>
    <row r="3217" spans="1:11">
      <c r="A3217" t="s">
        <v>59</v>
      </c>
      <c r="B3217" t="s">
        <v>59</v>
      </c>
      <c r="C3217" t="s">
        <v>9567</v>
      </c>
      <c r="D3217" t="s">
        <v>9587</v>
      </c>
      <c r="E3217" t="s">
        <v>9713</v>
      </c>
      <c r="F3217" t="s">
        <v>16915</v>
      </c>
      <c r="G3217" t="s">
        <v>19212</v>
      </c>
      <c r="I3217" t="s">
        <v>18779</v>
      </c>
      <c r="J3217" t="s">
        <v>18799</v>
      </c>
      <c r="K3217" t="str">
        <f>HYPERLINK("http://tuberculist.epfl.ch/quicksearch.php?gene+name=Rv3126c&amp;submit=Search")</f>
        <v>http://tuberculist.epfl.ch/quicksearch.php?gene+name=Rv3126c&amp;submit=Search</v>
      </c>
    </row>
    <row r="3218" spans="1:11">
      <c r="A3218" t="s">
        <v>272</v>
      </c>
      <c r="B3218" t="s">
        <v>272</v>
      </c>
      <c r="C3218" t="s">
        <v>9567</v>
      </c>
      <c r="D3218" t="s">
        <v>9578</v>
      </c>
      <c r="E3218" t="s">
        <v>9665</v>
      </c>
      <c r="F3218" t="s">
        <v>16916</v>
      </c>
      <c r="G3218" t="s">
        <v>19212</v>
      </c>
      <c r="H3218" t="s">
        <v>20029</v>
      </c>
      <c r="I3218" t="s">
        <v>18776</v>
      </c>
      <c r="J3218" t="s">
        <v>18799</v>
      </c>
      <c r="K3218" t="str">
        <f>HYPERLINK("http://tuberculist.epfl.ch/quicksearch.php?gene+name=Rv3127&amp;submit=Search")</f>
        <v>http://tuberculist.epfl.ch/quicksearch.php?gene+name=Rv3127&amp;submit=Search</v>
      </c>
    </row>
    <row r="3219" spans="1:11">
      <c r="A3219" t="s">
        <v>70</v>
      </c>
      <c r="B3219" t="s">
        <v>70</v>
      </c>
      <c r="C3219" t="s">
        <v>10216</v>
      </c>
      <c r="D3219" t="s">
        <v>9578</v>
      </c>
      <c r="E3219" t="s">
        <v>9579</v>
      </c>
      <c r="F3219" t="s">
        <v>16917</v>
      </c>
      <c r="G3219" t="s">
        <v>19212</v>
      </c>
      <c r="H3219" t="s">
        <v>19302</v>
      </c>
      <c r="I3219" t="s">
        <v>18773</v>
      </c>
      <c r="J3219" t="s">
        <v>18799</v>
      </c>
      <c r="K3219" t="str">
        <f>HYPERLINK("http://tuberculist.epfl.ch/quicksearch.php?gene+name=Rv3128c&amp;submit=Search")</f>
        <v>http://tuberculist.epfl.ch/quicksearch.php?gene+name=Rv3128c&amp;submit=Search</v>
      </c>
    </row>
    <row r="3220" spans="1:11">
      <c r="A3220" t="s">
        <v>81</v>
      </c>
      <c r="B3220" t="s">
        <v>81</v>
      </c>
      <c r="C3220" t="s">
        <v>9567</v>
      </c>
      <c r="D3220" t="s">
        <v>9578</v>
      </c>
      <c r="E3220" t="s">
        <v>9579</v>
      </c>
      <c r="F3220" t="s">
        <v>16918</v>
      </c>
      <c r="G3220" t="s">
        <v>19212</v>
      </c>
      <c r="I3220" t="s">
        <v>18773</v>
      </c>
      <c r="J3220" t="s">
        <v>18799</v>
      </c>
      <c r="K3220" t="str">
        <f>HYPERLINK("http://tuberculist.epfl.ch/quicksearch.php?gene+name=Rv3129&amp;submit=Search")</f>
        <v>http://tuberculist.epfl.ch/quicksearch.php?gene+name=Rv3129&amp;submit=Search</v>
      </c>
    </row>
    <row r="3221" spans="1:11">
      <c r="A3221" t="s">
        <v>366</v>
      </c>
      <c r="B3221" t="s">
        <v>365</v>
      </c>
      <c r="C3221" t="s">
        <v>9567</v>
      </c>
      <c r="D3221" t="s">
        <v>16919</v>
      </c>
      <c r="E3221" t="s">
        <v>16920</v>
      </c>
      <c r="F3221" t="s">
        <v>16921</v>
      </c>
      <c r="G3221" t="s">
        <v>19219</v>
      </c>
      <c r="H3221" t="s">
        <v>20030</v>
      </c>
      <c r="I3221" t="s">
        <v>19094</v>
      </c>
      <c r="J3221" t="s">
        <v>18799</v>
      </c>
      <c r="K3221" t="str">
        <f>HYPERLINK("http://tuberculist.epfl.ch/quicksearch.php?gene+name=Rv3130c&amp;submit=Search")</f>
        <v>http://tuberculist.epfl.ch/quicksearch.php?gene+name=Rv3130c&amp;submit=Search</v>
      </c>
    </row>
    <row r="3222" spans="1:11">
      <c r="A3222" t="s">
        <v>368</v>
      </c>
      <c r="B3222" t="s">
        <v>368</v>
      </c>
      <c r="C3222" t="s">
        <v>9567</v>
      </c>
      <c r="D3222" t="s">
        <v>9578</v>
      </c>
      <c r="E3222" t="s">
        <v>9665</v>
      </c>
      <c r="F3222" t="s">
        <v>16922</v>
      </c>
      <c r="G3222" t="s">
        <v>19212</v>
      </c>
      <c r="H3222" t="s">
        <v>20009</v>
      </c>
      <c r="I3222" t="s">
        <v>18800</v>
      </c>
      <c r="J3222" t="s">
        <v>18799</v>
      </c>
      <c r="K3222" t="str">
        <f>HYPERLINK("http://tuberculist.epfl.ch/quicksearch.php?gene+name=Rv3131&amp;submit=Search")</f>
        <v>http://tuberculist.epfl.ch/quicksearch.php?gene+name=Rv3131&amp;submit=Search</v>
      </c>
    </row>
    <row r="3223" spans="1:11">
      <c r="A3223" t="s">
        <v>371</v>
      </c>
      <c r="B3223" t="s">
        <v>278</v>
      </c>
      <c r="C3223" t="s">
        <v>9567</v>
      </c>
      <c r="D3223" t="s">
        <v>16923</v>
      </c>
      <c r="E3223" t="s">
        <v>16924</v>
      </c>
      <c r="F3223" t="s">
        <v>16925</v>
      </c>
      <c r="G3223" t="s">
        <v>19197</v>
      </c>
      <c r="H3223" t="s">
        <v>19339</v>
      </c>
      <c r="I3223" t="s">
        <v>19095</v>
      </c>
      <c r="J3223" t="s">
        <v>18799</v>
      </c>
      <c r="K3223" t="str">
        <f>HYPERLINK("http://tuberculist.epfl.ch/quicksearch.php?gene+name=Rv3132c&amp;submit=Search")</f>
        <v>http://tuberculist.epfl.ch/quicksearch.php?gene+name=Rv3132c&amp;submit=Search</v>
      </c>
    </row>
    <row r="3224" spans="1:11">
      <c r="A3224" t="s">
        <v>372</v>
      </c>
      <c r="B3224" t="s">
        <v>282</v>
      </c>
      <c r="C3224" t="s">
        <v>9567</v>
      </c>
      <c r="D3224" t="s">
        <v>16926</v>
      </c>
      <c r="E3224" t="s">
        <v>16927</v>
      </c>
      <c r="F3224" t="s">
        <v>16928</v>
      </c>
      <c r="G3224" t="s">
        <v>19197</v>
      </c>
      <c r="H3224" t="s">
        <v>20031</v>
      </c>
      <c r="I3224" t="s">
        <v>19096</v>
      </c>
      <c r="J3224" t="s">
        <v>18799</v>
      </c>
      <c r="K3224" t="str">
        <f>HYPERLINK("http://tuberculist.epfl.ch/quicksearch.php?gene+name=Rv3133c&amp;submit=Search")</f>
        <v>http://tuberculist.epfl.ch/quicksearch.php?gene+name=Rv3133c&amp;submit=Search</v>
      </c>
    </row>
    <row r="3225" spans="1:11">
      <c r="A3225" t="s">
        <v>375</v>
      </c>
      <c r="B3225" t="s">
        <v>375</v>
      </c>
      <c r="C3225" t="s">
        <v>9567</v>
      </c>
      <c r="D3225" t="s">
        <v>16929</v>
      </c>
      <c r="E3225" t="s">
        <v>14288</v>
      </c>
      <c r="F3225" t="s">
        <v>16930</v>
      </c>
      <c r="G3225" t="s">
        <v>19206</v>
      </c>
      <c r="H3225" t="s">
        <v>19256</v>
      </c>
      <c r="I3225" t="s">
        <v>18789</v>
      </c>
      <c r="J3225" t="s">
        <v>18799</v>
      </c>
      <c r="K3225" t="str">
        <f>HYPERLINK("http://tuberculist.epfl.ch/quicksearch.php?gene+name=Rv3134c&amp;submit=Search")</f>
        <v>http://tuberculist.epfl.ch/quicksearch.php?gene+name=Rv3134c&amp;submit=Search</v>
      </c>
    </row>
    <row r="3226" spans="1:11">
      <c r="A3226" t="s">
        <v>8384</v>
      </c>
      <c r="B3226" t="s">
        <v>285</v>
      </c>
      <c r="C3226" t="s">
        <v>9567</v>
      </c>
      <c r="D3226" t="s">
        <v>9578</v>
      </c>
      <c r="E3226" t="s">
        <v>16931</v>
      </c>
      <c r="F3226" t="s">
        <v>16932</v>
      </c>
      <c r="G3226" t="s">
        <v>19262</v>
      </c>
      <c r="I3226" t="s">
        <v>18801</v>
      </c>
      <c r="K3226" t="str">
        <f>HYPERLINK("http://tuberculist.epfl.ch/quicksearch.php?gene+name=Rv3135&amp;submit=Search")</f>
        <v>http://tuberculist.epfl.ch/quicksearch.php?gene+name=Rv3135&amp;submit=Search</v>
      </c>
    </row>
    <row r="3227" spans="1:11">
      <c r="A3227" t="s">
        <v>428</v>
      </c>
      <c r="B3227" t="s">
        <v>289</v>
      </c>
      <c r="C3227" t="s">
        <v>9567</v>
      </c>
      <c r="D3227" t="s">
        <v>9578</v>
      </c>
      <c r="E3227" t="s">
        <v>16933</v>
      </c>
      <c r="F3227" t="s">
        <v>16934</v>
      </c>
      <c r="G3227" t="s">
        <v>19253</v>
      </c>
      <c r="H3227" t="s">
        <v>20032</v>
      </c>
      <c r="I3227" t="s">
        <v>18773</v>
      </c>
      <c r="K3227" t="str">
        <f>HYPERLINK("http://tuberculist.epfl.ch/quicksearch.php?gene+name=Rv3136&amp;submit=Search")</f>
        <v>http://tuberculist.epfl.ch/quicksearch.php?gene+name=Rv3136&amp;submit=Search</v>
      </c>
    </row>
    <row r="3228" spans="1:11">
      <c r="A3228" t="s">
        <v>16935</v>
      </c>
      <c r="B3228" t="s">
        <v>16935</v>
      </c>
      <c r="C3228" t="s">
        <v>9567</v>
      </c>
      <c r="D3228" t="s">
        <v>9587</v>
      </c>
      <c r="E3228" t="s">
        <v>9665</v>
      </c>
      <c r="F3228" t="s">
        <v>16936</v>
      </c>
      <c r="G3228" t="s">
        <v>19212</v>
      </c>
      <c r="H3228" t="s">
        <v>19434</v>
      </c>
      <c r="I3228" t="s">
        <v>18773</v>
      </c>
      <c r="K3228" t="str">
        <f>HYPERLINK("http://tuberculist.epfl.ch/quicksearch.php?gene+name=Rv3136A&amp;submit=Search")</f>
        <v>http://tuberculist.epfl.ch/quicksearch.php?gene+name=Rv3136A&amp;submit=Search</v>
      </c>
    </row>
    <row r="3229" spans="1:11">
      <c r="A3229" t="s">
        <v>292</v>
      </c>
      <c r="B3229" t="s">
        <v>292</v>
      </c>
      <c r="C3229" t="s">
        <v>9567</v>
      </c>
      <c r="D3229" t="s">
        <v>16731</v>
      </c>
      <c r="E3229" t="s">
        <v>16937</v>
      </c>
      <c r="F3229" t="s">
        <v>16938</v>
      </c>
      <c r="G3229" t="s">
        <v>19195</v>
      </c>
      <c r="H3229" t="s">
        <v>19653</v>
      </c>
      <c r="I3229" t="s">
        <v>19097</v>
      </c>
      <c r="J3229" t="s">
        <v>18832</v>
      </c>
      <c r="K3229" t="str">
        <f>HYPERLINK("http://tuberculist.epfl.ch/quicksearch.php?gene+name=Rv3137&amp;submit=Search")</f>
        <v>http://tuberculist.epfl.ch/quicksearch.php?gene+name=Rv3137&amp;submit=Search</v>
      </c>
    </row>
    <row r="3230" spans="1:11">
      <c r="A3230" t="s">
        <v>4856</v>
      </c>
      <c r="B3230" t="s">
        <v>1185</v>
      </c>
      <c r="C3230" t="s">
        <v>9567</v>
      </c>
      <c r="D3230" t="s">
        <v>16939</v>
      </c>
      <c r="E3230" t="s">
        <v>16940</v>
      </c>
      <c r="F3230" t="s">
        <v>16941</v>
      </c>
      <c r="G3230" t="s">
        <v>19195</v>
      </c>
      <c r="I3230" t="s">
        <v>18789</v>
      </c>
      <c r="K3230" t="str">
        <f>HYPERLINK("http://tuberculist.epfl.ch/quicksearch.php?gene+name=Rv3138&amp;submit=Search")</f>
        <v>http://tuberculist.epfl.ch/quicksearch.php?gene+name=Rv3138&amp;submit=Search</v>
      </c>
    </row>
    <row r="3231" spans="1:11">
      <c r="A3231" t="s">
        <v>7478</v>
      </c>
      <c r="B3231" t="s">
        <v>2497</v>
      </c>
      <c r="C3231" t="s">
        <v>9567</v>
      </c>
      <c r="D3231" t="s">
        <v>9662</v>
      </c>
      <c r="E3231" t="s">
        <v>16942</v>
      </c>
      <c r="F3231" t="s">
        <v>16943</v>
      </c>
      <c r="G3231" t="s">
        <v>19219</v>
      </c>
      <c r="H3231" t="s">
        <v>20033</v>
      </c>
      <c r="I3231" t="s">
        <v>18838</v>
      </c>
      <c r="K3231" t="str">
        <f>HYPERLINK("http://tuberculist.epfl.ch/quicksearch.php?gene+name=Rv3139&amp;submit=Search")</f>
        <v>http://tuberculist.epfl.ch/quicksearch.php?gene+name=Rv3139&amp;submit=Search</v>
      </c>
    </row>
    <row r="3232" spans="1:11">
      <c r="A3232" t="s">
        <v>4613</v>
      </c>
      <c r="B3232" t="s">
        <v>1065</v>
      </c>
      <c r="C3232" t="s">
        <v>9567</v>
      </c>
      <c r="D3232" t="s">
        <v>9662</v>
      </c>
      <c r="E3232" t="s">
        <v>16944</v>
      </c>
      <c r="F3232" t="s">
        <v>16945</v>
      </c>
      <c r="G3232" t="s">
        <v>19219</v>
      </c>
      <c r="H3232" t="s">
        <v>19459</v>
      </c>
      <c r="I3232" t="s">
        <v>18800</v>
      </c>
      <c r="J3232" t="s">
        <v>18873</v>
      </c>
      <c r="K3232" t="str">
        <f>HYPERLINK("http://tuberculist.epfl.ch/quicksearch.php?gene+name=Rv3140&amp;submit=Search")</f>
        <v>http://tuberculist.epfl.ch/quicksearch.php?gene+name=Rv3140&amp;submit=Search</v>
      </c>
    </row>
    <row r="3233" spans="1:11">
      <c r="A3233" t="s">
        <v>296</v>
      </c>
      <c r="B3233" t="s">
        <v>297</v>
      </c>
      <c r="C3233" t="s">
        <v>9567</v>
      </c>
      <c r="D3233" t="s">
        <v>16946</v>
      </c>
      <c r="E3233" t="s">
        <v>16947</v>
      </c>
      <c r="F3233" t="s">
        <v>16948</v>
      </c>
      <c r="G3233" t="s">
        <v>19219</v>
      </c>
      <c r="H3233" t="s">
        <v>19225</v>
      </c>
      <c r="I3233" t="s">
        <v>18780</v>
      </c>
      <c r="K3233" t="str">
        <f>HYPERLINK("http://tuberculist.epfl.ch/quicksearch.php?gene+name=Rv3141&amp;submit=Search")</f>
        <v>http://tuberculist.epfl.ch/quicksearch.php?gene+name=Rv3141&amp;submit=Search</v>
      </c>
    </row>
    <row r="3234" spans="1:11">
      <c r="A3234" t="s">
        <v>1513</v>
      </c>
      <c r="B3234" t="s">
        <v>1513</v>
      </c>
      <c r="C3234" t="s">
        <v>9567</v>
      </c>
      <c r="D3234" t="s">
        <v>9587</v>
      </c>
      <c r="E3234" t="s">
        <v>9713</v>
      </c>
      <c r="F3234" t="s">
        <v>16949</v>
      </c>
      <c r="G3234" t="s">
        <v>19212</v>
      </c>
      <c r="H3234" t="s">
        <v>19214</v>
      </c>
      <c r="I3234" t="s">
        <v>18780</v>
      </c>
      <c r="K3234" t="str">
        <f>HYPERLINK("http://tuberculist.epfl.ch/quicksearch.php?gene+name=Rv3142c&amp;submit=Search")</f>
        <v>http://tuberculist.epfl.ch/quicksearch.php?gene+name=Rv3142c&amp;submit=Search</v>
      </c>
    </row>
    <row r="3235" spans="1:11">
      <c r="A3235" t="s">
        <v>300</v>
      </c>
      <c r="B3235" t="s">
        <v>300</v>
      </c>
      <c r="C3235" t="s">
        <v>9567</v>
      </c>
      <c r="D3235" t="s">
        <v>16950</v>
      </c>
      <c r="E3235" t="s">
        <v>16951</v>
      </c>
      <c r="F3235" t="s">
        <v>16952</v>
      </c>
      <c r="G3235" t="s">
        <v>19197</v>
      </c>
      <c r="H3235" t="s">
        <v>19233</v>
      </c>
      <c r="I3235" t="s">
        <v>18777</v>
      </c>
      <c r="K3235" t="str">
        <f>HYPERLINK("http://tuberculist.epfl.ch/quicksearch.php?gene+name=Rv3143&amp;submit=Search")</f>
        <v>http://tuberculist.epfl.ch/quicksearch.php?gene+name=Rv3143&amp;submit=Search</v>
      </c>
    </row>
    <row r="3236" spans="1:11">
      <c r="A3236" t="s">
        <v>6419</v>
      </c>
      <c r="B3236" t="s">
        <v>1960</v>
      </c>
      <c r="C3236" t="s">
        <v>9567</v>
      </c>
      <c r="D3236" t="s">
        <v>9578</v>
      </c>
      <c r="E3236" t="s">
        <v>16953</v>
      </c>
      <c r="F3236" t="s">
        <v>16954</v>
      </c>
      <c r="G3236" t="s">
        <v>19262</v>
      </c>
      <c r="H3236" t="s">
        <v>19254</v>
      </c>
      <c r="I3236" t="s">
        <v>18793</v>
      </c>
      <c r="K3236" t="str">
        <f>HYPERLINK("http://tuberculist.epfl.ch/quicksearch.php?gene+name=Rv3144c&amp;submit=Search")</f>
        <v>http://tuberculist.epfl.ch/quicksearch.php?gene+name=Rv3144c&amp;submit=Search</v>
      </c>
    </row>
    <row r="3237" spans="1:11">
      <c r="A3237" t="s">
        <v>3561</v>
      </c>
      <c r="B3237" t="s">
        <v>540</v>
      </c>
      <c r="C3237" t="s">
        <v>9567</v>
      </c>
      <c r="D3237" t="s">
        <v>16955</v>
      </c>
      <c r="E3237" t="s">
        <v>16956</v>
      </c>
      <c r="F3237" t="s">
        <v>16957</v>
      </c>
      <c r="G3237" t="s">
        <v>19195</v>
      </c>
      <c r="H3237" t="s">
        <v>19233</v>
      </c>
      <c r="I3237" t="s">
        <v>18780</v>
      </c>
      <c r="K3237" t="str">
        <f>HYPERLINK("http://tuberculist.epfl.ch/quicksearch.php?gene+name=Rv3145&amp;submit=Search")</f>
        <v>http://tuberculist.epfl.ch/quicksearch.php?gene+name=Rv3145&amp;submit=Search</v>
      </c>
    </row>
    <row r="3238" spans="1:11">
      <c r="A3238" t="s">
        <v>304</v>
      </c>
      <c r="B3238" t="s">
        <v>305</v>
      </c>
      <c r="C3238" t="s">
        <v>9567</v>
      </c>
      <c r="D3238" t="s">
        <v>16955</v>
      </c>
      <c r="E3238" t="s">
        <v>16958</v>
      </c>
      <c r="F3238" t="s">
        <v>16959</v>
      </c>
      <c r="G3238" t="s">
        <v>19195</v>
      </c>
      <c r="H3238" t="s">
        <v>19272</v>
      </c>
      <c r="I3238" t="s">
        <v>18780</v>
      </c>
      <c r="K3238" t="str">
        <f>HYPERLINK("http://tuberculist.epfl.ch/quicksearch.php?gene+name=Rv3146&amp;submit=Search")</f>
        <v>http://tuberculist.epfl.ch/quicksearch.php?gene+name=Rv3146&amp;submit=Search</v>
      </c>
    </row>
    <row r="3239" spans="1:11">
      <c r="A3239" t="s">
        <v>308</v>
      </c>
      <c r="B3239" t="s">
        <v>309</v>
      </c>
      <c r="C3239" t="s">
        <v>9567</v>
      </c>
      <c r="D3239" t="s">
        <v>16955</v>
      </c>
      <c r="E3239" t="s">
        <v>16960</v>
      </c>
      <c r="F3239" t="s">
        <v>16961</v>
      </c>
      <c r="G3239" t="s">
        <v>19195</v>
      </c>
      <c r="H3239" t="s">
        <v>20034</v>
      </c>
      <c r="I3239" t="s">
        <v>18793</v>
      </c>
      <c r="K3239" t="str">
        <f>HYPERLINK("http://tuberculist.epfl.ch/quicksearch.php?gene+name=Rv3147&amp;submit=Search")</f>
        <v>http://tuberculist.epfl.ch/quicksearch.php?gene+name=Rv3147&amp;submit=Search</v>
      </c>
    </row>
    <row r="3240" spans="1:11">
      <c r="A3240" t="s">
        <v>313</v>
      </c>
      <c r="B3240" t="s">
        <v>314</v>
      </c>
      <c r="C3240" t="s">
        <v>9567</v>
      </c>
      <c r="D3240" t="s">
        <v>16955</v>
      </c>
      <c r="E3240" t="s">
        <v>16962</v>
      </c>
      <c r="F3240" t="s">
        <v>16963</v>
      </c>
      <c r="G3240" t="s">
        <v>19195</v>
      </c>
      <c r="H3240" t="s">
        <v>19403</v>
      </c>
      <c r="I3240" t="s">
        <v>18776</v>
      </c>
      <c r="K3240" t="str">
        <f>HYPERLINK("http://tuberculist.epfl.ch/quicksearch.php?gene+name=Rv3148&amp;submit=Search")</f>
        <v>http://tuberculist.epfl.ch/quicksearch.php?gene+name=Rv3148&amp;submit=Search</v>
      </c>
    </row>
    <row r="3241" spans="1:11">
      <c r="A3241" t="s">
        <v>8255</v>
      </c>
      <c r="B3241" t="s">
        <v>2882</v>
      </c>
      <c r="C3241" t="s">
        <v>9567</v>
      </c>
      <c r="D3241" t="s">
        <v>16955</v>
      </c>
      <c r="E3241" t="s">
        <v>16964</v>
      </c>
      <c r="F3241" t="s">
        <v>16965</v>
      </c>
      <c r="G3241" t="s">
        <v>19195</v>
      </c>
      <c r="H3241" t="s">
        <v>19233</v>
      </c>
      <c r="I3241" t="s">
        <v>18780</v>
      </c>
      <c r="K3241" t="str">
        <f>HYPERLINK("http://tuberculist.epfl.ch/quicksearch.php?gene+name=Rv3149&amp;submit=Search")</f>
        <v>http://tuberculist.epfl.ch/quicksearch.php?gene+name=Rv3149&amp;submit=Search</v>
      </c>
    </row>
    <row r="3242" spans="1:11">
      <c r="A3242" t="s">
        <v>7768</v>
      </c>
      <c r="B3242" t="s">
        <v>2638</v>
      </c>
      <c r="C3242" t="s">
        <v>9567</v>
      </c>
      <c r="D3242" t="s">
        <v>16955</v>
      </c>
      <c r="E3242" t="s">
        <v>16966</v>
      </c>
      <c r="F3242" t="s">
        <v>16967</v>
      </c>
      <c r="G3242" t="s">
        <v>19195</v>
      </c>
      <c r="H3242" t="s">
        <v>19227</v>
      </c>
      <c r="I3242" t="s">
        <v>18788</v>
      </c>
      <c r="K3242" t="str">
        <f>HYPERLINK("http://tuberculist.epfl.ch/quicksearch.php?gene+name=Rv3150&amp;submit=Search")</f>
        <v>http://tuberculist.epfl.ch/quicksearch.php?gene+name=Rv3150&amp;submit=Search</v>
      </c>
    </row>
    <row r="3243" spans="1:11">
      <c r="A3243" t="s">
        <v>9476</v>
      </c>
      <c r="B3243" t="s">
        <v>461</v>
      </c>
      <c r="C3243" t="s">
        <v>9567</v>
      </c>
      <c r="D3243" t="s">
        <v>16955</v>
      </c>
      <c r="E3243" t="s">
        <v>16968</v>
      </c>
      <c r="F3243" t="s">
        <v>16969</v>
      </c>
      <c r="G3243" t="s">
        <v>19195</v>
      </c>
      <c r="H3243" t="s">
        <v>20035</v>
      </c>
      <c r="I3243" t="s">
        <v>18773</v>
      </c>
      <c r="K3243" t="str">
        <f>HYPERLINK("http://tuberculist.epfl.ch/quicksearch.php?gene+name=Rv3151&amp;submit=Search")</f>
        <v>http://tuberculist.epfl.ch/quicksearch.php?gene+name=Rv3151&amp;submit=Search</v>
      </c>
    </row>
    <row r="3244" spans="1:11">
      <c r="A3244" t="s">
        <v>9370</v>
      </c>
      <c r="B3244" t="s">
        <v>3403</v>
      </c>
      <c r="C3244" t="s">
        <v>9567</v>
      </c>
      <c r="D3244" t="s">
        <v>16955</v>
      </c>
      <c r="E3244" t="s">
        <v>16970</v>
      </c>
      <c r="F3244" t="s">
        <v>16971</v>
      </c>
      <c r="G3244" t="s">
        <v>19195</v>
      </c>
      <c r="H3244" t="s">
        <v>19233</v>
      </c>
      <c r="I3244" t="s">
        <v>18777</v>
      </c>
      <c r="K3244" t="str">
        <f>HYPERLINK("http://tuberculist.epfl.ch/quicksearch.php?gene+name=Rv3152&amp;submit=Search")</f>
        <v>http://tuberculist.epfl.ch/quicksearch.php?gene+name=Rv3152&amp;submit=Search</v>
      </c>
    </row>
    <row r="3245" spans="1:11">
      <c r="A3245" t="s">
        <v>4621</v>
      </c>
      <c r="B3245" t="s">
        <v>1068</v>
      </c>
      <c r="C3245" t="s">
        <v>9567</v>
      </c>
      <c r="D3245" t="s">
        <v>16955</v>
      </c>
      <c r="E3245" t="s">
        <v>16972</v>
      </c>
      <c r="F3245" t="s">
        <v>16973</v>
      </c>
      <c r="G3245" t="s">
        <v>19195</v>
      </c>
      <c r="H3245" t="s">
        <v>19200</v>
      </c>
      <c r="I3245" t="s">
        <v>18779</v>
      </c>
      <c r="K3245" t="str">
        <f>HYPERLINK("http://tuberculist.epfl.ch/quicksearch.php?gene+name=Rv3153&amp;submit=Search")</f>
        <v>http://tuberculist.epfl.ch/quicksearch.php?gene+name=Rv3153&amp;submit=Search</v>
      </c>
    </row>
    <row r="3246" spans="1:11">
      <c r="A3246" t="s">
        <v>9346</v>
      </c>
      <c r="B3246" t="s">
        <v>3393</v>
      </c>
      <c r="C3246" t="s">
        <v>9567</v>
      </c>
      <c r="D3246" t="s">
        <v>16955</v>
      </c>
      <c r="E3246" t="s">
        <v>16974</v>
      </c>
      <c r="F3246" t="s">
        <v>16975</v>
      </c>
      <c r="G3246" t="s">
        <v>19195</v>
      </c>
      <c r="H3246" t="s">
        <v>19201</v>
      </c>
      <c r="I3246" t="s">
        <v>18780</v>
      </c>
      <c r="K3246" t="str">
        <f>HYPERLINK("http://tuberculist.epfl.ch/quicksearch.php?gene+name=Rv3154&amp;submit=Search")</f>
        <v>http://tuberculist.epfl.ch/quicksearch.php?gene+name=Rv3154&amp;submit=Search</v>
      </c>
    </row>
    <row r="3247" spans="1:11">
      <c r="A3247" t="s">
        <v>318</v>
      </c>
      <c r="B3247" t="s">
        <v>319</v>
      </c>
      <c r="C3247" t="s">
        <v>9567</v>
      </c>
      <c r="D3247" t="s">
        <v>16955</v>
      </c>
      <c r="E3247" t="s">
        <v>16976</v>
      </c>
      <c r="F3247" t="s">
        <v>16977</v>
      </c>
      <c r="G3247" t="s">
        <v>19195</v>
      </c>
      <c r="H3247" t="s">
        <v>19213</v>
      </c>
      <c r="I3247" t="s">
        <v>18779</v>
      </c>
      <c r="K3247" t="str">
        <f>HYPERLINK("http://tuberculist.epfl.ch/quicksearch.php?gene+name=Rv3155&amp;submit=Search")</f>
        <v>http://tuberculist.epfl.ch/quicksearch.php?gene+name=Rv3155&amp;submit=Search</v>
      </c>
    </row>
    <row r="3248" spans="1:11">
      <c r="A3248" t="s">
        <v>7589</v>
      </c>
      <c r="B3248" t="s">
        <v>2546</v>
      </c>
      <c r="C3248" t="s">
        <v>9567</v>
      </c>
      <c r="D3248" t="s">
        <v>16955</v>
      </c>
      <c r="E3248" t="s">
        <v>16978</v>
      </c>
      <c r="F3248" t="s">
        <v>16979</v>
      </c>
      <c r="G3248" t="s">
        <v>19195</v>
      </c>
      <c r="H3248" t="s">
        <v>19233</v>
      </c>
      <c r="I3248" t="s">
        <v>18779</v>
      </c>
      <c r="K3248" t="str">
        <f>HYPERLINK("http://tuberculist.epfl.ch/quicksearch.php?gene+name=Rv3156&amp;submit=Search")</f>
        <v>http://tuberculist.epfl.ch/quicksearch.php?gene+name=Rv3156&amp;submit=Search</v>
      </c>
    </row>
    <row r="3249" spans="1:11">
      <c r="A3249" t="s">
        <v>8204</v>
      </c>
      <c r="B3249" t="s">
        <v>2859</v>
      </c>
      <c r="C3249" t="s">
        <v>9567</v>
      </c>
      <c r="D3249" t="s">
        <v>16955</v>
      </c>
      <c r="E3249" t="s">
        <v>16980</v>
      </c>
      <c r="F3249" t="s">
        <v>16981</v>
      </c>
      <c r="G3249" t="s">
        <v>19195</v>
      </c>
      <c r="H3249" t="s">
        <v>19192</v>
      </c>
      <c r="I3249" t="s">
        <v>18795</v>
      </c>
      <c r="K3249" t="str">
        <f>HYPERLINK("http://tuberculist.epfl.ch/quicksearch.php?gene+name=Rv3157&amp;submit=Search")</f>
        <v>http://tuberculist.epfl.ch/quicksearch.php?gene+name=Rv3157&amp;submit=Search</v>
      </c>
    </row>
    <row r="3250" spans="1:11">
      <c r="A3250" t="s">
        <v>8923</v>
      </c>
      <c r="B3250" t="s">
        <v>3191</v>
      </c>
      <c r="C3250" t="s">
        <v>9567</v>
      </c>
      <c r="D3250" t="s">
        <v>16955</v>
      </c>
      <c r="E3250" t="s">
        <v>16982</v>
      </c>
      <c r="F3250" t="s">
        <v>16983</v>
      </c>
      <c r="G3250" t="s">
        <v>19195</v>
      </c>
      <c r="H3250" t="s">
        <v>20036</v>
      </c>
      <c r="I3250" t="s">
        <v>18789</v>
      </c>
      <c r="K3250" t="str">
        <f>HYPERLINK("http://tuberculist.epfl.ch/quicksearch.php?gene+name=Rv3158&amp;submit=Search")</f>
        <v>http://tuberculist.epfl.ch/quicksearch.php?gene+name=Rv3158&amp;submit=Search</v>
      </c>
    </row>
    <row r="3251" spans="1:11">
      <c r="A3251" t="s">
        <v>5840</v>
      </c>
      <c r="B3251" t="s">
        <v>781</v>
      </c>
      <c r="C3251" t="s">
        <v>9567</v>
      </c>
      <c r="D3251" t="s">
        <v>9578</v>
      </c>
      <c r="E3251" t="s">
        <v>16984</v>
      </c>
      <c r="F3251" t="s">
        <v>16985</v>
      </c>
      <c r="G3251" t="s">
        <v>19262</v>
      </c>
      <c r="H3251" t="s">
        <v>19254</v>
      </c>
      <c r="I3251" t="s">
        <v>18793</v>
      </c>
      <c r="K3251" t="str">
        <f>HYPERLINK("http://tuberculist.epfl.ch/quicksearch.php?gene+name=Rv3159c&amp;submit=Search")</f>
        <v>http://tuberculist.epfl.ch/quicksearch.php?gene+name=Rv3159c&amp;submit=Search</v>
      </c>
    </row>
    <row r="3252" spans="1:11">
      <c r="A3252" t="s">
        <v>1831</v>
      </c>
      <c r="B3252" t="s">
        <v>1831</v>
      </c>
      <c r="C3252" t="s">
        <v>9567</v>
      </c>
      <c r="D3252" t="s">
        <v>9632</v>
      </c>
      <c r="E3252" t="s">
        <v>10130</v>
      </c>
      <c r="F3252" t="s">
        <v>16986</v>
      </c>
      <c r="G3252" t="s">
        <v>19197</v>
      </c>
      <c r="H3252" t="s">
        <v>19213</v>
      </c>
      <c r="I3252" t="s">
        <v>18779</v>
      </c>
      <c r="K3252" t="str">
        <f>HYPERLINK("http://tuberculist.epfl.ch/quicksearch.php?gene+name=Rv3160c&amp;submit=Search")</f>
        <v>http://tuberculist.epfl.ch/quicksearch.php?gene+name=Rv3160c&amp;submit=Search</v>
      </c>
    </row>
    <row r="3253" spans="1:11">
      <c r="A3253" t="s">
        <v>323</v>
      </c>
      <c r="B3253" t="s">
        <v>323</v>
      </c>
      <c r="C3253" t="s">
        <v>9567</v>
      </c>
      <c r="D3253" t="s">
        <v>16731</v>
      </c>
      <c r="E3253" t="s">
        <v>11711</v>
      </c>
      <c r="F3253" t="s">
        <v>16987</v>
      </c>
      <c r="G3253" t="s">
        <v>19195</v>
      </c>
      <c r="H3253" t="s">
        <v>20037</v>
      </c>
      <c r="I3253" t="s">
        <v>18780</v>
      </c>
      <c r="K3253" t="str">
        <f>HYPERLINK("http://tuberculist.epfl.ch/quicksearch.php?gene+name=Rv3161c&amp;submit=Search")</f>
        <v>http://tuberculist.epfl.ch/quicksearch.php?gene+name=Rv3161c&amp;submit=Search</v>
      </c>
    </row>
    <row r="3254" spans="1:11">
      <c r="A3254" t="s">
        <v>16988</v>
      </c>
      <c r="B3254" t="s">
        <v>16988</v>
      </c>
      <c r="C3254" t="s">
        <v>9567</v>
      </c>
      <c r="D3254" t="s">
        <v>9587</v>
      </c>
      <c r="E3254" t="s">
        <v>13704</v>
      </c>
      <c r="F3254" t="s">
        <v>16989</v>
      </c>
      <c r="G3254" t="s">
        <v>19188</v>
      </c>
      <c r="I3254" t="s">
        <v>18793</v>
      </c>
      <c r="J3254" t="s">
        <v>18775</v>
      </c>
      <c r="K3254" t="str">
        <f>HYPERLINK("http://tuberculist.epfl.ch/quicksearch.php?gene+name=Rv3162c&amp;submit=Search")</f>
        <v>http://tuberculist.epfl.ch/quicksearch.php?gene+name=Rv3162c&amp;submit=Search</v>
      </c>
    </row>
    <row r="3255" spans="1:11">
      <c r="A3255" t="s">
        <v>16990</v>
      </c>
      <c r="B3255" t="s">
        <v>16990</v>
      </c>
      <c r="C3255" t="s">
        <v>9567</v>
      </c>
      <c r="D3255" t="s">
        <v>9587</v>
      </c>
      <c r="E3255" t="s">
        <v>10446</v>
      </c>
      <c r="F3255" t="s">
        <v>16991</v>
      </c>
      <c r="G3255" t="s">
        <v>19188</v>
      </c>
      <c r="I3255" t="s">
        <v>18779</v>
      </c>
      <c r="K3255" t="str">
        <f>HYPERLINK("http://tuberculist.epfl.ch/quicksearch.php?gene+name=Rv3163c&amp;submit=Search")</f>
        <v>http://tuberculist.epfl.ch/quicksearch.php?gene+name=Rv3163c&amp;submit=Search</v>
      </c>
    </row>
    <row r="3256" spans="1:11">
      <c r="A3256" t="s">
        <v>3515</v>
      </c>
      <c r="B3256" t="s">
        <v>515</v>
      </c>
      <c r="C3256" t="s">
        <v>9567</v>
      </c>
      <c r="D3256" t="s">
        <v>16992</v>
      </c>
      <c r="E3256" t="s">
        <v>16993</v>
      </c>
      <c r="F3256" t="s">
        <v>16994</v>
      </c>
      <c r="G3256" t="s">
        <v>19197</v>
      </c>
      <c r="H3256" t="s">
        <v>19371</v>
      </c>
      <c r="I3256" t="s">
        <v>18779</v>
      </c>
      <c r="K3256" t="str">
        <f>HYPERLINK("http://tuberculist.epfl.ch/quicksearch.php?gene+name=Rv3164c&amp;submit=Search")</f>
        <v>http://tuberculist.epfl.ch/quicksearch.php?gene+name=Rv3164c&amp;submit=Search</v>
      </c>
    </row>
    <row r="3257" spans="1:11">
      <c r="A3257" t="s">
        <v>16995</v>
      </c>
      <c r="B3257" t="s">
        <v>16995</v>
      </c>
      <c r="C3257" t="s">
        <v>9567</v>
      </c>
      <c r="D3257" t="s">
        <v>9587</v>
      </c>
      <c r="E3257" t="s">
        <v>9768</v>
      </c>
      <c r="F3257" t="s">
        <v>16996</v>
      </c>
      <c r="G3257" t="s">
        <v>19208</v>
      </c>
      <c r="H3257" t="s">
        <v>19252</v>
      </c>
      <c r="I3257" t="s">
        <v>18773</v>
      </c>
      <c r="K3257" t="str">
        <f>HYPERLINK("http://tuberculist.epfl.ch/quicksearch.php?gene+name=Rv3165c&amp;submit=Search")</f>
        <v>http://tuberculist.epfl.ch/quicksearch.php?gene+name=Rv3165c&amp;submit=Search</v>
      </c>
    </row>
    <row r="3258" spans="1:11">
      <c r="A3258" t="s">
        <v>16997</v>
      </c>
      <c r="B3258" t="s">
        <v>16997</v>
      </c>
      <c r="C3258" t="s">
        <v>9567</v>
      </c>
      <c r="D3258" t="s">
        <v>9578</v>
      </c>
      <c r="E3258" t="s">
        <v>9579</v>
      </c>
      <c r="F3258" t="s">
        <v>16998</v>
      </c>
      <c r="G3258" t="s">
        <v>19212</v>
      </c>
      <c r="I3258" t="s">
        <v>18779</v>
      </c>
      <c r="K3258" t="str">
        <f>HYPERLINK("http://tuberculist.epfl.ch/quicksearch.php?gene+name=Rv3166c&amp;submit=Search")</f>
        <v>http://tuberculist.epfl.ch/quicksearch.php?gene+name=Rv3166c&amp;submit=Search</v>
      </c>
    </row>
    <row r="3259" spans="1:11">
      <c r="A3259" t="s">
        <v>16999</v>
      </c>
      <c r="B3259" t="s">
        <v>16999</v>
      </c>
      <c r="C3259" t="s">
        <v>9567</v>
      </c>
      <c r="D3259" t="s">
        <v>9629</v>
      </c>
      <c r="E3259" t="s">
        <v>11955</v>
      </c>
      <c r="F3259" t="s">
        <v>17000</v>
      </c>
      <c r="G3259" t="s">
        <v>19197</v>
      </c>
      <c r="I3259" t="s">
        <v>18780</v>
      </c>
      <c r="K3259" t="str">
        <f>HYPERLINK("http://tuberculist.epfl.ch/quicksearch.php?gene+name=Rv3167c&amp;submit=Search")</f>
        <v>http://tuberculist.epfl.ch/quicksearch.php?gene+name=Rv3167c&amp;submit=Search</v>
      </c>
    </row>
    <row r="3260" spans="1:11">
      <c r="A3260" t="s">
        <v>2137</v>
      </c>
      <c r="B3260" t="s">
        <v>2137</v>
      </c>
      <c r="C3260" t="s">
        <v>9567</v>
      </c>
      <c r="D3260" t="s">
        <v>17001</v>
      </c>
      <c r="E3260" t="s">
        <v>17002</v>
      </c>
      <c r="F3260" t="s">
        <v>17003</v>
      </c>
      <c r="G3260" t="s">
        <v>19206</v>
      </c>
      <c r="H3260" t="s">
        <v>19287</v>
      </c>
      <c r="I3260" t="s">
        <v>18890</v>
      </c>
      <c r="K3260" t="str">
        <f>HYPERLINK("http://tuberculist.epfl.ch/quicksearch.php?gene+name=Rv3168&amp;submit=Search")</f>
        <v>http://tuberculist.epfl.ch/quicksearch.php?gene+name=Rv3168&amp;submit=Search</v>
      </c>
    </row>
    <row r="3261" spans="1:11">
      <c r="A3261" t="s">
        <v>3082</v>
      </c>
      <c r="B3261" t="s">
        <v>3082</v>
      </c>
      <c r="C3261" t="s">
        <v>9567</v>
      </c>
      <c r="D3261" t="s">
        <v>9578</v>
      </c>
      <c r="E3261" t="s">
        <v>9665</v>
      </c>
      <c r="F3261" t="s">
        <v>17004</v>
      </c>
      <c r="G3261" t="s">
        <v>19212</v>
      </c>
      <c r="H3261" t="s">
        <v>19269</v>
      </c>
      <c r="I3261" t="s">
        <v>18789</v>
      </c>
      <c r="K3261" t="str">
        <f>HYPERLINK("http://tuberculist.epfl.ch/quicksearch.php?gene+name=Rv3169&amp;submit=Search")</f>
        <v>http://tuberculist.epfl.ch/quicksearch.php?gene+name=Rv3169&amp;submit=Search</v>
      </c>
    </row>
    <row r="3262" spans="1:11">
      <c r="A3262" t="s">
        <v>6752</v>
      </c>
      <c r="B3262" t="s">
        <v>2138</v>
      </c>
      <c r="C3262" t="s">
        <v>9567</v>
      </c>
      <c r="D3262" t="s">
        <v>17005</v>
      </c>
      <c r="E3262" t="s">
        <v>17006</v>
      </c>
      <c r="F3262" t="s">
        <v>17007</v>
      </c>
      <c r="G3262" t="s">
        <v>19195</v>
      </c>
      <c r="H3262" t="s">
        <v>19946</v>
      </c>
      <c r="I3262" t="s">
        <v>18845</v>
      </c>
      <c r="K3262" t="str">
        <f>HYPERLINK("http://tuberculist.epfl.ch/quicksearch.php?gene+name=Rv3170&amp;submit=Search")</f>
        <v>http://tuberculist.epfl.ch/quicksearch.php?gene+name=Rv3170&amp;submit=Search</v>
      </c>
    </row>
    <row r="3263" spans="1:11">
      <c r="A3263" t="s">
        <v>7621</v>
      </c>
      <c r="B3263" t="s">
        <v>2564</v>
      </c>
      <c r="C3263" t="s">
        <v>9567</v>
      </c>
      <c r="D3263" t="s">
        <v>10841</v>
      </c>
      <c r="E3263" t="s">
        <v>17008</v>
      </c>
      <c r="F3263" t="s">
        <v>17009</v>
      </c>
      <c r="G3263" t="s">
        <v>19206</v>
      </c>
      <c r="H3263" t="s">
        <v>19207</v>
      </c>
      <c r="I3263" t="s">
        <v>18780</v>
      </c>
      <c r="K3263" t="str">
        <f>HYPERLINK("http://tuberculist.epfl.ch/quicksearch.php?gene+name=Rv3171c&amp;submit=Search")</f>
        <v>http://tuberculist.epfl.ch/quicksearch.php?gene+name=Rv3171c&amp;submit=Search</v>
      </c>
    </row>
    <row r="3264" spans="1:11">
      <c r="A3264" t="s">
        <v>2139</v>
      </c>
      <c r="B3264" t="s">
        <v>2139</v>
      </c>
      <c r="C3264" t="s">
        <v>9567</v>
      </c>
      <c r="D3264" t="s">
        <v>9587</v>
      </c>
      <c r="E3264" t="s">
        <v>9713</v>
      </c>
      <c r="F3264" t="s">
        <v>17010</v>
      </c>
      <c r="G3264" t="s">
        <v>19204</v>
      </c>
      <c r="I3264" t="s">
        <v>18780</v>
      </c>
      <c r="K3264" t="str">
        <f>HYPERLINK("http://tuberculist.epfl.ch/quicksearch.php?gene+name=Rv3172c&amp;submit=Search")</f>
        <v>http://tuberculist.epfl.ch/quicksearch.php?gene+name=Rv3172c&amp;submit=Search</v>
      </c>
    </row>
    <row r="3265" spans="1:11">
      <c r="A3265" t="s">
        <v>466</v>
      </c>
      <c r="B3265" t="s">
        <v>466</v>
      </c>
      <c r="C3265" t="s">
        <v>9567</v>
      </c>
      <c r="D3265" t="s">
        <v>17011</v>
      </c>
      <c r="E3265" t="s">
        <v>10113</v>
      </c>
      <c r="F3265" t="s">
        <v>17012</v>
      </c>
      <c r="G3265" t="s">
        <v>19197</v>
      </c>
      <c r="H3265" t="s">
        <v>19207</v>
      </c>
      <c r="I3265" t="s">
        <v>18779</v>
      </c>
      <c r="K3265" t="str">
        <f>HYPERLINK("http://tuberculist.epfl.ch/quicksearch.php?gene+name=Rv3173c&amp;submit=Search")</f>
        <v>http://tuberculist.epfl.ch/quicksearch.php?gene+name=Rv3173c&amp;submit=Search</v>
      </c>
    </row>
    <row r="3266" spans="1:11">
      <c r="A3266" t="s">
        <v>17013</v>
      </c>
      <c r="B3266" t="s">
        <v>17013</v>
      </c>
      <c r="C3266" t="s">
        <v>9567</v>
      </c>
      <c r="D3266" t="s">
        <v>16731</v>
      </c>
      <c r="E3266" t="s">
        <v>17014</v>
      </c>
      <c r="F3266" t="s">
        <v>17015</v>
      </c>
      <c r="G3266" t="s">
        <v>19195</v>
      </c>
      <c r="I3266" t="s">
        <v>18780</v>
      </c>
      <c r="K3266" t="str">
        <f>HYPERLINK("http://tuberculist.epfl.ch/quicksearch.php?gene+name=Rv3174&amp;submit=Search")</f>
        <v>http://tuberculist.epfl.ch/quicksearch.php?gene+name=Rv3174&amp;submit=Search</v>
      </c>
    </row>
    <row r="3267" spans="1:11">
      <c r="A3267" t="s">
        <v>3166</v>
      </c>
      <c r="B3267" t="s">
        <v>3166</v>
      </c>
      <c r="C3267" t="s">
        <v>9567</v>
      </c>
      <c r="D3267" t="s">
        <v>16731</v>
      </c>
      <c r="E3267" t="s">
        <v>17016</v>
      </c>
      <c r="F3267" t="s">
        <v>17017</v>
      </c>
      <c r="G3267" t="s">
        <v>19195</v>
      </c>
      <c r="I3267" t="s">
        <v>18780</v>
      </c>
      <c r="K3267" t="str">
        <f>HYPERLINK("http://tuberculist.epfl.ch/quicksearch.php?gene+name=Rv3175&amp;submit=Search")</f>
        <v>http://tuberculist.epfl.ch/quicksearch.php?gene+name=Rv3175&amp;submit=Search</v>
      </c>
    </row>
    <row r="3268" spans="1:11">
      <c r="A3268" t="s">
        <v>17018</v>
      </c>
      <c r="B3268" t="s">
        <v>17019</v>
      </c>
      <c r="C3268" t="s">
        <v>9567</v>
      </c>
      <c r="D3268" t="s">
        <v>17020</v>
      </c>
      <c r="E3268" t="s">
        <v>17021</v>
      </c>
      <c r="F3268" t="s">
        <v>17022</v>
      </c>
      <c r="G3268" t="s">
        <v>19206</v>
      </c>
      <c r="H3268" t="s">
        <v>19213</v>
      </c>
      <c r="I3268" t="s">
        <v>18779</v>
      </c>
      <c r="K3268" t="str">
        <f>HYPERLINK("http://tuberculist.epfl.ch/quicksearch.php?gene+name=Rv3176c&amp;submit=Search")</f>
        <v>http://tuberculist.epfl.ch/quicksearch.php?gene+name=Rv3176c&amp;submit=Search</v>
      </c>
    </row>
    <row r="3269" spans="1:11">
      <c r="A3269" t="s">
        <v>978</v>
      </c>
      <c r="B3269" t="s">
        <v>978</v>
      </c>
      <c r="C3269" t="s">
        <v>9567</v>
      </c>
      <c r="D3269" t="s">
        <v>10841</v>
      </c>
      <c r="E3269" t="s">
        <v>17023</v>
      </c>
      <c r="F3269" t="s">
        <v>17024</v>
      </c>
      <c r="G3269" t="s">
        <v>19206</v>
      </c>
      <c r="I3269" t="s">
        <v>18838</v>
      </c>
      <c r="K3269" t="str">
        <f>HYPERLINK("http://tuberculist.epfl.ch/quicksearch.php?gene+name=Rv3177&amp;submit=Search")</f>
        <v>http://tuberculist.epfl.ch/quicksearch.php?gene+name=Rv3177&amp;submit=Search</v>
      </c>
    </row>
    <row r="3270" spans="1:11">
      <c r="A3270" t="s">
        <v>17025</v>
      </c>
      <c r="B3270" t="s">
        <v>17025</v>
      </c>
      <c r="C3270" t="s">
        <v>9567</v>
      </c>
      <c r="D3270" t="s">
        <v>9578</v>
      </c>
      <c r="E3270" t="s">
        <v>9579</v>
      </c>
      <c r="F3270" t="s">
        <v>17026</v>
      </c>
      <c r="G3270" t="s">
        <v>19212</v>
      </c>
      <c r="I3270" t="s">
        <v>18810</v>
      </c>
      <c r="K3270" t="str">
        <f>HYPERLINK("http://tuberculist.epfl.ch/quicksearch.php?gene+name=Rv3178&amp;submit=Search")</f>
        <v>http://tuberculist.epfl.ch/quicksearch.php?gene+name=Rv3178&amp;submit=Search</v>
      </c>
    </row>
    <row r="3271" spans="1:11">
      <c r="A3271" t="s">
        <v>2032</v>
      </c>
      <c r="B3271" t="s">
        <v>2032</v>
      </c>
      <c r="C3271" t="s">
        <v>9567</v>
      </c>
      <c r="D3271" t="s">
        <v>9578</v>
      </c>
      <c r="E3271" t="s">
        <v>9665</v>
      </c>
      <c r="F3271" t="s">
        <v>17027</v>
      </c>
      <c r="G3271" t="s">
        <v>19212</v>
      </c>
      <c r="H3271" t="s">
        <v>19192</v>
      </c>
      <c r="I3271" t="s">
        <v>18789</v>
      </c>
      <c r="K3271" t="str">
        <f>HYPERLINK("http://tuberculist.epfl.ch/quicksearch.php?gene+name=Rv3179&amp;submit=Search")</f>
        <v>http://tuberculist.epfl.ch/quicksearch.php?gene+name=Rv3179&amp;submit=Search</v>
      </c>
    </row>
    <row r="3272" spans="1:11">
      <c r="A3272" t="s">
        <v>17028</v>
      </c>
      <c r="B3272" t="s">
        <v>17028</v>
      </c>
      <c r="C3272" t="s">
        <v>9567</v>
      </c>
      <c r="D3272" t="s">
        <v>9587</v>
      </c>
      <c r="E3272" t="s">
        <v>15423</v>
      </c>
      <c r="F3272" t="s">
        <v>17029</v>
      </c>
      <c r="G3272" t="s">
        <v>19212</v>
      </c>
      <c r="I3272" t="s">
        <v>18780</v>
      </c>
      <c r="K3272" t="str">
        <f>HYPERLINK("http://tuberculist.epfl.ch/quicksearch.php?gene+name=Rv3180c&amp;submit=Search")</f>
        <v>http://tuberculist.epfl.ch/quicksearch.php?gene+name=Rv3180c&amp;submit=Search</v>
      </c>
    </row>
    <row r="3273" spans="1:11">
      <c r="A3273" t="s">
        <v>17030</v>
      </c>
      <c r="B3273" t="s">
        <v>17030</v>
      </c>
      <c r="C3273" t="s">
        <v>9567</v>
      </c>
      <c r="D3273" t="s">
        <v>9578</v>
      </c>
      <c r="E3273" t="s">
        <v>9665</v>
      </c>
      <c r="F3273" t="s">
        <v>17031</v>
      </c>
      <c r="G3273" t="s">
        <v>19298</v>
      </c>
      <c r="H3273" t="s">
        <v>19250</v>
      </c>
      <c r="I3273" t="s">
        <v>18779</v>
      </c>
      <c r="K3273" t="str">
        <f>HYPERLINK("http://tuberculist.epfl.ch/quicksearch.php?gene+name=Rv3181c&amp;submit=Search")</f>
        <v>http://tuberculist.epfl.ch/quicksearch.php?gene+name=Rv3181c&amp;submit=Search</v>
      </c>
    </row>
    <row r="3274" spans="1:11">
      <c r="A3274" t="s">
        <v>2853</v>
      </c>
      <c r="B3274" t="s">
        <v>2853</v>
      </c>
      <c r="C3274" t="s">
        <v>9567</v>
      </c>
      <c r="D3274" t="s">
        <v>9578</v>
      </c>
      <c r="E3274" t="s">
        <v>9579</v>
      </c>
      <c r="F3274" t="s">
        <v>17032</v>
      </c>
      <c r="G3274" t="s">
        <v>19212</v>
      </c>
      <c r="I3274" t="s">
        <v>18773</v>
      </c>
      <c r="K3274" t="str">
        <f>HYPERLINK("http://tuberculist.epfl.ch/quicksearch.php?gene+name=Rv3182&amp;submit=Search")</f>
        <v>http://tuberculist.epfl.ch/quicksearch.php?gene+name=Rv3182&amp;submit=Search</v>
      </c>
    </row>
    <row r="3275" spans="1:11">
      <c r="A3275" t="s">
        <v>17033</v>
      </c>
      <c r="B3275" t="s">
        <v>17033</v>
      </c>
      <c r="C3275" t="s">
        <v>9567</v>
      </c>
      <c r="D3275" t="s">
        <v>9629</v>
      </c>
      <c r="E3275" t="s">
        <v>9633</v>
      </c>
      <c r="F3275" t="s">
        <v>17034</v>
      </c>
      <c r="G3275" t="s">
        <v>19197</v>
      </c>
      <c r="I3275" t="s">
        <v>18789</v>
      </c>
      <c r="K3275" t="str">
        <f>HYPERLINK("http://tuberculist.epfl.ch/quicksearch.php?gene+name=Rv3183&amp;submit=Search")</f>
        <v>http://tuberculist.epfl.ch/quicksearch.php?gene+name=Rv3183&amp;submit=Search</v>
      </c>
    </row>
    <row r="3276" spans="1:11">
      <c r="A3276" t="s">
        <v>17035</v>
      </c>
      <c r="B3276" t="s">
        <v>17035</v>
      </c>
      <c r="C3276" t="s">
        <v>9567</v>
      </c>
      <c r="D3276" t="s">
        <v>17036</v>
      </c>
      <c r="E3276" t="s">
        <v>15093</v>
      </c>
      <c r="F3276" t="s">
        <v>17037</v>
      </c>
      <c r="G3276" t="s">
        <v>19217</v>
      </c>
      <c r="I3276" t="s">
        <v>18802</v>
      </c>
      <c r="K3276" t="str">
        <f>HYPERLINK("http://tuberculist.epfl.ch/quicksearch.php?gene+name=Rv3184&amp;submit=Search")</f>
        <v>http://tuberculist.epfl.ch/quicksearch.php?gene+name=Rv3184&amp;submit=Search</v>
      </c>
    </row>
    <row r="3277" spans="1:11">
      <c r="A3277" t="s">
        <v>17038</v>
      </c>
      <c r="B3277" t="s">
        <v>17038</v>
      </c>
      <c r="C3277" t="s">
        <v>9567</v>
      </c>
      <c r="D3277" t="s">
        <v>17036</v>
      </c>
      <c r="E3277" t="s">
        <v>11730</v>
      </c>
      <c r="F3277" t="s">
        <v>17039</v>
      </c>
      <c r="G3277" t="s">
        <v>19217</v>
      </c>
      <c r="I3277" t="s">
        <v>18802</v>
      </c>
      <c r="K3277" t="str">
        <f>HYPERLINK("http://tuberculist.epfl.ch/quicksearch.php?gene+name=Rv3185&amp;submit=Search")</f>
        <v>http://tuberculist.epfl.ch/quicksearch.php?gene+name=Rv3185&amp;submit=Search</v>
      </c>
    </row>
    <row r="3278" spans="1:11">
      <c r="A3278" t="s">
        <v>17040</v>
      </c>
      <c r="B3278" t="s">
        <v>17040</v>
      </c>
      <c r="C3278" t="s">
        <v>9567</v>
      </c>
      <c r="D3278" t="s">
        <v>17041</v>
      </c>
      <c r="E3278" t="s">
        <v>15093</v>
      </c>
      <c r="F3278" t="s">
        <v>17042</v>
      </c>
      <c r="G3278" t="s">
        <v>19217</v>
      </c>
      <c r="I3278" t="s">
        <v>18802</v>
      </c>
      <c r="K3278" t="str">
        <f>HYPERLINK("http://tuberculist.epfl.ch/quicksearch.php?gene+name=Rv3186&amp;submit=Search")</f>
        <v>http://tuberculist.epfl.ch/quicksearch.php?gene+name=Rv3186&amp;submit=Search</v>
      </c>
    </row>
    <row r="3279" spans="1:11">
      <c r="A3279" t="s">
        <v>17043</v>
      </c>
      <c r="B3279" t="s">
        <v>17043</v>
      </c>
      <c r="C3279" t="s">
        <v>9567</v>
      </c>
      <c r="D3279" t="s">
        <v>17041</v>
      </c>
      <c r="E3279" t="s">
        <v>11730</v>
      </c>
      <c r="F3279" t="s">
        <v>17044</v>
      </c>
      <c r="G3279" t="s">
        <v>19217</v>
      </c>
      <c r="I3279" t="s">
        <v>18802</v>
      </c>
      <c r="K3279" t="str">
        <f>HYPERLINK("http://tuberculist.epfl.ch/quicksearch.php?gene+name=Rv3187&amp;submit=Search")</f>
        <v>http://tuberculist.epfl.ch/quicksearch.php?gene+name=Rv3187&amp;submit=Search</v>
      </c>
    </row>
    <row r="3280" spans="1:11">
      <c r="A3280" t="s">
        <v>17045</v>
      </c>
      <c r="B3280" t="s">
        <v>17045</v>
      </c>
      <c r="C3280" t="s">
        <v>9567</v>
      </c>
      <c r="D3280" t="s">
        <v>9578</v>
      </c>
      <c r="E3280" t="s">
        <v>9579</v>
      </c>
      <c r="F3280" t="s">
        <v>17046</v>
      </c>
      <c r="G3280" t="s">
        <v>19212</v>
      </c>
      <c r="H3280" t="s">
        <v>19213</v>
      </c>
      <c r="I3280" t="s">
        <v>18797</v>
      </c>
      <c r="K3280" t="str">
        <f>HYPERLINK("http://tuberculist.epfl.ch/quicksearch.php?gene+name=Rv3188&amp;submit=Search")</f>
        <v>http://tuberculist.epfl.ch/quicksearch.php?gene+name=Rv3188&amp;submit=Search</v>
      </c>
    </row>
    <row r="3281" spans="1:11">
      <c r="A3281" t="s">
        <v>17047</v>
      </c>
      <c r="B3281" t="s">
        <v>17047</v>
      </c>
      <c r="C3281" t="s">
        <v>9567</v>
      </c>
      <c r="D3281" t="s">
        <v>9578</v>
      </c>
      <c r="E3281" t="s">
        <v>9579</v>
      </c>
      <c r="F3281" t="s">
        <v>17048</v>
      </c>
      <c r="G3281" t="s">
        <v>19185</v>
      </c>
      <c r="I3281" t="s">
        <v>18821</v>
      </c>
      <c r="K3281" t="str">
        <f>HYPERLINK("http://tuberculist.epfl.ch/quicksearch.php?gene+name=Rv3189&amp;submit=Search")</f>
        <v>http://tuberculist.epfl.ch/quicksearch.php?gene+name=Rv3189&amp;submit=Search</v>
      </c>
    </row>
    <row r="3282" spans="1:11">
      <c r="A3282" t="s">
        <v>17049</v>
      </c>
      <c r="B3282" t="s">
        <v>17049</v>
      </c>
      <c r="C3282" t="s">
        <v>9567</v>
      </c>
      <c r="D3282" t="s">
        <v>9587</v>
      </c>
      <c r="E3282" t="s">
        <v>9665</v>
      </c>
      <c r="F3282" t="s">
        <v>17050</v>
      </c>
      <c r="G3282" t="s">
        <v>19212</v>
      </c>
      <c r="H3282" t="s">
        <v>20038</v>
      </c>
      <c r="I3282" t="s">
        <v>18773</v>
      </c>
      <c r="K3282" t="str">
        <f>HYPERLINK("http://tuberculist.epfl.ch/quicksearch.php?gene+name=Rv3190A&amp;submit=Search")</f>
        <v>http://tuberculist.epfl.ch/quicksearch.php?gene+name=Rv3190A&amp;submit=Search</v>
      </c>
    </row>
    <row r="3283" spans="1:11">
      <c r="A3283" t="s">
        <v>1123</v>
      </c>
      <c r="B3283" t="s">
        <v>1123</v>
      </c>
      <c r="C3283" t="s">
        <v>9567</v>
      </c>
      <c r="D3283" t="s">
        <v>9587</v>
      </c>
      <c r="E3283" t="s">
        <v>9713</v>
      </c>
      <c r="F3283" t="s">
        <v>17051</v>
      </c>
      <c r="G3283" t="s">
        <v>19212</v>
      </c>
      <c r="H3283" t="s">
        <v>19235</v>
      </c>
      <c r="I3283" t="s">
        <v>18780</v>
      </c>
      <c r="K3283" t="str">
        <f>HYPERLINK("http://tuberculist.epfl.ch/quicksearch.php?gene+name=Rv3190c&amp;submit=Search")</f>
        <v>http://tuberculist.epfl.ch/quicksearch.php?gene+name=Rv3190c&amp;submit=Search</v>
      </c>
    </row>
    <row r="3284" spans="1:11">
      <c r="A3284" t="s">
        <v>494</v>
      </c>
      <c r="B3284" t="s">
        <v>494</v>
      </c>
      <c r="C3284" t="s">
        <v>9567</v>
      </c>
      <c r="D3284" t="s">
        <v>17052</v>
      </c>
      <c r="E3284" t="s">
        <v>11730</v>
      </c>
      <c r="F3284" t="s">
        <v>17053</v>
      </c>
      <c r="G3284" t="s">
        <v>19217</v>
      </c>
      <c r="H3284" t="s">
        <v>19215</v>
      </c>
      <c r="I3284" t="s">
        <v>18789</v>
      </c>
      <c r="K3284" t="str">
        <f>HYPERLINK("http://tuberculist.epfl.ch/quicksearch.php?gene+name=Rv3191c&amp;submit=Search")</f>
        <v>http://tuberculist.epfl.ch/quicksearch.php?gene+name=Rv3191c&amp;submit=Search</v>
      </c>
    </row>
    <row r="3285" spans="1:11">
      <c r="A3285" t="s">
        <v>17054</v>
      </c>
      <c r="B3285" t="s">
        <v>17054</v>
      </c>
      <c r="C3285" t="s">
        <v>9567</v>
      </c>
      <c r="D3285" t="s">
        <v>9578</v>
      </c>
      <c r="E3285" t="s">
        <v>17055</v>
      </c>
      <c r="F3285" t="s">
        <v>17056</v>
      </c>
      <c r="G3285" t="s">
        <v>19212</v>
      </c>
      <c r="I3285" t="s">
        <v>18780</v>
      </c>
      <c r="K3285" t="str">
        <f>HYPERLINK("http://tuberculist.epfl.ch/quicksearch.php?gene+name=Rv3192&amp;submit=Search")</f>
        <v>http://tuberculist.epfl.ch/quicksearch.php?gene+name=Rv3192&amp;submit=Search</v>
      </c>
    </row>
    <row r="3286" spans="1:11">
      <c r="A3286" t="s">
        <v>989</v>
      </c>
      <c r="B3286" t="s">
        <v>989</v>
      </c>
      <c r="C3286" t="s">
        <v>9567</v>
      </c>
      <c r="D3286" t="s">
        <v>9587</v>
      </c>
      <c r="E3286" t="s">
        <v>9597</v>
      </c>
      <c r="F3286" t="s">
        <v>17057</v>
      </c>
      <c r="G3286" t="s">
        <v>19188</v>
      </c>
      <c r="H3286" t="s">
        <v>20039</v>
      </c>
      <c r="I3286" t="s">
        <v>18981</v>
      </c>
      <c r="K3286" t="str">
        <f>HYPERLINK("http://tuberculist.epfl.ch/quicksearch.php?gene+name=Rv3193c&amp;submit=Search")</f>
        <v>http://tuberculist.epfl.ch/quicksearch.php?gene+name=Rv3193c&amp;submit=Search</v>
      </c>
    </row>
    <row r="3287" spans="1:11">
      <c r="A3287" t="s">
        <v>2151</v>
      </c>
      <c r="B3287" t="s">
        <v>2151</v>
      </c>
      <c r="C3287" t="s">
        <v>9567</v>
      </c>
      <c r="D3287" t="s">
        <v>9578</v>
      </c>
      <c r="E3287" t="s">
        <v>10446</v>
      </c>
      <c r="F3287" t="s">
        <v>17058</v>
      </c>
      <c r="G3287" t="s">
        <v>19188</v>
      </c>
      <c r="H3287" t="s">
        <v>20040</v>
      </c>
      <c r="I3287" t="s">
        <v>18780</v>
      </c>
      <c r="K3287" t="str">
        <f>HYPERLINK("http://tuberculist.epfl.ch/quicksearch.php?gene+name=Rv3194c&amp;submit=Search")</f>
        <v>http://tuberculist.epfl.ch/quicksearch.php?gene+name=Rv3194c&amp;submit=Search</v>
      </c>
    </row>
    <row r="3288" spans="1:11">
      <c r="A3288" t="s">
        <v>1937</v>
      </c>
      <c r="B3288" t="s">
        <v>1937</v>
      </c>
      <c r="C3288" t="s">
        <v>9567</v>
      </c>
      <c r="D3288" t="s">
        <v>9578</v>
      </c>
      <c r="E3288" t="s">
        <v>9579</v>
      </c>
      <c r="F3288" t="s">
        <v>17059</v>
      </c>
      <c r="G3288" t="s">
        <v>19210</v>
      </c>
      <c r="I3288" t="s">
        <v>18780</v>
      </c>
      <c r="K3288" t="str">
        <f>HYPERLINK("http://tuberculist.epfl.ch/quicksearch.php?gene+name=Rv3195&amp;submit=Search")</f>
        <v>http://tuberculist.epfl.ch/quicksearch.php?gene+name=Rv3195&amp;submit=Search</v>
      </c>
    </row>
    <row r="3289" spans="1:11">
      <c r="A3289" t="s">
        <v>3210</v>
      </c>
      <c r="B3289" t="s">
        <v>3210</v>
      </c>
      <c r="C3289" t="s">
        <v>9567</v>
      </c>
      <c r="D3289" t="s">
        <v>9578</v>
      </c>
      <c r="E3289" t="s">
        <v>9579</v>
      </c>
      <c r="F3289" t="s">
        <v>17060</v>
      </c>
      <c r="G3289" t="s">
        <v>19185</v>
      </c>
      <c r="I3289" t="s">
        <v>18780</v>
      </c>
      <c r="K3289" t="str">
        <f>HYPERLINK("http://tuberculist.epfl.ch/quicksearch.php?gene+name=Rv3196&amp;submit=Search")</f>
        <v>http://tuberculist.epfl.ch/quicksearch.php?gene+name=Rv3196&amp;submit=Search</v>
      </c>
    </row>
    <row r="3290" spans="1:11">
      <c r="A3290" t="s">
        <v>17061</v>
      </c>
      <c r="B3290" t="s">
        <v>17061</v>
      </c>
      <c r="C3290" t="s">
        <v>9567</v>
      </c>
      <c r="D3290" t="s">
        <v>9587</v>
      </c>
      <c r="E3290" t="s">
        <v>9768</v>
      </c>
      <c r="F3290" t="s">
        <v>17062</v>
      </c>
      <c r="G3290" t="s">
        <v>19210</v>
      </c>
      <c r="H3290" t="s">
        <v>20041</v>
      </c>
      <c r="I3290" t="s">
        <v>18793</v>
      </c>
      <c r="K3290" t="str">
        <f>HYPERLINK("http://tuberculist.epfl.ch/quicksearch.php?gene+name=Rv3196A&amp;submit=Search")</f>
        <v>http://tuberculist.epfl.ch/quicksearch.php?gene+name=Rv3196A&amp;submit=Search</v>
      </c>
    </row>
    <row r="3291" spans="1:11">
      <c r="A3291" t="s">
        <v>327</v>
      </c>
      <c r="B3291" t="s">
        <v>327</v>
      </c>
      <c r="C3291" t="s">
        <v>9567</v>
      </c>
      <c r="D3291" t="s">
        <v>13011</v>
      </c>
      <c r="E3291" t="s">
        <v>13012</v>
      </c>
      <c r="F3291" t="s">
        <v>17063</v>
      </c>
      <c r="G3291" t="s">
        <v>19188</v>
      </c>
      <c r="H3291" t="s">
        <v>19371</v>
      </c>
      <c r="I3291" t="s">
        <v>18789</v>
      </c>
      <c r="K3291" t="str">
        <f>HYPERLINK("http://tuberculist.epfl.ch/quicksearch.php?gene+name=Rv3197&amp;submit=Search")</f>
        <v>http://tuberculist.epfl.ch/quicksearch.php?gene+name=Rv3197&amp;submit=Search</v>
      </c>
    </row>
    <row r="3292" spans="1:11">
      <c r="A3292" t="s">
        <v>9512</v>
      </c>
      <c r="B3292" t="s">
        <v>437</v>
      </c>
      <c r="C3292" t="s">
        <v>9567</v>
      </c>
      <c r="D3292" t="s">
        <v>9629</v>
      </c>
      <c r="E3292" t="s">
        <v>17064</v>
      </c>
      <c r="F3292" t="s">
        <v>17065</v>
      </c>
      <c r="G3292" t="s">
        <v>19197</v>
      </c>
      <c r="I3292" t="s">
        <v>18793</v>
      </c>
      <c r="J3292" t="s">
        <v>18778</v>
      </c>
      <c r="K3292" t="str">
        <f>HYPERLINK("http://tuberculist.epfl.ch/quicksearch.php?gene+name=Rv3197A&amp;submit=Search")</f>
        <v>http://tuberculist.epfl.ch/quicksearch.php?gene+name=Rv3197A&amp;submit=Search</v>
      </c>
    </row>
    <row r="3293" spans="1:11">
      <c r="A3293" t="s">
        <v>3348</v>
      </c>
      <c r="B3293" t="s">
        <v>3348</v>
      </c>
      <c r="C3293" t="s">
        <v>9567</v>
      </c>
      <c r="D3293" t="s">
        <v>9578</v>
      </c>
      <c r="E3293" t="s">
        <v>17066</v>
      </c>
      <c r="F3293" t="s">
        <v>17067</v>
      </c>
      <c r="G3293" t="s">
        <v>19195</v>
      </c>
      <c r="H3293" t="s">
        <v>19213</v>
      </c>
      <c r="I3293" t="s">
        <v>18793</v>
      </c>
      <c r="K3293" t="str">
        <f>HYPERLINK("http://tuberculist.epfl.ch/quicksearch.php?gene+name=Rv3198A&amp;submit=Search")</f>
        <v>http://tuberculist.epfl.ch/quicksearch.php?gene+name=Rv3198A&amp;submit=Search</v>
      </c>
    </row>
    <row r="3294" spans="1:11">
      <c r="A3294" t="s">
        <v>17068</v>
      </c>
      <c r="B3294" t="s">
        <v>2179</v>
      </c>
      <c r="C3294" t="s">
        <v>9567</v>
      </c>
      <c r="D3294" t="s">
        <v>17069</v>
      </c>
      <c r="E3294" t="s">
        <v>17070</v>
      </c>
      <c r="F3294" t="s">
        <v>17071</v>
      </c>
      <c r="G3294" t="s">
        <v>19181</v>
      </c>
      <c r="H3294" t="s">
        <v>19214</v>
      </c>
      <c r="I3294" t="s">
        <v>18842</v>
      </c>
      <c r="K3294" t="str">
        <f>HYPERLINK("http://tuberculist.epfl.ch/quicksearch.php?gene+name=Rv3198c&amp;submit=Search")</f>
        <v>http://tuberculist.epfl.ch/quicksearch.php?gene+name=Rv3198c&amp;submit=Search</v>
      </c>
    </row>
    <row r="3295" spans="1:11">
      <c r="A3295" t="s">
        <v>7450</v>
      </c>
      <c r="B3295" t="s">
        <v>2487</v>
      </c>
      <c r="C3295" t="s">
        <v>9567</v>
      </c>
      <c r="D3295" t="s">
        <v>17072</v>
      </c>
      <c r="E3295" t="s">
        <v>17073</v>
      </c>
      <c r="F3295" t="s">
        <v>17074</v>
      </c>
      <c r="G3295" t="s">
        <v>19195</v>
      </c>
      <c r="H3295" t="s">
        <v>19207</v>
      </c>
      <c r="I3295" t="s">
        <v>18789</v>
      </c>
      <c r="K3295" t="str">
        <f>HYPERLINK("http://tuberculist.epfl.ch/quicksearch.php?gene+name=Rv3199c&amp;submit=Search")</f>
        <v>http://tuberculist.epfl.ch/quicksearch.php?gene+name=Rv3199c&amp;submit=Search</v>
      </c>
    </row>
    <row r="3296" spans="1:11">
      <c r="A3296" t="s">
        <v>3239</v>
      </c>
      <c r="B3296" t="s">
        <v>3239</v>
      </c>
      <c r="C3296" t="s">
        <v>9567</v>
      </c>
      <c r="D3296" t="s">
        <v>17075</v>
      </c>
      <c r="E3296" t="s">
        <v>17076</v>
      </c>
      <c r="F3296" t="s">
        <v>17077</v>
      </c>
      <c r="G3296" t="s">
        <v>19188</v>
      </c>
      <c r="H3296" t="s">
        <v>19920</v>
      </c>
      <c r="I3296" t="s">
        <v>18779</v>
      </c>
      <c r="K3296" t="str">
        <f>HYPERLINK("http://tuberculist.epfl.ch/quicksearch.php?gene+name=Rv3200c&amp;submit=Search")</f>
        <v>http://tuberculist.epfl.ch/quicksearch.php?gene+name=Rv3200c&amp;submit=Search</v>
      </c>
    </row>
    <row r="3297" spans="1:11">
      <c r="A3297" t="s">
        <v>2196</v>
      </c>
      <c r="B3297" t="s">
        <v>2196</v>
      </c>
      <c r="C3297" t="s">
        <v>9567</v>
      </c>
      <c r="D3297" t="s">
        <v>17078</v>
      </c>
      <c r="E3297" t="s">
        <v>17079</v>
      </c>
      <c r="F3297" t="s">
        <v>17080</v>
      </c>
      <c r="G3297" t="s">
        <v>19181</v>
      </c>
      <c r="H3297" t="s">
        <v>20042</v>
      </c>
      <c r="I3297" t="s">
        <v>18800</v>
      </c>
      <c r="K3297" t="str">
        <f>HYPERLINK("http://tuberculist.epfl.ch/quicksearch.php?gene+name=Rv3201c&amp;submit=Search")</f>
        <v>http://tuberculist.epfl.ch/quicksearch.php?gene+name=Rv3201c&amp;submit=Search</v>
      </c>
    </row>
    <row r="3298" spans="1:11">
      <c r="A3298" t="s">
        <v>1054</v>
      </c>
      <c r="B3298" t="s">
        <v>1054</v>
      </c>
      <c r="C3298" t="s">
        <v>9567</v>
      </c>
      <c r="D3298" t="s">
        <v>17078</v>
      </c>
      <c r="E3298" t="s">
        <v>17081</v>
      </c>
      <c r="F3298" t="s">
        <v>17082</v>
      </c>
      <c r="G3298" t="s">
        <v>19181</v>
      </c>
      <c r="H3298" t="s">
        <v>19207</v>
      </c>
      <c r="I3298" t="s">
        <v>18777</v>
      </c>
      <c r="K3298" t="str">
        <f>HYPERLINK("http://tuberculist.epfl.ch/quicksearch.php?gene+name=Rv3202c&amp;submit=Search")</f>
        <v>http://tuberculist.epfl.ch/quicksearch.php?gene+name=Rv3202c&amp;submit=Search</v>
      </c>
    </row>
    <row r="3299" spans="1:11">
      <c r="A3299" t="s">
        <v>8330</v>
      </c>
      <c r="B3299" t="s">
        <v>2917</v>
      </c>
      <c r="C3299" t="s">
        <v>9567</v>
      </c>
      <c r="D3299" t="s">
        <v>17083</v>
      </c>
      <c r="E3299" t="s">
        <v>17084</v>
      </c>
      <c r="F3299" t="s">
        <v>17085</v>
      </c>
      <c r="G3299" t="s">
        <v>19195</v>
      </c>
      <c r="H3299" t="s">
        <v>19213</v>
      </c>
      <c r="I3299" t="s">
        <v>18780</v>
      </c>
      <c r="K3299" t="str">
        <f>HYPERLINK("http://tuberculist.epfl.ch/quicksearch.php?gene+name=Rv3203&amp;submit=Search")</f>
        <v>http://tuberculist.epfl.ch/quicksearch.php?gene+name=Rv3203&amp;submit=Search</v>
      </c>
    </row>
    <row r="3300" spans="1:11">
      <c r="A3300" t="s">
        <v>600</v>
      </c>
      <c r="B3300" t="s">
        <v>600</v>
      </c>
      <c r="C3300" t="s">
        <v>9567</v>
      </c>
      <c r="D3300" t="s">
        <v>10061</v>
      </c>
      <c r="E3300" t="s">
        <v>17086</v>
      </c>
      <c r="F3300" t="s">
        <v>17087</v>
      </c>
      <c r="G3300" t="s">
        <v>19181</v>
      </c>
      <c r="I3300" t="s">
        <v>18793</v>
      </c>
      <c r="K3300" t="str">
        <f>HYPERLINK("http://tuberculist.epfl.ch/quicksearch.php?gene+name=Rv3204&amp;submit=Search")</f>
        <v>http://tuberculist.epfl.ch/quicksearch.php?gene+name=Rv3204&amp;submit=Search</v>
      </c>
    </row>
    <row r="3301" spans="1:11">
      <c r="A3301" t="s">
        <v>1878</v>
      </c>
      <c r="B3301" t="s">
        <v>1878</v>
      </c>
      <c r="C3301" t="s">
        <v>9567</v>
      </c>
      <c r="D3301" t="s">
        <v>9578</v>
      </c>
      <c r="E3301" t="s">
        <v>9665</v>
      </c>
      <c r="F3301" t="s">
        <v>17088</v>
      </c>
      <c r="G3301" t="s">
        <v>19204</v>
      </c>
      <c r="H3301" t="s">
        <v>19230</v>
      </c>
      <c r="I3301" t="s">
        <v>18780</v>
      </c>
      <c r="K3301" t="str">
        <f>HYPERLINK("http://tuberculist.epfl.ch/quicksearch.php?gene+name=Rv3205c&amp;submit=Search")</f>
        <v>http://tuberculist.epfl.ch/quicksearch.php?gene+name=Rv3205c&amp;submit=Search</v>
      </c>
    </row>
    <row r="3302" spans="1:11">
      <c r="A3302" t="s">
        <v>4773</v>
      </c>
      <c r="B3302" t="s">
        <v>1145</v>
      </c>
      <c r="C3302" t="s">
        <v>9567</v>
      </c>
      <c r="D3302" t="s">
        <v>17089</v>
      </c>
      <c r="E3302" t="s">
        <v>17090</v>
      </c>
      <c r="F3302" t="s">
        <v>17091</v>
      </c>
      <c r="G3302" t="s">
        <v>19195</v>
      </c>
      <c r="H3302" t="s">
        <v>19334</v>
      </c>
      <c r="I3302" t="s">
        <v>18788</v>
      </c>
      <c r="K3302" t="str">
        <f>HYPERLINK("http://tuberculist.epfl.ch/quicksearch.php?gene+name=Rv3206c&amp;submit=Search")</f>
        <v>http://tuberculist.epfl.ch/quicksearch.php?gene+name=Rv3206c&amp;submit=Search</v>
      </c>
    </row>
    <row r="3303" spans="1:11">
      <c r="A3303" t="s">
        <v>2238</v>
      </c>
      <c r="B3303" t="s">
        <v>2238</v>
      </c>
      <c r="C3303" t="s">
        <v>9567</v>
      </c>
      <c r="D3303" t="s">
        <v>9578</v>
      </c>
      <c r="E3303" t="s">
        <v>9665</v>
      </c>
      <c r="F3303" t="s">
        <v>17092</v>
      </c>
      <c r="G3303" t="s">
        <v>19212</v>
      </c>
      <c r="H3303" t="s">
        <v>20043</v>
      </c>
      <c r="I3303" t="s">
        <v>18779</v>
      </c>
      <c r="K3303" t="str">
        <f>HYPERLINK("http://tuberculist.epfl.ch/quicksearch.php?gene+name=Rv3207c&amp;submit=Search")</f>
        <v>http://tuberculist.epfl.ch/quicksearch.php?gene+name=Rv3207c&amp;submit=Search</v>
      </c>
    </row>
    <row r="3304" spans="1:11">
      <c r="A3304" t="s">
        <v>3396</v>
      </c>
      <c r="B3304" t="s">
        <v>3396</v>
      </c>
      <c r="C3304" t="s">
        <v>9567</v>
      </c>
      <c r="D3304" t="s">
        <v>9629</v>
      </c>
      <c r="E3304" t="s">
        <v>11955</v>
      </c>
      <c r="F3304" t="s">
        <v>17093</v>
      </c>
      <c r="G3304" t="s">
        <v>19197</v>
      </c>
      <c r="H3304" t="s">
        <v>20044</v>
      </c>
      <c r="I3304" t="s">
        <v>18776</v>
      </c>
      <c r="K3304" t="str">
        <f>HYPERLINK("http://tuberculist.epfl.ch/quicksearch.php?gene+name=Rv3208&amp;submit=Search")</f>
        <v>http://tuberculist.epfl.ch/quicksearch.php?gene+name=Rv3208&amp;submit=Search</v>
      </c>
    </row>
    <row r="3305" spans="1:11">
      <c r="A3305" t="s">
        <v>3536</v>
      </c>
      <c r="B3305" t="s">
        <v>523</v>
      </c>
      <c r="C3305" t="s">
        <v>9567</v>
      </c>
      <c r="D3305" t="s">
        <v>9578</v>
      </c>
      <c r="E3305" t="s">
        <v>17094</v>
      </c>
      <c r="F3305" t="s">
        <v>17095</v>
      </c>
      <c r="G3305" t="s">
        <v>19212</v>
      </c>
      <c r="H3305" t="s">
        <v>20045</v>
      </c>
      <c r="I3305" t="s">
        <v>18793</v>
      </c>
      <c r="K3305" t="str">
        <f>HYPERLINK("http://tuberculist.epfl.ch/quicksearch.php?gene+name=Rv3208A&amp;submit=Search")</f>
        <v>http://tuberculist.epfl.ch/quicksearch.php?gene+name=Rv3208A&amp;submit=Search</v>
      </c>
    </row>
    <row r="3306" spans="1:11">
      <c r="A3306" t="s">
        <v>1079</v>
      </c>
      <c r="B3306" t="s">
        <v>1079</v>
      </c>
      <c r="C3306" t="s">
        <v>9567</v>
      </c>
      <c r="D3306" t="s">
        <v>9578</v>
      </c>
      <c r="E3306" t="s">
        <v>17096</v>
      </c>
      <c r="F3306" t="s">
        <v>17097</v>
      </c>
      <c r="G3306" t="s">
        <v>19212</v>
      </c>
      <c r="I3306" t="s">
        <v>18780</v>
      </c>
      <c r="K3306" t="str">
        <f>HYPERLINK("http://tuberculist.epfl.ch/quicksearch.php?gene+name=Rv3209&amp;submit=Search")</f>
        <v>http://tuberculist.epfl.ch/quicksearch.php?gene+name=Rv3209&amp;submit=Search</v>
      </c>
    </row>
    <row r="3307" spans="1:11">
      <c r="A3307" t="s">
        <v>1969</v>
      </c>
      <c r="B3307" t="s">
        <v>1969</v>
      </c>
      <c r="C3307" t="s">
        <v>9567</v>
      </c>
      <c r="D3307" t="s">
        <v>9578</v>
      </c>
      <c r="E3307" t="s">
        <v>9665</v>
      </c>
      <c r="F3307" t="s">
        <v>17098</v>
      </c>
      <c r="G3307" t="s">
        <v>19185</v>
      </c>
      <c r="H3307" t="s">
        <v>19362</v>
      </c>
      <c r="I3307" t="s">
        <v>18837</v>
      </c>
      <c r="J3307" t="s">
        <v>18839</v>
      </c>
      <c r="K3307" t="str">
        <f>HYPERLINK("http://tuberculist.epfl.ch/quicksearch.php?gene+name=Rv3210c&amp;submit=Search")</f>
        <v>http://tuberculist.epfl.ch/quicksearch.php?gene+name=Rv3210c&amp;submit=Search</v>
      </c>
    </row>
    <row r="3308" spans="1:11">
      <c r="A3308" t="s">
        <v>8560</v>
      </c>
      <c r="B3308" t="s">
        <v>3023</v>
      </c>
      <c r="C3308" t="s">
        <v>9567</v>
      </c>
      <c r="D3308" t="s">
        <v>12528</v>
      </c>
      <c r="E3308" t="s">
        <v>17099</v>
      </c>
      <c r="F3308" t="s">
        <v>17100</v>
      </c>
      <c r="G3308" t="s">
        <v>19181</v>
      </c>
      <c r="I3308" t="s">
        <v>18845</v>
      </c>
      <c r="J3308" t="s">
        <v>18839</v>
      </c>
      <c r="K3308" t="str">
        <f>HYPERLINK("http://tuberculist.epfl.ch/quicksearch.php?gene+name=Rv3211&amp;submit=Search")</f>
        <v>http://tuberculist.epfl.ch/quicksearch.php?gene+name=Rv3211&amp;submit=Search</v>
      </c>
    </row>
    <row r="3309" spans="1:11">
      <c r="A3309" t="s">
        <v>2814</v>
      </c>
      <c r="B3309" t="s">
        <v>2814</v>
      </c>
      <c r="C3309" t="s">
        <v>9567</v>
      </c>
      <c r="D3309" t="s">
        <v>9578</v>
      </c>
      <c r="E3309" t="s">
        <v>17101</v>
      </c>
      <c r="F3309" t="s">
        <v>17102</v>
      </c>
      <c r="G3309" t="s">
        <v>19185</v>
      </c>
      <c r="H3309" t="s">
        <v>20046</v>
      </c>
      <c r="I3309" t="s">
        <v>18785</v>
      </c>
      <c r="K3309" t="str">
        <f>HYPERLINK("http://tuberculist.epfl.ch/quicksearch.php?gene+name=Rv3212&amp;submit=Search")</f>
        <v>http://tuberculist.epfl.ch/quicksearch.php?gene+name=Rv3212&amp;submit=Search</v>
      </c>
    </row>
    <row r="3310" spans="1:11">
      <c r="A3310" t="s">
        <v>2116</v>
      </c>
      <c r="B3310" t="s">
        <v>2116</v>
      </c>
      <c r="C3310" t="s">
        <v>9567</v>
      </c>
      <c r="D3310" t="s">
        <v>17103</v>
      </c>
      <c r="E3310" t="s">
        <v>17104</v>
      </c>
      <c r="F3310" t="s">
        <v>17105</v>
      </c>
      <c r="G3310" t="s">
        <v>19188</v>
      </c>
      <c r="H3310" t="s">
        <v>20047</v>
      </c>
      <c r="I3310" t="s">
        <v>18872</v>
      </c>
      <c r="K3310" t="str">
        <f>HYPERLINK("http://tuberculist.epfl.ch/quicksearch.php?gene+name=Rv3213c&amp;submit=Search")</f>
        <v>http://tuberculist.epfl.ch/quicksearch.php?gene+name=Rv3213c&amp;submit=Search</v>
      </c>
    </row>
    <row r="3311" spans="1:11">
      <c r="A3311" t="s">
        <v>17106</v>
      </c>
      <c r="B3311" t="s">
        <v>2400</v>
      </c>
      <c r="C3311" t="s">
        <v>9567</v>
      </c>
      <c r="D3311" t="s">
        <v>10691</v>
      </c>
      <c r="E3311" t="s">
        <v>17107</v>
      </c>
      <c r="F3311" t="s">
        <v>17108</v>
      </c>
      <c r="G3311" t="s">
        <v>19195</v>
      </c>
      <c r="H3311" t="s">
        <v>19229</v>
      </c>
      <c r="I3311" t="s">
        <v>18779</v>
      </c>
      <c r="K3311" t="str">
        <f>HYPERLINK("http://tuberculist.epfl.ch/quicksearch.php?gene+name=Rv3214&amp;submit=Search")</f>
        <v>http://tuberculist.epfl.ch/quicksearch.php?gene+name=Rv3214&amp;submit=Search</v>
      </c>
    </row>
    <row r="3312" spans="1:11">
      <c r="A3312" t="s">
        <v>17109</v>
      </c>
      <c r="B3312" t="s">
        <v>1775</v>
      </c>
      <c r="C3312" t="s">
        <v>9567</v>
      </c>
      <c r="D3312" t="s">
        <v>17110</v>
      </c>
      <c r="E3312" t="s">
        <v>17111</v>
      </c>
      <c r="F3312" t="s">
        <v>17112</v>
      </c>
      <c r="G3312" t="s">
        <v>19195</v>
      </c>
      <c r="H3312" t="s">
        <v>19213</v>
      </c>
      <c r="I3312" t="s">
        <v>18776</v>
      </c>
      <c r="K3312" t="str">
        <f>HYPERLINK("http://tuberculist.epfl.ch/quicksearch.php?gene+name=Rv3215&amp;submit=Search")</f>
        <v>http://tuberculist.epfl.ch/quicksearch.php?gene+name=Rv3215&amp;submit=Search</v>
      </c>
    </row>
    <row r="3313" spans="1:11">
      <c r="A3313" t="s">
        <v>2217</v>
      </c>
      <c r="B3313" t="s">
        <v>2217</v>
      </c>
      <c r="C3313" t="s">
        <v>10216</v>
      </c>
      <c r="D3313" t="s">
        <v>9898</v>
      </c>
      <c r="E3313" t="s">
        <v>17113</v>
      </c>
      <c r="F3313" t="s">
        <v>17114</v>
      </c>
      <c r="G3313" t="s">
        <v>19195</v>
      </c>
      <c r="I3313" t="s">
        <v>18780</v>
      </c>
      <c r="K3313" t="str">
        <f>HYPERLINK("http://tuberculist.epfl.ch/quicksearch.php?gene+name=Rv3216&amp;submit=Search")</f>
        <v>http://tuberculist.epfl.ch/quicksearch.php?gene+name=Rv3216&amp;submit=Search</v>
      </c>
    </row>
    <row r="3314" spans="1:11">
      <c r="A3314" t="s">
        <v>1069</v>
      </c>
      <c r="B3314" t="s">
        <v>1069</v>
      </c>
      <c r="C3314" t="s">
        <v>9567</v>
      </c>
      <c r="D3314" t="s">
        <v>9587</v>
      </c>
      <c r="E3314" t="s">
        <v>9668</v>
      </c>
      <c r="F3314" t="s">
        <v>17115</v>
      </c>
      <c r="G3314" t="s">
        <v>19188</v>
      </c>
      <c r="I3314" t="s">
        <v>18780</v>
      </c>
      <c r="K3314" t="str">
        <f>HYPERLINK("http://tuberculist.epfl.ch/quicksearch.php?gene+name=Rv3217c&amp;submit=Search")</f>
        <v>http://tuberculist.epfl.ch/quicksearch.php?gene+name=Rv3217c&amp;submit=Search</v>
      </c>
    </row>
    <row r="3315" spans="1:11">
      <c r="A3315" t="s">
        <v>2822</v>
      </c>
      <c r="B3315" t="s">
        <v>2822</v>
      </c>
      <c r="C3315" t="s">
        <v>9567</v>
      </c>
      <c r="D3315" t="s">
        <v>9578</v>
      </c>
      <c r="E3315" t="s">
        <v>9665</v>
      </c>
      <c r="F3315" t="s">
        <v>17116</v>
      </c>
      <c r="G3315" t="s">
        <v>19204</v>
      </c>
      <c r="H3315" t="s">
        <v>19597</v>
      </c>
      <c r="I3315" t="s">
        <v>18789</v>
      </c>
      <c r="K3315" t="str">
        <f>HYPERLINK("http://tuberculist.epfl.ch/quicksearch.php?gene+name=Rv3218&amp;submit=Search")</f>
        <v>http://tuberculist.epfl.ch/quicksearch.php?gene+name=Rv3218&amp;submit=Search</v>
      </c>
    </row>
    <row r="3316" spans="1:11">
      <c r="A3316" t="s">
        <v>430</v>
      </c>
      <c r="B3316" t="s">
        <v>429</v>
      </c>
      <c r="C3316" t="s">
        <v>9567</v>
      </c>
      <c r="D3316" t="s">
        <v>9629</v>
      </c>
      <c r="E3316" t="s">
        <v>17117</v>
      </c>
      <c r="F3316" t="s">
        <v>17118</v>
      </c>
      <c r="G3316" t="s">
        <v>19197</v>
      </c>
      <c r="I3316" t="s">
        <v>19098</v>
      </c>
      <c r="J3316" t="s">
        <v>19099</v>
      </c>
      <c r="K3316" t="str">
        <f>HYPERLINK("http://tuberculist.epfl.ch/quicksearch.php?gene+name=Rv3219&amp;submit=Search")</f>
        <v>http://tuberculist.epfl.ch/quicksearch.php?gene+name=Rv3219&amp;submit=Search</v>
      </c>
    </row>
    <row r="3317" spans="1:11">
      <c r="A3317" t="s">
        <v>3385</v>
      </c>
      <c r="B3317" t="s">
        <v>3385</v>
      </c>
      <c r="C3317" t="s">
        <v>9567</v>
      </c>
      <c r="D3317" t="s">
        <v>10949</v>
      </c>
      <c r="E3317" t="s">
        <v>17119</v>
      </c>
      <c r="F3317" t="s">
        <v>17120</v>
      </c>
      <c r="G3317" t="s">
        <v>19197</v>
      </c>
      <c r="H3317" t="s">
        <v>19309</v>
      </c>
      <c r="I3317" t="s">
        <v>19100</v>
      </c>
      <c r="K3317" t="str">
        <f>HYPERLINK("http://tuberculist.epfl.ch/quicksearch.php?gene+name=Rv3220c&amp;submit=Search")</f>
        <v>http://tuberculist.epfl.ch/quicksearch.php?gene+name=Rv3220c&amp;submit=Search</v>
      </c>
    </row>
    <row r="3318" spans="1:11">
      <c r="A3318" t="s">
        <v>17121</v>
      </c>
      <c r="B3318" t="s">
        <v>938</v>
      </c>
      <c r="C3318" t="s">
        <v>9567</v>
      </c>
      <c r="D3318" t="s">
        <v>17122</v>
      </c>
      <c r="E3318" t="s">
        <v>17123</v>
      </c>
      <c r="F3318" t="s">
        <v>17124</v>
      </c>
      <c r="G3318" t="s">
        <v>19181</v>
      </c>
      <c r="I3318" t="s">
        <v>18773</v>
      </c>
      <c r="K3318" t="str">
        <f>HYPERLINK("http://tuberculist.epfl.ch/quicksearch.php?gene+name=Rv3221A&amp;submit=Search")</f>
        <v>http://tuberculist.epfl.ch/quicksearch.php?gene+name=Rv3221A&amp;submit=Search</v>
      </c>
    </row>
    <row r="3319" spans="1:11">
      <c r="A3319" t="s">
        <v>17125</v>
      </c>
      <c r="B3319" t="s">
        <v>622</v>
      </c>
      <c r="C3319" t="s">
        <v>9567</v>
      </c>
      <c r="D3319" t="s">
        <v>9578</v>
      </c>
      <c r="E3319" t="s">
        <v>17126</v>
      </c>
      <c r="F3319" t="s">
        <v>17127</v>
      </c>
      <c r="G3319" t="s">
        <v>19219</v>
      </c>
      <c r="H3319" t="s">
        <v>20048</v>
      </c>
      <c r="I3319" t="s">
        <v>18779</v>
      </c>
      <c r="K3319" t="str">
        <f>HYPERLINK("http://tuberculist.epfl.ch/quicksearch.php?gene+name=Rv3221c&amp;submit=Search")</f>
        <v>http://tuberculist.epfl.ch/quicksearch.php?gene+name=Rv3221c&amp;submit=Search</v>
      </c>
    </row>
    <row r="3320" spans="1:11">
      <c r="A3320" t="s">
        <v>1111</v>
      </c>
      <c r="B3320" t="s">
        <v>1111</v>
      </c>
      <c r="C3320" t="s">
        <v>9567</v>
      </c>
      <c r="D3320" t="s">
        <v>9578</v>
      </c>
      <c r="E3320" t="s">
        <v>9579</v>
      </c>
      <c r="F3320" t="s">
        <v>17128</v>
      </c>
      <c r="G3320" t="s">
        <v>19185</v>
      </c>
      <c r="H3320" t="s">
        <v>19254</v>
      </c>
      <c r="I3320" t="s">
        <v>18776</v>
      </c>
      <c r="K3320" t="str">
        <f>HYPERLINK("http://tuberculist.epfl.ch/quicksearch.php?gene+name=Rv3222c&amp;submit=Search")</f>
        <v>http://tuberculist.epfl.ch/quicksearch.php?gene+name=Rv3222c&amp;submit=Search</v>
      </c>
    </row>
    <row r="3321" spans="1:11">
      <c r="A3321" t="s">
        <v>17129</v>
      </c>
      <c r="B3321" t="s">
        <v>1568</v>
      </c>
      <c r="C3321" t="s">
        <v>9567</v>
      </c>
      <c r="D3321" t="s">
        <v>17130</v>
      </c>
      <c r="E3321" t="s">
        <v>17131</v>
      </c>
      <c r="F3321" t="s">
        <v>17132</v>
      </c>
      <c r="G3321" t="s">
        <v>19181</v>
      </c>
      <c r="H3321" t="s">
        <v>20049</v>
      </c>
      <c r="I3321" t="s">
        <v>19101</v>
      </c>
      <c r="K3321" t="str">
        <f>HYPERLINK("http://tuberculist.epfl.ch/quicksearch.php?gene+name=Rv3223c&amp;submit=Search")</f>
        <v>http://tuberculist.epfl.ch/quicksearch.php?gene+name=Rv3223c&amp;submit=Search</v>
      </c>
    </row>
    <row r="3322" spans="1:11">
      <c r="A3322" t="s">
        <v>2968</v>
      </c>
      <c r="B3322" t="s">
        <v>2968</v>
      </c>
      <c r="C3322" t="s">
        <v>9567</v>
      </c>
      <c r="D3322" t="s">
        <v>9682</v>
      </c>
      <c r="E3322" t="s">
        <v>17133</v>
      </c>
      <c r="F3322" t="s">
        <v>17134</v>
      </c>
      <c r="G3322" t="s">
        <v>19195</v>
      </c>
      <c r="H3322" t="s">
        <v>20050</v>
      </c>
      <c r="I3322" t="s">
        <v>18780</v>
      </c>
      <c r="K3322" t="str">
        <f>HYPERLINK("http://tuberculist.epfl.ch/quicksearch.php?gene+name=Rv3224&amp;submit=Search")</f>
        <v>http://tuberculist.epfl.ch/quicksearch.php?gene+name=Rv3224&amp;submit=Search</v>
      </c>
    </row>
    <row r="3323" spans="1:11">
      <c r="A3323" t="s">
        <v>2847</v>
      </c>
      <c r="B3323" t="s">
        <v>2847</v>
      </c>
      <c r="C3323" t="s">
        <v>9567</v>
      </c>
      <c r="D3323" t="s">
        <v>9578</v>
      </c>
      <c r="E3323" t="s">
        <v>9579</v>
      </c>
      <c r="F3323" t="s">
        <v>17135</v>
      </c>
      <c r="G3323" t="s">
        <v>19212</v>
      </c>
      <c r="I3323" t="s">
        <v>18793</v>
      </c>
      <c r="K3323" t="str">
        <f>HYPERLINK("http://tuberculist.epfl.ch/quicksearch.php?gene+name=Rv3224A&amp;submit=Search")</f>
        <v>http://tuberculist.epfl.ch/quicksearch.php?gene+name=Rv3224A&amp;submit=Search</v>
      </c>
    </row>
    <row r="3324" spans="1:11">
      <c r="A3324" t="s">
        <v>17136</v>
      </c>
      <c r="B3324" t="s">
        <v>17136</v>
      </c>
      <c r="C3324" t="s">
        <v>9567</v>
      </c>
      <c r="D3324" t="s">
        <v>9578</v>
      </c>
      <c r="E3324" t="s">
        <v>9579</v>
      </c>
      <c r="F3324" t="s">
        <v>17137</v>
      </c>
      <c r="G3324" t="s">
        <v>19212</v>
      </c>
      <c r="I3324" t="s">
        <v>18793</v>
      </c>
      <c r="K3324" t="str">
        <f>HYPERLINK("http://tuberculist.epfl.ch/quicksearch.php?gene+name=Rv3224B&amp;submit=Search")</f>
        <v>http://tuberculist.epfl.ch/quicksearch.php?gene+name=Rv3224B&amp;submit=Search</v>
      </c>
    </row>
    <row r="3325" spans="1:11">
      <c r="A3325" t="s">
        <v>1316</v>
      </c>
      <c r="B3325" t="s">
        <v>1316</v>
      </c>
      <c r="C3325" t="s">
        <v>9567</v>
      </c>
      <c r="D3325" t="s">
        <v>17138</v>
      </c>
      <c r="E3325" t="s">
        <v>17139</v>
      </c>
      <c r="F3325" t="s">
        <v>17140</v>
      </c>
      <c r="G3325" t="s">
        <v>19195</v>
      </c>
      <c r="I3325" t="s">
        <v>18780</v>
      </c>
      <c r="K3325" t="str">
        <f>HYPERLINK("http://tuberculist.epfl.ch/quicksearch.php?gene+name=Rv3225c&amp;submit=Search")</f>
        <v>http://tuberculist.epfl.ch/quicksearch.php?gene+name=Rv3225c&amp;submit=Search</v>
      </c>
    </row>
    <row r="3326" spans="1:11">
      <c r="A3326" t="s">
        <v>1593</v>
      </c>
      <c r="B3326" t="s">
        <v>1593</v>
      </c>
      <c r="C3326" t="s">
        <v>9567</v>
      </c>
      <c r="D3326" t="s">
        <v>9578</v>
      </c>
      <c r="E3326" t="s">
        <v>9579</v>
      </c>
      <c r="F3326" t="s">
        <v>17141</v>
      </c>
      <c r="G3326" t="s">
        <v>19204</v>
      </c>
      <c r="H3326" t="s">
        <v>19213</v>
      </c>
      <c r="I3326" t="s">
        <v>18780</v>
      </c>
      <c r="K3326" t="str">
        <f>HYPERLINK("http://tuberculist.epfl.ch/quicksearch.php?gene+name=Rv3226c&amp;submit=Search")</f>
        <v>http://tuberculist.epfl.ch/quicksearch.php?gene+name=Rv3226c&amp;submit=Search</v>
      </c>
    </row>
    <row r="3327" spans="1:11">
      <c r="A3327" t="s">
        <v>17142</v>
      </c>
      <c r="B3327" t="s">
        <v>2405</v>
      </c>
      <c r="C3327" t="s">
        <v>9567</v>
      </c>
      <c r="D3327" t="s">
        <v>17143</v>
      </c>
      <c r="E3327" t="s">
        <v>17144</v>
      </c>
      <c r="F3327" t="s">
        <v>17145</v>
      </c>
      <c r="G3327" t="s">
        <v>19195</v>
      </c>
      <c r="H3327" t="s">
        <v>19640</v>
      </c>
      <c r="I3327" t="s">
        <v>18776</v>
      </c>
      <c r="K3327" t="str">
        <f>HYPERLINK("http://tuberculist.epfl.ch/quicksearch.php?gene+name=Rv3227&amp;submit=Search")</f>
        <v>http://tuberculist.epfl.ch/quicksearch.php?gene+name=Rv3227&amp;submit=Search</v>
      </c>
    </row>
    <row r="3328" spans="1:11">
      <c r="A3328" t="s">
        <v>3105</v>
      </c>
      <c r="B3328" t="s">
        <v>3105</v>
      </c>
      <c r="C3328" t="s">
        <v>9567</v>
      </c>
      <c r="D3328" t="s">
        <v>9578</v>
      </c>
      <c r="E3328" t="s">
        <v>9579</v>
      </c>
      <c r="F3328" t="s">
        <v>17146</v>
      </c>
      <c r="G3328" t="s">
        <v>19204</v>
      </c>
      <c r="H3328" t="s">
        <v>19334</v>
      </c>
      <c r="I3328" t="s">
        <v>18773</v>
      </c>
      <c r="K3328" t="str">
        <f>HYPERLINK("http://tuberculist.epfl.ch/quicksearch.php?gene+name=Rv3228&amp;submit=Search")</f>
        <v>http://tuberculist.epfl.ch/quicksearch.php?gene+name=Rv3228&amp;submit=Search</v>
      </c>
    </row>
    <row r="3329" spans="1:11">
      <c r="A3329" t="s">
        <v>183</v>
      </c>
      <c r="B3329" t="s">
        <v>182</v>
      </c>
      <c r="C3329" t="s">
        <v>9567</v>
      </c>
      <c r="D3329" t="s">
        <v>17147</v>
      </c>
      <c r="E3329" t="s">
        <v>17148</v>
      </c>
      <c r="F3329" t="s">
        <v>17149</v>
      </c>
      <c r="G3329" t="s">
        <v>19219</v>
      </c>
      <c r="H3329" t="s">
        <v>19339</v>
      </c>
      <c r="I3329" t="s">
        <v>18846</v>
      </c>
      <c r="J3329" t="s">
        <v>18840</v>
      </c>
      <c r="K3329" t="str">
        <f>HYPERLINK("http://tuberculist.epfl.ch/quicksearch.php?gene+name=Rv3229c&amp;submit=Search")</f>
        <v>http://tuberculist.epfl.ch/quicksearch.php?gene+name=Rv3229c&amp;submit=Search</v>
      </c>
    </row>
    <row r="3330" spans="1:11">
      <c r="A3330" t="s">
        <v>1012</v>
      </c>
      <c r="B3330" t="s">
        <v>1012</v>
      </c>
      <c r="C3330" t="s">
        <v>9567</v>
      </c>
      <c r="D3330" t="s">
        <v>9682</v>
      </c>
      <c r="E3330" t="s">
        <v>16823</v>
      </c>
      <c r="F3330" t="s">
        <v>17150</v>
      </c>
      <c r="G3330" t="s">
        <v>19195</v>
      </c>
      <c r="I3330" t="s">
        <v>18788</v>
      </c>
      <c r="K3330" t="str">
        <f>HYPERLINK("http://tuberculist.epfl.ch/quicksearch.php?gene+name=Rv3230c&amp;submit=Search")</f>
        <v>http://tuberculist.epfl.ch/quicksearch.php?gene+name=Rv3230c&amp;submit=Search</v>
      </c>
    </row>
    <row r="3331" spans="1:11">
      <c r="A3331" t="s">
        <v>2045</v>
      </c>
      <c r="B3331" t="s">
        <v>2045</v>
      </c>
      <c r="C3331" t="s">
        <v>9567</v>
      </c>
      <c r="D3331" t="s">
        <v>9578</v>
      </c>
      <c r="E3331" t="s">
        <v>9665</v>
      </c>
      <c r="F3331" t="s">
        <v>17151</v>
      </c>
      <c r="G3331" t="s">
        <v>19204</v>
      </c>
      <c r="H3331" t="s">
        <v>19504</v>
      </c>
      <c r="I3331" t="s">
        <v>18780</v>
      </c>
      <c r="K3331" t="str">
        <f>HYPERLINK("http://tuberculist.epfl.ch/quicksearch.php?gene+name=Rv3231c&amp;submit=Search")</f>
        <v>http://tuberculist.epfl.ch/quicksearch.php?gene+name=Rv3231c&amp;submit=Search</v>
      </c>
    </row>
    <row r="3332" spans="1:11">
      <c r="A3332" t="s">
        <v>17152</v>
      </c>
      <c r="B3332" t="s">
        <v>2741</v>
      </c>
      <c r="C3332" t="s">
        <v>9567</v>
      </c>
      <c r="D3332" t="s">
        <v>17153</v>
      </c>
      <c r="E3332" t="s">
        <v>17154</v>
      </c>
      <c r="F3332" t="s">
        <v>17155</v>
      </c>
      <c r="G3332" t="s">
        <v>19195</v>
      </c>
      <c r="H3332" t="s">
        <v>19213</v>
      </c>
      <c r="I3332" t="s">
        <v>18924</v>
      </c>
      <c r="K3332" t="str">
        <f>HYPERLINK("http://tuberculist.epfl.ch/quicksearch.php?gene+name=Rv3232c&amp;submit=Search")</f>
        <v>http://tuberculist.epfl.ch/quicksearch.php?gene+name=Rv3232c&amp;submit=Search</v>
      </c>
    </row>
    <row r="3333" spans="1:11">
      <c r="A3333" t="s">
        <v>17156</v>
      </c>
      <c r="B3333" t="s">
        <v>17156</v>
      </c>
      <c r="C3333" t="s">
        <v>9567</v>
      </c>
      <c r="D3333" t="s">
        <v>10087</v>
      </c>
      <c r="E3333" t="s">
        <v>10088</v>
      </c>
      <c r="F3333" t="s">
        <v>17157</v>
      </c>
      <c r="G3333" t="s">
        <v>19219</v>
      </c>
      <c r="I3333" t="s">
        <v>18789</v>
      </c>
      <c r="K3333" t="str">
        <f>HYPERLINK("http://tuberculist.epfl.ch/quicksearch.php?gene+name=Rv3233c&amp;submit=Search")</f>
        <v>http://tuberculist.epfl.ch/quicksearch.php?gene+name=Rv3233c&amp;submit=Search</v>
      </c>
    </row>
    <row r="3334" spans="1:11">
      <c r="A3334" t="s">
        <v>17158</v>
      </c>
      <c r="B3334" t="s">
        <v>1794</v>
      </c>
      <c r="C3334" t="s">
        <v>9567</v>
      </c>
      <c r="D3334" t="s">
        <v>10087</v>
      </c>
      <c r="E3334" t="s">
        <v>17159</v>
      </c>
      <c r="F3334" t="s">
        <v>17160</v>
      </c>
      <c r="G3334" t="s">
        <v>19219</v>
      </c>
      <c r="H3334" t="s">
        <v>19211</v>
      </c>
      <c r="I3334" t="s">
        <v>18780</v>
      </c>
      <c r="K3334" t="str">
        <f>HYPERLINK("http://tuberculist.epfl.ch/quicksearch.php?gene+name=Rv3234c&amp;submit=Search")</f>
        <v>http://tuberculist.epfl.ch/quicksearch.php?gene+name=Rv3234c&amp;submit=Search</v>
      </c>
    </row>
    <row r="3335" spans="1:11">
      <c r="A3335" t="s">
        <v>17161</v>
      </c>
      <c r="B3335" t="s">
        <v>17161</v>
      </c>
      <c r="C3335" t="s">
        <v>9567</v>
      </c>
      <c r="D3335" t="s">
        <v>9587</v>
      </c>
      <c r="E3335" t="s">
        <v>17162</v>
      </c>
      <c r="F3335" t="s">
        <v>17163</v>
      </c>
      <c r="G3335" t="s">
        <v>19185</v>
      </c>
      <c r="H3335" t="s">
        <v>19215</v>
      </c>
      <c r="I3335" t="s">
        <v>18780</v>
      </c>
      <c r="K3335" t="str">
        <f>HYPERLINK("http://tuberculist.epfl.ch/quicksearch.php?gene+name=Rv3235&amp;submit=Search")</f>
        <v>http://tuberculist.epfl.ch/quicksearch.php?gene+name=Rv3235&amp;submit=Search</v>
      </c>
    </row>
    <row r="3336" spans="1:11">
      <c r="A3336" t="s">
        <v>1470</v>
      </c>
      <c r="B3336" t="s">
        <v>1470</v>
      </c>
      <c r="C3336" t="s">
        <v>9567</v>
      </c>
      <c r="D3336" t="s">
        <v>17164</v>
      </c>
      <c r="E3336" t="s">
        <v>11579</v>
      </c>
      <c r="F3336" t="s">
        <v>17165</v>
      </c>
      <c r="G3336" t="s">
        <v>19188</v>
      </c>
      <c r="H3336" t="s">
        <v>19192</v>
      </c>
      <c r="I3336" t="s">
        <v>18812</v>
      </c>
      <c r="K3336" t="str">
        <f>HYPERLINK("http://tuberculist.epfl.ch/quicksearch.php?gene+name=Rv3236c&amp;submit=Search")</f>
        <v>http://tuberculist.epfl.ch/quicksearch.php?gene+name=Rv3236c&amp;submit=Search</v>
      </c>
    </row>
    <row r="3337" spans="1:11">
      <c r="A3337" t="s">
        <v>17166</v>
      </c>
      <c r="B3337" t="s">
        <v>17166</v>
      </c>
      <c r="C3337" t="s">
        <v>9567</v>
      </c>
      <c r="D3337" t="s">
        <v>9578</v>
      </c>
      <c r="E3337" t="s">
        <v>9665</v>
      </c>
      <c r="F3337" t="s">
        <v>17167</v>
      </c>
      <c r="G3337" t="s">
        <v>19204</v>
      </c>
      <c r="H3337" t="s">
        <v>19225</v>
      </c>
      <c r="I3337" t="s">
        <v>18780</v>
      </c>
      <c r="K3337" t="str">
        <f>HYPERLINK("http://tuberculist.epfl.ch/quicksearch.php?gene+name=Rv3237c&amp;submit=Search")</f>
        <v>http://tuberculist.epfl.ch/quicksearch.php?gene+name=Rv3237c&amp;submit=Search</v>
      </c>
    </row>
    <row r="3338" spans="1:11">
      <c r="A3338" t="s">
        <v>1454</v>
      </c>
      <c r="B3338" t="s">
        <v>1454</v>
      </c>
      <c r="C3338" t="s">
        <v>9567</v>
      </c>
      <c r="D3338" t="s">
        <v>9587</v>
      </c>
      <c r="E3338" t="s">
        <v>9668</v>
      </c>
      <c r="F3338" t="s">
        <v>17168</v>
      </c>
      <c r="G3338" t="s">
        <v>19188</v>
      </c>
      <c r="H3338" t="s">
        <v>19233</v>
      </c>
      <c r="I3338" t="s">
        <v>18789</v>
      </c>
      <c r="K3338" t="str">
        <f>HYPERLINK("http://tuberculist.epfl.ch/quicksearch.php?gene+name=Rv3238c&amp;submit=Search")</f>
        <v>http://tuberculist.epfl.ch/quicksearch.php?gene+name=Rv3238c&amp;submit=Search</v>
      </c>
    </row>
    <row r="3339" spans="1:11">
      <c r="A3339" t="s">
        <v>614</v>
      </c>
      <c r="B3339" t="s">
        <v>614</v>
      </c>
      <c r="C3339" t="s">
        <v>9567</v>
      </c>
      <c r="D3339" t="s">
        <v>17169</v>
      </c>
      <c r="E3339" t="s">
        <v>17170</v>
      </c>
      <c r="F3339" t="s">
        <v>17171</v>
      </c>
      <c r="G3339" t="s">
        <v>19188</v>
      </c>
      <c r="H3339" t="s">
        <v>19267</v>
      </c>
      <c r="I3339" t="s">
        <v>18789</v>
      </c>
      <c r="K3339" t="str">
        <f>HYPERLINK("http://tuberculist.epfl.ch/quicksearch.php?gene+name=Rv3239c&amp;submit=Search")</f>
        <v>http://tuberculist.epfl.ch/quicksearch.php?gene+name=Rv3239c&amp;submit=Search</v>
      </c>
    </row>
    <row r="3340" spans="1:11">
      <c r="A3340" t="s">
        <v>9103</v>
      </c>
      <c r="B3340" t="s">
        <v>3280</v>
      </c>
      <c r="C3340" t="s">
        <v>9567</v>
      </c>
      <c r="D3340" t="s">
        <v>17172</v>
      </c>
      <c r="E3340" t="s">
        <v>17173</v>
      </c>
      <c r="F3340" t="s">
        <v>17174</v>
      </c>
      <c r="G3340" t="s">
        <v>19188</v>
      </c>
      <c r="H3340" t="s">
        <v>20051</v>
      </c>
      <c r="I3340" t="s">
        <v>18774</v>
      </c>
      <c r="K3340" t="str">
        <f>HYPERLINK("http://tuberculist.epfl.ch/quicksearch.php?gene+name=Rv3240c&amp;submit=Search")</f>
        <v>http://tuberculist.epfl.ch/quicksearch.php?gene+name=Rv3240c&amp;submit=Search</v>
      </c>
    </row>
    <row r="3341" spans="1:11">
      <c r="A3341" t="s">
        <v>2669</v>
      </c>
      <c r="B3341" t="s">
        <v>2669</v>
      </c>
      <c r="C3341" t="s">
        <v>9567</v>
      </c>
      <c r="D3341" t="s">
        <v>17175</v>
      </c>
      <c r="E3341" t="s">
        <v>9665</v>
      </c>
      <c r="F3341" t="s">
        <v>17176</v>
      </c>
      <c r="G3341" t="s">
        <v>19181</v>
      </c>
      <c r="H3341" t="s">
        <v>19277</v>
      </c>
      <c r="I3341" t="s">
        <v>18780</v>
      </c>
      <c r="K3341" t="str">
        <f>HYPERLINK("http://tuberculist.epfl.ch/quicksearch.php?gene+name=Rv3241c&amp;submit=Search")</f>
        <v>http://tuberculist.epfl.ch/quicksearch.php?gene+name=Rv3241c&amp;submit=Search</v>
      </c>
    </row>
    <row r="3342" spans="1:11">
      <c r="A3342" t="s">
        <v>1929</v>
      </c>
      <c r="B3342" t="s">
        <v>1929</v>
      </c>
      <c r="C3342" t="s">
        <v>9567</v>
      </c>
      <c r="D3342" t="s">
        <v>9578</v>
      </c>
      <c r="E3342" t="s">
        <v>9579</v>
      </c>
      <c r="F3342" t="s">
        <v>17177</v>
      </c>
      <c r="G3342" t="s">
        <v>19212</v>
      </c>
      <c r="I3342" t="s">
        <v>18789</v>
      </c>
      <c r="K3342" t="str">
        <f>HYPERLINK("http://tuberculist.epfl.ch/quicksearch.php?gene+name=Rv3242c&amp;submit=Search")</f>
        <v>http://tuberculist.epfl.ch/quicksearch.php?gene+name=Rv3242c&amp;submit=Search</v>
      </c>
    </row>
    <row r="3343" spans="1:11">
      <c r="A3343" t="s">
        <v>1193</v>
      </c>
      <c r="B3343" t="s">
        <v>1193</v>
      </c>
      <c r="C3343" t="s">
        <v>9567</v>
      </c>
      <c r="D3343" t="s">
        <v>9587</v>
      </c>
      <c r="E3343" t="s">
        <v>9768</v>
      </c>
      <c r="F3343" t="s">
        <v>17178</v>
      </c>
      <c r="G3343" t="s">
        <v>19212</v>
      </c>
      <c r="H3343" t="s">
        <v>19192</v>
      </c>
      <c r="I3343" t="s">
        <v>18801</v>
      </c>
      <c r="K3343" t="str">
        <f>HYPERLINK("http://tuberculist.epfl.ch/quicksearch.php?gene+name=Rv3243c&amp;submit=Search")</f>
        <v>http://tuberculist.epfl.ch/quicksearch.php?gene+name=Rv3243c&amp;submit=Search</v>
      </c>
    </row>
    <row r="3344" spans="1:11">
      <c r="A3344" t="s">
        <v>5401</v>
      </c>
      <c r="B3344" t="s">
        <v>1462</v>
      </c>
      <c r="C3344" t="s">
        <v>9567</v>
      </c>
      <c r="D3344" t="s">
        <v>9587</v>
      </c>
      <c r="E3344" t="s">
        <v>17179</v>
      </c>
      <c r="F3344" t="s">
        <v>17180</v>
      </c>
      <c r="G3344" t="s">
        <v>19188</v>
      </c>
      <c r="H3344" t="s">
        <v>20052</v>
      </c>
      <c r="I3344" t="s">
        <v>18774</v>
      </c>
      <c r="K3344" t="str">
        <f>HYPERLINK("http://tuberculist.epfl.ch/quicksearch.php?gene+name=Rv3244c&amp;submit=Search")</f>
        <v>http://tuberculist.epfl.ch/quicksearch.php?gene+name=Rv3244c&amp;submit=Search</v>
      </c>
    </row>
    <row r="3345" spans="1:11">
      <c r="A3345" t="s">
        <v>8367</v>
      </c>
      <c r="B3345" t="s">
        <v>2935</v>
      </c>
      <c r="C3345" t="s">
        <v>9567</v>
      </c>
      <c r="D3345" t="s">
        <v>10949</v>
      </c>
      <c r="E3345" t="s">
        <v>17181</v>
      </c>
      <c r="F3345" t="s">
        <v>17182</v>
      </c>
      <c r="G3345" t="s">
        <v>19197</v>
      </c>
      <c r="H3345" t="s">
        <v>19215</v>
      </c>
      <c r="I3345" t="s">
        <v>18774</v>
      </c>
      <c r="K3345" t="str">
        <f>HYPERLINK("http://tuberculist.epfl.ch/quicksearch.php?gene+name=Rv3245c&amp;submit=Search")</f>
        <v>http://tuberculist.epfl.ch/quicksearch.php?gene+name=Rv3245c&amp;submit=Search</v>
      </c>
    </row>
    <row r="3346" spans="1:11">
      <c r="A3346" t="s">
        <v>7365</v>
      </c>
      <c r="B3346" t="s">
        <v>2443</v>
      </c>
      <c r="C3346" t="s">
        <v>9567</v>
      </c>
      <c r="D3346" t="s">
        <v>17183</v>
      </c>
      <c r="E3346" t="s">
        <v>17184</v>
      </c>
      <c r="F3346" t="s">
        <v>17185</v>
      </c>
      <c r="G3346" t="s">
        <v>19197</v>
      </c>
      <c r="H3346" t="s">
        <v>20053</v>
      </c>
      <c r="I3346" t="s">
        <v>19102</v>
      </c>
      <c r="K3346" t="str">
        <f>HYPERLINK("http://tuberculist.epfl.ch/quicksearch.php?gene+name=Rv3246c&amp;submit=Search")</f>
        <v>http://tuberculist.epfl.ch/quicksearch.php?gene+name=Rv3246c&amp;submit=Search</v>
      </c>
    </row>
    <row r="3347" spans="1:11">
      <c r="A3347" t="s">
        <v>4836</v>
      </c>
      <c r="B3347" t="s">
        <v>1177</v>
      </c>
      <c r="C3347" t="s">
        <v>9567</v>
      </c>
      <c r="D3347" t="s">
        <v>17186</v>
      </c>
      <c r="E3347" t="s">
        <v>17187</v>
      </c>
      <c r="F3347" t="s">
        <v>17188</v>
      </c>
      <c r="G3347" t="s">
        <v>19195</v>
      </c>
      <c r="H3347" t="s">
        <v>19334</v>
      </c>
      <c r="I3347" t="s">
        <v>18776</v>
      </c>
      <c r="K3347" t="str">
        <f>HYPERLINK("http://tuberculist.epfl.ch/quicksearch.php?gene+name=Rv3247c&amp;submit=Search")</f>
        <v>http://tuberculist.epfl.ch/quicksearch.php?gene+name=Rv3247c&amp;submit=Search</v>
      </c>
    </row>
    <row r="3348" spans="1:11">
      <c r="A3348" t="s">
        <v>7261</v>
      </c>
      <c r="B3348" t="s">
        <v>2388</v>
      </c>
      <c r="C3348" t="s">
        <v>9567</v>
      </c>
      <c r="D3348" t="s">
        <v>17189</v>
      </c>
      <c r="E3348" t="s">
        <v>17190</v>
      </c>
      <c r="F3348" t="s">
        <v>17191</v>
      </c>
      <c r="G3348" t="s">
        <v>19195</v>
      </c>
      <c r="H3348" t="s">
        <v>20054</v>
      </c>
      <c r="I3348" t="s">
        <v>18774</v>
      </c>
      <c r="K3348" t="str">
        <f>HYPERLINK("http://tuberculist.epfl.ch/quicksearch.php?gene+name=Rv3248c&amp;submit=Search")</f>
        <v>http://tuberculist.epfl.ch/quicksearch.php?gene+name=Rv3248c&amp;submit=Search</v>
      </c>
    </row>
    <row r="3349" spans="1:11">
      <c r="A3349" t="s">
        <v>2818</v>
      </c>
      <c r="B3349" t="s">
        <v>2818</v>
      </c>
      <c r="C3349" t="s">
        <v>9567</v>
      </c>
      <c r="D3349" t="s">
        <v>17192</v>
      </c>
      <c r="E3349" t="s">
        <v>10130</v>
      </c>
      <c r="F3349" t="s">
        <v>17193</v>
      </c>
      <c r="G3349" t="s">
        <v>19197</v>
      </c>
      <c r="I3349" t="s">
        <v>18788</v>
      </c>
      <c r="K3349" t="str">
        <f>HYPERLINK("http://tuberculist.epfl.ch/quicksearch.php?gene+name=Rv3249c&amp;submit=Search")</f>
        <v>http://tuberculist.epfl.ch/quicksearch.php?gene+name=Rv3249c&amp;submit=Search</v>
      </c>
    </row>
    <row r="3350" spans="1:11">
      <c r="A3350" t="s">
        <v>17194</v>
      </c>
      <c r="B3350" t="s">
        <v>17195</v>
      </c>
      <c r="C3350" t="s">
        <v>9567</v>
      </c>
      <c r="D3350" t="s">
        <v>17196</v>
      </c>
      <c r="E3350" t="s">
        <v>17197</v>
      </c>
      <c r="F3350" t="s">
        <v>17198</v>
      </c>
      <c r="G3350" t="s">
        <v>19195</v>
      </c>
      <c r="I3350" t="s">
        <v>18780</v>
      </c>
      <c r="K3350" t="str">
        <f>HYPERLINK("http://tuberculist.epfl.ch/quicksearch.php?gene+name=Rv3250c&amp;submit=Search")</f>
        <v>http://tuberculist.epfl.ch/quicksearch.php?gene+name=Rv3250c&amp;submit=Search</v>
      </c>
    </row>
    <row r="3351" spans="1:11">
      <c r="A3351" t="s">
        <v>17199</v>
      </c>
      <c r="B3351" t="s">
        <v>17200</v>
      </c>
      <c r="C3351" t="s">
        <v>9567</v>
      </c>
      <c r="D3351" t="s">
        <v>17201</v>
      </c>
      <c r="E3351" t="s">
        <v>17202</v>
      </c>
      <c r="F3351" t="s">
        <v>17203</v>
      </c>
      <c r="G3351" t="s">
        <v>19195</v>
      </c>
      <c r="I3351" t="s">
        <v>18789</v>
      </c>
      <c r="K3351" t="str">
        <f>HYPERLINK("http://tuberculist.epfl.ch/quicksearch.php?gene+name=Rv3251c&amp;submit=Search")</f>
        <v>http://tuberculist.epfl.ch/quicksearch.php?gene+name=Rv3251c&amp;submit=Search</v>
      </c>
    </row>
    <row r="3352" spans="1:11">
      <c r="A3352" t="s">
        <v>9460</v>
      </c>
      <c r="B3352" t="s">
        <v>445</v>
      </c>
      <c r="C3352" t="s">
        <v>9567</v>
      </c>
      <c r="D3352" t="s">
        <v>17204</v>
      </c>
      <c r="E3352" t="s">
        <v>17205</v>
      </c>
      <c r="F3352" t="s">
        <v>17206</v>
      </c>
      <c r="G3352" t="s">
        <v>19219</v>
      </c>
      <c r="I3352" t="s">
        <v>19055</v>
      </c>
      <c r="K3352" t="str">
        <f>HYPERLINK("http://tuberculist.epfl.ch/quicksearch.php?gene+name=Rv3252c&amp;submit=Search")</f>
        <v>http://tuberculist.epfl.ch/quicksearch.php?gene+name=Rv3252c&amp;submit=Search</v>
      </c>
    </row>
    <row r="3353" spans="1:11">
      <c r="A3353" t="s">
        <v>940</v>
      </c>
      <c r="B3353" t="s">
        <v>940</v>
      </c>
      <c r="C3353" t="s">
        <v>9567</v>
      </c>
      <c r="D3353" t="s">
        <v>17207</v>
      </c>
      <c r="E3353" t="s">
        <v>17208</v>
      </c>
      <c r="F3353" t="s">
        <v>17209</v>
      </c>
      <c r="G3353" t="s">
        <v>19188</v>
      </c>
      <c r="H3353" t="s">
        <v>19254</v>
      </c>
      <c r="I3353" t="s">
        <v>18780</v>
      </c>
      <c r="J3353" t="s">
        <v>18839</v>
      </c>
      <c r="K3353" t="str">
        <f>HYPERLINK("http://tuberculist.epfl.ch/quicksearch.php?gene+name=Rv3253c&amp;submit=Search")</f>
        <v>http://tuberculist.epfl.ch/quicksearch.php?gene+name=Rv3253c&amp;submit=Search</v>
      </c>
    </row>
    <row r="3354" spans="1:11">
      <c r="A3354" t="s">
        <v>782</v>
      </c>
      <c r="B3354" t="s">
        <v>782</v>
      </c>
      <c r="C3354" t="s">
        <v>9567</v>
      </c>
      <c r="D3354" t="s">
        <v>9578</v>
      </c>
      <c r="E3354" t="s">
        <v>9579</v>
      </c>
      <c r="F3354" t="s">
        <v>17210</v>
      </c>
      <c r="G3354" t="s">
        <v>19212</v>
      </c>
      <c r="H3354" t="s">
        <v>19358</v>
      </c>
      <c r="I3354" t="s">
        <v>18789</v>
      </c>
      <c r="J3354" t="s">
        <v>18839</v>
      </c>
      <c r="K3354" t="str">
        <f>HYPERLINK("http://tuberculist.epfl.ch/quicksearch.php?gene+name=Rv3254&amp;submit=Search")</f>
        <v>http://tuberculist.epfl.ch/quicksearch.php?gene+name=Rv3254&amp;submit=Search</v>
      </c>
    </row>
    <row r="3355" spans="1:11">
      <c r="A3355" t="s">
        <v>4323</v>
      </c>
      <c r="B3355" t="s">
        <v>921</v>
      </c>
      <c r="C3355" t="s">
        <v>9567</v>
      </c>
      <c r="D3355" t="s">
        <v>17211</v>
      </c>
      <c r="E3355" t="s">
        <v>17212</v>
      </c>
      <c r="F3355" t="s">
        <v>17213</v>
      </c>
      <c r="G3355" t="s">
        <v>19195</v>
      </c>
      <c r="H3355" t="s">
        <v>19270</v>
      </c>
      <c r="I3355" t="s">
        <v>18774</v>
      </c>
      <c r="K3355" t="str">
        <f>HYPERLINK("http://tuberculist.epfl.ch/quicksearch.php?gene+name=Rv3255c&amp;submit=Search")</f>
        <v>http://tuberculist.epfl.ch/quicksearch.php?gene+name=Rv3255c&amp;submit=Search</v>
      </c>
    </row>
    <row r="3356" spans="1:11">
      <c r="A3356" t="s">
        <v>2364</v>
      </c>
      <c r="B3356" t="s">
        <v>2364</v>
      </c>
      <c r="C3356" t="s">
        <v>9567</v>
      </c>
      <c r="D3356" t="s">
        <v>9578</v>
      </c>
      <c r="E3356" t="s">
        <v>9665</v>
      </c>
      <c r="F3356" t="s">
        <v>17214</v>
      </c>
      <c r="G3356" t="s">
        <v>19204</v>
      </c>
      <c r="H3356" t="s">
        <v>19196</v>
      </c>
      <c r="I3356" t="s">
        <v>18829</v>
      </c>
      <c r="K3356" t="str">
        <f>HYPERLINK("http://tuberculist.epfl.ch/quicksearch.php?gene+name=Rv3256c&amp;submit=Search")</f>
        <v>http://tuberculist.epfl.ch/quicksearch.php?gene+name=Rv3256c&amp;submit=Search</v>
      </c>
    </row>
    <row r="3357" spans="1:11">
      <c r="A3357" t="s">
        <v>17215</v>
      </c>
      <c r="B3357" t="s">
        <v>2276</v>
      </c>
      <c r="C3357" t="s">
        <v>9567</v>
      </c>
      <c r="D3357" t="s">
        <v>17216</v>
      </c>
      <c r="E3357" t="s">
        <v>17217</v>
      </c>
      <c r="F3357" t="s">
        <v>17218</v>
      </c>
      <c r="G3357" t="s">
        <v>19195</v>
      </c>
      <c r="H3357" t="s">
        <v>19334</v>
      </c>
      <c r="I3357" t="s">
        <v>18774</v>
      </c>
      <c r="K3357" t="str">
        <f>HYPERLINK("http://tuberculist.epfl.ch/quicksearch.php?gene+name=Rv3257c&amp;submit=Search")</f>
        <v>http://tuberculist.epfl.ch/quicksearch.php?gene+name=Rv3257c&amp;submit=Search</v>
      </c>
    </row>
    <row r="3358" spans="1:11">
      <c r="A3358" t="s">
        <v>1694</v>
      </c>
      <c r="B3358" t="s">
        <v>1694</v>
      </c>
      <c r="C3358" t="s">
        <v>9567</v>
      </c>
      <c r="D3358" t="s">
        <v>9578</v>
      </c>
      <c r="E3358" t="s">
        <v>9579</v>
      </c>
      <c r="F3358" t="s">
        <v>17219</v>
      </c>
      <c r="G3358" t="s">
        <v>19210</v>
      </c>
      <c r="I3358" t="s">
        <v>19050</v>
      </c>
      <c r="K3358" t="str">
        <f>HYPERLINK("http://tuberculist.epfl.ch/quicksearch.php?gene+name=Rv3258c&amp;submit=Search")</f>
        <v>http://tuberculist.epfl.ch/quicksearch.php?gene+name=Rv3258c&amp;submit=Search</v>
      </c>
    </row>
    <row r="3359" spans="1:11">
      <c r="A3359" t="s">
        <v>859</v>
      </c>
      <c r="B3359" t="s">
        <v>859</v>
      </c>
      <c r="C3359" t="s">
        <v>9567</v>
      </c>
      <c r="D3359" t="s">
        <v>9578</v>
      </c>
      <c r="E3359" t="s">
        <v>9579</v>
      </c>
      <c r="F3359" t="s">
        <v>17220</v>
      </c>
      <c r="G3359" t="s">
        <v>19212</v>
      </c>
      <c r="I3359" t="s">
        <v>18793</v>
      </c>
      <c r="K3359" t="str">
        <f>HYPERLINK("http://tuberculist.epfl.ch/quicksearch.php?gene+name=Rv3259&amp;submit=Search")</f>
        <v>http://tuberculist.epfl.ch/quicksearch.php?gene+name=Rv3259&amp;submit=Search</v>
      </c>
    </row>
    <row r="3360" spans="1:11">
      <c r="A3360" t="s">
        <v>4303</v>
      </c>
      <c r="B3360" t="s">
        <v>911</v>
      </c>
      <c r="C3360" t="s">
        <v>9567</v>
      </c>
      <c r="D3360" t="s">
        <v>9629</v>
      </c>
      <c r="E3360" t="s">
        <v>17221</v>
      </c>
      <c r="F3360" t="s">
        <v>17222</v>
      </c>
      <c r="G3360" t="s">
        <v>19197</v>
      </c>
      <c r="I3360" t="s">
        <v>18773</v>
      </c>
      <c r="K3360" t="str">
        <f>HYPERLINK("http://tuberculist.epfl.ch/quicksearch.php?gene+name=Rv3260c&amp;submit=Search")</f>
        <v>http://tuberculist.epfl.ch/quicksearch.php?gene+name=Rv3260c&amp;submit=Search</v>
      </c>
    </row>
    <row r="3361" spans="1:11">
      <c r="A3361" t="s">
        <v>9152</v>
      </c>
      <c r="B3361" t="s">
        <v>3303</v>
      </c>
      <c r="C3361" t="s">
        <v>9567</v>
      </c>
      <c r="D3361" t="s">
        <v>17223</v>
      </c>
      <c r="E3361" t="s">
        <v>17224</v>
      </c>
      <c r="F3361" t="s">
        <v>17225</v>
      </c>
      <c r="G3361" t="s">
        <v>19195</v>
      </c>
      <c r="H3361" t="s">
        <v>19213</v>
      </c>
      <c r="I3361" t="s">
        <v>18779</v>
      </c>
      <c r="K3361" t="str">
        <f>HYPERLINK("http://tuberculist.epfl.ch/quicksearch.php?gene+name=Rv3261&amp;submit=Search")</f>
        <v>http://tuberculist.epfl.ch/quicksearch.php?gene+name=Rv3261&amp;submit=Search</v>
      </c>
    </row>
    <row r="3362" spans="1:11">
      <c r="A3362" t="s">
        <v>9110</v>
      </c>
      <c r="B3362" t="s">
        <v>3283</v>
      </c>
      <c r="C3362" t="s">
        <v>9567</v>
      </c>
      <c r="D3362" t="s">
        <v>17223</v>
      </c>
      <c r="E3362" t="s">
        <v>17226</v>
      </c>
      <c r="F3362" t="s">
        <v>17227</v>
      </c>
      <c r="G3362" t="s">
        <v>19195</v>
      </c>
      <c r="H3362" t="s">
        <v>19207</v>
      </c>
      <c r="I3362" t="s">
        <v>18793</v>
      </c>
      <c r="K3362" t="str">
        <f>HYPERLINK("http://tuberculist.epfl.ch/quicksearch.php?gene+name=Rv3262&amp;submit=Search")</f>
        <v>http://tuberculist.epfl.ch/quicksearch.php?gene+name=Rv3262&amp;submit=Search</v>
      </c>
    </row>
    <row r="3363" spans="1:11">
      <c r="A3363" t="s">
        <v>1595</v>
      </c>
      <c r="B3363" t="s">
        <v>1595</v>
      </c>
      <c r="C3363" t="s">
        <v>9567</v>
      </c>
      <c r="D3363" t="s">
        <v>17228</v>
      </c>
      <c r="E3363" t="s">
        <v>17229</v>
      </c>
      <c r="F3363" t="s">
        <v>17230</v>
      </c>
      <c r="G3363" t="s">
        <v>19181</v>
      </c>
      <c r="H3363" t="s">
        <v>19207</v>
      </c>
      <c r="I3363" t="s">
        <v>18789</v>
      </c>
      <c r="K3363" t="str">
        <f>HYPERLINK("http://tuberculist.epfl.ch/quicksearch.php?gene+name=Rv3263&amp;submit=Search")</f>
        <v>http://tuberculist.epfl.ch/quicksearch.php?gene+name=Rv3263&amp;submit=Search</v>
      </c>
    </row>
    <row r="3364" spans="1:11">
      <c r="A3364" t="s">
        <v>7036</v>
      </c>
      <c r="B3364" t="s">
        <v>2697</v>
      </c>
      <c r="C3364" t="s">
        <v>9567</v>
      </c>
      <c r="D3364" t="s">
        <v>17231</v>
      </c>
      <c r="E3364" t="s">
        <v>17232</v>
      </c>
      <c r="F3364" t="s">
        <v>17233</v>
      </c>
      <c r="G3364" t="s">
        <v>19188</v>
      </c>
      <c r="H3364" t="s">
        <v>19924</v>
      </c>
      <c r="I3364" t="s">
        <v>18774</v>
      </c>
      <c r="K3364" t="str">
        <f>HYPERLINK("http://tuberculist.epfl.ch/quicksearch.php?gene+name=Rv3264c&amp;submit=Search")</f>
        <v>http://tuberculist.epfl.ch/quicksearch.php?gene+name=Rv3264c&amp;submit=Search</v>
      </c>
    </row>
    <row r="3365" spans="1:11">
      <c r="A3365" t="s">
        <v>6509</v>
      </c>
      <c r="B3365" t="s">
        <v>2004</v>
      </c>
      <c r="C3365" t="s">
        <v>9567</v>
      </c>
      <c r="D3365" t="s">
        <v>17234</v>
      </c>
      <c r="E3365" t="s">
        <v>17235</v>
      </c>
      <c r="F3365" t="s">
        <v>17236</v>
      </c>
      <c r="G3365" t="s">
        <v>19188</v>
      </c>
      <c r="H3365" t="s">
        <v>19196</v>
      </c>
      <c r="I3365" t="s">
        <v>18774</v>
      </c>
      <c r="K3365" t="str">
        <f>HYPERLINK("http://tuberculist.epfl.ch/quicksearch.php?gene+name=Rv3265c&amp;submit=Search")</f>
        <v>http://tuberculist.epfl.ch/quicksearch.php?gene+name=Rv3265c&amp;submit=Search</v>
      </c>
    </row>
    <row r="3366" spans="1:11">
      <c r="A3366" t="s">
        <v>17237</v>
      </c>
      <c r="B3366" t="s">
        <v>1184</v>
      </c>
      <c r="C3366" t="s">
        <v>9567</v>
      </c>
      <c r="D3366" t="s">
        <v>17238</v>
      </c>
      <c r="E3366" t="s">
        <v>17239</v>
      </c>
      <c r="F3366" t="s">
        <v>17240</v>
      </c>
      <c r="G3366" t="s">
        <v>19195</v>
      </c>
      <c r="I3366" t="s">
        <v>19103</v>
      </c>
      <c r="K3366" t="str">
        <f>HYPERLINK("http://tuberculist.epfl.ch/quicksearch.php?gene+name=Rv3266c&amp;submit=Search")</f>
        <v>http://tuberculist.epfl.ch/quicksearch.php?gene+name=Rv3266c&amp;submit=Search</v>
      </c>
    </row>
    <row r="3367" spans="1:11">
      <c r="A3367" t="s">
        <v>2296</v>
      </c>
      <c r="B3367" t="s">
        <v>2296</v>
      </c>
      <c r="C3367" t="s">
        <v>9567</v>
      </c>
      <c r="D3367" t="s">
        <v>9578</v>
      </c>
      <c r="E3367" t="s">
        <v>17241</v>
      </c>
      <c r="F3367" t="s">
        <v>17242</v>
      </c>
      <c r="G3367" t="s">
        <v>19212</v>
      </c>
      <c r="H3367" t="s">
        <v>20055</v>
      </c>
      <c r="I3367" t="s">
        <v>18774</v>
      </c>
      <c r="K3367" t="str">
        <f>HYPERLINK("http://tuberculist.epfl.ch/quicksearch.php?gene+name=Rv3267&amp;submit=Search")</f>
        <v>http://tuberculist.epfl.ch/quicksearch.php?gene+name=Rv3267&amp;submit=Search</v>
      </c>
    </row>
    <row r="3368" spans="1:11">
      <c r="A3368" t="s">
        <v>1970</v>
      </c>
      <c r="B3368" t="s">
        <v>1970</v>
      </c>
      <c r="C3368" t="s">
        <v>9567</v>
      </c>
      <c r="D3368" t="s">
        <v>9578</v>
      </c>
      <c r="E3368" t="s">
        <v>9579</v>
      </c>
      <c r="F3368" t="s">
        <v>17243</v>
      </c>
      <c r="G3368" t="s">
        <v>19220</v>
      </c>
      <c r="I3368" t="s">
        <v>18780</v>
      </c>
      <c r="K3368" t="str">
        <f>HYPERLINK("http://tuberculist.epfl.ch/quicksearch.php?gene+name=Rv3268&amp;submit=Search")</f>
        <v>http://tuberculist.epfl.ch/quicksearch.php?gene+name=Rv3268&amp;submit=Search</v>
      </c>
    </row>
    <row r="3369" spans="1:11">
      <c r="A3369" t="s">
        <v>330</v>
      </c>
      <c r="B3369" t="s">
        <v>330</v>
      </c>
      <c r="C3369" t="s">
        <v>9567</v>
      </c>
      <c r="D3369" t="s">
        <v>17244</v>
      </c>
      <c r="E3369" t="s">
        <v>9665</v>
      </c>
      <c r="F3369" t="s">
        <v>17245</v>
      </c>
      <c r="G3369" t="s">
        <v>19206</v>
      </c>
      <c r="H3369" t="s">
        <v>20056</v>
      </c>
      <c r="I3369" t="s">
        <v>18790</v>
      </c>
      <c r="K3369" t="str">
        <f>HYPERLINK("http://tuberculist.epfl.ch/quicksearch.php?gene+name=Rv3269&amp;submit=Search")</f>
        <v>http://tuberculist.epfl.ch/quicksearch.php?gene+name=Rv3269&amp;submit=Search</v>
      </c>
    </row>
    <row r="3370" spans="1:11">
      <c r="A3370" t="s">
        <v>332</v>
      </c>
      <c r="B3370" t="s">
        <v>333</v>
      </c>
      <c r="C3370" t="s">
        <v>9567</v>
      </c>
      <c r="D3370" t="s">
        <v>17246</v>
      </c>
      <c r="E3370" t="s">
        <v>17247</v>
      </c>
      <c r="F3370" t="s">
        <v>17248</v>
      </c>
      <c r="G3370" t="s">
        <v>19188</v>
      </c>
      <c r="H3370" t="s">
        <v>19341</v>
      </c>
      <c r="I3370" t="s">
        <v>18890</v>
      </c>
      <c r="K3370" t="str">
        <f>HYPERLINK("http://tuberculist.epfl.ch/quicksearch.php?gene+name=Rv3270&amp;submit=Search")</f>
        <v>http://tuberculist.epfl.ch/quicksearch.php?gene+name=Rv3270&amp;submit=Search</v>
      </c>
    </row>
    <row r="3371" spans="1:11">
      <c r="A3371" t="s">
        <v>1472</v>
      </c>
      <c r="B3371" t="s">
        <v>1472</v>
      </c>
      <c r="C3371" t="s">
        <v>9567</v>
      </c>
      <c r="D3371" t="s">
        <v>9587</v>
      </c>
      <c r="E3371" t="s">
        <v>9668</v>
      </c>
      <c r="F3371" t="s">
        <v>17249</v>
      </c>
      <c r="G3371" t="s">
        <v>19188</v>
      </c>
      <c r="H3371" t="s">
        <v>19214</v>
      </c>
      <c r="I3371" t="s">
        <v>18800</v>
      </c>
      <c r="K3371" t="str">
        <f>HYPERLINK("http://tuberculist.epfl.ch/quicksearch.php?gene+name=Rv3271c&amp;submit=Search")</f>
        <v>http://tuberculist.epfl.ch/quicksearch.php?gene+name=Rv3271c&amp;submit=Search</v>
      </c>
    </row>
    <row r="3372" spans="1:11">
      <c r="A3372" t="s">
        <v>1651</v>
      </c>
      <c r="B3372" t="s">
        <v>1651</v>
      </c>
      <c r="C3372" t="s">
        <v>9567</v>
      </c>
      <c r="D3372" t="s">
        <v>9578</v>
      </c>
      <c r="E3372" t="s">
        <v>9579</v>
      </c>
      <c r="F3372" t="s">
        <v>17250</v>
      </c>
      <c r="G3372" t="s">
        <v>19204</v>
      </c>
      <c r="H3372" t="s">
        <v>19520</v>
      </c>
      <c r="I3372" t="s">
        <v>18780</v>
      </c>
      <c r="K3372" t="str">
        <f>HYPERLINK("http://tuberculist.epfl.ch/quicksearch.php?gene+name=Rv3272&amp;submit=Search")</f>
        <v>http://tuberculist.epfl.ch/quicksearch.php?gene+name=Rv3272&amp;submit=Search</v>
      </c>
    </row>
    <row r="3373" spans="1:11">
      <c r="A3373" t="s">
        <v>1502</v>
      </c>
      <c r="B3373" t="s">
        <v>1502</v>
      </c>
      <c r="C3373" t="s">
        <v>9567</v>
      </c>
      <c r="D3373" t="s">
        <v>17251</v>
      </c>
      <c r="E3373" t="s">
        <v>17252</v>
      </c>
      <c r="F3373" t="s">
        <v>17253</v>
      </c>
      <c r="G3373" t="s">
        <v>19195</v>
      </c>
      <c r="H3373" t="s">
        <v>20057</v>
      </c>
      <c r="I3373" t="s">
        <v>18789</v>
      </c>
      <c r="K3373" t="str">
        <f>HYPERLINK("http://tuberculist.epfl.ch/quicksearch.php?gene+name=Rv3273&amp;submit=Search")</f>
        <v>http://tuberculist.epfl.ch/quicksearch.php?gene+name=Rv3273&amp;submit=Search</v>
      </c>
    </row>
    <row r="3374" spans="1:11">
      <c r="A3374" t="s">
        <v>5274</v>
      </c>
      <c r="B3374" t="s">
        <v>1389</v>
      </c>
      <c r="C3374" t="s">
        <v>9567</v>
      </c>
      <c r="D3374" t="s">
        <v>17254</v>
      </c>
      <c r="E3374" t="s">
        <v>17255</v>
      </c>
      <c r="F3374" t="s">
        <v>17256</v>
      </c>
      <c r="G3374" t="s">
        <v>19219</v>
      </c>
      <c r="H3374" t="s">
        <v>20058</v>
      </c>
      <c r="I3374" t="s">
        <v>18843</v>
      </c>
      <c r="K3374" t="str">
        <f>HYPERLINK("http://tuberculist.epfl.ch/quicksearch.php?gene+name=Rv3274c&amp;submit=Search")</f>
        <v>http://tuberculist.epfl.ch/quicksearch.php?gene+name=Rv3274c&amp;submit=Search</v>
      </c>
    </row>
    <row r="3375" spans="1:11">
      <c r="A3375" t="s">
        <v>4201</v>
      </c>
      <c r="B3375" t="s">
        <v>860</v>
      </c>
      <c r="C3375" t="s">
        <v>9567</v>
      </c>
      <c r="D3375" t="s">
        <v>17257</v>
      </c>
      <c r="E3375" t="s">
        <v>17258</v>
      </c>
      <c r="F3375" t="s">
        <v>17259</v>
      </c>
      <c r="G3375" t="s">
        <v>19195</v>
      </c>
      <c r="H3375" t="s">
        <v>20059</v>
      </c>
      <c r="I3375" t="s">
        <v>18800</v>
      </c>
      <c r="K3375" t="str">
        <f>HYPERLINK("http://tuberculist.epfl.ch/quicksearch.php?gene+name=Rv3275c&amp;submit=Search")</f>
        <v>http://tuberculist.epfl.ch/quicksearch.php?gene+name=Rv3275c&amp;submit=Search</v>
      </c>
    </row>
    <row r="3376" spans="1:11">
      <c r="A3376" t="s">
        <v>5938</v>
      </c>
      <c r="B3376" t="s">
        <v>1723</v>
      </c>
      <c r="C3376" t="s">
        <v>9567</v>
      </c>
      <c r="D3376" t="s">
        <v>17260</v>
      </c>
      <c r="E3376" t="s">
        <v>17261</v>
      </c>
      <c r="F3376" t="s">
        <v>17262</v>
      </c>
      <c r="G3376" t="s">
        <v>19195</v>
      </c>
      <c r="H3376" t="s">
        <v>19640</v>
      </c>
      <c r="I3376" t="s">
        <v>18776</v>
      </c>
      <c r="K3376" t="str">
        <f>HYPERLINK("http://tuberculist.epfl.ch/quicksearch.php?gene+name=Rv3276c&amp;submit=Search")</f>
        <v>http://tuberculist.epfl.ch/quicksearch.php?gene+name=Rv3276c&amp;submit=Search</v>
      </c>
    </row>
    <row r="3377" spans="1:11">
      <c r="A3377" t="s">
        <v>1523</v>
      </c>
      <c r="B3377" t="s">
        <v>1523</v>
      </c>
      <c r="C3377" t="s">
        <v>9567</v>
      </c>
      <c r="D3377" t="s">
        <v>9587</v>
      </c>
      <c r="E3377" t="s">
        <v>9597</v>
      </c>
      <c r="F3377" t="s">
        <v>17263</v>
      </c>
      <c r="G3377" t="s">
        <v>19188</v>
      </c>
      <c r="H3377" t="s">
        <v>19192</v>
      </c>
      <c r="I3377" t="s">
        <v>18866</v>
      </c>
      <c r="K3377" t="str">
        <f>HYPERLINK("http://tuberculist.epfl.ch/quicksearch.php?gene+name=Rv3277&amp;submit=Search")</f>
        <v>http://tuberculist.epfl.ch/quicksearch.php?gene+name=Rv3277&amp;submit=Search</v>
      </c>
    </row>
    <row r="3378" spans="1:11">
      <c r="A3378" t="s">
        <v>2863</v>
      </c>
      <c r="B3378" t="s">
        <v>2863</v>
      </c>
      <c r="C3378" t="s">
        <v>9567</v>
      </c>
      <c r="D3378" t="s">
        <v>9587</v>
      </c>
      <c r="E3378" t="s">
        <v>9597</v>
      </c>
      <c r="F3378" t="s">
        <v>17264</v>
      </c>
      <c r="G3378" t="s">
        <v>19188</v>
      </c>
      <c r="H3378" t="s">
        <v>19272</v>
      </c>
      <c r="I3378" t="s">
        <v>18780</v>
      </c>
      <c r="K3378" t="str">
        <f>HYPERLINK("http://tuberculist.epfl.ch/quicksearch.php?gene+name=Rv3278c&amp;submit=Search")</f>
        <v>http://tuberculist.epfl.ch/quicksearch.php?gene+name=Rv3278c&amp;submit=Search</v>
      </c>
    </row>
    <row r="3379" spans="1:11">
      <c r="A3379" t="s">
        <v>5722</v>
      </c>
      <c r="B3379" t="s">
        <v>1622</v>
      </c>
      <c r="C3379" t="s">
        <v>9567</v>
      </c>
      <c r="D3379" t="s">
        <v>17265</v>
      </c>
      <c r="E3379" t="s">
        <v>17266</v>
      </c>
      <c r="F3379" t="s">
        <v>17267</v>
      </c>
      <c r="G3379" t="s">
        <v>19195</v>
      </c>
      <c r="H3379" t="s">
        <v>19411</v>
      </c>
      <c r="I3379" t="s">
        <v>18788</v>
      </c>
      <c r="K3379" t="str">
        <f>HYPERLINK("http://tuberculist.epfl.ch/quicksearch.php?gene+name=Rv3279c&amp;submit=Search")</f>
        <v>http://tuberculist.epfl.ch/quicksearch.php?gene+name=Rv3279c&amp;submit=Search</v>
      </c>
    </row>
    <row r="3380" spans="1:11">
      <c r="A3380" t="s">
        <v>6532</v>
      </c>
      <c r="B3380" t="s">
        <v>2015</v>
      </c>
      <c r="C3380" t="s">
        <v>9567</v>
      </c>
      <c r="D3380" t="s">
        <v>17268</v>
      </c>
      <c r="E3380" t="s">
        <v>17269</v>
      </c>
      <c r="F3380" t="s">
        <v>17270</v>
      </c>
      <c r="G3380" t="s">
        <v>19219</v>
      </c>
      <c r="H3380" t="s">
        <v>20060</v>
      </c>
      <c r="I3380" t="s">
        <v>18776</v>
      </c>
      <c r="K3380" t="str">
        <f>HYPERLINK("http://tuberculist.epfl.ch/quicksearch.php?gene+name=Rv3280&amp;submit=Search")</f>
        <v>http://tuberculist.epfl.ch/quicksearch.php?gene+name=Rv3280&amp;submit=Search</v>
      </c>
    </row>
    <row r="3381" spans="1:11">
      <c r="A3381" t="s">
        <v>17271</v>
      </c>
      <c r="B3381" t="s">
        <v>1076</v>
      </c>
      <c r="C3381" t="s">
        <v>9567</v>
      </c>
      <c r="D3381" t="s">
        <v>17272</v>
      </c>
      <c r="E3381" t="s">
        <v>17273</v>
      </c>
      <c r="F3381" t="s">
        <v>17274</v>
      </c>
      <c r="G3381" t="s">
        <v>19219</v>
      </c>
      <c r="H3381" t="s">
        <v>19233</v>
      </c>
      <c r="I3381" t="s">
        <v>18800</v>
      </c>
      <c r="K3381" t="str">
        <f>HYPERLINK("http://tuberculist.epfl.ch/quicksearch.php?gene+name=Rv3281&amp;submit=Search")</f>
        <v>http://tuberculist.epfl.ch/quicksearch.php?gene+name=Rv3281&amp;submit=Search</v>
      </c>
    </row>
    <row r="3382" spans="1:11">
      <c r="A3382" t="s">
        <v>1169</v>
      </c>
      <c r="B3382" t="s">
        <v>1169</v>
      </c>
      <c r="C3382" t="s">
        <v>9567</v>
      </c>
      <c r="D3382" t="s">
        <v>9578</v>
      </c>
      <c r="E3382" t="s">
        <v>9579</v>
      </c>
      <c r="F3382" t="s">
        <v>17275</v>
      </c>
      <c r="G3382" t="s">
        <v>19204</v>
      </c>
      <c r="H3382" t="s">
        <v>19247</v>
      </c>
      <c r="I3382" t="s">
        <v>18904</v>
      </c>
      <c r="K3382" t="str">
        <f>HYPERLINK("http://tuberculist.epfl.ch/quicksearch.php?gene+name=Rv3282&amp;submit=Search")</f>
        <v>http://tuberculist.epfl.ch/quicksearch.php?gene+name=Rv3282&amp;submit=Search</v>
      </c>
    </row>
    <row r="3383" spans="1:11">
      <c r="A3383" t="s">
        <v>5060</v>
      </c>
      <c r="B3383" t="s">
        <v>1284</v>
      </c>
      <c r="C3383" t="s">
        <v>9567</v>
      </c>
      <c r="D3383" t="s">
        <v>17276</v>
      </c>
      <c r="E3383" t="s">
        <v>17277</v>
      </c>
      <c r="F3383" t="s">
        <v>17278</v>
      </c>
      <c r="G3383" t="s">
        <v>19195</v>
      </c>
      <c r="H3383" t="s">
        <v>20061</v>
      </c>
      <c r="I3383" t="s">
        <v>19104</v>
      </c>
      <c r="K3383" t="str">
        <f>HYPERLINK("http://tuberculist.epfl.ch/quicksearch.php?gene+name=Rv3283&amp;submit=Search")</f>
        <v>http://tuberculist.epfl.ch/quicksearch.php?gene+name=Rv3283&amp;submit=Search</v>
      </c>
    </row>
    <row r="3384" spans="1:11">
      <c r="A3384" t="s">
        <v>2535</v>
      </c>
      <c r="B3384" t="s">
        <v>2535</v>
      </c>
      <c r="C3384" t="s">
        <v>9567</v>
      </c>
      <c r="D3384" t="s">
        <v>9578</v>
      </c>
      <c r="E3384" t="s">
        <v>9579</v>
      </c>
      <c r="F3384" t="s">
        <v>17279</v>
      </c>
      <c r="G3384" t="s">
        <v>19204</v>
      </c>
      <c r="H3384" t="s">
        <v>19214</v>
      </c>
      <c r="I3384" t="s">
        <v>19105</v>
      </c>
      <c r="K3384" t="str">
        <f>HYPERLINK("http://tuberculist.epfl.ch/quicksearch.php?gene+name=Rv3284&amp;submit=Search")</f>
        <v>http://tuberculist.epfl.ch/quicksearch.php?gene+name=Rv3284&amp;submit=Search</v>
      </c>
    </row>
    <row r="3385" spans="1:11">
      <c r="A3385" t="s">
        <v>3826</v>
      </c>
      <c r="B3385" t="s">
        <v>670</v>
      </c>
      <c r="C3385" t="s">
        <v>9567</v>
      </c>
      <c r="D3385" t="s">
        <v>17280</v>
      </c>
      <c r="E3385" t="s">
        <v>17281</v>
      </c>
      <c r="F3385" t="s">
        <v>17282</v>
      </c>
      <c r="G3385" t="s">
        <v>19219</v>
      </c>
      <c r="H3385" t="s">
        <v>20062</v>
      </c>
      <c r="I3385" t="s">
        <v>18774</v>
      </c>
      <c r="K3385" t="str">
        <f>HYPERLINK("http://tuberculist.epfl.ch/quicksearch.php?gene+name=Rv3285&amp;submit=Search")</f>
        <v>http://tuberculist.epfl.ch/quicksearch.php?gene+name=Rv3285&amp;submit=Search</v>
      </c>
    </row>
    <row r="3386" spans="1:11">
      <c r="A3386" t="s">
        <v>6756</v>
      </c>
      <c r="B3386" t="s">
        <v>2140</v>
      </c>
      <c r="C3386" t="s">
        <v>9567</v>
      </c>
      <c r="D3386" t="s">
        <v>17283</v>
      </c>
      <c r="E3386" t="s">
        <v>17284</v>
      </c>
      <c r="F3386" t="s">
        <v>17285</v>
      </c>
      <c r="G3386" t="s">
        <v>19181</v>
      </c>
      <c r="I3386" t="s">
        <v>18780</v>
      </c>
      <c r="K3386" t="str">
        <f>HYPERLINK("http://tuberculist.epfl.ch/quicksearch.php?gene+name=Rv3286c&amp;submit=Search")</f>
        <v>http://tuberculist.epfl.ch/quicksearch.php?gene+name=Rv3286c&amp;submit=Search</v>
      </c>
    </row>
    <row r="3387" spans="1:11">
      <c r="A3387" t="s">
        <v>3962</v>
      </c>
      <c r="B3387" t="s">
        <v>743</v>
      </c>
      <c r="C3387" t="s">
        <v>9567</v>
      </c>
      <c r="D3387" t="s">
        <v>17286</v>
      </c>
      <c r="E3387" t="s">
        <v>17287</v>
      </c>
      <c r="F3387" t="s">
        <v>17288</v>
      </c>
      <c r="G3387" t="s">
        <v>19181</v>
      </c>
      <c r="H3387" t="s">
        <v>19233</v>
      </c>
      <c r="I3387" t="s">
        <v>18780</v>
      </c>
      <c r="J3387" t="s">
        <v>18839</v>
      </c>
      <c r="K3387" t="str">
        <f>HYPERLINK("http://tuberculist.epfl.ch/quicksearch.php?gene+name=Rv3287c&amp;submit=Search")</f>
        <v>http://tuberculist.epfl.ch/quicksearch.php?gene+name=Rv3287c&amp;submit=Search</v>
      </c>
    </row>
    <row r="3388" spans="1:11">
      <c r="A3388" t="s">
        <v>3518</v>
      </c>
      <c r="B3388" t="s">
        <v>516</v>
      </c>
      <c r="C3388" t="s">
        <v>9567</v>
      </c>
      <c r="D3388" t="s">
        <v>9578</v>
      </c>
      <c r="E3388" t="s">
        <v>17289</v>
      </c>
      <c r="F3388" t="s">
        <v>17290</v>
      </c>
      <c r="G3388" t="s">
        <v>19185</v>
      </c>
      <c r="H3388" t="s">
        <v>19213</v>
      </c>
      <c r="I3388" t="s">
        <v>18780</v>
      </c>
      <c r="K3388" t="str">
        <f>HYPERLINK("http://tuberculist.epfl.ch/quicksearch.php?gene+name=Rv3288c&amp;submit=Search")</f>
        <v>http://tuberculist.epfl.ch/quicksearch.php?gene+name=Rv3288c&amp;submit=Search</v>
      </c>
    </row>
    <row r="3389" spans="1:11">
      <c r="A3389" t="s">
        <v>2474</v>
      </c>
      <c r="B3389" t="s">
        <v>2474</v>
      </c>
      <c r="C3389" t="s">
        <v>9567</v>
      </c>
      <c r="D3389" t="s">
        <v>9587</v>
      </c>
      <c r="E3389" t="s">
        <v>10540</v>
      </c>
      <c r="F3389" t="s">
        <v>17291</v>
      </c>
      <c r="G3389" t="s">
        <v>19188</v>
      </c>
      <c r="I3389" t="s">
        <v>18789</v>
      </c>
      <c r="J3389" t="s">
        <v>18832</v>
      </c>
      <c r="K3389" t="str">
        <f>HYPERLINK("http://tuberculist.epfl.ch/quicksearch.php?gene+name=Rv3289c&amp;submit=Search")</f>
        <v>http://tuberculist.epfl.ch/quicksearch.php?gene+name=Rv3289c&amp;submit=Search</v>
      </c>
    </row>
    <row r="3390" spans="1:11">
      <c r="A3390" t="s">
        <v>9470</v>
      </c>
      <c r="B3390" t="s">
        <v>457</v>
      </c>
      <c r="C3390" t="s">
        <v>9567</v>
      </c>
      <c r="D3390" t="s">
        <v>17292</v>
      </c>
      <c r="E3390" t="s">
        <v>17293</v>
      </c>
      <c r="F3390" t="s">
        <v>17294</v>
      </c>
      <c r="G3390" t="s">
        <v>19195</v>
      </c>
      <c r="H3390" t="s">
        <v>19213</v>
      </c>
      <c r="I3390" t="s">
        <v>18789</v>
      </c>
      <c r="K3390" t="str">
        <f>HYPERLINK("http://tuberculist.epfl.ch/quicksearch.php?gene+name=Rv3290c&amp;submit=Search")</f>
        <v>http://tuberculist.epfl.ch/quicksearch.php?gene+name=Rv3290c&amp;submit=Search</v>
      </c>
    </row>
    <row r="3391" spans="1:11">
      <c r="A3391" t="s">
        <v>17295</v>
      </c>
      <c r="B3391" t="s">
        <v>3266</v>
      </c>
      <c r="C3391" t="s">
        <v>9567</v>
      </c>
      <c r="D3391" t="s">
        <v>9629</v>
      </c>
      <c r="E3391" t="s">
        <v>17296</v>
      </c>
      <c r="F3391" t="s">
        <v>17297</v>
      </c>
      <c r="G3391" t="s">
        <v>19197</v>
      </c>
      <c r="H3391" t="s">
        <v>19520</v>
      </c>
      <c r="I3391" t="s">
        <v>18779</v>
      </c>
      <c r="K3391" t="str">
        <f>HYPERLINK("http://tuberculist.epfl.ch/quicksearch.php?gene+name=Rv3291c&amp;submit=Search")</f>
        <v>http://tuberculist.epfl.ch/quicksearch.php?gene+name=Rv3291c&amp;submit=Search</v>
      </c>
    </row>
    <row r="3392" spans="1:11">
      <c r="A3392" t="s">
        <v>3185</v>
      </c>
      <c r="B3392" t="s">
        <v>3185</v>
      </c>
      <c r="C3392" t="s">
        <v>9567</v>
      </c>
      <c r="D3392" t="s">
        <v>9578</v>
      </c>
      <c r="E3392" t="s">
        <v>9579</v>
      </c>
      <c r="F3392" t="s">
        <v>17298</v>
      </c>
      <c r="G3392" t="s">
        <v>19204</v>
      </c>
      <c r="H3392" t="s">
        <v>19265</v>
      </c>
      <c r="I3392" t="s">
        <v>18780</v>
      </c>
      <c r="K3392" t="str">
        <f>HYPERLINK("http://tuberculist.epfl.ch/quicksearch.php?gene+name=Rv3292&amp;submit=Search")</f>
        <v>http://tuberculist.epfl.ch/quicksearch.php?gene+name=Rv3292&amp;submit=Search</v>
      </c>
    </row>
    <row r="3393" spans="1:11">
      <c r="A3393" t="s">
        <v>17299</v>
      </c>
      <c r="B3393" t="s">
        <v>2978</v>
      </c>
      <c r="C3393" t="s">
        <v>9567</v>
      </c>
      <c r="D3393" t="s">
        <v>17300</v>
      </c>
      <c r="E3393" t="s">
        <v>17301</v>
      </c>
      <c r="F3393" t="s">
        <v>17302</v>
      </c>
      <c r="G3393" t="s">
        <v>19195</v>
      </c>
      <c r="H3393" t="s">
        <v>19213</v>
      </c>
      <c r="I3393" t="s">
        <v>18780</v>
      </c>
      <c r="K3393" t="str">
        <f>HYPERLINK("http://tuberculist.epfl.ch/quicksearch.php?gene+name=Rv3293&amp;submit=Search")</f>
        <v>http://tuberculist.epfl.ch/quicksearch.php?gene+name=Rv3293&amp;submit=Search</v>
      </c>
    </row>
    <row r="3394" spans="1:11">
      <c r="A3394" t="s">
        <v>2090</v>
      </c>
      <c r="B3394" t="s">
        <v>2090</v>
      </c>
      <c r="C3394" t="s">
        <v>9567</v>
      </c>
      <c r="D3394" t="s">
        <v>9578</v>
      </c>
      <c r="E3394" t="s">
        <v>9579</v>
      </c>
      <c r="F3394" t="s">
        <v>17303</v>
      </c>
      <c r="G3394" t="s">
        <v>19185</v>
      </c>
      <c r="I3394" t="s">
        <v>18780</v>
      </c>
      <c r="K3394" t="str">
        <f>HYPERLINK("http://tuberculist.epfl.ch/quicksearch.php?gene+name=Rv3294c&amp;submit=Search")</f>
        <v>http://tuberculist.epfl.ch/quicksearch.php?gene+name=Rv3294c&amp;submit=Search</v>
      </c>
    </row>
    <row r="3395" spans="1:11">
      <c r="A3395" t="s">
        <v>917</v>
      </c>
      <c r="B3395" t="s">
        <v>917</v>
      </c>
      <c r="C3395" t="s">
        <v>9567</v>
      </c>
      <c r="D3395" t="s">
        <v>9629</v>
      </c>
      <c r="E3395" t="s">
        <v>11955</v>
      </c>
      <c r="F3395" t="s">
        <v>17304</v>
      </c>
      <c r="G3395" t="s">
        <v>19197</v>
      </c>
      <c r="H3395" t="s">
        <v>19780</v>
      </c>
      <c r="I3395" t="s">
        <v>18780</v>
      </c>
      <c r="K3395" t="str">
        <f>HYPERLINK("http://tuberculist.epfl.ch/quicksearch.php?gene+name=Rv3295&amp;submit=Search")</f>
        <v>http://tuberculist.epfl.ch/quicksearch.php?gene+name=Rv3295&amp;submit=Search</v>
      </c>
    </row>
    <row r="3396" spans="1:11">
      <c r="A3396" t="s">
        <v>17305</v>
      </c>
      <c r="B3396" t="s">
        <v>3024</v>
      </c>
      <c r="C3396" t="s">
        <v>9567</v>
      </c>
      <c r="D3396" t="s">
        <v>17306</v>
      </c>
      <c r="E3396" t="s">
        <v>17307</v>
      </c>
      <c r="F3396" t="s">
        <v>17308</v>
      </c>
      <c r="G3396" t="s">
        <v>19181</v>
      </c>
      <c r="H3396" t="s">
        <v>19218</v>
      </c>
      <c r="I3396" t="s">
        <v>18792</v>
      </c>
      <c r="K3396" t="str">
        <f>HYPERLINK("http://tuberculist.epfl.ch/quicksearch.php?gene+name=Rv3296&amp;submit=Search")</f>
        <v>http://tuberculist.epfl.ch/quicksearch.php?gene+name=Rv3296&amp;submit=Search</v>
      </c>
    </row>
    <row r="3397" spans="1:11">
      <c r="A3397" t="s">
        <v>17309</v>
      </c>
      <c r="B3397" t="s">
        <v>3247</v>
      </c>
      <c r="C3397" t="s">
        <v>9567</v>
      </c>
      <c r="D3397" t="s">
        <v>17310</v>
      </c>
      <c r="E3397" t="s">
        <v>17311</v>
      </c>
      <c r="F3397" t="s">
        <v>17312</v>
      </c>
      <c r="G3397" t="s">
        <v>19181</v>
      </c>
      <c r="I3397" t="s">
        <v>18780</v>
      </c>
      <c r="K3397" t="str">
        <f>HYPERLINK("http://tuberculist.epfl.ch/quicksearch.php?gene+name=Rv3297&amp;submit=Search")</f>
        <v>http://tuberculist.epfl.ch/quicksearch.php?gene+name=Rv3297&amp;submit=Search</v>
      </c>
    </row>
    <row r="3398" spans="1:11">
      <c r="A3398" t="s">
        <v>17313</v>
      </c>
      <c r="B3398" t="s">
        <v>695</v>
      </c>
      <c r="C3398" t="s">
        <v>9567</v>
      </c>
      <c r="D3398" t="s">
        <v>11074</v>
      </c>
      <c r="E3398" t="s">
        <v>17314</v>
      </c>
      <c r="F3398" t="s">
        <v>17315</v>
      </c>
      <c r="G3398" t="s">
        <v>19188</v>
      </c>
      <c r="H3398" t="s">
        <v>19502</v>
      </c>
      <c r="I3398" t="s">
        <v>18780</v>
      </c>
      <c r="K3398" t="str">
        <f>HYPERLINK("http://tuberculist.epfl.ch/quicksearch.php?gene+name=Rv3298c&amp;submit=Search")</f>
        <v>http://tuberculist.epfl.ch/quicksearch.php?gene+name=Rv3298c&amp;submit=Search</v>
      </c>
    </row>
    <row r="3399" spans="1:11">
      <c r="A3399" t="s">
        <v>9296</v>
      </c>
      <c r="B3399" t="s">
        <v>3372</v>
      </c>
      <c r="C3399" t="s">
        <v>9567</v>
      </c>
      <c r="D3399" t="s">
        <v>17316</v>
      </c>
      <c r="E3399" t="s">
        <v>17317</v>
      </c>
      <c r="F3399" t="s">
        <v>17318</v>
      </c>
      <c r="G3399" t="s">
        <v>19195</v>
      </c>
      <c r="H3399" t="s">
        <v>19326</v>
      </c>
      <c r="I3399" t="s">
        <v>18789</v>
      </c>
      <c r="K3399" t="str">
        <f>HYPERLINK("http://tuberculist.epfl.ch/quicksearch.php?gene+name=Rv3299c&amp;submit=Search")</f>
        <v>http://tuberculist.epfl.ch/quicksearch.php?gene+name=Rv3299c&amp;submit=Search</v>
      </c>
    </row>
    <row r="3400" spans="1:11">
      <c r="A3400" t="s">
        <v>2715</v>
      </c>
      <c r="B3400" t="s">
        <v>2715</v>
      </c>
      <c r="C3400" t="s">
        <v>9567</v>
      </c>
      <c r="D3400" t="s">
        <v>9578</v>
      </c>
      <c r="E3400" t="s">
        <v>9579</v>
      </c>
      <c r="F3400" t="s">
        <v>17319</v>
      </c>
      <c r="G3400" t="s">
        <v>19212</v>
      </c>
      <c r="H3400" t="s">
        <v>19207</v>
      </c>
      <c r="I3400" t="s">
        <v>18792</v>
      </c>
      <c r="K3400" t="str">
        <f>HYPERLINK("http://tuberculist.epfl.ch/quicksearch.php?gene+name=Rv3300c&amp;submit=Search")</f>
        <v>http://tuberculist.epfl.ch/quicksearch.php?gene+name=Rv3300c&amp;submit=Search</v>
      </c>
    </row>
    <row r="3401" spans="1:11">
      <c r="A3401" t="s">
        <v>17320</v>
      </c>
      <c r="B3401" t="s">
        <v>2769</v>
      </c>
      <c r="C3401" t="s">
        <v>9567</v>
      </c>
      <c r="D3401" t="s">
        <v>11514</v>
      </c>
      <c r="E3401" t="s">
        <v>17321</v>
      </c>
      <c r="F3401" t="s">
        <v>17322</v>
      </c>
      <c r="G3401" t="s">
        <v>19188</v>
      </c>
      <c r="H3401" t="s">
        <v>20063</v>
      </c>
      <c r="I3401" t="s">
        <v>18780</v>
      </c>
      <c r="J3401" t="s">
        <v>18839</v>
      </c>
      <c r="K3401" t="str">
        <f>HYPERLINK("http://tuberculist.epfl.ch/quicksearch.php?gene+name=Rv3301c&amp;submit=Search")</f>
        <v>http://tuberculist.epfl.ch/quicksearch.php?gene+name=Rv3301c&amp;submit=Search</v>
      </c>
    </row>
    <row r="3402" spans="1:11">
      <c r="A3402" t="s">
        <v>17323</v>
      </c>
      <c r="B3402" t="s">
        <v>1483</v>
      </c>
      <c r="C3402" t="s">
        <v>9567</v>
      </c>
      <c r="D3402" t="s">
        <v>14841</v>
      </c>
      <c r="E3402" t="s">
        <v>17324</v>
      </c>
      <c r="F3402" t="s">
        <v>17325</v>
      </c>
      <c r="G3402" t="s">
        <v>19195</v>
      </c>
      <c r="H3402" t="s">
        <v>19401</v>
      </c>
      <c r="I3402" t="s">
        <v>18776</v>
      </c>
      <c r="K3402" t="str">
        <f>HYPERLINK("http://tuberculist.epfl.ch/quicksearch.php?gene+name=Rv3302c&amp;submit=Search")</f>
        <v>http://tuberculist.epfl.ch/quicksearch.php?gene+name=Rv3302c&amp;submit=Search</v>
      </c>
    </row>
    <row r="3403" spans="1:11">
      <c r="A3403" t="s">
        <v>4999</v>
      </c>
      <c r="B3403" t="s">
        <v>1254</v>
      </c>
      <c r="C3403" t="s">
        <v>9567</v>
      </c>
      <c r="D3403" t="s">
        <v>17326</v>
      </c>
      <c r="E3403" t="s">
        <v>17327</v>
      </c>
      <c r="F3403" t="s">
        <v>17328</v>
      </c>
      <c r="G3403" t="s">
        <v>19195</v>
      </c>
      <c r="H3403" t="s">
        <v>19389</v>
      </c>
      <c r="I3403" t="s">
        <v>19106</v>
      </c>
      <c r="K3403" t="str">
        <f>HYPERLINK("http://tuberculist.epfl.ch/quicksearch.php?gene+name=Rv3303c&amp;submit=Search")</f>
        <v>http://tuberculist.epfl.ch/quicksearch.php?gene+name=Rv3303c&amp;submit=Search</v>
      </c>
    </row>
    <row r="3404" spans="1:11">
      <c r="A3404" t="s">
        <v>2577</v>
      </c>
      <c r="B3404" t="s">
        <v>2577</v>
      </c>
      <c r="C3404" t="s">
        <v>9567</v>
      </c>
      <c r="D3404" t="s">
        <v>9578</v>
      </c>
      <c r="E3404" t="s">
        <v>9665</v>
      </c>
      <c r="F3404" t="s">
        <v>17329</v>
      </c>
      <c r="G3404" t="s">
        <v>19212</v>
      </c>
      <c r="H3404" t="s">
        <v>20064</v>
      </c>
      <c r="I3404" t="s">
        <v>18779</v>
      </c>
      <c r="K3404" t="str">
        <f>HYPERLINK("http://tuberculist.epfl.ch/quicksearch.php?gene+name=Rv3304&amp;submit=Search")</f>
        <v>http://tuberculist.epfl.ch/quicksearch.php?gene+name=Rv3304&amp;submit=Search</v>
      </c>
    </row>
    <row r="3405" spans="1:11">
      <c r="A3405" t="s">
        <v>6225</v>
      </c>
      <c r="B3405" t="s">
        <v>1868</v>
      </c>
      <c r="C3405" t="s">
        <v>9567</v>
      </c>
      <c r="D3405" t="s">
        <v>17330</v>
      </c>
      <c r="E3405" t="s">
        <v>17331</v>
      </c>
      <c r="F3405" t="s">
        <v>17332</v>
      </c>
      <c r="G3405" t="s">
        <v>19195</v>
      </c>
      <c r="H3405" t="s">
        <v>19287</v>
      </c>
      <c r="I3405" t="s">
        <v>18779</v>
      </c>
      <c r="K3405" t="str">
        <f>HYPERLINK("http://tuberculist.epfl.ch/quicksearch.php?gene+name=Rv3305c&amp;submit=Search")</f>
        <v>http://tuberculist.epfl.ch/quicksearch.php?gene+name=Rv3305c&amp;submit=Search</v>
      </c>
    </row>
    <row r="3406" spans="1:11">
      <c r="A3406" t="s">
        <v>6076</v>
      </c>
      <c r="B3406" t="s">
        <v>1795</v>
      </c>
      <c r="C3406" t="s">
        <v>9567</v>
      </c>
      <c r="D3406" t="s">
        <v>17333</v>
      </c>
      <c r="E3406" t="s">
        <v>17334</v>
      </c>
      <c r="F3406" t="s">
        <v>17335</v>
      </c>
      <c r="G3406" t="s">
        <v>19195</v>
      </c>
      <c r="H3406" t="s">
        <v>19287</v>
      </c>
      <c r="I3406" t="s">
        <v>18792</v>
      </c>
      <c r="K3406" t="str">
        <f>HYPERLINK("http://tuberculist.epfl.ch/quicksearch.php?gene+name=Rv3306c&amp;submit=Search")</f>
        <v>http://tuberculist.epfl.ch/quicksearch.php?gene+name=Rv3306c&amp;submit=Search</v>
      </c>
    </row>
    <row r="3407" spans="1:11">
      <c r="A3407" t="s">
        <v>5168</v>
      </c>
      <c r="B3407" t="s">
        <v>1336</v>
      </c>
      <c r="C3407" t="s">
        <v>9567</v>
      </c>
      <c r="D3407" t="s">
        <v>17336</v>
      </c>
      <c r="E3407" t="s">
        <v>17337</v>
      </c>
      <c r="F3407" t="s">
        <v>17338</v>
      </c>
      <c r="G3407" t="s">
        <v>19195</v>
      </c>
      <c r="H3407" t="s">
        <v>19233</v>
      </c>
      <c r="I3407" t="s">
        <v>18780</v>
      </c>
      <c r="K3407" t="str">
        <f>HYPERLINK("http://tuberculist.epfl.ch/quicksearch.php?gene+name=Rv3307&amp;submit=Search")</f>
        <v>http://tuberculist.epfl.ch/quicksearch.php?gene+name=Rv3307&amp;submit=Search</v>
      </c>
    </row>
    <row r="3408" spans="1:11">
      <c r="A3408" t="s">
        <v>8336</v>
      </c>
      <c r="B3408" t="s">
        <v>2919</v>
      </c>
      <c r="C3408" t="s">
        <v>9567</v>
      </c>
      <c r="D3408" t="s">
        <v>17339</v>
      </c>
      <c r="E3408" t="s">
        <v>17340</v>
      </c>
      <c r="F3408" t="s">
        <v>17341</v>
      </c>
      <c r="G3408" t="s">
        <v>19195</v>
      </c>
      <c r="H3408" t="s">
        <v>19379</v>
      </c>
      <c r="I3408" t="s">
        <v>18780</v>
      </c>
      <c r="K3408" t="str">
        <f>HYPERLINK("http://tuberculist.epfl.ch/quicksearch.php?gene+name=Rv3308&amp;submit=Search")</f>
        <v>http://tuberculist.epfl.ch/quicksearch.php?gene+name=Rv3308&amp;submit=Search</v>
      </c>
    </row>
    <row r="3409" spans="1:11">
      <c r="A3409" t="s">
        <v>5008</v>
      </c>
      <c r="B3409" t="s">
        <v>1257</v>
      </c>
      <c r="C3409" t="s">
        <v>9567</v>
      </c>
      <c r="D3409" t="s">
        <v>17342</v>
      </c>
      <c r="E3409" t="s">
        <v>17343</v>
      </c>
      <c r="F3409" t="s">
        <v>17344</v>
      </c>
      <c r="G3409" t="s">
        <v>19195</v>
      </c>
      <c r="H3409" t="s">
        <v>20065</v>
      </c>
      <c r="I3409" t="s">
        <v>18780</v>
      </c>
      <c r="K3409" t="str">
        <f>HYPERLINK("http://tuberculist.epfl.ch/quicksearch.php?gene+name=Rv3309c&amp;submit=Search")</f>
        <v>http://tuberculist.epfl.ch/quicksearch.php?gene+name=Rv3309c&amp;submit=Search</v>
      </c>
    </row>
    <row r="3410" spans="1:11">
      <c r="A3410" t="s">
        <v>5023</v>
      </c>
      <c r="B3410" t="s">
        <v>1262</v>
      </c>
      <c r="C3410" t="s">
        <v>9567</v>
      </c>
      <c r="D3410" t="s">
        <v>17345</v>
      </c>
      <c r="E3410" t="s">
        <v>17346</v>
      </c>
      <c r="F3410" t="s">
        <v>17347</v>
      </c>
      <c r="G3410" t="s">
        <v>19188</v>
      </c>
      <c r="H3410" t="s">
        <v>19426</v>
      </c>
      <c r="I3410" t="s">
        <v>18780</v>
      </c>
      <c r="K3410" t="str">
        <f>HYPERLINK("http://tuberculist.epfl.ch/quicksearch.php?gene+name=Rv3310&amp;submit=Search")</f>
        <v>http://tuberculist.epfl.ch/quicksearch.php?gene+name=Rv3310&amp;submit=Search</v>
      </c>
    </row>
    <row r="3411" spans="1:11">
      <c r="A3411" t="s">
        <v>3002</v>
      </c>
      <c r="B3411" t="s">
        <v>3002</v>
      </c>
      <c r="C3411" t="s">
        <v>9567</v>
      </c>
      <c r="D3411" t="s">
        <v>9578</v>
      </c>
      <c r="E3411" t="s">
        <v>9665</v>
      </c>
      <c r="F3411" t="s">
        <v>17348</v>
      </c>
      <c r="G3411" t="s">
        <v>19212</v>
      </c>
      <c r="H3411" t="s">
        <v>19272</v>
      </c>
      <c r="I3411" t="s">
        <v>18829</v>
      </c>
      <c r="K3411" t="str">
        <f>HYPERLINK("http://tuberculist.epfl.ch/quicksearch.php?gene+name=Rv3311&amp;submit=Search")</f>
        <v>http://tuberculist.epfl.ch/quicksearch.php?gene+name=Rv3311&amp;submit=Search</v>
      </c>
    </row>
    <row r="3412" spans="1:11">
      <c r="A3412" t="s">
        <v>17349</v>
      </c>
      <c r="B3412" t="s">
        <v>17349</v>
      </c>
      <c r="C3412" t="s">
        <v>9567</v>
      </c>
      <c r="D3412" t="s">
        <v>9587</v>
      </c>
      <c r="E3412" t="s">
        <v>17350</v>
      </c>
      <c r="F3412" t="s">
        <v>17351</v>
      </c>
      <c r="G3412" t="s">
        <v>19188</v>
      </c>
      <c r="H3412" t="s">
        <v>19213</v>
      </c>
      <c r="I3412" t="s">
        <v>18793</v>
      </c>
      <c r="K3412" t="str">
        <f>HYPERLINK("http://tuberculist.epfl.ch/quicksearch.php?gene+name=Rv3312A&amp;submit=Search")</f>
        <v>http://tuberculist.epfl.ch/quicksearch.php?gene+name=Rv3312A&amp;submit=Search</v>
      </c>
    </row>
    <row r="3413" spans="1:11">
      <c r="A3413" t="s">
        <v>1402</v>
      </c>
      <c r="B3413" t="s">
        <v>1402</v>
      </c>
      <c r="C3413" t="s">
        <v>9567</v>
      </c>
      <c r="D3413" t="s">
        <v>9578</v>
      </c>
      <c r="E3413" t="s">
        <v>9579</v>
      </c>
      <c r="F3413" t="s">
        <v>17352</v>
      </c>
      <c r="G3413" t="s">
        <v>19212</v>
      </c>
      <c r="I3413" t="s">
        <v>18789</v>
      </c>
      <c r="K3413" t="str">
        <f>HYPERLINK("http://tuberculist.epfl.ch/quicksearch.php?gene+name=Rv3312c&amp;submit=Search")</f>
        <v>http://tuberculist.epfl.ch/quicksearch.php?gene+name=Rv3312c&amp;submit=Search</v>
      </c>
    </row>
    <row r="3414" spans="1:11">
      <c r="A3414" t="s">
        <v>7458</v>
      </c>
      <c r="B3414" t="s">
        <v>2490</v>
      </c>
      <c r="C3414" t="s">
        <v>9567</v>
      </c>
      <c r="D3414" t="s">
        <v>17353</v>
      </c>
      <c r="E3414" t="s">
        <v>17354</v>
      </c>
      <c r="F3414" t="s">
        <v>17355</v>
      </c>
      <c r="G3414" t="s">
        <v>19195</v>
      </c>
      <c r="H3414" t="s">
        <v>19504</v>
      </c>
      <c r="I3414" t="s">
        <v>18773</v>
      </c>
      <c r="K3414" t="str">
        <f>HYPERLINK("http://tuberculist.epfl.ch/quicksearch.php?gene+name=Rv3313c&amp;submit=Search")</f>
        <v>http://tuberculist.epfl.ch/quicksearch.php?gene+name=Rv3313c&amp;submit=Search</v>
      </c>
    </row>
    <row r="3415" spans="1:11">
      <c r="A3415" t="s">
        <v>8137</v>
      </c>
      <c r="B3415" t="s">
        <v>2823</v>
      </c>
      <c r="C3415" t="s">
        <v>9567</v>
      </c>
      <c r="D3415" t="s">
        <v>17356</v>
      </c>
      <c r="E3415" t="s">
        <v>17357</v>
      </c>
      <c r="F3415" t="s">
        <v>17358</v>
      </c>
      <c r="G3415" t="s">
        <v>19195</v>
      </c>
      <c r="H3415" t="s">
        <v>19272</v>
      </c>
      <c r="I3415" t="s">
        <v>18789</v>
      </c>
      <c r="K3415" t="str">
        <f>HYPERLINK("http://tuberculist.epfl.ch/quicksearch.php?gene+name=Rv3314c&amp;submit=Search")</f>
        <v>http://tuberculist.epfl.ch/quicksearch.php?gene+name=Rv3314c&amp;submit=Search</v>
      </c>
    </row>
    <row r="3416" spans="1:11">
      <c r="A3416" t="s">
        <v>3476</v>
      </c>
      <c r="B3416" t="s">
        <v>495</v>
      </c>
      <c r="C3416" t="s">
        <v>9567</v>
      </c>
      <c r="D3416" t="s">
        <v>17359</v>
      </c>
      <c r="E3416" t="s">
        <v>17360</v>
      </c>
      <c r="F3416" t="s">
        <v>17361</v>
      </c>
      <c r="G3416" t="s">
        <v>19195</v>
      </c>
      <c r="H3416" t="s">
        <v>19403</v>
      </c>
      <c r="I3416" t="s">
        <v>18780</v>
      </c>
      <c r="K3416" t="str">
        <f>HYPERLINK("http://tuberculist.epfl.ch/quicksearch.php?gene+name=Rv3315c&amp;submit=Search")</f>
        <v>http://tuberculist.epfl.ch/quicksearch.php?gene+name=Rv3315c&amp;submit=Search</v>
      </c>
    </row>
    <row r="3417" spans="1:11">
      <c r="A3417" t="s">
        <v>6611</v>
      </c>
      <c r="B3417" t="s">
        <v>2066</v>
      </c>
      <c r="C3417" t="s">
        <v>9567</v>
      </c>
      <c r="D3417" t="s">
        <v>17362</v>
      </c>
      <c r="E3417" t="s">
        <v>17363</v>
      </c>
      <c r="F3417" t="s">
        <v>17364</v>
      </c>
      <c r="G3417" t="s">
        <v>19195</v>
      </c>
      <c r="H3417" t="s">
        <v>19233</v>
      </c>
      <c r="I3417" t="s">
        <v>18780</v>
      </c>
      <c r="K3417" t="str">
        <f>HYPERLINK("http://tuberculist.epfl.ch/quicksearch.php?gene+name=Rv3316&amp;submit=Search")</f>
        <v>http://tuberculist.epfl.ch/quicksearch.php?gene+name=Rv3316&amp;submit=Search</v>
      </c>
    </row>
    <row r="3418" spans="1:11">
      <c r="A3418" t="s">
        <v>7731</v>
      </c>
      <c r="B3418" t="s">
        <v>2618</v>
      </c>
      <c r="C3418" t="s">
        <v>9567</v>
      </c>
      <c r="D3418" t="s">
        <v>17365</v>
      </c>
      <c r="E3418" t="s">
        <v>17366</v>
      </c>
      <c r="F3418" t="s">
        <v>17367</v>
      </c>
      <c r="G3418" t="s">
        <v>19195</v>
      </c>
      <c r="H3418" t="s">
        <v>19233</v>
      </c>
      <c r="I3418" t="s">
        <v>18780</v>
      </c>
      <c r="K3418" t="str">
        <f>HYPERLINK("http://tuberculist.epfl.ch/quicksearch.php?gene+name=Rv3317&amp;submit=Search")</f>
        <v>http://tuberculist.epfl.ch/quicksearch.php?gene+name=Rv3317&amp;submit=Search</v>
      </c>
    </row>
    <row r="3419" spans="1:11">
      <c r="A3419" t="s">
        <v>6421</v>
      </c>
      <c r="B3419" t="s">
        <v>1961</v>
      </c>
      <c r="C3419" t="s">
        <v>9567</v>
      </c>
      <c r="D3419" t="s">
        <v>17368</v>
      </c>
      <c r="E3419" t="s">
        <v>17369</v>
      </c>
      <c r="F3419" t="s">
        <v>17370</v>
      </c>
      <c r="G3419" t="s">
        <v>19195</v>
      </c>
      <c r="H3419" t="s">
        <v>20066</v>
      </c>
      <c r="I3419" t="s">
        <v>18777</v>
      </c>
      <c r="K3419" t="str">
        <f>HYPERLINK("http://tuberculist.epfl.ch/quicksearch.php?gene+name=Rv3318&amp;submit=Search")</f>
        <v>http://tuberculist.epfl.ch/quicksearch.php?gene+name=Rv3318&amp;submit=Search</v>
      </c>
    </row>
    <row r="3420" spans="1:11">
      <c r="A3420" t="s">
        <v>7883</v>
      </c>
      <c r="B3420" t="s">
        <v>2703</v>
      </c>
      <c r="C3420" t="s">
        <v>9567</v>
      </c>
      <c r="D3420" t="s">
        <v>17368</v>
      </c>
      <c r="E3420" t="s">
        <v>17371</v>
      </c>
      <c r="F3420" t="s">
        <v>17372</v>
      </c>
      <c r="G3420" t="s">
        <v>19195</v>
      </c>
      <c r="H3420" t="s">
        <v>19283</v>
      </c>
      <c r="I3420" t="s">
        <v>18780</v>
      </c>
      <c r="K3420" t="str">
        <f>HYPERLINK("http://tuberculist.epfl.ch/quicksearch.php?gene+name=Rv3319&amp;submit=Search")</f>
        <v>http://tuberculist.epfl.ch/quicksearch.php?gene+name=Rv3319&amp;submit=Search</v>
      </c>
    </row>
    <row r="3421" spans="1:11">
      <c r="A3421" t="s">
        <v>17373</v>
      </c>
      <c r="B3421" t="s">
        <v>2415</v>
      </c>
      <c r="C3421" t="s">
        <v>9567</v>
      </c>
      <c r="D3421" t="s">
        <v>9587</v>
      </c>
      <c r="E3421" t="s">
        <v>17374</v>
      </c>
      <c r="F3421" t="s">
        <v>17375</v>
      </c>
      <c r="G3421" t="s">
        <v>19206</v>
      </c>
      <c r="H3421" t="s">
        <v>19213</v>
      </c>
      <c r="I3421" t="s">
        <v>18780</v>
      </c>
      <c r="K3421" t="str">
        <f>HYPERLINK("http://tuberculist.epfl.ch/quicksearch.php?gene+name=Rv3320c&amp;submit=Search")</f>
        <v>http://tuberculist.epfl.ch/quicksearch.php?gene+name=Rv3320c&amp;submit=Search</v>
      </c>
    </row>
    <row r="3422" spans="1:11">
      <c r="A3422" t="s">
        <v>17376</v>
      </c>
      <c r="B3422" t="s">
        <v>2027</v>
      </c>
      <c r="C3422" t="s">
        <v>9567</v>
      </c>
      <c r="D3422" t="s">
        <v>9587</v>
      </c>
      <c r="E3422" t="s">
        <v>17377</v>
      </c>
      <c r="F3422" t="s">
        <v>17378</v>
      </c>
      <c r="G3422" t="s">
        <v>19206</v>
      </c>
      <c r="I3422" t="s">
        <v>18780</v>
      </c>
      <c r="K3422" t="str">
        <f>HYPERLINK("http://tuberculist.epfl.ch/quicksearch.php?gene+name=Rv3321c&amp;submit=Search")</f>
        <v>http://tuberculist.epfl.ch/quicksearch.php?gene+name=Rv3321c&amp;submit=Search</v>
      </c>
    </row>
    <row r="3423" spans="1:11">
      <c r="A3423" t="s">
        <v>912</v>
      </c>
      <c r="B3423" t="s">
        <v>912</v>
      </c>
      <c r="C3423" t="s">
        <v>9567</v>
      </c>
      <c r="D3423" t="s">
        <v>10759</v>
      </c>
      <c r="E3423" t="s">
        <v>9924</v>
      </c>
      <c r="F3423" t="s">
        <v>17379</v>
      </c>
      <c r="G3423" t="s">
        <v>19195</v>
      </c>
      <c r="I3423" t="s">
        <v>18780</v>
      </c>
      <c r="K3423" t="str">
        <f>HYPERLINK("http://tuberculist.epfl.ch/quicksearch.php?gene+name=Rv3322c&amp;submit=Search")</f>
        <v>http://tuberculist.epfl.ch/quicksearch.php?gene+name=Rv3322c&amp;submit=Search</v>
      </c>
    </row>
    <row r="3424" spans="1:11">
      <c r="A3424" t="s">
        <v>7939</v>
      </c>
      <c r="B3424" t="s">
        <v>2732</v>
      </c>
      <c r="C3424" t="s">
        <v>9567</v>
      </c>
      <c r="D3424" t="s">
        <v>17380</v>
      </c>
      <c r="E3424" t="s">
        <v>17381</v>
      </c>
      <c r="F3424" t="s">
        <v>17382</v>
      </c>
      <c r="G3424" t="s">
        <v>19195</v>
      </c>
      <c r="I3424" t="s">
        <v>18780</v>
      </c>
      <c r="K3424" t="str">
        <f>HYPERLINK("http://tuberculist.epfl.ch/quicksearch.php?gene+name=Rv3323c&amp;submit=Search")</f>
        <v>http://tuberculist.epfl.ch/quicksearch.php?gene+name=Rv3323c&amp;submit=Search</v>
      </c>
    </row>
    <row r="3425" spans="1:11">
      <c r="A3425" t="s">
        <v>17383</v>
      </c>
      <c r="B3425" t="s">
        <v>17383</v>
      </c>
      <c r="C3425" t="s">
        <v>10216</v>
      </c>
      <c r="D3425" t="s">
        <v>16867</v>
      </c>
      <c r="E3425" t="s">
        <v>17384</v>
      </c>
      <c r="F3425" t="s">
        <v>17385</v>
      </c>
      <c r="G3425" t="s">
        <v>19195</v>
      </c>
      <c r="I3425" t="s">
        <v>18773</v>
      </c>
      <c r="K3425" t="str">
        <f>HYPERLINK("http://tuberculist.epfl.ch/quicksearch.php?gene+name=Rv3324A&amp;submit=Search")</f>
        <v>http://tuberculist.epfl.ch/quicksearch.php?gene+name=Rv3324A&amp;submit=Search</v>
      </c>
    </row>
    <row r="3426" spans="1:11">
      <c r="A3426" t="s">
        <v>17386</v>
      </c>
      <c r="B3426" t="s">
        <v>17387</v>
      </c>
      <c r="C3426" t="s">
        <v>9567</v>
      </c>
      <c r="D3426" t="s">
        <v>17388</v>
      </c>
      <c r="E3426" t="s">
        <v>17389</v>
      </c>
      <c r="F3426" t="s">
        <v>17390</v>
      </c>
      <c r="G3426" t="s">
        <v>19195</v>
      </c>
      <c r="I3426" t="s">
        <v>18780</v>
      </c>
      <c r="K3426" t="str">
        <f>HYPERLINK("http://tuberculist.epfl.ch/quicksearch.php?gene+name=Rv3324c&amp;submit=Search")</f>
        <v>http://tuberculist.epfl.ch/quicksearch.php?gene+name=Rv3324c&amp;submit=Search</v>
      </c>
    </row>
    <row r="3427" spans="1:11">
      <c r="A3427" t="s">
        <v>17391</v>
      </c>
      <c r="B3427" t="s">
        <v>17391</v>
      </c>
      <c r="C3427" t="s">
        <v>9567</v>
      </c>
      <c r="D3427" t="s">
        <v>17392</v>
      </c>
      <c r="E3427" t="s">
        <v>15093</v>
      </c>
      <c r="F3427" t="s">
        <v>17393</v>
      </c>
      <c r="G3427" t="s">
        <v>19217</v>
      </c>
      <c r="I3427" t="s">
        <v>18773</v>
      </c>
      <c r="K3427" t="str">
        <f>HYPERLINK("http://tuberculist.epfl.ch/quicksearch.php?gene+name=Rv3325&amp;submit=Search")</f>
        <v>http://tuberculist.epfl.ch/quicksearch.php?gene+name=Rv3325&amp;submit=Search</v>
      </c>
    </row>
    <row r="3428" spans="1:11">
      <c r="A3428" t="s">
        <v>17394</v>
      </c>
      <c r="B3428" t="s">
        <v>17394</v>
      </c>
      <c r="C3428" t="s">
        <v>9567</v>
      </c>
      <c r="D3428" t="s">
        <v>17392</v>
      </c>
      <c r="E3428" t="s">
        <v>11730</v>
      </c>
      <c r="F3428" t="s">
        <v>17395</v>
      </c>
      <c r="G3428" t="s">
        <v>19217</v>
      </c>
      <c r="I3428" t="s">
        <v>18773</v>
      </c>
      <c r="K3428" t="str">
        <f>HYPERLINK("http://tuberculist.epfl.ch/quicksearch.php?gene+name=Rv3326&amp;submit=Search")</f>
        <v>http://tuberculist.epfl.ch/quicksearch.php?gene+name=Rv3326&amp;submit=Search</v>
      </c>
    </row>
    <row r="3429" spans="1:11">
      <c r="A3429" t="s">
        <v>17396</v>
      </c>
      <c r="B3429" t="s">
        <v>17396</v>
      </c>
      <c r="C3429" t="s">
        <v>9567</v>
      </c>
      <c r="D3429" t="s">
        <v>17397</v>
      </c>
      <c r="E3429" t="s">
        <v>17398</v>
      </c>
      <c r="F3429" t="s">
        <v>17399</v>
      </c>
      <c r="G3429" t="s">
        <v>19217</v>
      </c>
      <c r="H3429" t="s">
        <v>19213</v>
      </c>
      <c r="I3429" t="s">
        <v>18789</v>
      </c>
      <c r="K3429" t="str">
        <f>HYPERLINK("http://tuberculist.epfl.ch/quicksearch.php?gene+name=Rv3327&amp;submit=Search")</f>
        <v>http://tuberculist.epfl.ch/quicksearch.php?gene+name=Rv3327&amp;submit=Search</v>
      </c>
    </row>
    <row r="3430" spans="1:11">
      <c r="A3430" t="s">
        <v>4177</v>
      </c>
      <c r="B3430" t="s">
        <v>848</v>
      </c>
      <c r="C3430" t="s">
        <v>9567</v>
      </c>
      <c r="D3430" t="s">
        <v>10004</v>
      </c>
      <c r="E3430" t="s">
        <v>17400</v>
      </c>
      <c r="F3430" t="s">
        <v>17401</v>
      </c>
      <c r="G3430" t="s">
        <v>19181</v>
      </c>
      <c r="H3430" t="s">
        <v>19213</v>
      </c>
      <c r="I3430" t="s">
        <v>18780</v>
      </c>
      <c r="K3430" t="str">
        <f>HYPERLINK("http://tuberculist.epfl.ch/quicksearch.php?gene+name=Rv3328c&amp;submit=Search")</f>
        <v>http://tuberculist.epfl.ch/quicksearch.php?gene+name=Rv3328c&amp;submit=Search</v>
      </c>
    </row>
    <row r="3431" spans="1:11">
      <c r="A3431" t="s">
        <v>2299</v>
      </c>
      <c r="B3431" t="s">
        <v>2299</v>
      </c>
      <c r="C3431" t="s">
        <v>9567</v>
      </c>
      <c r="D3431" t="s">
        <v>9682</v>
      </c>
      <c r="E3431" t="s">
        <v>9756</v>
      </c>
      <c r="F3431" t="s">
        <v>17402</v>
      </c>
      <c r="G3431" t="s">
        <v>19195</v>
      </c>
      <c r="I3431" t="s">
        <v>18780</v>
      </c>
      <c r="K3431" t="str">
        <f>HYPERLINK("http://tuberculist.epfl.ch/quicksearch.php?gene+name=Rv3329&amp;submit=Search")</f>
        <v>http://tuberculist.epfl.ch/quicksearch.php?gene+name=Rv3329&amp;submit=Search</v>
      </c>
    </row>
    <row r="3432" spans="1:11">
      <c r="A3432" t="s">
        <v>4789</v>
      </c>
      <c r="B3432" t="s">
        <v>1153</v>
      </c>
      <c r="C3432" t="s">
        <v>9567</v>
      </c>
      <c r="D3432" t="s">
        <v>16396</v>
      </c>
      <c r="E3432" t="s">
        <v>17403</v>
      </c>
      <c r="F3432" t="s">
        <v>17404</v>
      </c>
      <c r="G3432" t="s">
        <v>19188</v>
      </c>
      <c r="H3432" t="s">
        <v>19389</v>
      </c>
      <c r="I3432" t="s">
        <v>18789</v>
      </c>
      <c r="K3432" t="str">
        <f>HYPERLINK("http://tuberculist.epfl.ch/quicksearch.php?gene+name=Rv3330&amp;submit=Search")</f>
        <v>http://tuberculist.epfl.ch/quicksearch.php?gene+name=Rv3330&amp;submit=Search</v>
      </c>
    </row>
    <row r="3433" spans="1:11">
      <c r="A3433" t="s">
        <v>8630</v>
      </c>
      <c r="B3433" t="s">
        <v>3055</v>
      </c>
      <c r="C3433" t="s">
        <v>9567</v>
      </c>
      <c r="D3433" t="s">
        <v>17405</v>
      </c>
      <c r="E3433" t="s">
        <v>17406</v>
      </c>
      <c r="F3433" t="s">
        <v>17407</v>
      </c>
      <c r="G3433" t="s">
        <v>19188</v>
      </c>
      <c r="I3433" t="s">
        <v>18780</v>
      </c>
      <c r="K3433" t="str">
        <f>HYPERLINK("http://tuberculist.epfl.ch/quicksearch.php?gene+name=Rv3331&amp;submit=Search")</f>
        <v>http://tuberculist.epfl.ch/quicksearch.php?gene+name=Rv3331&amp;submit=Search</v>
      </c>
    </row>
    <row r="3434" spans="1:11">
      <c r="A3434" t="s">
        <v>5246</v>
      </c>
      <c r="B3434" t="s">
        <v>1374</v>
      </c>
      <c r="C3434" t="s">
        <v>9567</v>
      </c>
      <c r="D3434" t="s">
        <v>17408</v>
      </c>
      <c r="E3434" t="s">
        <v>17409</v>
      </c>
      <c r="F3434" t="s">
        <v>17410</v>
      </c>
      <c r="G3434" t="s">
        <v>19188</v>
      </c>
      <c r="H3434" t="s">
        <v>20067</v>
      </c>
      <c r="I3434" t="s">
        <v>18801</v>
      </c>
      <c r="K3434" t="str">
        <f>HYPERLINK("http://tuberculist.epfl.ch/quicksearch.php?gene+name=Rv3332&amp;submit=Search")</f>
        <v>http://tuberculist.epfl.ch/quicksearch.php?gene+name=Rv3332&amp;submit=Search</v>
      </c>
    </row>
    <row r="3435" spans="1:11">
      <c r="A3435" t="s">
        <v>17411</v>
      </c>
      <c r="B3435" t="s">
        <v>17411</v>
      </c>
      <c r="C3435" t="s">
        <v>9567</v>
      </c>
      <c r="D3435" t="s">
        <v>9587</v>
      </c>
      <c r="E3435" t="s">
        <v>17412</v>
      </c>
      <c r="F3435" t="s">
        <v>17413</v>
      </c>
      <c r="G3435" t="s">
        <v>19212</v>
      </c>
      <c r="I3435" t="s">
        <v>18780</v>
      </c>
      <c r="K3435" t="str">
        <f>HYPERLINK("http://tuberculist.epfl.ch/quicksearch.php?gene+name=Rv3333c&amp;submit=Search")</f>
        <v>http://tuberculist.epfl.ch/quicksearch.php?gene+name=Rv3333c&amp;submit=Search</v>
      </c>
    </row>
    <row r="3436" spans="1:11">
      <c r="A3436" t="s">
        <v>17414</v>
      </c>
      <c r="B3436" t="s">
        <v>17414</v>
      </c>
      <c r="C3436" t="s">
        <v>9567</v>
      </c>
      <c r="D3436" t="s">
        <v>17415</v>
      </c>
      <c r="E3436" t="s">
        <v>17416</v>
      </c>
      <c r="F3436" t="s">
        <v>17417</v>
      </c>
      <c r="G3436" t="s">
        <v>19197</v>
      </c>
      <c r="H3436" t="s">
        <v>19213</v>
      </c>
      <c r="I3436" t="s">
        <v>18789</v>
      </c>
      <c r="K3436" t="str">
        <f>HYPERLINK("http://tuberculist.epfl.ch/quicksearch.php?gene+name=Rv3334&amp;submit=Search")</f>
        <v>http://tuberculist.epfl.ch/quicksearch.php?gene+name=Rv3334&amp;submit=Search</v>
      </c>
    </row>
    <row r="3437" spans="1:11">
      <c r="A3437" t="s">
        <v>1581</v>
      </c>
      <c r="B3437" t="s">
        <v>1581</v>
      </c>
      <c r="C3437" t="s">
        <v>9567</v>
      </c>
      <c r="D3437" t="s">
        <v>9587</v>
      </c>
      <c r="E3437" t="s">
        <v>9668</v>
      </c>
      <c r="F3437" t="s">
        <v>17418</v>
      </c>
      <c r="G3437" t="s">
        <v>19188</v>
      </c>
      <c r="H3437" t="s">
        <v>20068</v>
      </c>
      <c r="I3437" t="s">
        <v>18810</v>
      </c>
      <c r="K3437" t="str">
        <f>HYPERLINK("http://tuberculist.epfl.ch/quicksearch.php?gene+name=Rv3335c&amp;submit=Search")</f>
        <v>http://tuberculist.epfl.ch/quicksearch.php?gene+name=Rv3335c&amp;submit=Search</v>
      </c>
    </row>
    <row r="3438" spans="1:11">
      <c r="A3438" t="s">
        <v>6708</v>
      </c>
      <c r="B3438" t="s">
        <v>2113</v>
      </c>
      <c r="C3438" t="s">
        <v>9567</v>
      </c>
      <c r="D3438" t="s">
        <v>17419</v>
      </c>
      <c r="E3438" t="s">
        <v>17420</v>
      </c>
      <c r="F3438" t="s">
        <v>17421</v>
      </c>
      <c r="G3438" t="s">
        <v>19181</v>
      </c>
      <c r="H3438" t="s">
        <v>19319</v>
      </c>
      <c r="I3438" t="s">
        <v>18774</v>
      </c>
      <c r="K3438" t="str">
        <f>HYPERLINK("http://tuberculist.epfl.ch/quicksearch.php?gene+name=Rv3336c&amp;submit=Search")</f>
        <v>http://tuberculist.epfl.ch/quicksearch.php?gene+name=Rv3336c&amp;submit=Search</v>
      </c>
    </row>
    <row r="3439" spans="1:11">
      <c r="A3439" t="s">
        <v>17422</v>
      </c>
      <c r="B3439" t="s">
        <v>17422</v>
      </c>
      <c r="C3439" t="s">
        <v>9567</v>
      </c>
      <c r="D3439" t="s">
        <v>9578</v>
      </c>
      <c r="E3439" t="s">
        <v>9579</v>
      </c>
      <c r="F3439" t="s">
        <v>17423</v>
      </c>
      <c r="G3439" t="s">
        <v>19212</v>
      </c>
      <c r="I3439" t="s">
        <v>18780</v>
      </c>
      <c r="K3439" t="str">
        <f>HYPERLINK("http://tuberculist.epfl.ch/quicksearch.php?gene+name=Rv3337&amp;submit=Search")</f>
        <v>http://tuberculist.epfl.ch/quicksearch.php?gene+name=Rv3337&amp;submit=Search</v>
      </c>
    </row>
    <row r="3440" spans="1:11">
      <c r="A3440" t="s">
        <v>595</v>
      </c>
      <c r="B3440" t="s">
        <v>595</v>
      </c>
      <c r="C3440" t="s">
        <v>9567</v>
      </c>
      <c r="D3440" t="s">
        <v>9578</v>
      </c>
      <c r="E3440" t="s">
        <v>9579</v>
      </c>
      <c r="F3440" t="s">
        <v>17424</v>
      </c>
      <c r="G3440" t="s">
        <v>19212</v>
      </c>
      <c r="I3440" t="s">
        <v>18780</v>
      </c>
      <c r="K3440" t="str">
        <f>HYPERLINK("http://tuberculist.epfl.ch/quicksearch.php?gene+name=Rv3338&amp;submit=Search")</f>
        <v>http://tuberculist.epfl.ch/quicksearch.php?gene+name=Rv3338&amp;submit=Search</v>
      </c>
    </row>
    <row r="3441" spans="1:11">
      <c r="A3441" t="s">
        <v>8644</v>
      </c>
      <c r="B3441" t="s">
        <v>3061</v>
      </c>
      <c r="C3441" t="s">
        <v>9567</v>
      </c>
      <c r="D3441" t="s">
        <v>17425</v>
      </c>
      <c r="E3441" t="s">
        <v>17426</v>
      </c>
      <c r="F3441" t="s">
        <v>17427</v>
      </c>
      <c r="G3441" t="s">
        <v>19195</v>
      </c>
      <c r="H3441" t="s">
        <v>19306</v>
      </c>
      <c r="I3441" t="s">
        <v>18789</v>
      </c>
      <c r="K3441" t="str">
        <f>HYPERLINK("http://tuberculist.epfl.ch/quicksearch.php?gene+name=Rv3339c&amp;submit=Search")</f>
        <v>http://tuberculist.epfl.ch/quicksearch.php?gene+name=Rv3339c&amp;submit=Search</v>
      </c>
    </row>
    <row r="3442" spans="1:11">
      <c r="A3442" t="s">
        <v>8916</v>
      </c>
      <c r="B3442" t="s">
        <v>3188</v>
      </c>
      <c r="C3442" t="s">
        <v>9567</v>
      </c>
      <c r="D3442" t="s">
        <v>17428</v>
      </c>
      <c r="E3442" t="s">
        <v>17429</v>
      </c>
      <c r="F3442" t="s">
        <v>17430</v>
      </c>
      <c r="G3442" t="s">
        <v>19195</v>
      </c>
      <c r="H3442" t="s">
        <v>19287</v>
      </c>
      <c r="I3442" t="s">
        <v>18779</v>
      </c>
      <c r="K3442" t="str">
        <f>HYPERLINK("http://tuberculist.epfl.ch/quicksearch.php?gene+name=Rv3340&amp;submit=Search")</f>
        <v>http://tuberculist.epfl.ch/quicksearch.php?gene+name=Rv3340&amp;submit=Search</v>
      </c>
    </row>
    <row r="3443" spans="1:11">
      <c r="A3443" t="s">
        <v>17431</v>
      </c>
      <c r="B3443" t="s">
        <v>849</v>
      </c>
      <c r="C3443" t="s">
        <v>9567</v>
      </c>
      <c r="D3443" t="s">
        <v>17432</v>
      </c>
      <c r="E3443" t="s">
        <v>17433</v>
      </c>
      <c r="F3443" t="s">
        <v>17434</v>
      </c>
      <c r="G3443" t="s">
        <v>19195</v>
      </c>
      <c r="H3443" t="s">
        <v>19207</v>
      </c>
      <c r="I3443" t="s">
        <v>18774</v>
      </c>
      <c r="K3443" t="str">
        <f>HYPERLINK("http://tuberculist.epfl.ch/quicksearch.php?gene+name=Rv3341&amp;submit=Search")</f>
        <v>http://tuberculist.epfl.ch/quicksearch.php?gene+name=Rv3341&amp;submit=Search</v>
      </c>
    </row>
    <row r="3444" spans="1:11">
      <c r="A3444" t="s">
        <v>730</v>
      </c>
      <c r="B3444" t="s">
        <v>730</v>
      </c>
      <c r="C3444" t="s">
        <v>9567</v>
      </c>
      <c r="D3444" t="s">
        <v>10061</v>
      </c>
      <c r="E3444" t="s">
        <v>10071</v>
      </c>
      <c r="F3444" t="s">
        <v>17435</v>
      </c>
      <c r="G3444" t="s">
        <v>19195</v>
      </c>
      <c r="H3444" t="s">
        <v>19213</v>
      </c>
      <c r="I3444" t="s">
        <v>18779</v>
      </c>
      <c r="K3444" t="str">
        <f>HYPERLINK("http://tuberculist.epfl.ch/quicksearch.php?gene+name=Rv3342&amp;submit=Search")</f>
        <v>http://tuberculist.epfl.ch/quicksearch.php?gene+name=Rv3342&amp;submit=Search</v>
      </c>
    </row>
    <row r="3445" spans="1:11">
      <c r="A3445" t="s">
        <v>8462</v>
      </c>
      <c r="B3445" t="s">
        <v>2980</v>
      </c>
      <c r="C3445" t="s">
        <v>9567</v>
      </c>
      <c r="D3445" t="s">
        <v>9578</v>
      </c>
      <c r="E3445" t="s">
        <v>17436</v>
      </c>
      <c r="F3445" t="s">
        <v>17437</v>
      </c>
      <c r="G3445" t="s">
        <v>19262</v>
      </c>
      <c r="H3445" t="s">
        <v>19267</v>
      </c>
      <c r="I3445" t="s">
        <v>18774</v>
      </c>
      <c r="K3445" t="str">
        <f>HYPERLINK("http://tuberculist.epfl.ch/quicksearch.php?gene+name=Rv3343c&amp;submit=Search")</f>
        <v>http://tuberculist.epfl.ch/quicksearch.php?gene+name=Rv3343c&amp;submit=Search</v>
      </c>
    </row>
    <row r="3446" spans="1:11">
      <c r="A3446" t="s">
        <v>17438</v>
      </c>
      <c r="B3446" t="s">
        <v>17439</v>
      </c>
      <c r="C3446" t="s">
        <v>9567</v>
      </c>
      <c r="D3446" t="s">
        <v>9578</v>
      </c>
      <c r="E3446" t="s">
        <v>17440</v>
      </c>
      <c r="F3446" t="s">
        <v>17441</v>
      </c>
      <c r="G3446" t="s">
        <v>19262</v>
      </c>
      <c r="I3446" t="s">
        <v>18773</v>
      </c>
      <c r="K3446" t="str">
        <f>HYPERLINK("http://tuberculist.epfl.ch/quicksearch.php?gene+name=Rv3344c&amp;submit=Search")</f>
        <v>http://tuberculist.epfl.ch/quicksearch.php?gene+name=Rv3344c&amp;submit=Search</v>
      </c>
    </row>
    <row r="3447" spans="1:11">
      <c r="A3447" t="s">
        <v>17442</v>
      </c>
      <c r="B3447" t="s">
        <v>17443</v>
      </c>
      <c r="C3447" t="s">
        <v>9567</v>
      </c>
      <c r="D3447" t="s">
        <v>9578</v>
      </c>
      <c r="E3447" t="s">
        <v>17444</v>
      </c>
      <c r="F3447" t="s">
        <v>17445</v>
      </c>
      <c r="G3447" t="s">
        <v>19262</v>
      </c>
      <c r="H3447" t="s">
        <v>19267</v>
      </c>
      <c r="I3447" t="s">
        <v>18773</v>
      </c>
      <c r="K3447" t="str">
        <f>HYPERLINK("http://tuberculist.epfl.ch/quicksearch.php?gene+name=Rv3345c&amp;submit=Search")</f>
        <v>http://tuberculist.epfl.ch/quicksearch.php?gene+name=Rv3345c&amp;submit=Search</v>
      </c>
    </row>
    <row r="3448" spans="1:11">
      <c r="A3448" t="s">
        <v>17446</v>
      </c>
      <c r="B3448" t="s">
        <v>17446</v>
      </c>
      <c r="C3448" t="s">
        <v>9567</v>
      </c>
      <c r="D3448" t="s">
        <v>9578</v>
      </c>
      <c r="E3448" t="s">
        <v>14369</v>
      </c>
      <c r="F3448" t="s">
        <v>17447</v>
      </c>
      <c r="G3448" t="s">
        <v>19188</v>
      </c>
      <c r="I3448" t="s">
        <v>18780</v>
      </c>
      <c r="K3448" t="str">
        <f>HYPERLINK("http://tuberculist.epfl.ch/quicksearch.php?gene+name=Rv3346c&amp;submit=Search")</f>
        <v>http://tuberculist.epfl.ch/quicksearch.php?gene+name=Rv3346c&amp;submit=Search</v>
      </c>
    </row>
    <row r="3449" spans="1:11">
      <c r="A3449" t="s">
        <v>17448</v>
      </c>
      <c r="B3449" t="s">
        <v>3084</v>
      </c>
      <c r="C3449" t="s">
        <v>9567</v>
      </c>
      <c r="D3449" t="s">
        <v>9578</v>
      </c>
      <c r="E3449" t="s">
        <v>17449</v>
      </c>
      <c r="F3449" t="s">
        <v>17450</v>
      </c>
      <c r="G3449" t="s">
        <v>19262</v>
      </c>
      <c r="H3449" t="s">
        <v>19267</v>
      </c>
      <c r="I3449" t="s">
        <v>18792</v>
      </c>
      <c r="K3449" t="str">
        <f>HYPERLINK("http://tuberculist.epfl.ch/quicksearch.php?gene+name=Rv3347c&amp;submit=Search")</f>
        <v>http://tuberculist.epfl.ch/quicksearch.php?gene+name=Rv3347c&amp;submit=Search</v>
      </c>
    </row>
    <row r="3450" spans="1:11">
      <c r="A3450" t="s">
        <v>17451</v>
      </c>
      <c r="B3450" t="s">
        <v>17451</v>
      </c>
      <c r="C3450" t="s">
        <v>9567</v>
      </c>
      <c r="D3450" t="s">
        <v>17452</v>
      </c>
      <c r="E3450" t="s">
        <v>11730</v>
      </c>
      <c r="F3450" t="s">
        <v>17453</v>
      </c>
      <c r="G3450" t="s">
        <v>19217</v>
      </c>
      <c r="I3450" t="s">
        <v>18773</v>
      </c>
      <c r="K3450" t="str">
        <f>HYPERLINK("http://tuberculist.epfl.ch/quicksearch.php?gene+name=Rv3348&amp;submit=Search")</f>
        <v>http://tuberculist.epfl.ch/quicksearch.php?gene+name=Rv3348&amp;submit=Search</v>
      </c>
    </row>
    <row r="3451" spans="1:11">
      <c r="A3451" t="s">
        <v>3222</v>
      </c>
      <c r="B3451" t="s">
        <v>3222</v>
      </c>
      <c r="C3451" t="s">
        <v>9567</v>
      </c>
      <c r="D3451" t="s">
        <v>17454</v>
      </c>
      <c r="E3451" t="s">
        <v>11730</v>
      </c>
      <c r="F3451" t="s">
        <v>17455</v>
      </c>
      <c r="G3451" t="s">
        <v>19217</v>
      </c>
      <c r="H3451" t="s">
        <v>19215</v>
      </c>
      <c r="I3451" t="s">
        <v>18780</v>
      </c>
      <c r="K3451" t="str">
        <f>HYPERLINK("http://tuberculist.epfl.ch/quicksearch.php?gene+name=Rv3349c&amp;submit=Search")</f>
        <v>http://tuberculist.epfl.ch/quicksearch.php?gene+name=Rv3349c&amp;submit=Search</v>
      </c>
    </row>
    <row r="3452" spans="1:11">
      <c r="A3452" t="s">
        <v>17456</v>
      </c>
      <c r="B3452" t="s">
        <v>17457</v>
      </c>
      <c r="C3452" t="s">
        <v>9567</v>
      </c>
      <c r="D3452" t="s">
        <v>9578</v>
      </c>
      <c r="E3452" t="s">
        <v>17458</v>
      </c>
      <c r="F3452" t="s">
        <v>17459</v>
      </c>
      <c r="G3452" t="s">
        <v>19262</v>
      </c>
      <c r="H3452" t="s">
        <v>19267</v>
      </c>
      <c r="I3452" t="s">
        <v>18845</v>
      </c>
      <c r="K3452" t="str">
        <f>HYPERLINK("http://tuberculist.epfl.ch/quicksearch.php?gene+name=Rv3350c&amp;submit=Search")</f>
        <v>http://tuberculist.epfl.ch/quicksearch.php?gene+name=Rv3350c&amp;submit=Search</v>
      </c>
    </row>
    <row r="3453" spans="1:11">
      <c r="A3453" t="s">
        <v>17460</v>
      </c>
      <c r="B3453" t="s">
        <v>17460</v>
      </c>
      <c r="C3453" t="s">
        <v>9567</v>
      </c>
      <c r="D3453" t="s">
        <v>9578</v>
      </c>
      <c r="E3453" t="s">
        <v>9579</v>
      </c>
      <c r="F3453" t="s">
        <v>17461</v>
      </c>
      <c r="G3453" t="s">
        <v>19204</v>
      </c>
      <c r="I3453" t="s">
        <v>18780</v>
      </c>
      <c r="K3453" t="str">
        <f>HYPERLINK("http://tuberculist.epfl.ch/quicksearch.php?gene+name=Rv3351c&amp;submit=Search")</f>
        <v>http://tuberculist.epfl.ch/quicksearch.php?gene+name=Rv3351c&amp;submit=Search</v>
      </c>
    </row>
    <row r="3454" spans="1:11">
      <c r="A3454" t="s">
        <v>17462</v>
      </c>
      <c r="B3454" t="s">
        <v>17462</v>
      </c>
      <c r="C3454" t="s">
        <v>9567</v>
      </c>
      <c r="D3454" t="s">
        <v>9682</v>
      </c>
      <c r="E3454" t="s">
        <v>9683</v>
      </c>
      <c r="F3454" t="s">
        <v>17463</v>
      </c>
      <c r="G3454" t="s">
        <v>19195</v>
      </c>
      <c r="I3454" t="s">
        <v>18779</v>
      </c>
      <c r="K3454" t="str">
        <f>HYPERLINK("http://tuberculist.epfl.ch/quicksearch.php?gene+name=Rv3352c&amp;submit=Search")</f>
        <v>http://tuberculist.epfl.ch/quicksearch.php?gene+name=Rv3352c&amp;submit=Search</v>
      </c>
    </row>
    <row r="3455" spans="1:11">
      <c r="A3455" t="s">
        <v>17464</v>
      </c>
      <c r="B3455" t="s">
        <v>17464</v>
      </c>
      <c r="C3455" t="s">
        <v>9567</v>
      </c>
      <c r="D3455" t="s">
        <v>9578</v>
      </c>
      <c r="E3455" t="s">
        <v>9579</v>
      </c>
      <c r="F3455" t="s">
        <v>17465</v>
      </c>
      <c r="G3455" t="s">
        <v>19212</v>
      </c>
      <c r="I3455" t="s">
        <v>18780</v>
      </c>
      <c r="K3455" t="str">
        <f>HYPERLINK("http://tuberculist.epfl.ch/quicksearch.php?gene+name=Rv3353c&amp;submit=Search")</f>
        <v>http://tuberculist.epfl.ch/quicksearch.php?gene+name=Rv3353c&amp;submit=Search</v>
      </c>
    </row>
    <row r="3456" spans="1:11">
      <c r="A3456" t="s">
        <v>17466</v>
      </c>
      <c r="B3456" t="s">
        <v>17466</v>
      </c>
      <c r="C3456" t="s">
        <v>9567</v>
      </c>
      <c r="D3456" t="s">
        <v>9578</v>
      </c>
      <c r="E3456" t="s">
        <v>9579</v>
      </c>
      <c r="F3456" t="s">
        <v>17467</v>
      </c>
      <c r="G3456" t="s">
        <v>19210</v>
      </c>
      <c r="H3456" t="s">
        <v>20069</v>
      </c>
      <c r="I3456" t="s">
        <v>18789</v>
      </c>
      <c r="K3456" t="str">
        <f>HYPERLINK("http://tuberculist.epfl.ch/quicksearch.php?gene+name=Rv3354&amp;submit=Search")</f>
        <v>http://tuberculist.epfl.ch/quicksearch.php?gene+name=Rv3354&amp;submit=Search</v>
      </c>
    </row>
    <row r="3457" spans="1:11">
      <c r="A3457" t="s">
        <v>17468</v>
      </c>
      <c r="B3457" t="s">
        <v>17468</v>
      </c>
      <c r="C3457" t="s">
        <v>9567</v>
      </c>
      <c r="D3457" t="s">
        <v>9578</v>
      </c>
      <c r="E3457" t="s">
        <v>10806</v>
      </c>
      <c r="F3457" t="s">
        <v>17469</v>
      </c>
      <c r="G3457" t="s">
        <v>19188</v>
      </c>
      <c r="I3457" t="s">
        <v>18779</v>
      </c>
      <c r="K3457" t="str">
        <f>HYPERLINK("http://tuberculist.epfl.ch/quicksearch.php?gene+name=Rv3355c&amp;submit=Search")</f>
        <v>http://tuberculist.epfl.ch/quicksearch.php?gene+name=Rv3355c&amp;submit=Search</v>
      </c>
    </row>
    <row r="3458" spans="1:11">
      <c r="A3458" t="s">
        <v>5550</v>
      </c>
      <c r="B3458" t="s">
        <v>1541</v>
      </c>
      <c r="C3458" t="s">
        <v>9567</v>
      </c>
      <c r="D3458" t="s">
        <v>17470</v>
      </c>
      <c r="E3458" t="s">
        <v>17471</v>
      </c>
      <c r="F3458" t="s">
        <v>17472</v>
      </c>
      <c r="G3458" t="s">
        <v>19195</v>
      </c>
      <c r="H3458" t="s">
        <v>20070</v>
      </c>
      <c r="I3458" t="s">
        <v>18774</v>
      </c>
      <c r="K3458" t="str">
        <f>HYPERLINK("http://tuberculist.epfl.ch/quicksearch.php?gene+name=Rv3356c&amp;submit=Search")</f>
        <v>http://tuberculist.epfl.ch/quicksearch.php?gene+name=Rv3356c&amp;submit=Search</v>
      </c>
    </row>
    <row r="3459" spans="1:11">
      <c r="A3459" t="s">
        <v>17473</v>
      </c>
      <c r="B3459" t="s">
        <v>17474</v>
      </c>
      <c r="C3459" t="s">
        <v>9567</v>
      </c>
      <c r="D3459" t="s">
        <v>9578</v>
      </c>
      <c r="E3459" t="s">
        <v>17475</v>
      </c>
      <c r="F3459" t="s">
        <v>17476</v>
      </c>
      <c r="G3459" t="s">
        <v>19206</v>
      </c>
      <c r="H3459" t="s">
        <v>19213</v>
      </c>
      <c r="I3459" t="s">
        <v>18780</v>
      </c>
      <c r="K3459" t="str">
        <f>HYPERLINK("http://tuberculist.epfl.ch/quicksearch.php?gene+name=Rv3357&amp;submit=Search")</f>
        <v>http://tuberculist.epfl.ch/quicksearch.php?gene+name=Rv3357&amp;submit=Search</v>
      </c>
    </row>
    <row r="3460" spans="1:11">
      <c r="A3460" t="s">
        <v>17477</v>
      </c>
      <c r="B3460" t="s">
        <v>17478</v>
      </c>
      <c r="C3460" t="s">
        <v>9567</v>
      </c>
      <c r="D3460" t="s">
        <v>9578</v>
      </c>
      <c r="E3460" t="s">
        <v>17479</v>
      </c>
      <c r="F3460" t="s">
        <v>17480</v>
      </c>
      <c r="G3460" t="s">
        <v>19206</v>
      </c>
      <c r="H3460" t="s">
        <v>19213</v>
      </c>
      <c r="I3460" t="s">
        <v>19107</v>
      </c>
      <c r="K3460" t="str">
        <f>HYPERLINK("http://tuberculist.epfl.ch/quicksearch.php?gene+name=Rv3358&amp;submit=Search")</f>
        <v>http://tuberculist.epfl.ch/quicksearch.php?gene+name=Rv3358&amp;submit=Search</v>
      </c>
    </row>
    <row r="3461" spans="1:11">
      <c r="A3461" t="s">
        <v>1587</v>
      </c>
      <c r="B3461" t="s">
        <v>1587</v>
      </c>
      <c r="C3461" t="s">
        <v>9567</v>
      </c>
      <c r="D3461" t="s">
        <v>9682</v>
      </c>
      <c r="E3461" t="s">
        <v>9683</v>
      </c>
      <c r="F3461" t="s">
        <v>17481</v>
      </c>
      <c r="G3461" t="s">
        <v>19195</v>
      </c>
      <c r="I3461" t="s">
        <v>18780</v>
      </c>
      <c r="K3461" t="str">
        <f>HYPERLINK("http://tuberculist.epfl.ch/quicksearch.php?gene+name=Rv3359&amp;submit=Search")</f>
        <v>http://tuberculist.epfl.ch/quicksearch.php?gene+name=Rv3359&amp;submit=Search</v>
      </c>
    </row>
    <row r="3462" spans="1:11">
      <c r="A3462" t="s">
        <v>731</v>
      </c>
      <c r="B3462" t="s">
        <v>731</v>
      </c>
      <c r="C3462" t="s">
        <v>9567</v>
      </c>
      <c r="D3462" t="s">
        <v>9578</v>
      </c>
      <c r="E3462" t="s">
        <v>9579</v>
      </c>
      <c r="F3462" t="s">
        <v>17482</v>
      </c>
      <c r="G3462" t="s">
        <v>19208</v>
      </c>
      <c r="I3462" t="s">
        <v>18780</v>
      </c>
      <c r="K3462" t="str">
        <f>HYPERLINK("http://tuberculist.epfl.ch/quicksearch.php?gene+name=Rv3360&amp;submit=Search")</f>
        <v>http://tuberculist.epfl.ch/quicksearch.php?gene+name=Rv3360&amp;submit=Search</v>
      </c>
    </row>
    <row r="3463" spans="1:11">
      <c r="A3463" t="s">
        <v>1314</v>
      </c>
      <c r="B3463" t="s">
        <v>1314</v>
      </c>
      <c r="C3463" t="s">
        <v>9567</v>
      </c>
      <c r="D3463" t="s">
        <v>9578</v>
      </c>
      <c r="E3463" t="s">
        <v>9665</v>
      </c>
      <c r="F3463" t="s">
        <v>17483</v>
      </c>
      <c r="G3463" t="s">
        <v>19212</v>
      </c>
      <c r="H3463" t="s">
        <v>19192</v>
      </c>
      <c r="I3463" t="s">
        <v>18773</v>
      </c>
      <c r="K3463" t="str">
        <f>HYPERLINK("http://tuberculist.epfl.ch/quicksearch.php?gene+name=Rv3361c&amp;submit=Search")</f>
        <v>http://tuberculist.epfl.ch/quicksearch.php?gene+name=Rv3361c&amp;submit=Search</v>
      </c>
    </row>
    <row r="3464" spans="1:11">
      <c r="A3464" t="s">
        <v>1549</v>
      </c>
      <c r="B3464" t="s">
        <v>1549</v>
      </c>
      <c r="C3464" t="s">
        <v>9567</v>
      </c>
      <c r="D3464" t="s">
        <v>9578</v>
      </c>
      <c r="E3464" t="s">
        <v>17484</v>
      </c>
      <c r="F3464" t="s">
        <v>17485</v>
      </c>
      <c r="G3464" t="s">
        <v>19204</v>
      </c>
      <c r="H3464" t="s">
        <v>19192</v>
      </c>
      <c r="I3464" t="s">
        <v>18779</v>
      </c>
      <c r="K3464" t="str">
        <f>HYPERLINK("http://tuberculist.epfl.ch/quicksearch.php?gene+name=Rv3362c&amp;submit=Search")</f>
        <v>http://tuberculist.epfl.ch/quicksearch.php?gene+name=Rv3362c&amp;submit=Search</v>
      </c>
    </row>
    <row r="3465" spans="1:11">
      <c r="A3465" t="s">
        <v>1832</v>
      </c>
      <c r="B3465" t="s">
        <v>1832</v>
      </c>
      <c r="C3465" t="s">
        <v>9567</v>
      </c>
      <c r="D3465" t="s">
        <v>9578</v>
      </c>
      <c r="E3465" t="s">
        <v>9579</v>
      </c>
      <c r="F3465" t="s">
        <v>17486</v>
      </c>
      <c r="G3465" t="s">
        <v>19212</v>
      </c>
      <c r="H3465" t="s">
        <v>19207</v>
      </c>
      <c r="I3465" t="s">
        <v>18780</v>
      </c>
      <c r="K3465" t="str">
        <f>HYPERLINK("http://tuberculist.epfl.ch/quicksearch.php?gene+name=Rv3363c&amp;submit=Search")</f>
        <v>http://tuberculist.epfl.ch/quicksearch.php?gene+name=Rv3363c&amp;submit=Search</v>
      </c>
    </row>
    <row r="3466" spans="1:11">
      <c r="A3466" t="s">
        <v>17487</v>
      </c>
      <c r="B3466" t="s">
        <v>17487</v>
      </c>
      <c r="C3466" t="s">
        <v>9567</v>
      </c>
      <c r="D3466" t="s">
        <v>9578</v>
      </c>
      <c r="E3466" t="s">
        <v>9665</v>
      </c>
      <c r="F3466" t="s">
        <v>17488</v>
      </c>
      <c r="G3466" t="s">
        <v>19204</v>
      </c>
      <c r="H3466" t="s">
        <v>19192</v>
      </c>
      <c r="I3466" t="s">
        <v>18789</v>
      </c>
      <c r="K3466" t="str">
        <f>HYPERLINK("http://tuberculist.epfl.ch/quicksearch.php?gene+name=Rv3364c&amp;submit=Search")</f>
        <v>http://tuberculist.epfl.ch/quicksearch.php?gene+name=Rv3364c&amp;submit=Search</v>
      </c>
    </row>
    <row r="3467" spans="1:11">
      <c r="A3467" t="s">
        <v>1016</v>
      </c>
      <c r="B3467" t="s">
        <v>1016</v>
      </c>
      <c r="C3467" t="s">
        <v>9567</v>
      </c>
      <c r="D3467" t="s">
        <v>9578</v>
      </c>
      <c r="E3467" t="s">
        <v>9665</v>
      </c>
      <c r="F3467" t="s">
        <v>17489</v>
      </c>
      <c r="G3467" t="s">
        <v>19208</v>
      </c>
      <c r="H3467" t="s">
        <v>20071</v>
      </c>
      <c r="I3467" t="s">
        <v>18789</v>
      </c>
      <c r="K3467" t="str">
        <f>HYPERLINK("http://tuberculist.epfl.ch/quicksearch.php?gene+name=Rv3365c&amp;submit=Search")</f>
        <v>http://tuberculist.epfl.ch/quicksearch.php?gene+name=Rv3365c&amp;submit=Search</v>
      </c>
    </row>
    <row r="3468" spans="1:11">
      <c r="A3468" t="s">
        <v>17490</v>
      </c>
      <c r="B3468" t="s">
        <v>17491</v>
      </c>
      <c r="C3468" t="s">
        <v>9567</v>
      </c>
      <c r="D3468" t="s">
        <v>10061</v>
      </c>
      <c r="E3468" t="s">
        <v>17492</v>
      </c>
      <c r="F3468" t="s">
        <v>17493</v>
      </c>
      <c r="G3468" t="s">
        <v>19181</v>
      </c>
      <c r="H3468" t="s">
        <v>19309</v>
      </c>
      <c r="I3468" t="s">
        <v>18780</v>
      </c>
      <c r="K3468" t="str">
        <f>HYPERLINK("http://tuberculist.epfl.ch/quicksearch.php?gene+name=Rv3366&amp;submit=Search")</f>
        <v>http://tuberculist.epfl.ch/quicksearch.php?gene+name=Rv3366&amp;submit=Search</v>
      </c>
    </row>
    <row r="3469" spans="1:11">
      <c r="A3469" t="s">
        <v>5324</v>
      </c>
      <c r="B3469" t="s">
        <v>1417</v>
      </c>
      <c r="C3469" t="s">
        <v>9567</v>
      </c>
      <c r="D3469" t="s">
        <v>9578</v>
      </c>
      <c r="E3469" t="s">
        <v>17494</v>
      </c>
      <c r="F3469" t="s">
        <v>17495</v>
      </c>
      <c r="G3469" t="s">
        <v>19262</v>
      </c>
      <c r="H3469" t="s">
        <v>19254</v>
      </c>
      <c r="I3469" t="s">
        <v>18780</v>
      </c>
      <c r="K3469" t="str">
        <f>HYPERLINK("http://tuberculist.epfl.ch/quicksearch.php?gene+name=Rv3367&amp;submit=Search")</f>
        <v>http://tuberculist.epfl.ch/quicksearch.php?gene+name=Rv3367&amp;submit=Search</v>
      </c>
    </row>
    <row r="3470" spans="1:11">
      <c r="A3470" t="s">
        <v>3083</v>
      </c>
      <c r="B3470" t="s">
        <v>3083</v>
      </c>
      <c r="C3470" t="s">
        <v>9567</v>
      </c>
      <c r="D3470" t="s">
        <v>12032</v>
      </c>
      <c r="E3470" t="s">
        <v>9683</v>
      </c>
      <c r="F3470" t="s">
        <v>17496</v>
      </c>
      <c r="G3470" t="s">
        <v>19195</v>
      </c>
      <c r="H3470" t="s">
        <v>19287</v>
      </c>
      <c r="I3470" t="s">
        <v>18780</v>
      </c>
      <c r="K3470" t="str">
        <f>HYPERLINK("http://tuberculist.epfl.ch/quicksearch.php?gene+name=Rv3368c&amp;submit=Search")</f>
        <v>http://tuberculist.epfl.ch/quicksearch.php?gene+name=Rv3368c&amp;submit=Search</v>
      </c>
    </row>
    <row r="3471" spans="1:11">
      <c r="A3471" t="s">
        <v>2133</v>
      </c>
      <c r="B3471" t="s">
        <v>2133</v>
      </c>
      <c r="C3471" t="s">
        <v>9567</v>
      </c>
      <c r="D3471" t="s">
        <v>9578</v>
      </c>
      <c r="E3471" t="s">
        <v>9665</v>
      </c>
      <c r="F3471" t="s">
        <v>17497</v>
      </c>
      <c r="G3471" t="s">
        <v>19204</v>
      </c>
      <c r="H3471" t="s">
        <v>19183</v>
      </c>
      <c r="I3471" t="s">
        <v>18867</v>
      </c>
      <c r="K3471" t="str">
        <f>HYPERLINK("http://tuberculist.epfl.ch/quicksearch.php?gene+name=Rv3369&amp;submit=Search")</f>
        <v>http://tuberculist.epfl.ch/quicksearch.php?gene+name=Rv3369&amp;submit=Search</v>
      </c>
    </row>
    <row r="3472" spans="1:11">
      <c r="A3472" t="s">
        <v>6257</v>
      </c>
      <c r="B3472" t="s">
        <v>1881</v>
      </c>
      <c r="C3472" t="s">
        <v>9567</v>
      </c>
      <c r="D3472" t="s">
        <v>17498</v>
      </c>
      <c r="E3472" t="s">
        <v>17499</v>
      </c>
      <c r="F3472" t="s">
        <v>17500</v>
      </c>
      <c r="G3472" t="s">
        <v>19181</v>
      </c>
      <c r="H3472" t="s">
        <v>19263</v>
      </c>
      <c r="I3472" t="s">
        <v>18789</v>
      </c>
      <c r="J3472" t="s">
        <v>18855</v>
      </c>
      <c r="K3472" t="str">
        <f>HYPERLINK("http://tuberculist.epfl.ch/quicksearch.php?gene+name=Rv3370c&amp;submit=Search")</f>
        <v>http://tuberculist.epfl.ch/quicksearch.php?gene+name=Rv3370c&amp;submit=Search</v>
      </c>
    </row>
    <row r="3473" spans="1:11">
      <c r="A3473" t="s">
        <v>623</v>
      </c>
      <c r="B3473" t="s">
        <v>623</v>
      </c>
      <c r="C3473" t="s">
        <v>9567</v>
      </c>
      <c r="D3473" t="s">
        <v>10087</v>
      </c>
      <c r="E3473" t="s">
        <v>10088</v>
      </c>
      <c r="F3473" t="s">
        <v>17501</v>
      </c>
      <c r="G3473" t="s">
        <v>19219</v>
      </c>
      <c r="H3473" t="s">
        <v>19379</v>
      </c>
      <c r="I3473" t="s">
        <v>18810</v>
      </c>
      <c r="J3473" t="s">
        <v>18832</v>
      </c>
      <c r="K3473" t="str">
        <f>HYPERLINK("http://tuberculist.epfl.ch/quicksearch.php?gene+name=Rv3371&amp;submit=Search")</f>
        <v>http://tuberculist.epfl.ch/quicksearch.php?gene+name=Rv3371&amp;submit=Search</v>
      </c>
    </row>
    <row r="3474" spans="1:11">
      <c r="A3474" t="s">
        <v>8525</v>
      </c>
      <c r="B3474" t="s">
        <v>3008</v>
      </c>
      <c r="C3474" t="s">
        <v>9567</v>
      </c>
      <c r="D3474" t="s">
        <v>17502</v>
      </c>
      <c r="E3474" t="s">
        <v>17503</v>
      </c>
      <c r="F3474" t="s">
        <v>17504</v>
      </c>
      <c r="G3474" t="s">
        <v>19206</v>
      </c>
      <c r="H3474" t="s">
        <v>19664</v>
      </c>
      <c r="I3474" t="s">
        <v>18774</v>
      </c>
      <c r="K3474" t="str">
        <f>HYPERLINK("http://tuberculist.epfl.ch/quicksearch.php?gene+name=Rv3372&amp;submit=Search")</f>
        <v>http://tuberculist.epfl.ch/quicksearch.php?gene+name=Rv3372&amp;submit=Search</v>
      </c>
    </row>
    <row r="3475" spans="1:11">
      <c r="A3475" t="s">
        <v>6292</v>
      </c>
      <c r="B3475" t="s">
        <v>1895</v>
      </c>
      <c r="C3475" t="s">
        <v>9567</v>
      </c>
      <c r="D3475" t="s">
        <v>10092</v>
      </c>
      <c r="E3475" t="s">
        <v>17505</v>
      </c>
      <c r="F3475" t="s">
        <v>17506</v>
      </c>
      <c r="G3475" t="s">
        <v>19219</v>
      </c>
      <c r="H3475" t="s">
        <v>19211</v>
      </c>
      <c r="I3475" t="s">
        <v>18780</v>
      </c>
      <c r="K3475" t="str">
        <f>HYPERLINK("http://tuberculist.epfl.ch/quicksearch.php?gene+name=Rv3373&amp;submit=Search")</f>
        <v>http://tuberculist.epfl.ch/quicksearch.php?gene+name=Rv3373&amp;submit=Search</v>
      </c>
    </row>
    <row r="3476" spans="1:11">
      <c r="A3476" t="s">
        <v>17507</v>
      </c>
      <c r="B3476" t="s">
        <v>17508</v>
      </c>
      <c r="C3476" t="s">
        <v>9567</v>
      </c>
      <c r="D3476" t="s">
        <v>10092</v>
      </c>
      <c r="E3476" t="s">
        <v>17509</v>
      </c>
      <c r="F3476" t="s">
        <v>17510</v>
      </c>
      <c r="G3476" t="s">
        <v>19219</v>
      </c>
      <c r="I3476" t="s">
        <v>18793</v>
      </c>
      <c r="K3476" t="str">
        <f>HYPERLINK("http://tuberculist.epfl.ch/quicksearch.php?gene+name=Rv3374&amp;submit=Search")</f>
        <v>http://tuberculist.epfl.ch/quicksearch.php?gene+name=Rv3374&amp;submit=Search</v>
      </c>
    </row>
    <row r="3477" spans="1:11">
      <c r="A3477" t="s">
        <v>5891</v>
      </c>
      <c r="B3477" t="s">
        <v>1698</v>
      </c>
      <c r="C3477" t="s">
        <v>9567</v>
      </c>
      <c r="D3477" t="s">
        <v>17511</v>
      </c>
      <c r="E3477" t="s">
        <v>17512</v>
      </c>
      <c r="F3477" t="s">
        <v>17513</v>
      </c>
      <c r="G3477" t="s">
        <v>19195</v>
      </c>
      <c r="H3477" t="s">
        <v>20072</v>
      </c>
      <c r="I3477" t="s">
        <v>18812</v>
      </c>
      <c r="K3477" t="str">
        <f>HYPERLINK("http://tuberculist.epfl.ch/quicksearch.php?gene+name=Rv3375&amp;submit=Search")</f>
        <v>http://tuberculist.epfl.ch/quicksearch.php?gene+name=Rv3375&amp;submit=Search</v>
      </c>
    </row>
    <row r="3478" spans="1:11">
      <c r="A3478" t="s">
        <v>3164</v>
      </c>
      <c r="B3478" t="s">
        <v>3164</v>
      </c>
      <c r="C3478" t="s">
        <v>9567</v>
      </c>
      <c r="D3478" t="s">
        <v>9578</v>
      </c>
      <c r="E3478" t="s">
        <v>9579</v>
      </c>
      <c r="F3478" t="s">
        <v>17514</v>
      </c>
      <c r="G3478" t="s">
        <v>19210</v>
      </c>
      <c r="H3478" t="s">
        <v>19213</v>
      </c>
      <c r="I3478" t="s">
        <v>18786</v>
      </c>
      <c r="K3478" t="str">
        <f>HYPERLINK("http://tuberculist.epfl.ch/quicksearch.php?gene+name=Rv3376&amp;submit=Search")</f>
        <v>http://tuberculist.epfl.ch/quicksearch.php?gene+name=Rv3376&amp;submit=Search</v>
      </c>
    </row>
    <row r="3479" spans="1:11">
      <c r="A3479" t="s">
        <v>2597</v>
      </c>
      <c r="B3479" t="s">
        <v>2597</v>
      </c>
      <c r="C3479" t="s">
        <v>9567</v>
      </c>
      <c r="D3479" t="s">
        <v>17515</v>
      </c>
      <c r="E3479" t="s">
        <v>17516</v>
      </c>
      <c r="F3479" t="s">
        <v>17517</v>
      </c>
      <c r="G3479" t="s">
        <v>19195</v>
      </c>
      <c r="I3479" t="s">
        <v>19108</v>
      </c>
      <c r="K3479" t="str">
        <f>HYPERLINK("http://tuberculist.epfl.ch/quicksearch.php?gene+name=Rv3377c&amp;submit=Search")</f>
        <v>http://tuberculist.epfl.ch/quicksearch.php?gene+name=Rv3377c&amp;submit=Search</v>
      </c>
    </row>
    <row r="3480" spans="1:11">
      <c r="A3480" t="s">
        <v>903</v>
      </c>
      <c r="B3480" t="s">
        <v>903</v>
      </c>
      <c r="C3480" t="s">
        <v>9567</v>
      </c>
      <c r="D3480" t="s">
        <v>17518</v>
      </c>
      <c r="E3480" t="s">
        <v>17519</v>
      </c>
      <c r="F3480" t="s">
        <v>17520</v>
      </c>
      <c r="G3480" t="s">
        <v>19195</v>
      </c>
      <c r="I3480" t="s">
        <v>19109</v>
      </c>
      <c r="K3480" t="str">
        <f>HYPERLINK("http://tuberculist.epfl.ch/quicksearch.php?gene+name=Rv3378c&amp;submit=Search")</f>
        <v>http://tuberculist.epfl.ch/quicksearch.php?gene+name=Rv3378c&amp;submit=Search</v>
      </c>
    </row>
    <row r="3481" spans="1:11">
      <c r="A3481" t="s">
        <v>6799</v>
      </c>
      <c r="B3481" t="s">
        <v>2161</v>
      </c>
      <c r="C3481" t="s">
        <v>9567</v>
      </c>
      <c r="D3481" t="s">
        <v>17521</v>
      </c>
      <c r="E3481" t="s">
        <v>17522</v>
      </c>
      <c r="F3481" t="s">
        <v>17523</v>
      </c>
      <c r="G3481" t="s">
        <v>19195</v>
      </c>
      <c r="H3481" t="s">
        <v>19302</v>
      </c>
      <c r="I3481" t="s">
        <v>18789</v>
      </c>
      <c r="K3481" t="str">
        <f>HYPERLINK("http://tuberculist.epfl.ch/quicksearch.php?gene+name=Rv3379c&amp;submit=Search")</f>
        <v>http://tuberculist.epfl.ch/quicksearch.php?gene+name=Rv3379c&amp;submit=Search</v>
      </c>
    </row>
    <row r="3482" spans="1:11">
      <c r="A3482" t="s">
        <v>17524</v>
      </c>
      <c r="B3482" t="s">
        <v>17524</v>
      </c>
      <c r="C3482" t="s">
        <v>9567</v>
      </c>
      <c r="D3482" t="s">
        <v>17041</v>
      </c>
      <c r="E3482" t="s">
        <v>11730</v>
      </c>
      <c r="F3482" t="s">
        <v>17525</v>
      </c>
      <c r="G3482" t="s">
        <v>19217</v>
      </c>
      <c r="I3482" t="s">
        <v>18773</v>
      </c>
      <c r="K3482" t="str">
        <f>HYPERLINK("http://tuberculist.epfl.ch/quicksearch.php?gene+name=Rv3380c&amp;submit=Search")</f>
        <v>http://tuberculist.epfl.ch/quicksearch.php?gene+name=Rv3380c&amp;submit=Search</v>
      </c>
    </row>
    <row r="3483" spans="1:11">
      <c r="A3483" t="s">
        <v>17526</v>
      </c>
      <c r="B3483" t="s">
        <v>17526</v>
      </c>
      <c r="C3483" t="s">
        <v>9567</v>
      </c>
      <c r="D3483" t="s">
        <v>17041</v>
      </c>
      <c r="E3483" t="s">
        <v>15093</v>
      </c>
      <c r="F3483" t="s">
        <v>17527</v>
      </c>
      <c r="G3483" t="s">
        <v>19217</v>
      </c>
      <c r="I3483" t="s">
        <v>18773</v>
      </c>
      <c r="K3483" t="str">
        <f>HYPERLINK("http://tuberculist.epfl.ch/quicksearch.php?gene+name=Rv3381c&amp;submit=Search")</f>
        <v>http://tuberculist.epfl.ch/quicksearch.php?gene+name=Rv3381c&amp;submit=Search</v>
      </c>
    </row>
    <row r="3484" spans="1:11">
      <c r="A3484" t="s">
        <v>5665</v>
      </c>
      <c r="B3484" t="s">
        <v>1596</v>
      </c>
      <c r="C3484" t="s">
        <v>9567</v>
      </c>
      <c r="D3484" t="s">
        <v>17528</v>
      </c>
      <c r="E3484" t="s">
        <v>17529</v>
      </c>
      <c r="F3484" t="s">
        <v>17530</v>
      </c>
      <c r="G3484" t="s">
        <v>19188</v>
      </c>
      <c r="I3484" t="s">
        <v>18780</v>
      </c>
      <c r="K3484" t="str">
        <f>HYPERLINK("http://tuberculist.epfl.ch/quicksearch.php?gene+name=Rv3382c&amp;submit=Search")</f>
        <v>http://tuberculist.epfl.ch/quicksearch.php?gene+name=Rv3382c&amp;submit=Search</v>
      </c>
    </row>
    <row r="3485" spans="1:11">
      <c r="A3485" t="s">
        <v>5649</v>
      </c>
      <c r="B3485" t="s">
        <v>1588</v>
      </c>
      <c r="C3485" t="s">
        <v>9567</v>
      </c>
      <c r="D3485" t="s">
        <v>17531</v>
      </c>
      <c r="E3485" t="s">
        <v>17532</v>
      </c>
      <c r="F3485" t="s">
        <v>17533</v>
      </c>
      <c r="G3485" t="s">
        <v>19219</v>
      </c>
      <c r="H3485" t="s">
        <v>19236</v>
      </c>
      <c r="I3485" t="s">
        <v>18779</v>
      </c>
      <c r="K3485" t="str">
        <f>HYPERLINK("http://tuberculist.epfl.ch/quicksearch.php?gene+name=Rv3383c&amp;submit=Search")</f>
        <v>http://tuberculist.epfl.ch/quicksearch.php?gene+name=Rv3383c&amp;submit=Search</v>
      </c>
    </row>
    <row r="3486" spans="1:11">
      <c r="A3486" t="s">
        <v>17534</v>
      </c>
      <c r="B3486" t="s">
        <v>2316</v>
      </c>
      <c r="C3486" t="s">
        <v>9567</v>
      </c>
      <c r="D3486" t="s">
        <v>9587</v>
      </c>
      <c r="E3486" t="s">
        <v>17535</v>
      </c>
      <c r="F3486" t="s">
        <v>17536</v>
      </c>
      <c r="G3486" t="s">
        <v>19206</v>
      </c>
      <c r="H3486" t="s">
        <v>19401</v>
      </c>
      <c r="I3486" t="s">
        <v>18780</v>
      </c>
      <c r="K3486" t="str">
        <f>HYPERLINK("http://tuberculist.epfl.ch/quicksearch.php?gene+name=Rv3384c&amp;submit=Search")</f>
        <v>http://tuberculist.epfl.ch/quicksearch.php?gene+name=Rv3384c&amp;submit=Search</v>
      </c>
    </row>
    <row r="3487" spans="1:11">
      <c r="A3487" t="s">
        <v>17537</v>
      </c>
      <c r="B3487" t="s">
        <v>818</v>
      </c>
      <c r="C3487" t="s">
        <v>9567</v>
      </c>
      <c r="D3487" t="s">
        <v>9587</v>
      </c>
      <c r="E3487" t="s">
        <v>17538</v>
      </c>
      <c r="F3487" t="s">
        <v>17539</v>
      </c>
      <c r="G3487" t="s">
        <v>19206</v>
      </c>
      <c r="I3487" t="s">
        <v>18779</v>
      </c>
      <c r="K3487" t="str">
        <f>HYPERLINK("http://tuberculist.epfl.ch/quicksearch.php?gene+name=Rv3385c&amp;submit=Search")</f>
        <v>http://tuberculist.epfl.ch/quicksearch.php?gene+name=Rv3385c&amp;submit=Search</v>
      </c>
    </row>
    <row r="3488" spans="1:11">
      <c r="A3488" t="s">
        <v>1440</v>
      </c>
      <c r="B3488" t="s">
        <v>1440</v>
      </c>
      <c r="C3488" t="s">
        <v>9567</v>
      </c>
      <c r="D3488" t="s">
        <v>17540</v>
      </c>
      <c r="E3488" t="s">
        <v>11734</v>
      </c>
      <c r="F3488" t="s">
        <v>17541</v>
      </c>
      <c r="G3488" t="s">
        <v>19217</v>
      </c>
      <c r="H3488" t="s">
        <v>19207</v>
      </c>
      <c r="I3488" t="s">
        <v>18780</v>
      </c>
      <c r="K3488" t="str">
        <f>HYPERLINK("http://tuberculist.epfl.ch/quicksearch.php?gene+name=Rv3386&amp;submit=Search")</f>
        <v>http://tuberculist.epfl.ch/quicksearch.php?gene+name=Rv3386&amp;submit=Search</v>
      </c>
    </row>
    <row r="3489" spans="1:11">
      <c r="A3489" t="s">
        <v>17542</v>
      </c>
      <c r="B3489" t="s">
        <v>17542</v>
      </c>
      <c r="C3489" t="s">
        <v>9567</v>
      </c>
      <c r="D3489" t="s">
        <v>17540</v>
      </c>
      <c r="E3489" t="s">
        <v>11734</v>
      </c>
      <c r="F3489" t="s">
        <v>17543</v>
      </c>
      <c r="G3489" t="s">
        <v>19217</v>
      </c>
      <c r="I3489" t="s">
        <v>18777</v>
      </c>
      <c r="K3489" t="str">
        <f>HYPERLINK("http://tuberculist.epfl.ch/quicksearch.php?gene+name=Rv3387&amp;submit=Search")</f>
        <v>http://tuberculist.epfl.ch/quicksearch.php?gene+name=Rv3387&amp;submit=Search</v>
      </c>
    </row>
    <row r="3490" spans="1:11">
      <c r="A3490" t="s">
        <v>8766</v>
      </c>
      <c r="B3490" t="s">
        <v>3123</v>
      </c>
      <c r="C3490" t="s">
        <v>9567</v>
      </c>
      <c r="D3490" t="s">
        <v>9578</v>
      </c>
      <c r="E3490" t="s">
        <v>17544</v>
      </c>
      <c r="F3490" t="s">
        <v>17545</v>
      </c>
      <c r="G3490" t="s">
        <v>19262</v>
      </c>
      <c r="H3490" t="s">
        <v>19211</v>
      </c>
      <c r="I3490" t="s">
        <v>18792</v>
      </c>
      <c r="K3490" t="str">
        <f>HYPERLINK("http://tuberculist.epfl.ch/quicksearch.php?gene+name=Rv3388&amp;submit=Search")</f>
        <v>http://tuberculist.epfl.ch/quicksearch.php?gene+name=Rv3388&amp;submit=Search</v>
      </c>
    </row>
    <row r="3491" spans="1:11">
      <c r="A3491" t="s">
        <v>17546</v>
      </c>
      <c r="B3491" t="s">
        <v>3012</v>
      </c>
      <c r="C3491" t="s">
        <v>9567</v>
      </c>
      <c r="D3491" t="s">
        <v>10139</v>
      </c>
      <c r="E3491" t="s">
        <v>17547</v>
      </c>
      <c r="F3491" t="s">
        <v>17548</v>
      </c>
      <c r="G3491" t="s">
        <v>19195</v>
      </c>
      <c r="H3491" t="s">
        <v>20073</v>
      </c>
      <c r="I3491" t="s">
        <v>18780</v>
      </c>
      <c r="K3491" t="str">
        <f>HYPERLINK("http://tuberculist.epfl.ch/quicksearch.php?gene+name=Rv3389c&amp;submit=Search")</f>
        <v>http://tuberculist.epfl.ch/quicksearch.php?gene+name=Rv3389c&amp;submit=Search</v>
      </c>
    </row>
    <row r="3492" spans="1:11">
      <c r="A3492" t="s">
        <v>6382</v>
      </c>
      <c r="B3492" t="s">
        <v>1939</v>
      </c>
      <c r="C3492" t="s">
        <v>9567</v>
      </c>
      <c r="D3492" t="s">
        <v>9587</v>
      </c>
      <c r="E3492" t="s">
        <v>17549</v>
      </c>
      <c r="F3492" t="s">
        <v>17550</v>
      </c>
      <c r="G3492" t="s">
        <v>19188</v>
      </c>
      <c r="H3492" t="s">
        <v>20074</v>
      </c>
      <c r="I3492" t="s">
        <v>18789</v>
      </c>
      <c r="K3492" t="str">
        <f>HYPERLINK("http://tuberculist.epfl.ch/quicksearch.php?gene+name=Rv3390&amp;submit=Search")</f>
        <v>http://tuberculist.epfl.ch/quicksearch.php?gene+name=Rv3390&amp;submit=Search</v>
      </c>
    </row>
    <row r="3493" spans="1:11">
      <c r="A3493" t="s">
        <v>7215</v>
      </c>
      <c r="B3493" t="s">
        <v>2368</v>
      </c>
      <c r="C3493" t="s">
        <v>9567</v>
      </c>
      <c r="D3493" t="s">
        <v>12449</v>
      </c>
      <c r="E3493" t="s">
        <v>17551</v>
      </c>
      <c r="F3493" t="s">
        <v>17552</v>
      </c>
      <c r="G3493" t="s">
        <v>19219</v>
      </c>
      <c r="H3493" t="s">
        <v>19207</v>
      </c>
      <c r="I3493" t="s">
        <v>18780</v>
      </c>
      <c r="K3493" t="str">
        <f>HYPERLINK("http://tuberculist.epfl.ch/quicksearch.php?gene+name=Rv3391&amp;submit=Search")</f>
        <v>http://tuberculist.epfl.ch/quicksearch.php?gene+name=Rv3391&amp;submit=Search</v>
      </c>
    </row>
    <row r="3494" spans="1:11">
      <c r="A3494" t="s">
        <v>7024</v>
      </c>
      <c r="B3494" t="s">
        <v>2268</v>
      </c>
      <c r="C3494" t="s">
        <v>9567</v>
      </c>
      <c r="D3494" t="s">
        <v>17553</v>
      </c>
      <c r="E3494" t="s">
        <v>17554</v>
      </c>
      <c r="F3494" t="s">
        <v>17555</v>
      </c>
      <c r="G3494" t="s">
        <v>19219</v>
      </c>
      <c r="H3494" t="s">
        <v>19403</v>
      </c>
      <c r="I3494" t="s">
        <v>18779</v>
      </c>
      <c r="K3494" t="str">
        <f>HYPERLINK("http://tuberculist.epfl.ch/quicksearch.php?gene+name=Rv3392c&amp;submit=Search")</f>
        <v>http://tuberculist.epfl.ch/quicksearch.php?gene+name=Rv3392c&amp;submit=Search</v>
      </c>
    </row>
    <row r="3495" spans="1:11">
      <c r="A3495" t="s">
        <v>7217</v>
      </c>
      <c r="B3495" t="s">
        <v>2369</v>
      </c>
      <c r="C3495" t="s">
        <v>9567</v>
      </c>
      <c r="D3495" t="s">
        <v>17556</v>
      </c>
      <c r="E3495" t="s">
        <v>17557</v>
      </c>
      <c r="F3495" t="s">
        <v>17558</v>
      </c>
      <c r="G3495" t="s">
        <v>19195</v>
      </c>
      <c r="H3495" t="s">
        <v>19233</v>
      </c>
      <c r="I3495" t="s">
        <v>18777</v>
      </c>
      <c r="K3495" t="str">
        <f>HYPERLINK("http://tuberculist.epfl.ch/quicksearch.php?gene+name=Rv3393&amp;submit=Search")</f>
        <v>http://tuberculist.epfl.ch/quicksearch.php?gene+name=Rv3393&amp;submit=Search</v>
      </c>
    </row>
    <row r="3496" spans="1:11">
      <c r="A3496" t="s">
        <v>17559</v>
      </c>
      <c r="B3496" t="s">
        <v>17559</v>
      </c>
      <c r="C3496" t="s">
        <v>9567</v>
      </c>
      <c r="D3496" t="s">
        <v>9578</v>
      </c>
      <c r="E3496" t="s">
        <v>9579</v>
      </c>
      <c r="F3496" t="s">
        <v>17560</v>
      </c>
      <c r="G3496" t="s">
        <v>19212</v>
      </c>
      <c r="H3496" t="s">
        <v>20075</v>
      </c>
      <c r="I3496" t="s">
        <v>19110</v>
      </c>
      <c r="K3496" t="str">
        <f>HYPERLINK("http://tuberculist.epfl.ch/quicksearch.php?gene+name=Rv3394c&amp;submit=Search")</f>
        <v>http://tuberculist.epfl.ch/quicksearch.php?gene+name=Rv3394c&amp;submit=Search</v>
      </c>
    </row>
    <row r="3497" spans="1:11">
      <c r="A3497" t="s">
        <v>496</v>
      </c>
      <c r="B3497" t="s">
        <v>496</v>
      </c>
      <c r="C3497" t="s">
        <v>9567</v>
      </c>
      <c r="D3497" t="s">
        <v>9587</v>
      </c>
      <c r="E3497" t="s">
        <v>9758</v>
      </c>
      <c r="F3497" t="s">
        <v>17561</v>
      </c>
      <c r="G3497" t="s">
        <v>19188</v>
      </c>
      <c r="H3497" t="s">
        <v>19389</v>
      </c>
      <c r="I3497" t="s">
        <v>18793</v>
      </c>
      <c r="K3497" t="str">
        <f>HYPERLINK("http://tuberculist.epfl.ch/quicksearch.php?gene+name=Rv3395A&amp;submit=Search")</f>
        <v>http://tuberculist.epfl.ch/quicksearch.php?gene+name=Rv3395A&amp;submit=Search</v>
      </c>
    </row>
    <row r="3498" spans="1:11">
      <c r="A3498" t="s">
        <v>2033</v>
      </c>
      <c r="B3498" t="s">
        <v>2033</v>
      </c>
      <c r="C3498" t="s">
        <v>9567</v>
      </c>
      <c r="D3498" t="s">
        <v>9578</v>
      </c>
      <c r="E3498" t="s">
        <v>9579</v>
      </c>
      <c r="F3498" t="s">
        <v>17562</v>
      </c>
      <c r="G3498" t="s">
        <v>19212</v>
      </c>
      <c r="H3498" t="s">
        <v>19211</v>
      </c>
      <c r="I3498" t="s">
        <v>19111</v>
      </c>
      <c r="J3498" t="s">
        <v>18855</v>
      </c>
      <c r="K3498" t="str">
        <f>HYPERLINK("http://tuberculist.epfl.ch/quicksearch.php?gene+name=Rv3395c&amp;submit=Search")</f>
        <v>http://tuberculist.epfl.ch/quicksearch.php?gene+name=Rv3395c&amp;submit=Search</v>
      </c>
    </row>
    <row r="3499" spans="1:11">
      <c r="A3499" t="s">
        <v>7700</v>
      </c>
      <c r="B3499" t="s">
        <v>2603</v>
      </c>
      <c r="C3499" t="s">
        <v>9567</v>
      </c>
      <c r="D3499" t="s">
        <v>17563</v>
      </c>
      <c r="E3499" t="s">
        <v>17564</v>
      </c>
      <c r="F3499" t="s">
        <v>17565</v>
      </c>
      <c r="G3499" t="s">
        <v>19195</v>
      </c>
      <c r="H3499" t="s">
        <v>20076</v>
      </c>
      <c r="I3499" t="s">
        <v>18774</v>
      </c>
      <c r="K3499" t="str">
        <f>HYPERLINK("http://tuberculist.epfl.ch/quicksearch.php?gene+name=Rv3396c&amp;submit=Search")</f>
        <v>http://tuberculist.epfl.ch/quicksearch.php?gene+name=Rv3396c&amp;submit=Search</v>
      </c>
    </row>
    <row r="3500" spans="1:11">
      <c r="A3500" t="s">
        <v>4876</v>
      </c>
      <c r="B3500" t="s">
        <v>1194</v>
      </c>
      <c r="C3500" t="s">
        <v>9567</v>
      </c>
      <c r="D3500" t="s">
        <v>17566</v>
      </c>
      <c r="E3500" t="s">
        <v>17567</v>
      </c>
      <c r="F3500" t="s">
        <v>17568</v>
      </c>
      <c r="G3500" t="s">
        <v>19195</v>
      </c>
      <c r="H3500" t="s">
        <v>19308</v>
      </c>
      <c r="I3500" t="s">
        <v>18773</v>
      </c>
      <c r="K3500" t="str">
        <f>HYPERLINK("http://tuberculist.epfl.ch/quicksearch.php?gene+name=Rv3397c&amp;submit=Search")</f>
        <v>http://tuberculist.epfl.ch/quicksearch.php?gene+name=Rv3397c&amp;submit=Search</v>
      </c>
    </row>
    <row r="3501" spans="1:11">
      <c r="A3501" t="s">
        <v>5567</v>
      </c>
      <c r="B3501" t="s">
        <v>1550</v>
      </c>
      <c r="C3501" t="s">
        <v>9567</v>
      </c>
      <c r="D3501" t="s">
        <v>17569</v>
      </c>
      <c r="E3501" t="s">
        <v>17570</v>
      </c>
      <c r="F3501" t="s">
        <v>17571</v>
      </c>
      <c r="G3501" t="s">
        <v>19219</v>
      </c>
      <c r="I3501" t="s">
        <v>18800</v>
      </c>
      <c r="K3501" t="str">
        <f>HYPERLINK("http://tuberculist.epfl.ch/quicksearch.php?gene+name=Rv3398c&amp;submit=Search")</f>
        <v>http://tuberculist.epfl.ch/quicksearch.php?gene+name=Rv3398c&amp;submit=Search</v>
      </c>
    </row>
    <row r="3502" spans="1:11">
      <c r="A3502" t="s">
        <v>896</v>
      </c>
      <c r="B3502" t="s">
        <v>896</v>
      </c>
      <c r="C3502" t="s">
        <v>9567</v>
      </c>
      <c r="D3502" t="s">
        <v>9924</v>
      </c>
      <c r="E3502" t="s">
        <v>9925</v>
      </c>
      <c r="F3502" t="s">
        <v>17572</v>
      </c>
      <c r="G3502" t="s">
        <v>19219</v>
      </c>
      <c r="H3502" t="s">
        <v>19213</v>
      </c>
      <c r="I3502" t="s">
        <v>18779</v>
      </c>
      <c r="K3502" t="str">
        <f>HYPERLINK("http://tuberculist.epfl.ch/quicksearch.php?gene+name=Rv3399&amp;submit=Search")</f>
        <v>http://tuberculist.epfl.ch/quicksearch.php?gene+name=Rv3399&amp;submit=Search</v>
      </c>
    </row>
    <row r="3503" spans="1:11">
      <c r="A3503" t="s">
        <v>1604</v>
      </c>
      <c r="B3503" t="s">
        <v>1604</v>
      </c>
      <c r="C3503" t="s">
        <v>9567</v>
      </c>
      <c r="D3503" t="s">
        <v>9682</v>
      </c>
      <c r="E3503" t="s">
        <v>12722</v>
      </c>
      <c r="F3503" t="s">
        <v>17573</v>
      </c>
      <c r="G3503" t="s">
        <v>19195</v>
      </c>
      <c r="H3503" t="s">
        <v>20077</v>
      </c>
      <c r="I3503" t="s">
        <v>18853</v>
      </c>
      <c r="J3503" t="s">
        <v>18775</v>
      </c>
      <c r="K3503" t="str">
        <f>HYPERLINK("http://tuberculist.epfl.ch/quicksearch.php?gene+name=Rv3400&amp;submit=Search")</f>
        <v>http://tuberculist.epfl.ch/quicksearch.php?gene+name=Rv3400&amp;submit=Search</v>
      </c>
    </row>
    <row r="3504" spans="1:11">
      <c r="A3504" t="s">
        <v>1317</v>
      </c>
      <c r="B3504" t="s">
        <v>1317</v>
      </c>
      <c r="C3504" t="s">
        <v>9567</v>
      </c>
      <c r="D3504" t="s">
        <v>17574</v>
      </c>
      <c r="E3504" t="s">
        <v>9665</v>
      </c>
      <c r="F3504" t="s">
        <v>17575</v>
      </c>
      <c r="G3504" t="s">
        <v>19195</v>
      </c>
      <c r="H3504" t="s">
        <v>20078</v>
      </c>
      <c r="I3504" t="s">
        <v>18789</v>
      </c>
      <c r="K3504" t="str">
        <f>HYPERLINK("http://tuberculist.epfl.ch/quicksearch.php?gene+name=Rv3401&amp;submit=Search")</f>
        <v>http://tuberculist.epfl.ch/quicksearch.php?gene+name=Rv3401&amp;submit=Search</v>
      </c>
    </row>
    <row r="3505" spans="1:11">
      <c r="A3505" t="s">
        <v>238</v>
      </c>
      <c r="B3505" t="s">
        <v>238</v>
      </c>
      <c r="C3505" t="s">
        <v>9567</v>
      </c>
      <c r="D3505" t="s">
        <v>17576</v>
      </c>
      <c r="E3505" t="s">
        <v>9579</v>
      </c>
      <c r="F3505" t="s">
        <v>17577</v>
      </c>
      <c r="G3505" t="s">
        <v>19188</v>
      </c>
      <c r="H3505" t="s">
        <v>19475</v>
      </c>
      <c r="I3505" t="s">
        <v>18789</v>
      </c>
      <c r="J3505" t="s">
        <v>18998</v>
      </c>
      <c r="K3505" t="str">
        <f>HYPERLINK("http://tuberculist.epfl.ch/quicksearch.php?gene+name=Rv3402c&amp;submit=Search")</f>
        <v>http://tuberculist.epfl.ch/quicksearch.php?gene+name=Rv3402c&amp;submit=Search</v>
      </c>
    </row>
    <row r="3506" spans="1:11">
      <c r="A3506" t="s">
        <v>273</v>
      </c>
      <c r="B3506" t="s">
        <v>273</v>
      </c>
      <c r="C3506" t="s">
        <v>9567</v>
      </c>
      <c r="D3506" t="s">
        <v>9587</v>
      </c>
      <c r="E3506" t="s">
        <v>9713</v>
      </c>
      <c r="F3506" t="s">
        <v>17578</v>
      </c>
      <c r="G3506" t="s">
        <v>19208</v>
      </c>
      <c r="H3506" t="s">
        <v>19211</v>
      </c>
      <c r="I3506" t="s">
        <v>18789</v>
      </c>
      <c r="J3506" t="s">
        <v>18856</v>
      </c>
      <c r="K3506" t="str">
        <f>HYPERLINK("http://tuberculist.epfl.ch/quicksearch.php?gene+name=Rv3403c&amp;submit=Search")</f>
        <v>http://tuberculist.epfl.ch/quicksearch.php?gene+name=Rv3403c&amp;submit=Search</v>
      </c>
    </row>
    <row r="3507" spans="1:11">
      <c r="A3507" t="s">
        <v>1791</v>
      </c>
      <c r="B3507" t="s">
        <v>1791</v>
      </c>
      <c r="C3507" t="s">
        <v>9567</v>
      </c>
      <c r="D3507" t="s">
        <v>9587</v>
      </c>
      <c r="E3507" t="s">
        <v>9579</v>
      </c>
      <c r="F3507" t="s">
        <v>17579</v>
      </c>
      <c r="G3507" t="s">
        <v>19204</v>
      </c>
      <c r="H3507" t="s">
        <v>19213</v>
      </c>
      <c r="I3507" t="s">
        <v>18813</v>
      </c>
      <c r="K3507" t="str">
        <f>HYPERLINK("http://tuberculist.epfl.ch/quicksearch.php?gene+name=Rv3404c&amp;submit=Search")</f>
        <v>http://tuberculist.epfl.ch/quicksearch.php?gene+name=Rv3404c&amp;submit=Search</v>
      </c>
    </row>
    <row r="3508" spans="1:11">
      <c r="A3508" t="s">
        <v>1719</v>
      </c>
      <c r="B3508" t="s">
        <v>1719</v>
      </c>
      <c r="C3508" t="s">
        <v>9567</v>
      </c>
      <c r="D3508" t="s">
        <v>17580</v>
      </c>
      <c r="E3508" t="s">
        <v>9633</v>
      </c>
      <c r="F3508" t="s">
        <v>17581</v>
      </c>
      <c r="G3508" t="s">
        <v>19197</v>
      </c>
      <c r="I3508" t="s">
        <v>18789</v>
      </c>
      <c r="K3508" t="str">
        <f>HYPERLINK("http://tuberculist.epfl.ch/quicksearch.php?gene+name=Rv3405c&amp;submit=Search")</f>
        <v>http://tuberculist.epfl.ch/quicksearch.php?gene+name=Rv3405c&amp;submit=Search</v>
      </c>
    </row>
    <row r="3509" spans="1:11">
      <c r="A3509" t="s">
        <v>17582</v>
      </c>
      <c r="B3509" t="s">
        <v>17582</v>
      </c>
      <c r="C3509" t="s">
        <v>9567</v>
      </c>
      <c r="D3509" t="s">
        <v>16731</v>
      </c>
      <c r="E3509" t="s">
        <v>11097</v>
      </c>
      <c r="F3509" t="s">
        <v>17583</v>
      </c>
      <c r="G3509" t="s">
        <v>19195</v>
      </c>
      <c r="H3509" t="s">
        <v>19675</v>
      </c>
      <c r="I3509" t="s">
        <v>18789</v>
      </c>
      <c r="K3509" t="str">
        <f>HYPERLINK("http://tuberculist.epfl.ch/quicksearch.php?gene+name=Rv3406&amp;submit=Search")</f>
        <v>http://tuberculist.epfl.ch/quicksearch.php?gene+name=Rv3406&amp;submit=Search</v>
      </c>
    </row>
    <row r="3510" spans="1:11">
      <c r="A3510" t="s">
        <v>17584</v>
      </c>
      <c r="B3510" t="s">
        <v>2095</v>
      </c>
      <c r="C3510" t="s">
        <v>9567</v>
      </c>
      <c r="D3510" t="s">
        <v>9587</v>
      </c>
      <c r="E3510" t="s">
        <v>17585</v>
      </c>
      <c r="F3510" t="s">
        <v>17586</v>
      </c>
      <c r="G3510" t="s">
        <v>19206</v>
      </c>
      <c r="H3510" t="s">
        <v>20079</v>
      </c>
      <c r="I3510" t="s">
        <v>18780</v>
      </c>
      <c r="K3510" t="str">
        <f>HYPERLINK("http://tuberculist.epfl.ch/quicksearch.php?gene+name=Rv3407&amp;submit=Search")</f>
        <v>http://tuberculist.epfl.ch/quicksearch.php?gene+name=Rv3407&amp;submit=Search</v>
      </c>
    </row>
    <row r="3511" spans="1:11">
      <c r="A3511" t="s">
        <v>17587</v>
      </c>
      <c r="B3511" t="s">
        <v>979</v>
      </c>
      <c r="C3511" t="s">
        <v>9567</v>
      </c>
      <c r="D3511" t="s">
        <v>9587</v>
      </c>
      <c r="E3511" t="s">
        <v>17588</v>
      </c>
      <c r="F3511" t="s">
        <v>17589</v>
      </c>
      <c r="G3511" t="s">
        <v>19206</v>
      </c>
      <c r="H3511" t="s">
        <v>19213</v>
      </c>
      <c r="I3511" t="s">
        <v>18789</v>
      </c>
      <c r="K3511" t="str">
        <f>HYPERLINK("http://tuberculist.epfl.ch/quicksearch.php?gene+name=Rv3408&amp;submit=Search")</f>
        <v>http://tuberculist.epfl.ch/quicksearch.php?gene+name=Rv3408&amp;submit=Search</v>
      </c>
    </row>
    <row r="3512" spans="1:11">
      <c r="A3512" t="s">
        <v>9187</v>
      </c>
      <c r="B3512" t="s">
        <v>3318</v>
      </c>
      <c r="C3512" t="s">
        <v>9567</v>
      </c>
      <c r="D3512" t="s">
        <v>17590</v>
      </c>
      <c r="E3512" t="s">
        <v>17591</v>
      </c>
      <c r="F3512" t="s">
        <v>17592</v>
      </c>
      <c r="G3512" t="s">
        <v>19219</v>
      </c>
      <c r="H3512" t="s">
        <v>19819</v>
      </c>
      <c r="I3512" t="s">
        <v>19112</v>
      </c>
      <c r="K3512" t="str">
        <f>HYPERLINK("http://tuberculist.epfl.ch/quicksearch.php?gene+name=Rv3409c&amp;submit=Search")</f>
        <v>http://tuberculist.epfl.ch/quicksearch.php?gene+name=Rv3409c&amp;submit=Search</v>
      </c>
    </row>
    <row r="3513" spans="1:11">
      <c r="A3513" t="s">
        <v>5339</v>
      </c>
      <c r="B3513" t="s">
        <v>1423</v>
      </c>
      <c r="C3513" t="s">
        <v>9567</v>
      </c>
      <c r="D3513" t="s">
        <v>17593</v>
      </c>
      <c r="E3513" t="s">
        <v>17594</v>
      </c>
      <c r="F3513" t="s">
        <v>17595</v>
      </c>
      <c r="G3513" t="s">
        <v>19195</v>
      </c>
      <c r="H3513" t="s">
        <v>19403</v>
      </c>
      <c r="I3513" t="s">
        <v>18776</v>
      </c>
      <c r="K3513" t="str">
        <f>HYPERLINK("http://tuberculist.epfl.ch/quicksearch.php?gene+name=Rv3410c&amp;submit=Search")</f>
        <v>http://tuberculist.epfl.ch/quicksearch.php?gene+name=Rv3410c&amp;submit=Search</v>
      </c>
    </row>
    <row r="3514" spans="1:11">
      <c r="A3514" t="s">
        <v>5326</v>
      </c>
      <c r="B3514" t="s">
        <v>1418</v>
      </c>
      <c r="C3514" t="s">
        <v>9567</v>
      </c>
      <c r="D3514" t="s">
        <v>17593</v>
      </c>
      <c r="E3514" t="s">
        <v>17596</v>
      </c>
      <c r="F3514" t="s">
        <v>17597</v>
      </c>
      <c r="G3514" t="s">
        <v>19195</v>
      </c>
      <c r="H3514" t="s">
        <v>20080</v>
      </c>
      <c r="I3514" t="s">
        <v>18774</v>
      </c>
      <c r="K3514" t="str">
        <f>HYPERLINK("http://tuberculist.epfl.ch/quicksearch.php?gene+name=Rv3411c&amp;submit=Search")</f>
        <v>http://tuberculist.epfl.ch/quicksearch.php?gene+name=Rv3411c&amp;submit=Search</v>
      </c>
    </row>
    <row r="3515" spans="1:11">
      <c r="A3515" t="s">
        <v>1921</v>
      </c>
      <c r="B3515" t="s">
        <v>1921</v>
      </c>
      <c r="C3515" t="s">
        <v>9567</v>
      </c>
      <c r="D3515" t="s">
        <v>9578</v>
      </c>
      <c r="E3515" t="s">
        <v>9579</v>
      </c>
      <c r="F3515" t="s">
        <v>17598</v>
      </c>
      <c r="G3515" t="s">
        <v>19204</v>
      </c>
      <c r="I3515" t="s">
        <v>18780</v>
      </c>
      <c r="K3515" t="str">
        <f>HYPERLINK("http://tuberculist.epfl.ch/quicksearch.php?gene+name=Rv3412&amp;submit=Search")</f>
        <v>http://tuberculist.epfl.ch/quicksearch.php?gene+name=Rv3412&amp;submit=Search</v>
      </c>
    </row>
    <row r="3516" spans="1:11">
      <c r="A3516" t="s">
        <v>2111</v>
      </c>
      <c r="B3516" t="s">
        <v>2111</v>
      </c>
      <c r="C3516" t="s">
        <v>9567</v>
      </c>
      <c r="D3516" t="s">
        <v>9587</v>
      </c>
      <c r="E3516" t="s">
        <v>17599</v>
      </c>
      <c r="F3516" t="s">
        <v>17600</v>
      </c>
      <c r="G3516" t="s">
        <v>19210</v>
      </c>
      <c r="H3516" t="s">
        <v>19366</v>
      </c>
      <c r="I3516" t="s">
        <v>18780</v>
      </c>
      <c r="J3516" t="s">
        <v>18775</v>
      </c>
      <c r="K3516" t="str">
        <f>HYPERLINK("http://tuberculist.epfl.ch/quicksearch.php?gene+name=Rv3413c&amp;submit=Search")</f>
        <v>http://tuberculist.epfl.ch/quicksearch.php?gene+name=Rv3413c&amp;submit=Search</v>
      </c>
    </row>
    <row r="3517" spans="1:11">
      <c r="A3517" t="s">
        <v>8592</v>
      </c>
      <c r="B3517" t="s">
        <v>3037</v>
      </c>
      <c r="C3517" t="s">
        <v>9567</v>
      </c>
      <c r="D3517" t="s">
        <v>10004</v>
      </c>
      <c r="E3517" t="s">
        <v>17601</v>
      </c>
      <c r="F3517" t="s">
        <v>17602</v>
      </c>
      <c r="G3517" t="s">
        <v>19181</v>
      </c>
      <c r="I3517" t="s">
        <v>19113</v>
      </c>
      <c r="J3517" t="s">
        <v>18857</v>
      </c>
      <c r="K3517" t="str">
        <f>HYPERLINK("http://tuberculist.epfl.ch/quicksearch.php?gene+name=Rv3414c&amp;submit=Search")</f>
        <v>http://tuberculist.epfl.ch/quicksearch.php?gene+name=Rv3414c&amp;submit=Search</v>
      </c>
    </row>
    <row r="3518" spans="1:11">
      <c r="A3518" t="s">
        <v>17603</v>
      </c>
      <c r="B3518" t="s">
        <v>17603</v>
      </c>
      <c r="C3518" t="s">
        <v>9567</v>
      </c>
      <c r="D3518" t="s">
        <v>9578</v>
      </c>
      <c r="E3518" t="s">
        <v>9579</v>
      </c>
      <c r="F3518" t="s">
        <v>17604</v>
      </c>
      <c r="G3518" t="s">
        <v>19208</v>
      </c>
      <c r="H3518" t="s">
        <v>19213</v>
      </c>
      <c r="I3518" t="s">
        <v>18779</v>
      </c>
      <c r="K3518" t="str">
        <f>HYPERLINK("http://tuberculist.epfl.ch/quicksearch.php?gene+name=Rv3415c&amp;submit=Search")</f>
        <v>http://tuberculist.epfl.ch/quicksearch.php?gene+name=Rv3415c&amp;submit=Search</v>
      </c>
    </row>
    <row r="3519" spans="1:11">
      <c r="A3519" t="s">
        <v>5072</v>
      </c>
      <c r="B3519" t="s">
        <v>1289</v>
      </c>
      <c r="C3519" t="s">
        <v>9567</v>
      </c>
      <c r="D3519" t="s">
        <v>17605</v>
      </c>
      <c r="E3519" t="s">
        <v>17606</v>
      </c>
      <c r="F3519" t="s">
        <v>17607</v>
      </c>
      <c r="G3519" t="s">
        <v>19197</v>
      </c>
      <c r="I3519" t="s">
        <v>19114</v>
      </c>
      <c r="K3519" t="str">
        <f>HYPERLINK("http://tuberculist.epfl.ch/quicksearch.php?gene+name=Rv3416&amp;submit=Search")</f>
        <v>http://tuberculist.epfl.ch/quicksearch.php?gene+name=Rv3416&amp;submit=Search</v>
      </c>
    </row>
    <row r="3520" spans="1:11">
      <c r="A3520" t="s">
        <v>17608</v>
      </c>
      <c r="B3520" t="s">
        <v>1817</v>
      </c>
      <c r="C3520" t="s">
        <v>9567</v>
      </c>
      <c r="D3520" t="s">
        <v>10583</v>
      </c>
      <c r="E3520" t="s">
        <v>17609</v>
      </c>
      <c r="F3520" t="s">
        <v>17610</v>
      </c>
      <c r="G3520" t="s">
        <v>19206</v>
      </c>
      <c r="H3520" t="s">
        <v>20081</v>
      </c>
      <c r="I3520" t="s">
        <v>18899</v>
      </c>
      <c r="K3520" t="str">
        <f>HYPERLINK("http://tuberculist.epfl.ch/quicksearch.php?gene+name=Rv3417c&amp;submit=Search")</f>
        <v>http://tuberculist.epfl.ch/quicksearch.php?gene+name=Rv3417c&amp;submit=Search</v>
      </c>
    </row>
    <row r="3521" spans="1:11">
      <c r="A3521" t="s">
        <v>6512</v>
      </c>
      <c r="B3521" t="s">
        <v>2005</v>
      </c>
      <c r="C3521" t="s">
        <v>9567</v>
      </c>
      <c r="D3521" t="s">
        <v>17611</v>
      </c>
      <c r="E3521" t="s">
        <v>17612</v>
      </c>
      <c r="F3521" t="s">
        <v>17613</v>
      </c>
      <c r="G3521" t="s">
        <v>19206</v>
      </c>
      <c r="H3521" t="s">
        <v>20082</v>
      </c>
      <c r="I3521" t="s">
        <v>18800</v>
      </c>
      <c r="K3521" t="str">
        <f>HYPERLINK("http://tuberculist.epfl.ch/quicksearch.php?gene+name=Rv3418c&amp;submit=Search")</f>
        <v>http://tuberculist.epfl.ch/quicksearch.php?gene+name=Rv3418c&amp;submit=Search</v>
      </c>
    </row>
    <row r="3522" spans="1:11">
      <c r="A3522" t="s">
        <v>8069</v>
      </c>
      <c r="B3522" t="s">
        <v>2791</v>
      </c>
      <c r="C3522" t="s">
        <v>9567</v>
      </c>
      <c r="D3522" t="s">
        <v>17614</v>
      </c>
      <c r="E3522" t="s">
        <v>17615</v>
      </c>
      <c r="F3522" t="s">
        <v>17616</v>
      </c>
      <c r="G3522" t="s">
        <v>19195</v>
      </c>
      <c r="I3522" t="s">
        <v>18886</v>
      </c>
      <c r="K3522" t="str">
        <f>HYPERLINK("http://tuberculist.epfl.ch/quicksearch.php?gene+name=Rv3419c&amp;submit=Search")</f>
        <v>http://tuberculist.epfl.ch/quicksearch.php?gene+name=Rv3419c&amp;submit=Search</v>
      </c>
    </row>
    <row r="3523" spans="1:11">
      <c r="A3523" t="s">
        <v>4204</v>
      </c>
      <c r="B3523" t="s">
        <v>861</v>
      </c>
      <c r="C3523" t="s">
        <v>9567</v>
      </c>
      <c r="D3523" t="s">
        <v>17617</v>
      </c>
      <c r="E3523" t="s">
        <v>17618</v>
      </c>
      <c r="F3523" t="s">
        <v>17619</v>
      </c>
      <c r="G3523" t="s">
        <v>19181</v>
      </c>
      <c r="H3523" t="s">
        <v>19207</v>
      </c>
      <c r="I3523" t="s">
        <v>18780</v>
      </c>
      <c r="K3523" t="str">
        <f>HYPERLINK("http://tuberculist.epfl.ch/quicksearch.php?gene+name=Rv3420c&amp;submit=Search")</f>
        <v>http://tuberculist.epfl.ch/quicksearch.php?gene+name=Rv3420c&amp;submit=Search</v>
      </c>
    </row>
    <row r="3524" spans="1:11">
      <c r="A3524" t="s">
        <v>2175</v>
      </c>
      <c r="B3524" t="s">
        <v>2175</v>
      </c>
      <c r="C3524" t="s">
        <v>9567</v>
      </c>
      <c r="D3524" t="s">
        <v>9578</v>
      </c>
      <c r="E3524" t="s">
        <v>9579</v>
      </c>
      <c r="F3524" t="s">
        <v>17620</v>
      </c>
      <c r="G3524" t="s">
        <v>19204</v>
      </c>
      <c r="I3524" t="s">
        <v>19115</v>
      </c>
      <c r="K3524" t="str">
        <f>HYPERLINK("http://tuberculist.epfl.ch/quicksearch.php?gene+name=Rv3421c&amp;submit=Search")</f>
        <v>http://tuberculist.epfl.ch/quicksearch.php?gene+name=Rv3421c&amp;submit=Search</v>
      </c>
    </row>
    <row r="3525" spans="1:11">
      <c r="A3525" t="s">
        <v>2046</v>
      </c>
      <c r="B3525" t="s">
        <v>2046</v>
      </c>
      <c r="C3525" t="s">
        <v>9567</v>
      </c>
      <c r="D3525" t="s">
        <v>9578</v>
      </c>
      <c r="E3525" t="s">
        <v>9579</v>
      </c>
      <c r="F3525" t="s">
        <v>17621</v>
      </c>
      <c r="G3525" t="s">
        <v>19204</v>
      </c>
      <c r="I3525" t="s">
        <v>18800</v>
      </c>
      <c r="K3525" t="str">
        <f>HYPERLINK("http://tuberculist.epfl.ch/quicksearch.php?gene+name=Rv3422c&amp;submit=Search")</f>
        <v>http://tuberculist.epfl.ch/quicksearch.php?gene+name=Rv3422c&amp;submit=Search</v>
      </c>
    </row>
    <row r="3526" spans="1:11">
      <c r="A3526" t="s">
        <v>5147</v>
      </c>
      <c r="B3526" t="s">
        <v>1325</v>
      </c>
      <c r="C3526" t="s">
        <v>9567</v>
      </c>
      <c r="D3526" t="s">
        <v>17622</v>
      </c>
      <c r="E3526" t="s">
        <v>17623</v>
      </c>
      <c r="F3526" t="s">
        <v>17624</v>
      </c>
      <c r="G3526" t="s">
        <v>19195</v>
      </c>
      <c r="H3526" t="s">
        <v>19229</v>
      </c>
      <c r="I3526" t="s">
        <v>18774</v>
      </c>
      <c r="K3526" t="str">
        <f>HYPERLINK("http://tuberculist.epfl.ch/quicksearch.php?gene+name=Rv3423c&amp;submit=Search")</f>
        <v>http://tuberculist.epfl.ch/quicksearch.php?gene+name=Rv3423c&amp;submit=Search</v>
      </c>
    </row>
    <row r="3527" spans="1:11">
      <c r="A3527" t="s">
        <v>1315</v>
      </c>
      <c r="B3527" t="s">
        <v>1315</v>
      </c>
      <c r="C3527" t="s">
        <v>9567</v>
      </c>
      <c r="D3527" t="s">
        <v>9587</v>
      </c>
      <c r="E3527" t="s">
        <v>9713</v>
      </c>
      <c r="F3527" t="s">
        <v>17625</v>
      </c>
      <c r="G3527" t="s">
        <v>19212</v>
      </c>
      <c r="I3527" t="s">
        <v>18780</v>
      </c>
      <c r="J3527" t="s">
        <v>18778</v>
      </c>
      <c r="K3527" t="str">
        <f>HYPERLINK("http://tuberculist.epfl.ch/quicksearch.php?gene+name=Rv3424c&amp;submit=Search")</f>
        <v>http://tuberculist.epfl.ch/quicksearch.php?gene+name=Rv3424c&amp;submit=Search</v>
      </c>
    </row>
    <row r="3528" spans="1:11">
      <c r="A3528" t="s">
        <v>7992</v>
      </c>
      <c r="B3528" t="s">
        <v>2753</v>
      </c>
      <c r="C3528" t="s">
        <v>9567</v>
      </c>
      <c r="D3528" t="s">
        <v>9578</v>
      </c>
      <c r="E3528" t="s">
        <v>17626</v>
      </c>
      <c r="F3528" t="s">
        <v>17627</v>
      </c>
      <c r="G3528" t="s">
        <v>19262</v>
      </c>
      <c r="I3528" t="s">
        <v>18780</v>
      </c>
      <c r="J3528" t="s">
        <v>18778</v>
      </c>
      <c r="K3528" t="str">
        <f>HYPERLINK("http://tuberculist.epfl.ch/quicksearch.php?gene+name=Rv3425&amp;submit=Search")</f>
        <v>http://tuberculist.epfl.ch/quicksearch.php?gene+name=Rv3425&amp;submit=Search</v>
      </c>
    </row>
    <row r="3529" spans="1:11">
      <c r="A3529" t="s">
        <v>17628</v>
      </c>
      <c r="B3529" t="s">
        <v>17629</v>
      </c>
      <c r="C3529" t="s">
        <v>9567</v>
      </c>
      <c r="D3529" t="s">
        <v>9578</v>
      </c>
      <c r="E3529" t="s">
        <v>17630</v>
      </c>
      <c r="F3529" t="s">
        <v>17631</v>
      </c>
      <c r="G3529" t="s">
        <v>19262</v>
      </c>
      <c r="H3529" t="s">
        <v>19207</v>
      </c>
      <c r="I3529" t="s">
        <v>18773</v>
      </c>
      <c r="K3529" t="str">
        <f>HYPERLINK("http://tuberculist.epfl.ch/quicksearch.php?gene+name=Rv3426&amp;submit=Search")</f>
        <v>http://tuberculist.epfl.ch/quicksearch.php?gene+name=Rv3426&amp;submit=Search</v>
      </c>
    </row>
    <row r="3530" spans="1:11">
      <c r="A3530" t="s">
        <v>17632</v>
      </c>
      <c r="B3530" t="s">
        <v>17632</v>
      </c>
      <c r="C3530" t="s">
        <v>9567</v>
      </c>
      <c r="D3530" t="s">
        <v>17633</v>
      </c>
      <c r="E3530" t="s">
        <v>11734</v>
      </c>
      <c r="F3530" t="s">
        <v>17634</v>
      </c>
      <c r="G3530" t="s">
        <v>19217</v>
      </c>
      <c r="H3530" t="s">
        <v>19207</v>
      </c>
      <c r="I3530" t="s">
        <v>18801</v>
      </c>
      <c r="K3530" t="str">
        <f>HYPERLINK("http://tuberculist.epfl.ch/quicksearch.php?gene+name=Rv3427c&amp;submit=Search")</f>
        <v>http://tuberculist.epfl.ch/quicksearch.php?gene+name=Rv3427c&amp;submit=Search</v>
      </c>
    </row>
    <row r="3531" spans="1:11">
      <c r="A3531" t="s">
        <v>17635</v>
      </c>
      <c r="B3531" t="s">
        <v>17635</v>
      </c>
      <c r="C3531" t="s">
        <v>9567</v>
      </c>
      <c r="D3531" t="s">
        <v>17633</v>
      </c>
      <c r="E3531" t="s">
        <v>11734</v>
      </c>
      <c r="F3531" t="s">
        <v>17636</v>
      </c>
      <c r="G3531" t="s">
        <v>19217</v>
      </c>
      <c r="H3531" t="s">
        <v>19539</v>
      </c>
      <c r="I3531" t="s">
        <v>18773</v>
      </c>
      <c r="K3531" t="str">
        <f>HYPERLINK("http://tuberculist.epfl.ch/quicksearch.php?gene+name=Rv3428c&amp;submit=Search")</f>
        <v>http://tuberculist.epfl.ch/quicksearch.php?gene+name=Rv3428c&amp;submit=Search</v>
      </c>
    </row>
    <row r="3532" spans="1:11">
      <c r="A3532" t="s">
        <v>17637</v>
      </c>
      <c r="B3532" t="s">
        <v>17638</v>
      </c>
      <c r="C3532" t="s">
        <v>9567</v>
      </c>
      <c r="D3532" t="s">
        <v>9578</v>
      </c>
      <c r="E3532" t="s">
        <v>17639</v>
      </c>
      <c r="F3532" t="s">
        <v>17640</v>
      </c>
      <c r="G3532" t="s">
        <v>19262</v>
      </c>
      <c r="I3532" t="s">
        <v>18789</v>
      </c>
      <c r="J3532" t="s">
        <v>18778</v>
      </c>
      <c r="K3532" t="str">
        <f>HYPERLINK("http://tuberculist.epfl.ch/quicksearch.php?gene+name=Rv3429&amp;submit=Search")</f>
        <v>http://tuberculist.epfl.ch/quicksearch.php?gene+name=Rv3429&amp;submit=Search</v>
      </c>
    </row>
    <row r="3533" spans="1:11">
      <c r="A3533" t="s">
        <v>2500</v>
      </c>
      <c r="B3533" t="s">
        <v>2500</v>
      </c>
      <c r="C3533" t="s">
        <v>9567</v>
      </c>
      <c r="D3533" t="s">
        <v>17641</v>
      </c>
      <c r="E3533" t="s">
        <v>11734</v>
      </c>
      <c r="F3533" t="s">
        <v>17642</v>
      </c>
      <c r="G3533" t="s">
        <v>19217</v>
      </c>
      <c r="H3533" t="s">
        <v>19205</v>
      </c>
      <c r="I3533" t="s">
        <v>18780</v>
      </c>
      <c r="K3533" t="str">
        <f>HYPERLINK("http://tuberculist.epfl.ch/quicksearch.php?gene+name=Rv3430c&amp;submit=Search")</f>
        <v>http://tuberculist.epfl.ch/quicksearch.php?gene+name=Rv3430c&amp;submit=Search</v>
      </c>
    </row>
    <row r="3534" spans="1:11">
      <c r="A3534" t="s">
        <v>17643</v>
      </c>
      <c r="B3534" t="s">
        <v>17643</v>
      </c>
      <c r="C3534" t="s">
        <v>9567</v>
      </c>
      <c r="D3534" t="s">
        <v>17644</v>
      </c>
      <c r="E3534" t="s">
        <v>10967</v>
      </c>
      <c r="F3534" t="s">
        <v>17645</v>
      </c>
      <c r="G3534" t="s">
        <v>19217</v>
      </c>
      <c r="I3534" t="s">
        <v>18780</v>
      </c>
      <c r="K3534" t="str">
        <f>HYPERLINK("http://tuberculist.epfl.ch/quicksearch.php?gene+name=Rv3431c&amp;submit=Search")</f>
        <v>http://tuberculist.epfl.ch/quicksearch.php?gene+name=Rv3431c&amp;submit=Search</v>
      </c>
    </row>
    <row r="3535" spans="1:11">
      <c r="A3535" t="s">
        <v>6759</v>
      </c>
      <c r="B3535" t="s">
        <v>2141</v>
      </c>
      <c r="C3535" t="s">
        <v>9567</v>
      </c>
      <c r="D3535" t="s">
        <v>17646</v>
      </c>
      <c r="E3535" t="s">
        <v>17647</v>
      </c>
      <c r="F3535" t="s">
        <v>17648</v>
      </c>
      <c r="G3535" t="s">
        <v>19195</v>
      </c>
      <c r="H3535" t="s">
        <v>19233</v>
      </c>
      <c r="I3535" t="s">
        <v>18780</v>
      </c>
      <c r="J3535" t="s">
        <v>18775</v>
      </c>
      <c r="K3535" t="str">
        <f>HYPERLINK("http://tuberculist.epfl.ch/quicksearch.php?gene+name=Rv3432c&amp;submit=Search")</f>
        <v>http://tuberculist.epfl.ch/quicksearch.php?gene+name=Rv3432c&amp;submit=Search</v>
      </c>
    </row>
    <row r="3536" spans="1:11">
      <c r="A3536" t="s">
        <v>17649</v>
      </c>
      <c r="B3536" t="s">
        <v>17649</v>
      </c>
      <c r="C3536" t="s">
        <v>9567</v>
      </c>
      <c r="D3536" t="s">
        <v>9578</v>
      </c>
      <c r="E3536" t="s">
        <v>9665</v>
      </c>
      <c r="F3536" t="s">
        <v>17650</v>
      </c>
      <c r="G3536" t="s">
        <v>19204</v>
      </c>
      <c r="H3536" t="s">
        <v>20083</v>
      </c>
      <c r="I3536" t="s">
        <v>18779</v>
      </c>
      <c r="K3536" t="str">
        <f>HYPERLINK("http://tuberculist.epfl.ch/quicksearch.php?gene+name=Rv3433c&amp;submit=Search")</f>
        <v>http://tuberculist.epfl.ch/quicksearch.php?gene+name=Rv3433c&amp;submit=Search</v>
      </c>
    </row>
    <row r="3537" spans="1:11">
      <c r="A3537" t="s">
        <v>1582</v>
      </c>
      <c r="B3537" t="s">
        <v>1582</v>
      </c>
      <c r="C3537" t="s">
        <v>9567</v>
      </c>
      <c r="D3537" t="s">
        <v>9587</v>
      </c>
      <c r="E3537" t="s">
        <v>9671</v>
      </c>
      <c r="F3537" t="s">
        <v>17651</v>
      </c>
      <c r="G3537" t="s">
        <v>19188</v>
      </c>
      <c r="I3537" t="s">
        <v>18789</v>
      </c>
      <c r="K3537" t="str">
        <f>HYPERLINK("http://tuberculist.epfl.ch/quicksearch.php?gene+name=Rv3434c&amp;submit=Search")</f>
        <v>http://tuberculist.epfl.ch/quicksearch.php?gene+name=Rv3434c&amp;submit=Search</v>
      </c>
    </row>
    <row r="3538" spans="1:11">
      <c r="A3538" t="s">
        <v>2837</v>
      </c>
      <c r="B3538" t="s">
        <v>2837</v>
      </c>
      <c r="C3538" t="s">
        <v>9567</v>
      </c>
      <c r="D3538" t="s">
        <v>9587</v>
      </c>
      <c r="E3538" t="s">
        <v>9597</v>
      </c>
      <c r="F3538" t="s">
        <v>17652</v>
      </c>
      <c r="G3538" t="s">
        <v>19188</v>
      </c>
      <c r="H3538" t="s">
        <v>19305</v>
      </c>
      <c r="I3538" t="s">
        <v>18789</v>
      </c>
      <c r="K3538" t="str">
        <f>HYPERLINK("http://tuberculist.epfl.ch/quicksearch.php?gene+name=Rv3435c&amp;submit=Search")</f>
        <v>http://tuberculist.epfl.ch/quicksearch.php?gene+name=Rv3435c&amp;submit=Search</v>
      </c>
    </row>
    <row r="3539" spans="1:11">
      <c r="A3539" t="s">
        <v>4488</v>
      </c>
      <c r="B3539" t="s">
        <v>1007</v>
      </c>
      <c r="C3539" t="s">
        <v>9567</v>
      </c>
      <c r="D3539" t="s">
        <v>17653</v>
      </c>
      <c r="E3539" t="s">
        <v>17654</v>
      </c>
      <c r="F3539" t="s">
        <v>17655</v>
      </c>
      <c r="G3539" t="s">
        <v>19195</v>
      </c>
      <c r="H3539" t="s">
        <v>20084</v>
      </c>
      <c r="I3539" t="s">
        <v>18774</v>
      </c>
      <c r="K3539" t="str">
        <f>HYPERLINK("http://tuberculist.epfl.ch/quicksearch.php?gene+name=Rv3436c&amp;submit=Search")</f>
        <v>http://tuberculist.epfl.ch/quicksearch.php?gene+name=Rv3436c&amp;submit=Search</v>
      </c>
    </row>
    <row r="3540" spans="1:11">
      <c r="A3540" t="s">
        <v>497</v>
      </c>
      <c r="B3540" t="s">
        <v>497</v>
      </c>
      <c r="C3540" t="s">
        <v>9567</v>
      </c>
      <c r="D3540" t="s">
        <v>9587</v>
      </c>
      <c r="E3540" t="s">
        <v>9671</v>
      </c>
      <c r="F3540" t="s">
        <v>17656</v>
      </c>
      <c r="G3540" t="s">
        <v>19188</v>
      </c>
      <c r="H3540" t="s">
        <v>19865</v>
      </c>
      <c r="I3540" t="s">
        <v>18780</v>
      </c>
      <c r="K3540" t="str">
        <f>HYPERLINK("http://tuberculist.epfl.ch/quicksearch.php?gene+name=Rv3437&amp;submit=Search")</f>
        <v>http://tuberculist.epfl.ch/quicksearch.php?gene+name=Rv3437&amp;submit=Search</v>
      </c>
    </row>
    <row r="3541" spans="1:11">
      <c r="A3541" t="s">
        <v>2401</v>
      </c>
      <c r="B3541" t="s">
        <v>2401</v>
      </c>
      <c r="C3541" t="s">
        <v>9567</v>
      </c>
      <c r="D3541" t="s">
        <v>9578</v>
      </c>
      <c r="E3541" t="s">
        <v>9665</v>
      </c>
      <c r="F3541" t="s">
        <v>17657</v>
      </c>
      <c r="G3541" t="s">
        <v>19204</v>
      </c>
      <c r="H3541" t="s">
        <v>19225</v>
      </c>
      <c r="I3541" t="s">
        <v>18773</v>
      </c>
      <c r="K3541" t="str">
        <f>HYPERLINK("http://tuberculist.epfl.ch/quicksearch.php?gene+name=Rv3438&amp;submit=Search")</f>
        <v>http://tuberculist.epfl.ch/quicksearch.php?gene+name=Rv3438&amp;submit=Search</v>
      </c>
    </row>
    <row r="3542" spans="1:11">
      <c r="A3542" t="s">
        <v>3143</v>
      </c>
      <c r="B3542" t="s">
        <v>3143</v>
      </c>
      <c r="C3542" t="s">
        <v>9567</v>
      </c>
      <c r="D3542" t="s">
        <v>9578</v>
      </c>
      <c r="E3542" t="s">
        <v>17658</v>
      </c>
      <c r="F3542" t="s">
        <v>17659</v>
      </c>
      <c r="G3542" t="s">
        <v>19210</v>
      </c>
      <c r="H3542" t="s">
        <v>19214</v>
      </c>
      <c r="I3542" t="s">
        <v>18780</v>
      </c>
      <c r="K3542" t="str">
        <f>HYPERLINK("http://tuberculist.epfl.ch/quicksearch.php?gene+name=Rv3439c&amp;submit=Search")</f>
        <v>http://tuberculist.epfl.ch/quicksearch.php?gene+name=Rv3439c&amp;submit=Search</v>
      </c>
    </row>
    <row r="3543" spans="1:11">
      <c r="A3543" t="s">
        <v>862</v>
      </c>
      <c r="B3543" t="s">
        <v>862</v>
      </c>
      <c r="C3543" t="s">
        <v>9567</v>
      </c>
      <c r="D3543" t="s">
        <v>9587</v>
      </c>
      <c r="E3543" t="s">
        <v>9713</v>
      </c>
      <c r="F3543" t="s">
        <v>17660</v>
      </c>
      <c r="G3543" t="s">
        <v>19212</v>
      </c>
      <c r="I3543" t="s">
        <v>18792</v>
      </c>
      <c r="K3543" t="str">
        <f>HYPERLINK("http://tuberculist.epfl.ch/quicksearch.php?gene+name=Rv3440c&amp;submit=Search")</f>
        <v>http://tuberculist.epfl.ch/quicksearch.php?gene+name=Rv3440c&amp;submit=Search</v>
      </c>
    </row>
    <row r="3544" spans="1:11">
      <c r="A3544" t="s">
        <v>17661</v>
      </c>
      <c r="B3544" t="s">
        <v>883</v>
      </c>
      <c r="C3544" t="s">
        <v>9567</v>
      </c>
      <c r="D3544" t="s">
        <v>16731</v>
      </c>
      <c r="E3544" t="s">
        <v>17662</v>
      </c>
      <c r="F3544" t="s">
        <v>17663</v>
      </c>
      <c r="G3544" t="s">
        <v>19195</v>
      </c>
      <c r="H3544" t="s">
        <v>19214</v>
      </c>
      <c r="I3544" t="s">
        <v>18774</v>
      </c>
      <c r="J3544" t="s">
        <v>18775</v>
      </c>
      <c r="K3544" t="str">
        <f>HYPERLINK("http://tuberculist.epfl.ch/quicksearch.php?gene+name=Rv3441c&amp;submit=Search")</f>
        <v>http://tuberculist.epfl.ch/quicksearch.php?gene+name=Rv3441c&amp;submit=Search</v>
      </c>
    </row>
    <row r="3545" spans="1:11">
      <c r="A3545" t="s">
        <v>5780</v>
      </c>
      <c r="B3545" t="s">
        <v>1648</v>
      </c>
      <c r="C3545" t="s">
        <v>9567</v>
      </c>
      <c r="D3545" t="s">
        <v>17664</v>
      </c>
      <c r="E3545" t="s">
        <v>17665</v>
      </c>
      <c r="F3545" t="s">
        <v>17666</v>
      </c>
      <c r="G3545" t="s">
        <v>19181</v>
      </c>
      <c r="H3545" t="s">
        <v>20085</v>
      </c>
      <c r="I3545" t="s">
        <v>18776</v>
      </c>
      <c r="K3545" t="str">
        <f>HYPERLINK("http://tuberculist.epfl.ch/quicksearch.php?gene+name=Rv3442c&amp;submit=Search")</f>
        <v>http://tuberculist.epfl.ch/quicksearch.php?gene+name=Rv3442c&amp;submit=Search</v>
      </c>
    </row>
    <row r="3546" spans="1:11">
      <c r="A3546" t="s">
        <v>6929</v>
      </c>
      <c r="B3546" t="s">
        <v>2230</v>
      </c>
      <c r="C3546" t="s">
        <v>9567</v>
      </c>
      <c r="D3546" t="s">
        <v>17667</v>
      </c>
      <c r="E3546" t="s">
        <v>17668</v>
      </c>
      <c r="F3546" t="s">
        <v>17669</v>
      </c>
      <c r="G3546" t="s">
        <v>19181</v>
      </c>
      <c r="H3546" t="s">
        <v>20086</v>
      </c>
      <c r="I3546" t="s">
        <v>18774</v>
      </c>
      <c r="J3546" t="s">
        <v>18775</v>
      </c>
      <c r="K3546" t="str">
        <f>HYPERLINK("http://tuberculist.epfl.ch/quicksearch.php?gene+name=Rv3443c&amp;submit=Search")</f>
        <v>http://tuberculist.epfl.ch/quicksearch.php?gene+name=Rv3443c&amp;submit=Search</v>
      </c>
    </row>
    <row r="3547" spans="1:11">
      <c r="A3547" t="s">
        <v>8768</v>
      </c>
      <c r="B3547" t="s">
        <v>3124</v>
      </c>
      <c r="C3547" t="s">
        <v>9567</v>
      </c>
      <c r="D3547" t="s">
        <v>9578</v>
      </c>
      <c r="E3547" t="s">
        <v>17670</v>
      </c>
      <c r="F3547" t="s">
        <v>17671</v>
      </c>
      <c r="G3547" t="s">
        <v>19188</v>
      </c>
      <c r="I3547" t="s">
        <v>18780</v>
      </c>
      <c r="K3547" t="str">
        <f>HYPERLINK("http://tuberculist.epfl.ch/quicksearch.php?gene+name=Rv3444c&amp;submit=Search")</f>
        <v>http://tuberculist.epfl.ch/quicksearch.php?gene+name=Rv3444c&amp;submit=Search</v>
      </c>
    </row>
    <row r="3548" spans="1:11">
      <c r="A3548" t="s">
        <v>17672</v>
      </c>
      <c r="B3548" t="s">
        <v>17673</v>
      </c>
      <c r="C3548" t="s">
        <v>9567</v>
      </c>
      <c r="D3548" t="s">
        <v>9587</v>
      </c>
      <c r="E3548" t="s">
        <v>17674</v>
      </c>
      <c r="F3548" t="s">
        <v>17675</v>
      </c>
      <c r="G3548" t="s">
        <v>19188</v>
      </c>
      <c r="I3548" t="s">
        <v>18789</v>
      </c>
      <c r="K3548" t="str">
        <f>HYPERLINK("http://tuberculist.epfl.ch/quicksearch.php?gene+name=Rv3445c&amp;submit=Search")</f>
        <v>http://tuberculist.epfl.ch/quicksearch.php?gene+name=Rv3445c&amp;submit=Search</v>
      </c>
    </row>
    <row r="3549" spans="1:11">
      <c r="A3549" t="s">
        <v>17676</v>
      </c>
      <c r="B3549" t="s">
        <v>17676</v>
      </c>
      <c r="C3549" t="s">
        <v>9567</v>
      </c>
      <c r="D3549" t="s">
        <v>9587</v>
      </c>
      <c r="E3549" t="s">
        <v>17677</v>
      </c>
      <c r="F3549" t="s">
        <v>17678</v>
      </c>
      <c r="G3549" t="s">
        <v>19212</v>
      </c>
      <c r="I3549" t="s">
        <v>18780</v>
      </c>
      <c r="K3549" t="str">
        <f>HYPERLINK("http://tuberculist.epfl.ch/quicksearch.php?gene+name=Rv3446c&amp;submit=Search")</f>
        <v>http://tuberculist.epfl.ch/quicksearch.php?gene+name=Rv3446c&amp;submit=Search</v>
      </c>
    </row>
    <row r="3550" spans="1:11">
      <c r="A3550" t="s">
        <v>17679</v>
      </c>
      <c r="B3550" t="s">
        <v>3236</v>
      </c>
      <c r="C3550" t="s">
        <v>9567</v>
      </c>
      <c r="D3550" t="s">
        <v>17680</v>
      </c>
      <c r="E3550" t="s">
        <v>17681</v>
      </c>
      <c r="F3550" t="s">
        <v>17682</v>
      </c>
      <c r="G3550" t="s">
        <v>19188</v>
      </c>
      <c r="H3550" t="s">
        <v>19674</v>
      </c>
      <c r="I3550" t="s">
        <v>18792</v>
      </c>
      <c r="K3550" t="str">
        <f>HYPERLINK("http://tuberculist.epfl.ch/quicksearch.php?gene+name=Rv3447c&amp;submit=Search")</f>
        <v>http://tuberculist.epfl.ch/quicksearch.php?gene+name=Rv3447c&amp;submit=Search</v>
      </c>
    </row>
    <row r="3551" spans="1:11">
      <c r="A3551" t="s">
        <v>17683</v>
      </c>
      <c r="B3551" t="s">
        <v>961</v>
      </c>
      <c r="C3551" t="s">
        <v>9567</v>
      </c>
      <c r="D3551" t="s">
        <v>17684</v>
      </c>
      <c r="E3551" t="s">
        <v>17685</v>
      </c>
      <c r="F3551" t="s">
        <v>17686</v>
      </c>
      <c r="G3551" t="s">
        <v>19188</v>
      </c>
      <c r="I3551" t="s">
        <v>18821</v>
      </c>
      <c r="K3551" t="str">
        <f>HYPERLINK("http://tuberculist.epfl.ch/quicksearch.php?gene+name=Rv3448&amp;submit=Search")</f>
        <v>http://tuberculist.epfl.ch/quicksearch.php?gene+name=Rv3448&amp;submit=Search</v>
      </c>
    </row>
    <row r="3552" spans="1:11">
      <c r="A3552" t="s">
        <v>17687</v>
      </c>
      <c r="B3552" t="s">
        <v>1679</v>
      </c>
      <c r="C3552" t="s">
        <v>9567</v>
      </c>
      <c r="D3552" t="s">
        <v>10250</v>
      </c>
      <c r="E3552" t="s">
        <v>17688</v>
      </c>
      <c r="F3552" t="s">
        <v>17689</v>
      </c>
      <c r="G3552" t="s">
        <v>19195</v>
      </c>
      <c r="H3552" t="s">
        <v>19236</v>
      </c>
      <c r="I3552" t="s">
        <v>18780</v>
      </c>
      <c r="K3552" t="str">
        <f>HYPERLINK("http://tuberculist.epfl.ch/quicksearch.php?gene+name=Rv3449&amp;submit=Search")</f>
        <v>http://tuberculist.epfl.ch/quicksearch.php?gene+name=Rv3449&amp;submit=Search</v>
      </c>
    </row>
    <row r="3553" spans="1:11">
      <c r="A3553" t="s">
        <v>17690</v>
      </c>
      <c r="B3553" t="s">
        <v>541</v>
      </c>
      <c r="C3553" t="s">
        <v>9567</v>
      </c>
      <c r="D3553" t="s">
        <v>9587</v>
      </c>
      <c r="E3553" t="s">
        <v>17691</v>
      </c>
      <c r="F3553" t="s">
        <v>17692</v>
      </c>
      <c r="G3553" t="s">
        <v>19188</v>
      </c>
      <c r="I3553" t="s">
        <v>18780</v>
      </c>
      <c r="K3553" t="str">
        <f>HYPERLINK("http://tuberculist.epfl.ch/quicksearch.php?gene+name=Rv3450c&amp;submit=Search")</f>
        <v>http://tuberculist.epfl.ch/quicksearch.php?gene+name=Rv3450c&amp;submit=Search</v>
      </c>
    </row>
    <row r="3554" spans="1:11">
      <c r="A3554" t="s">
        <v>6841</v>
      </c>
      <c r="B3554" t="s">
        <v>2183</v>
      </c>
      <c r="C3554" t="s">
        <v>9567</v>
      </c>
      <c r="D3554" t="s">
        <v>14947</v>
      </c>
      <c r="E3554" t="s">
        <v>17693</v>
      </c>
      <c r="F3554" t="s">
        <v>17694</v>
      </c>
      <c r="G3554" t="s">
        <v>19188</v>
      </c>
      <c r="H3554" t="s">
        <v>19345</v>
      </c>
      <c r="I3554" t="s">
        <v>18789</v>
      </c>
      <c r="K3554" t="str">
        <f>HYPERLINK("http://tuberculist.epfl.ch/quicksearch.php?gene+name=Rv3451&amp;submit=Search")</f>
        <v>http://tuberculist.epfl.ch/quicksearch.php?gene+name=Rv3451&amp;submit=Search</v>
      </c>
    </row>
    <row r="3555" spans="1:11">
      <c r="A3555" t="s">
        <v>4422</v>
      </c>
      <c r="B3555" t="s">
        <v>980</v>
      </c>
      <c r="C3555" t="s">
        <v>9567</v>
      </c>
      <c r="D3555" t="s">
        <v>17695</v>
      </c>
      <c r="E3555" t="s">
        <v>17696</v>
      </c>
      <c r="F3555" t="s">
        <v>17697</v>
      </c>
      <c r="G3555" t="s">
        <v>19188</v>
      </c>
      <c r="I3555" t="s">
        <v>18780</v>
      </c>
      <c r="K3555" t="str">
        <f>HYPERLINK("http://tuberculist.epfl.ch/quicksearch.php?gene+name=Rv3452&amp;submit=Search")</f>
        <v>http://tuberculist.epfl.ch/quicksearch.php?gene+name=Rv3452&amp;submit=Search</v>
      </c>
    </row>
    <row r="3556" spans="1:11">
      <c r="A3556" t="s">
        <v>17698</v>
      </c>
      <c r="B3556" t="s">
        <v>17698</v>
      </c>
      <c r="C3556" t="s">
        <v>9567</v>
      </c>
      <c r="D3556" t="s">
        <v>9587</v>
      </c>
      <c r="E3556" t="s">
        <v>9671</v>
      </c>
      <c r="F3556" t="s">
        <v>17699</v>
      </c>
      <c r="G3556" t="s">
        <v>19188</v>
      </c>
      <c r="I3556" t="s">
        <v>18780</v>
      </c>
      <c r="K3556" t="str">
        <f>HYPERLINK("http://tuberculist.epfl.ch/quicksearch.php?gene+name=Rv3453&amp;submit=Search")</f>
        <v>http://tuberculist.epfl.ch/quicksearch.php?gene+name=Rv3453&amp;submit=Search</v>
      </c>
    </row>
    <row r="3557" spans="1:11">
      <c r="A3557" t="s">
        <v>1798</v>
      </c>
      <c r="B3557" t="s">
        <v>1798</v>
      </c>
      <c r="C3557" t="s">
        <v>9567</v>
      </c>
      <c r="D3557" t="s">
        <v>9587</v>
      </c>
      <c r="E3557" t="s">
        <v>9668</v>
      </c>
      <c r="F3557" t="s">
        <v>17700</v>
      </c>
      <c r="G3557" t="s">
        <v>19188</v>
      </c>
      <c r="I3557" t="s">
        <v>18789</v>
      </c>
      <c r="K3557" t="str">
        <f>HYPERLINK("http://tuberculist.epfl.ch/quicksearch.php?gene+name=Rv3454&amp;submit=Search")</f>
        <v>http://tuberculist.epfl.ch/quicksearch.php?gene+name=Rv3454&amp;submit=Search</v>
      </c>
    </row>
    <row r="3558" spans="1:11">
      <c r="A3558" t="s">
        <v>4539</v>
      </c>
      <c r="B3558" t="s">
        <v>1030</v>
      </c>
      <c r="C3558" t="s">
        <v>9567</v>
      </c>
      <c r="D3558" t="s">
        <v>17701</v>
      </c>
      <c r="E3558" t="s">
        <v>17702</v>
      </c>
      <c r="F3558" t="s">
        <v>17703</v>
      </c>
      <c r="G3558" t="s">
        <v>19181</v>
      </c>
      <c r="H3558" t="s">
        <v>19417</v>
      </c>
      <c r="I3558" t="s">
        <v>18774</v>
      </c>
      <c r="K3558" t="str">
        <f>HYPERLINK("http://tuberculist.epfl.ch/quicksearch.php?gene+name=Rv3455c&amp;submit=Search")</f>
        <v>http://tuberculist.epfl.ch/quicksearch.php?gene+name=Rv3455c&amp;submit=Search</v>
      </c>
    </row>
    <row r="3559" spans="1:11">
      <c r="A3559" t="s">
        <v>4709</v>
      </c>
      <c r="B3559" t="s">
        <v>1113</v>
      </c>
      <c r="C3559" t="s">
        <v>9567</v>
      </c>
      <c r="D3559" t="s">
        <v>11861</v>
      </c>
      <c r="E3559" t="s">
        <v>17704</v>
      </c>
      <c r="F3559" t="s">
        <v>17705</v>
      </c>
      <c r="G3559" t="s">
        <v>19181</v>
      </c>
      <c r="H3559" t="s">
        <v>19499</v>
      </c>
      <c r="I3559" t="s">
        <v>18776</v>
      </c>
      <c r="J3559" t="s">
        <v>18775</v>
      </c>
      <c r="K3559" t="str">
        <f>HYPERLINK("http://tuberculist.epfl.ch/quicksearch.php?gene+name=Rv3456c&amp;submit=Search")</f>
        <v>http://tuberculist.epfl.ch/quicksearch.php?gene+name=Rv3456c&amp;submit=Search</v>
      </c>
    </row>
    <row r="3560" spans="1:11">
      <c r="A3560" t="s">
        <v>5330</v>
      </c>
      <c r="B3560" t="s">
        <v>1420</v>
      </c>
      <c r="C3560" t="s">
        <v>9567</v>
      </c>
      <c r="D3560" t="s">
        <v>17706</v>
      </c>
      <c r="E3560" t="s">
        <v>17707</v>
      </c>
      <c r="F3560" t="s">
        <v>17708</v>
      </c>
      <c r="G3560" t="s">
        <v>19181</v>
      </c>
      <c r="H3560" t="s">
        <v>20087</v>
      </c>
      <c r="I3560" t="s">
        <v>18774</v>
      </c>
      <c r="J3560" t="s">
        <v>18775</v>
      </c>
      <c r="K3560" t="str">
        <f>HYPERLINK("http://tuberculist.epfl.ch/quicksearch.php?gene+name=Rv3457c&amp;submit=Search")</f>
        <v>http://tuberculist.epfl.ch/quicksearch.php?gene+name=Rv3457c&amp;submit=Search</v>
      </c>
    </row>
    <row r="3561" spans="1:11">
      <c r="A3561" t="s">
        <v>7010</v>
      </c>
      <c r="B3561" t="s">
        <v>2263</v>
      </c>
      <c r="C3561" t="s">
        <v>9567</v>
      </c>
      <c r="D3561" t="s">
        <v>17709</v>
      </c>
      <c r="E3561" t="s">
        <v>17710</v>
      </c>
      <c r="F3561" t="s">
        <v>17711</v>
      </c>
      <c r="G3561" t="s">
        <v>19181</v>
      </c>
      <c r="H3561" t="s">
        <v>19479</v>
      </c>
      <c r="I3561" t="s">
        <v>18774</v>
      </c>
      <c r="J3561" t="s">
        <v>18775</v>
      </c>
      <c r="K3561" t="str">
        <f>HYPERLINK("http://tuberculist.epfl.ch/quicksearch.php?gene+name=Rv3458c&amp;submit=Search")</f>
        <v>http://tuberculist.epfl.ch/quicksearch.php?gene+name=Rv3458c&amp;submit=Search</v>
      </c>
    </row>
    <row r="3562" spans="1:11">
      <c r="A3562" t="s">
        <v>6652</v>
      </c>
      <c r="B3562" t="s">
        <v>2087</v>
      </c>
      <c r="C3562" t="s">
        <v>9567</v>
      </c>
      <c r="D3562" t="s">
        <v>17712</v>
      </c>
      <c r="E3562" t="s">
        <v>17713</v>
      </c>
      <c r="F3562" t="s">
        <v>17714</v>
      </c>
      <c r="G3562" t="s">
        <v>19181</v>
      </c>
      <c r="H3562" t="s">
        <v>19401</v>
      </c>
      <c r="I3562" t="s">
        <v>18800</v>
      </c>
      <c r="J3562" t="s">
        <v>18775</v>
      </c>
      <c r="K3562" t="str">
        <f>HYPERLINK("http://tuberculist.epfl.ch/quicksearch.php?gene+name=Rv3459c&amp;submit=Search")</f>
        <v>http://tuberculist.epfl.ch/quicksearch.php?gene+name=Rv3459c&amp;submit=Search</v>
      </c>
    </row>
    <row r="3563" spans="1:11">
      <c r="A3563" t="s">
        <v>5522</v>
      </c>
      <c r="B3563" t="s">
        <v>1525</v>
      </c>
      <c r="C3563" t="s">
        <v>9567</v>
      </c>
      <c r="D3563" t="s">
        <v>17715</v>
      </c>
      <c r="E3563" t="s">
        <v>17716</v>
      </c>
      <c r="F3563" t="s">
        <v>17717</v>
      </c>
      <c r="G3563" t="s">
        <v>19181</v>
      </c>
      <c r="H3563" t="s">
        <v>19491</v>
      </c>
      <c r="I3563" t="s">
        <v>18776</v>
      </c>
      <c r="J3563" t="s">
        <v>18775</v>
      </c>
      <c r="K3563" t="str">
        <f>HYPERLINK("http://tuberculist.epfl.ch/quicksearch.php?gene+name=Rv3460c&amp;submit=Search")</f>
        <v>http://tuberculist.epfl.ch/quicksearch.php?gene+name=Rv3460c&amp;submit=Search</v>
      </c>
    </row>
    <row r="3564" spans="1:11">
      <c r="A3564" t="s">
        <v>17718</v>
      </c>
      <c r="B3564" t="s">
        <v>17719</v>
      </c>
      <c r="C3564" t="s">
        <v>9567</v>
      </c>
      <c r="D3564" t="s">
        <v>11861</v>
      </c>
      <c r="E3564" t="s">
        <v>17720</v>
      </c>
      <c r="F3564" t="s">
        <v>17721</v>
      </c>
      <c r="G3564" t="s">
        <v>19181</v>
      </c>
      <c r="H3564" t="s">
        <v>19213</v>
      </c>
      <c r="I3564" t="s">
        <v>18904</v>
      </c>
      <c r="K3564" t="str">
        <f>HYPERLINK("http://tuberculist.epfl.ch/quicksearch.php?gene+name=Rv3461c&amp;submit=Search")</f>
        <v>http://tuberculist.epfl.ch/quicksearch.php?gene+name=Rv3461c&amp;submit=Search</v>
      </c>
    </row>
    <row r="3565" spans="1:11">
      <c r="A3565" t="s">
        <v>7624</v>
      </c>
      <c r="B3565" t="s">
        <v>2565</v>
      </c>
      <c r="C3565" t="s">
        <v>9567</v>
      </c>
      <c r="D3565" t="s">
        <v>17722</v>
      </c>
      <c r="E3565" t="s">
        <v>17723</v>
      </c>
      <c r="F3565" t="s">
        <v>17724</v>
      </c>
      <c r="G3565" t="s">
        <v>19181</v>
      </c>
      <c r="H3565" t="s">
        <v>20088</v>
      </c>
      <c r="I3565" t="s">
        <v>18774</v>
      </c>
      <c r="J3565" t="s">
        <v>19116</v>
      </c>
      <c r="K3565" t="str">
        <f>HYPERLINK("http://tuberculist.epfl.ch/quicksearch.php?gene+name=Rv3462c&amp;submit=Search")</f>
        <v>http://tuberculist.epfl.ch/quicksearch.php?gene+name=Rv3462c&amp;submit=Search</v>
      </c>
    </row>
    <row r="3566" spans="1:11">
      <c r="A3566" t="s">
        <v>2686</v>
      </c>
      <c r="B3566" t="s">
        <v>2686</v>
      </c>
      <c r="C3566" t="s">
        <v>9567</v>
      </c>
      <c r="D3566" t="s">
        <v>9578</v>
      </c>
      <c r="E3566" t="s">
        <v>9665</v>
      </c>
      <c r="F3566" t="s">
        <v>17725</v>
      </c>
      <c r="G3566" t="s">
        <v>19204</v>
      </c>
      <c r="H3566" t="s">
        <v>20089</v>
      </c>
      <c r="I3566" t="s">
        <v>18789</v>
      </c>
      <c r="K3566" t="str">
        <f>HYPERLINK("http://tuberculist.epfl.ch/quicksearch.php?gene+name=Rv3463&amp;submit=Search")</f>
        <v>http://tuberculist.epfl.ch/quicksearch.php?gene+name=Rv3463&amp;submit=Search</v>
      </c>
    </row>
    <row r="3567" spans="1:11">
      <c r="A3567" t="s">
        <v>17726</v>
      </c>
      <c r="B3567" t="s">
        <v>1497</v>
      </c>
      <c r="C3567" t="s">
        <v>9567</v>
      </c>
      <c r="D3567" t="s">
        <v>17727</v>
      </c>
      <c r="E3567" t="s">
        <v>17728</v>
      </c>
      <c r="F3567" t="s">
        <v>17729</v>
      </c>
      <c r="G3567" t="s">
        <v>19195</v>
      </c>
      <c r="H3567" t="s">
        <v>19371</v>
      </c>
      <c r="I3567" t="s">
        <v>19117</v>
      </c>
      <c r="K3567" t="str">
        <f>HYPERLINK("http://tuberculist.epfl.ch/quicksearch.php?gene+name=Rv3464&amp;submit=Search")</f>
        <v>http://tuberculist.epfl.ch/quicksearch.php?gene+name=Rv3464&amp;submit=Search</v>
      </c>
    </row>
    <row r="3568" spans="1:11">
      <c r="A3568" t="s">
        <v>5282</v>
      </c>
      <c r="B3568" t="s">
        <v>1394</v>
      </c>
      <c r="C3568" t="s">
        <v>9567</v>
      </c>
      <c r="D3568" t="s">
        <v>17730</v>
      </c>
      <c r="E3568" t="s">
        <v>17731</v>
      </c>
      <c r="F3568" t="s">
        <v>17732</v>
      </c>
      <c r="G3568" t="s">
        <v>19195</v>
      </c>
      <c r="H3568" t="s">
        <v>19229</v>
      </c>
      <c r="I3568" t="s">
        <v>19118</v>
      </c>
      <c r="K3568" t="str">
        <f>HYPERLINK("http://tuberculist.epfl.ch/quicksearch.php?gene+name=Rv3465&amp;submit=Search")</f>
        <v>http://tuberculist.epfl.ch/quicksearch.php?gene+name=Rv3465&amp;submit=Search</v>
      </c>
    </row>
    <row r="3569" spans="1:11">
      <c r="A3569" t="s">
        <v>17733</v>
      </c>
      <c r="B3569" t="s">
        <v>17733</v>
      </c>
      <c r="C3569" t="s">
        <v>9567</v>
      </c>
      <c r="D3569" t="s">
        <v>9587</v>
      </c>
      <c r="E3569" t="s">
        <v>9579</v>
      </c>
      <c r="F3569" t="s">
        <v>17734</v>
      </c>
      <c r="G3569" t="s">
        <v>19217</v>
      </c>
      <c r="H3569" t="s">
        <v>19214</v>
      </c>
      <c r="I3569" t="s">
        <v>18779</v>
      </c>
      <c r="K3569" t="str">
        <f>HYPERLINK("http://tuberculist.epfl.ch/quicksearch.php?gene+name=Rv3466&amp;submit=Search")</f>
        <v>http://tuberculist.epfl.ch/quicksearch.php?gene+name=Rv3466&amp;submit=Search</v>
      </c>
    </row>
    <row r="3570" spans="1:11">
      <c r="A3570" t="s">
        <v>1269</v>
      </c>
      <c r="B3570" t="s">
        <v>1269</v>
      </c>
      <c r="C3570" t="s">
        <v>9567</v>
      </c>
      <c r="D3570" t="s">
        <v>9587</v>
      </c>
      <c r="E3570" t="s">
        <v>9579</v>
      </c>
      <c r="F3570" t="s">
        <v>17735</v>
      </c>
      <c r="G3570" t="s">
        <v>19217</v>
      </c>
      <c r="I3570" t="s">
        <v>18779</v>
      </c>
      <c r="K3570" t="str">
        <f>HYPERLINK("http://tuberculist.epfl.ch/quicksearch.php?gene+name=Rv3467&amp;submit=Search")</f>
        <v>http://tuberculist.epfl.ch/quicksearch.php?gene+name=Rv3467&amp;submit=Search</v>
      </c>
    </row>
    <row r="3571" spans="1:11">
      <c r="A3571" t="s">
        <v>732</v>
      </c>
      <c r="B3571" t="s">
        <v>732</v>
      </c>
      <c r="C3571" t="s">
        <v>9567</v>
      </c>
      <c r="D3571" t="s">
        <v>17736</v>
      </c>
      <c r="E3571" t="s">
        <v>17737</v>
      </c>
      <c r="F3571" t="s">
        <v>17738</v>
      </c>
      <c r="G3571" t="s">
        <v>19195</v>
      </c>
      <c r="I3571" t="s">
        <v>18773</v>
      </c>
      <c r="K3571" t="str">
        <f>HYPERLINK("http://tuberculist.epfl.ch/quicksearch.php?gene+name=Rv3468c&amp;submit=Search")</f>
        <v>http://tuberculist.epfl.ch/quicksearch.php?gene+name=Rv3468c&amp;submit=Search</v>
      </c>
    </row>
    <row r="3572" spans="1:11">
      <c r="A3572" t="s">
        <v>3521</v>
      </c>
      <c r="B3572" t="s">
        <v>517</v>
      </c>
      <c r="C3572" t="s">
        <v>9567</v>
      </c>
      <c r="D3572" t="s">
        <v>17739</v>
      </c>
      <c r="E3572" t="s">
        <v>17740</v>
      </c>
      <c r="F3572" t="s">
        <v>17741</v>
      </c>
      <c r="G3572" t="s">
        <v>19195</v>
      </c>
      <c r="I3572" t="s">
        <v>18792</v>
      </c>
      <c r="K3572" t="str">
        <f>HYPERLINK("http://tuberculist.epfl.ch/quicksearch.php?gene+name=Rv3469c&amp;submit=Search")</f>
        <v>http://tuberculist.epfl.ch/quicksearch.php?gene+name=Rv3469c&amp;submit=Search</v>
      </c>
    </row>
    <row r="3573" spans="1:11">
      <c r="A3573" t="s">
        <v>3524</v>
      </c>
      <c r="B3573" t="s">
        <v>518</v>
      </c>
      <c r="C3573" t="s">
        <v>9567</v>
      </c>
      <c r="D3573" t="s">
        <v>16620</v>
      </c>
      <c r="E3573" t="s">
        <v>17742</v>
      </c>
      <c r="F3573" t="s">
        <v>17743</v>
      </c>
      <c r="G3573" t="s">
        <v>19195</v>
      </c>
      <c r="H3573" t="s">
        <v>19211</v>
      </c>
      <c r="I3573" t="s">
        <v>18773</v>
      </c>
      <c r="K3573" t="str">
        <f>HYPERLINK("http://tuberculist.epfl.ch/quicksearch.php?gene+name=Rv3470c&amp;submit=Search")</f>
        <v>http://tuberculist.epfl.ch/quicksearch.php?gene+name=Rv3470c&amp;submit=Search</v>
      </c>
    </row>
    <row r="3574" spans="1:11">
      <c r="A3574" t="s">
        <v>17744</v>
      </c>
      <c r="B3574" t="s">
        <v>17744</v>
      </c>
      <c r="C3574" t="s">
        <v>9567</v>
      </c>
      <c r="D3574" t="s">
        <v>9578</v>
      </c>
      <c r="E3574" t="s">
        <v>9579</v>
      </c>
      <c r="F3574" t="s">
        <v>17745</v>
      </c>
      <c r="G3574" t="s">
        <v>19212</v>
      </c>
      <c r="I3574" t="s">
        <v>18780</v>
      </c>
      <c r="K3574" t="str">
        <f>HYPERLINK("http://tuberculist.epfl.ch/quicksearch.php?gene+name=Rv3471c&amp;submit=Search")</f>
        <v>http://tuberculist.epfl.ch/quicksearch.php?gene+name=Rv3471c&amp;submit=Search</v>
      </c>
    </row>
    <row r="3575" spans="1:11">
      <c r="A3575" t="s">
        <v>2047</v>
      </c>
      <c r="B3575" t="s">
        <v>2047</v>
      </c>
      <c r="C3575" t="s">
        <v>9567</v>
      </c>
      <c r="D3575" t="s">
        <v>9578</v>
      </c>
      <c r="E3575" t="s">
        <v>9665</v>
      </c>
      <c r="F3575" t="s">
        <v>17746</v>
      </c>
      <c r="G3575" t="s">
        <v>19204</v>
      </c>
      <c r="H3575" t="s">
        <v>19192</v>
      </c>
      <c r="I3575" t="s">
        <v>18810</v>
      </c>
      <c r="K3575" t="str">
        <f>HYPERLINK("http://tuberculist.epfl.ch/quicksearch.php?gene+name=Rv3472&amp;submit=Search")</f>
        <v>http://tuberculist.epfl.ch/quicksearch.php?gene+name=Rv3472&amp;submit=Search</v>
      </c>
    </row>
    <row r="3576" spans="1:11">
      <c r="A3576" t="s">
        <v>17747</v>
      </c>
      <c r="B3576" t="s">
        <v>17748</v>
      </c>
      <c r="C3576" t="s">
        <v>9567</v>
      </c>
      <c r="D3576" t="s">
        <v>10841</v>
      </c>
      <c r="E3576" t="s">
        <v>17749</v>
      </c>
      <c r="F3576" t="s">
        <v>17750</v>
      </c>
      <c r="G3576" t="s">
        <v>19206</v>
      </c>
      <c r="I3576" t="s">
        <v>18780</v>
      </c>
      <c r="K3576" t="str">
        <f>HYPERLINK("http://tuberculist.epfl.ch/quicksearch.php?gene+name=Rv3473c&amp;submit=Search")</f>
        <v>http://tuberculist.epfl.ch/quicksearch.php?gene+name=Rv3473c&amp;submit=Search</v>
      </c>
    </row>
    <row r="3577" spans="1:11">
      <c r="A3577" t="s">
        <v>17751</v>
      </c>
      <c r="B3577" t="s">
        <v>17751</v>
      </c>
      <c r="C3577" t="s">
        <v>9567</v>
      </c>
      <c r="D3577" t="s">
        <v>17041</v>
      </c>
      <c r="E3577" t="s">
        <v>17752</v>
      </c>
      <c r="F3577" t="s">
        <v>17753</v>
      </c>
      <c r="G3577" t="s">
        <v>19217</v>
      </c>
      <c r="I3577" t="s">
        <v>18773</v>
      </c>
      <c r="K3577" t="str">
        <f>HYPERLINK("http://tuberculist.epfl.ch/quicksearch.php?gene+name=Rv3474&amp;submit=Search")</f>
        <v>http://tuberculist.epfl.ch/quicksearch.php?gene+name=Rv3474&amp;submit=Search</v>
      </c>
    </row>
    <row r="3578" spans="1:11">
      <c r="A3578" t="s">
        <v>17754</v>
      </c>
      <c r="B3578" t="s">
        <v>17754</v>
      </c>
      <c r="C3578" t="s">
        <v>9567</v>
      </c>
      <c r="D3578" t="s">
        <v>17041</v>
      </c>
      <c r="E3578" t="s">
        <v>17755</v>
      </c>
      <c r="F3578" t="s">
        <v>17756</v>
      </c>
      <c r="G3578" t="s">
        <v>19217</v>
      </c>
      <c r="I3578" t="s">
        <v>18773</v>
      </c>
      <c r="K3578" t="str">
        <f>HYPERLINK("http://tuberculist.epfl.ch/quicksearch.php?gene+name=Rv3475&amp;submit=Search")</f>
        <v>http://tuberculist.epfl.ch/quicksearch.php?gene+name=Rv3475&amp;submit=Search</v>
      </c>
    </row>
    <row r="3579" spans="1:11">
      <c r="A3579" t="s">
        <v>7565</v>
      </c>
      <c r="B3579" t="s">
        <v>2536</v>
      </c>
      <c r="C3579" t="s">
        <v>9567</v>
      </c>
      <c r="D3579" t="s">
        <v>17757</v>
      </c>
      <c r="E3579" t="s">
        <v>17758</v>
      </c>
      <c r="F3579" t="s">
        <v>17759</v>
      </c>
      <c r="G3579" t="s">
        <v>19188</v>
      </c>
      <c r="H3579" t="s">
        <v>19570</v>
      </c>
      <c r="I3579" t="s">
        <v>18789</v>
      </c>
      <c r="K3579" t="str">
        <f>HYPERLINK("http://tuberculist.epfl.ch/quicksearch.php?gene+name=Rv3476c&amp;submit=Search")</f>
        <v>http://tuberculist.epfl.ch/quicksearch.php?gene+name=Rv3476c&amp;submit=Search</v>
      </c>
    </row>
    <row r="3580" spans="1:11">
      <c r="A3580" t="s">
        <v>17760</v>
      </c>
      <c r="B3580" t="s">
        <v>338</v>
      </c>
      <c r="C3580" t="s">
        <v>9567</v>
      </c>
      <c r="D3580" t="s">
        <v>9578</v>
      </c>
      <c r="E3580" t="s">
        <v>17761</v>
      </c>
      <c r="F3580" t="s">
        <v>17762</v>
      </c>
      <c r="G3580" t="s">
        <v>19262</v>
      </c>
      <c r="H3580" t="s">
        <v>20090</v>
      </c>
      <c r="I3580" t="s">
        <v>18793</v>
      </c>
      <c r="K3580" t="str">
        <f>HYPERLINK("http://tuberculist.epfl.ch/quicksearch.php?gene+name=Rv3477&amp;submit=Search")</f>
        <v>http://tuberculist.epfl.ch/quicksearch.php?gene+name=Rv3477&amp;submit=Search</v>
      </c>
    </row>
    <row r="3581" spans="1:11">
      <c r="A3581" t="s">
        <v>8948</v>
      </c>
      <c r="B3581" t="s">
        <v>3202</v>
      </c>
      <c r="C3581" t="s">
        <v>9567</v>
      </c>
      <c r="D3581" t="s">
        <v>9578</v>
      </c>
      <c r="E3581" t="s">
        <v>17763</v>
      </c>
      <c r="F3581" t="s">
        <v>17764</v>
      </c>
      <c r="G3581" t="s">
        <v>19262</v>
      </c>
      <c r="H3581" t="s">
        <v>19278</v>
      </c>
      <c r="I3581" t="s">
        <v>18789</v>
      </c>
      <c r="J3581" t="s">
        <v>18775</v>
      </c>
      <c r="K3581" t="str">
        <f>HYPERLINK("http://tuberculist.epfl.ch/quicksearch.php?gene+name=Rv3478&amp;submit=Search")</f>
        <v>http://tuberculist.epfl.ch/quicksearch.php?gene+name=Rv3478&amp;submit=Search</v>
      </c>
    </row>
    <row r="3582" spans="1:11">
      <c r="A3582" t="s">
        <v>2091</v>
      </c>
      <c r="B3582" t="s">
        <v>2091</v>
      </c>
      <c r="C3582" t="s">
        <v>9567</v>
      </c>
      <c r="D3582" t="s">
        <v>9587</v>
      </c>
      <c r="E3582" t="s">
        <v>10540</v>
      </c>
      <c r="F3582" t="s">
        <v>17765</v>
      </c>
      <c r="G3582" t="s">
        <v>19188</v>
      </c>
      <c r="H3582" t="s">
        <v>20091</v>
      </c>
      <c r="I3582" t="s">
        <v>18789</v>
      </c>
      <c r="K3582" t="str">
        <f>HYPERLINK("http://tuberculist.epfl.ch/quicksearch.php?gene+name=Rv3479&amp;submit=Search")</f>
        <v>http://tuberculist.epfl.ch/quicksearch.php?gene+name=Rv3479&amp;submit=Search</v>
      </c>
    </row>
    <row r="3583" spans="1:11">
      <c r="A3583" t="s">
        <v>2813</v>
      </c>
      <c r="B3583" t="s">
        <v>2813</v>
      </c>
      <c r="C3583" t="s">
        <v>9567</v>
      </c>
      <c r="D3583" t="s">
        <v>10087</v>
      </c>
      <c r="E3583" t="s">
        <v>10088</v>
      </c>
      <c r="F3583" t="s">
        <v>17766</v>
      </c>
      <c r="G3583" t="s">
        <v>19219</v>
      </c>
      <c r="I3583" t="s">
        <v>18807</v>
      </c>
      <c r="K3583" t="str">
        <f>HYPERLINK("http://tuberculist.epfl.ch/quicksearch.php?gene+name=Rv3480c&amp;submit=Search")</f>
        <v>http://tuberculist.epfl.ch/quicksearch.php?gene+name=Rv3480c&amp;submit=Search</v>
      </c>
    </row>
    <row r="3584" spans="1:11">
      <c r="A3584" t="s">
        <v>2274</v>
      </c>
      <c r="B3584" t="s">
        <v>2274</v>
      </c>
      <c r="C3584" t="s">
        <v>9567</v>
      </c>
      <c r="D3584" t="s">
        <v>9587</v>
      </c>
      <c r="E3584" t="s">
        <v>10806</v>
      </c>
      <c r="F3584" t="s">
        <v>17767</v>
      </c>
      <c r="G3584" t="s">
        <v>19188</v>
      </c>
      <c r="H3584" t="s">
        <v>19192</v>
      </c>
      <c r="I3584" t="s">
        <v>18789</v>
      </c>
      <c r="K3584" t="str">
        <f>HYPERLINK("http://tuberculist.epfl.ch/quicksearch.php?gene+name=Rv3481c&amp;submit=Search")</f>
        <v>http://tuberculist.epfl.ch/quicksearch.php?gene+name=Rv3481c&amp;submit=Search</v>
      </c>
    </row>
    <row r="3585" spans="1:11">
      <c r="A3585" t="s">
        <v>2751</v>
      </c>
      <c r="B3585" t="s">
        <v>2751</v>
      </c>
      <c r="C3585" t="s">
        <v>9567</v>
      </c>
      <c r="D3585" t="s">
        <v>9587</v>
      </c>
      <c r="E3585" t="s">
        <v>9595</v>
      </c>
      <c r="F3585" t="s">
        <v>17768</v>
      </c>
      <c r="G3585" t="s">
        <v>19188</v>
      </c>
      <c r="H3585" t="s">
        <v>19201</v>
      </c>
      <c r="I3585" t="s">
        <v>18780</v>
      </c>
      <c r="J3585" t="s">
        <v>18806</v>
      </c>
      <c r="K3585" t="str">
        <f>HYPERLINK("http://tuberculist.epfl.ch/quicksearch.php?gene+name=Rv3482c&amp;submit=Search")</f>
        <v>http://tuberculist.epfl.ch/quicksearch.php?gene+name=Rv3482c&amp;submit=Search</v>
      </c>
    </row>
    <row r="3586" spans="1:11">
      <c r="A3586" t="s">
        <v>1144</v>
      </c>
      <c r="B3586" t="s">
        <v>1144</v>
      </c>
      <c r="C3586" t="s">
        <v>9567</v>
      </c>
      <c r="D3586" t="s">
        <v>9578</v>
      </c>
      <c r="E3586" t="s">
        <v>10054</v>
      </c>
      <c r="F3586" t="s">
        <v>17769</v>
      </c>
      <c r="G3586" t="s">
        <v>19188</v>
      </c>
      <c r="H3586" t="s">
        <v>19975</v>
      </c>
      <c r="I3586" t="s">
        <v>18780</v>
      </c>
      <c r="K3586" t="str">
        <f>HYPERLINK("http://tuberculist.epfl.ch/quicksearch.php?gene+name=Rv3483c&amp;submit=Search")</f>
        <v>http://tuberculist.epfl.ch/quicksearch.php?gene+name=Rv3483c&amp;submit=Search</v>
      </c>
    </row>
    <row r="3587" spans="1:11">
      <c r="A3587" t="s">
        <v>5967</v>
      </c>
      <c r="B3587" t="s">
        <v>1738</v>
      </c>
      <c r="C3587" t="s">
        <v>9567</v>
      </c>
      <c r="D3587" t="s">
        <v>9587</v>
      </c>
      <c r="E3587" t="s">
        <v>17770</v>
      </c>
      <c r="F3587" t="s">
        <v>17771</v>
      </c>
      <c r="G3587" t="s">
        <v>19212</v>
      </c>
      <c r="H3587" t="s">
        <v>20092</v>
      </c>
      <c r="I3587" t="s">
        <v>18846</v>
      </c>
      <c r="K3587" t="str">
        <f>HYPERLINK("http://tuberculist.epfl.ch/quicksearch.php?gene+name=Rv3484&amp;submit=Search")</f>
        <v>http://tuberculist.epfl.ch/quicksearch.php?gene+name=Rv3484&amp;submit=Search</v>
      </c>
    </row>
    <row r="3588" spans="1:11">
      <c r="A3588" t="s">
        <v>1154</v>
      </c>
      <c r="B3588" t="s">
        <v>1154</v>
      </c>
      <c r="C3588" t="s">
        <v>9567</v>
      </c>
      <c r="D3588" t="s">
        <v>17772</v>
      </c>
      <c r="E3588" t="s">
        <v>9932</v>
      </c>
      <c r="F3588" t="s">
        <v>17773</v>
      </c>
      <c r="G3588" t="s">
        <v>19195</v>
      </c>
      <c r="H3588" t="s">
        <v>20093</v>
      </c>
      <c r="I3588" t="s">
        <v>18780</v>
      </c>
      <c r="K3588" t="str">
        <f>HYPERLINK("http://tuberculist.epfl.ch/quicksearch.php?gene+name=Rv3485c&amp;submit=Search")</f>
        <v>http://tuberculist.epfl.ch/quicksearch.php?gene+name=Rv3485c&amp;submit=Search</v>
      </c>
    </row>
    <row r="3589" spans="1:11">
      <c r="A3589" t="s">
        <v>2048</v>
      </c>
      <c r="B3589" t="s">
        <v>2048</v>
      </c>
      <c r="C3589" t="s">
        <v>9567</v>
      </c>
      <c r="D3589" t="s">
        <v>9578</v>
      </c>
      <c r="E3589" t="s">
        <v>9665</v>
      </c>
      <c r="F3589" t="s">
        <v>17774</v>
      </c>
      <c r="G3589" t="s">
        <v>19212</v>
      </c>
      <c r="H3589" t="s">
        <v>19233</v>
      </c>
      <c r="I3589" t="s">
        <v>18780</v>
      </c>
      <c r="K3589" t="str">
        <f>HYPERLINK("http://tuberculist.epfl.ch/quicksearch.php?gene+name=Rv3486&amp;submit=Search")</f>
        <v>http://tuberculist.epfl.ch/quicksearch.php?gene+name=Rv3486&amp;submit=Search</v>
      </c>
    </row>
    <row r="3590" spans="1:11">
      <c r="A3590" t="s">
        <v>96</v>
      </c>
      <c r="B3590" t="s">
        <v>95</v>
      </c>
      <c r="C3590" t="s">
        <v>9567</v>
      </c>
      <c r="D3590" t="s">
        <v>11074</v>
      </c>
      <c r="E3590" t="s">
        <v>17775</v>
      </c>
      <c r="F3590" t="s">
        <v>17776</v>
      </c>
      <c r="G3590" t="s">
        <v>19195</v>
      </c>
      <c r="I3590" t="s">
        <v>18789</v>
      </c>
      <c r="J3590" t="s">
        <v>18775</v>
      </c>
      <c r="K3590" t="str">
        <f>HYPERLINK("http://tuberculist.epfl.ch/quicksearch.php?gene+name=Rv3487c&amp;submit=Search")</f>
        <v>http://tuberculist.epfl.ch/quicksearch.php?gene+name=Rv3487c&amp;submit=Search</v>
      </c>
    </row>
    <row r="3591" spans="1:11">
      <c r="A3591" t="s">
        <v>3078</v>
      </c>
      <c r="B3591" t="s">
        <v>3078</v>
      </c>
      <c r="C3591" t="s">
        <v>9567</v>
      </c>
      <c r="D3591" t="s">
        <v>9578</v>
      </c>
      <c r="E3591" t="s">
        <v>9579</v>
      </c>
      <c r="F3591" t="s">
        <v>17777</v>
      </c>
      <c r="G3591" t="s">
        <v>19208</v>
      </c>
      <c r="H3591" t="s">
        <v>19213</v>
      </c>
      <c r="I3591" t="s">
        <v>18780</v>
      </c>
      <c r="K3591" t="str">
        <f>HYPERLINK("http://tuberculist.epfl.ch/quicksearch.php?gene+name=Rv3488&amp;submit=Search")</f>
        <v>http://tuberculist.epfl.ch/quicksearch.php?gene+name=Rv3488&amp;submit=Search</v>
      </c>
    </row>
    <row r="3592" spans="1:11">
      <c r="A3592" t="s">
        <v>705</v>
      </c>
      <c r="B3592" t="s">
        <v>705</v>
      </c>
      <c r="C3592" t="s">
        <v>9567</v>
      </c>
      <c r="D3592" t="s">
        <v>9587</v>
      </c>
      <c r="E3592" t="s">
        <v>9768</v>
      </c>
      <c r="F3592" t="s">
        <v>17778</v>
      </c>
      <c r="G3592" t="s">
        <v>19298</v>
      </c>
      <c r="H3592" t="s">
        <v>19192</v>
      </c>
      <c r="I3592" t="s">
        <v>18853</v>
      </c>
      <c r="J3592" t="s">
        <v>18778</v>
      </c>
      <c r="K3592" t="str">
        <f>HYPERLINK("http://tuberculist.epfl.ch/quicksearch.php?gene+name=Rv3489&amp;submit=Search")</f>
        <v>http://tuberculist.epfl.ch/quicksearch.php?gene+name=Rv3489&amp;submit=Search</v>
      </c>
    </row>
    <row r="3593" spans="1:11">
      <c r="A3593" t="s">
        <v>4730</v>
      </c>
      <c r="B3593" t="s">
        <v>1124</v>
      </c>
      <c r="C3593" t="s">
        <v>9567</v>
      </c>
      <c r="D3593" t="s">
        <v>17779</v>
      </c>
      <c r="E3593" t="s">
        <v>17780</v>
      </c>
      <c r="F3593" t="s">
        <v>17781</v>
      </c>
      <c r="G3593" t="s">
        <v>19206</v>
      </c>
      <c r="H3593" t="s">
        <v>19465</v>
      </c>
      <c r="I3593" t="s">
        <v>18774</v>
      </c>
      <c r="K3593" t="str">
        <f>HYPERLINK("http://tuberculist.epfl.ch/quicksearch.php?gene+name=Rv3490&amp;submit=Search")</f>
        <v>http://tuberculist.epfl.ch/quicksearch.php?gene+name=Rv3490&amp;submit=Search</v>
      </c>
    </row>
    <row r="3594" spans="1:11">
      <c r="A3594" t="s">
        <v>1480</v>
      </c>
      <c r="B3594" t="s">
        <v>1480</v>
      </c>
      <c r="C3594" t="s">
        <v>9567</v>
      </c>
      <c r="D3594" t="s">
        <v>9587</v>
      </c>
      <c r="E3594" t="s">
        <v>9768</v>
      </c>
      <c r="F3594" t="s">
        <v>17782</v>
      </c>
      <c r="G3594" t="s">
        <v>19298</v>
      </c>
      <c r="H3594" t="s">
        <v>20094</v>
      </c>
      <c r="I3594" t="s">
        <v>18789</v>
      </c>
      <c r="K3594" t="str">
        <f>HYPERLINK("http://tuberculist.epfl.ch/quicksearch.php?gene+name=Rv3491&amp;submit=Search")</f>
        <v>http://tuberculist.epfl.ch/quicksearch.php?gene+name=Rv3491&amp;submit=Search</v>
      </c>
    </row>
    <row r="3595" spans="1:11">
      <c r="A3595" t="s">
        <v>1195</v>
      </c>
      <c r="B3595" t="s">
        <v>1195</v>
      </c>
      <c r="C3595" t="s">
        <v>9567</v>
      </c>
      <c r="D3595" t="s">
        <v>9587</v>
      </c>
      <c r="E3595" t="s">
        <v>17783</v>
      </c>
      <c r="F3595" t="s">
        <v>17784</v>
      </c>
      <c r="G3595" t="s">
        <v>19298</v>
      </c>
      <c r="H3595" t="s">
        <v>19213</v>
      </c>
      <c r="I3595" t="s">
        <v>18781</v>
      </c>
      <c r="J3595" t="s">
        <v>18820</v>
      </c>
      <c r="K3595" t="str">
        <f>HYPERLINK("http://tuberculist.epfl.ch/quicksearch.php?gene+name=Rv3492c&amp;submit=Search")</f>
        <v>http://tuberculist.epfl.ch/quicksearch.php?gene+name=Rv3492c&amp;submit=Search</v>
      </c>
    </row>
    <row r="3596" spans="1:11">
      <c r="A3596" t="s">
        <v>519</v>
      </c>
      <c r="B3596" t="s">
        <v>519</v>
      </c>
      <c r="C3596" t="s">
        <v>9567</v>
      </c>
      <c r="D3596" t="s">
        <v>9587</v>
      </c>
      <c r="E3596" t="s">
        <v>17785</v>
      </c>
      <c r="F3596" t="s">
        <v>17786</v>
      </c>
      <c r="G3596" t="s">
        <v>19298</v>
      </c>
      <c r="H3596" t="s">
        <v>20095</v>
      </c>
      <c r="I3596" t="s">
        <v>18861</v>
      </c>
      <c r="J3596" t="s">
        <v>18820</v>
      </c>
      <c r="K3596" t="str">
        <f>HYPERLINK("http://tuberculist.epfl.ch/quicksearch.php?gene+name=Rv3493c&amp;submit=Search")</f>
        <v>http://tuberculist.epfl.ch/quicksearch.php?gene+name=Rv3493c&amp;submit=Search</v>
      </c>
    </row>
    <row r="3597" spans="1:11">
      <c r="A3597" t="s">
        <v>3613</v>
      </c>
      <c r="B3597" t="s">
        <v>567</v>
      </c>
      <c r="C3597" t="s">
        <v>9567</v>
      </c>
      <c r="D3597" t="s">
        <v>17787</v>
      </c>
      <c r="E3597" t="s">
        <v>17788</v>
      </c>
      <c r="F3597" t="s">
        <v>17789</v>
      </c>
      <c r="G3597" t="s">
        <v>19206</v>
      </c>
      <c r="H3597" t="s">
        <v>19757</v>
      </c>
      <c r="I3597" t="s">
        <v>18781</v>
      </c>
      <c r="J3597" t="s">
        <v>19119</v>
      </c>
      <c r="K3597" t="str">
        <f>HYPERLINK("http://tuberculist.epfl.ch/quicksearch.php?gene+name=Rv3494c&amp;submit=Search")</f>
        <v>http://tuberculist.epfl.ch/quicksearch.php?gene+name=Rv3494c&amp;submit=Search</v>
      </c>
    </row>
    <row r="3598" spans="1:11">
      <c r="A3598" t="s">
        <v>8575</v>
      </c>
      <c r="B3598" t="s">
        <v>3029</v>
      </c>
      <c r="C3598" t="s">
        <v>9567</v>
      </c>
      <c r="D3598" t="s">
        <v>17787</v>
      </c>
      <c r="E3598" t="s">
        <v>17790</v>
      </c>
      <c r="F3598" t="s">
        <v>17791</v>
      </c>
      <c r="G3598" t="s">
        <v>19188</v>
      </c>
      <c r="H3598" t="s">
        <v>20096</v>
      </c>
      <c r="I3598" t="s">
        <v>19120</v>
      </c>
      <c r="J3598" t="s">
        <v>19119</v>
      </c>
      <c r="K3598" t="str">
        <f>HYPERLINK("http://tuberculist.epfl.ch/quicksearch.php?gene+name=Rv3495c&amp;submit=Search")</f>
        <v>http://tuberculist.epfl.ch/quicksearch.php?gene+name=Rv3495c&amp;submit=Search</v>
      </c>
    </row>
    <row r="3599" spans="1:11">
      <c r="A3599" t="s">
        <v>3703</v>
      </c>
      <c r="B3599" t="s">
        <v>615</v>
      </c>
      <c r="C3599" t="s">
        <v>9567</v>
      </c>
      <c r="D3599" t="s">
        <v>17787</v>
      </c>
      <c r="E3599" t="s">
        <v>17792</v>
      </c>
      <c r="F3599" t="s">
        <v>17793</v>
      </c>
      <c r="G3599" t="s">
        <v>19206</v>
      </c>
      <c r="I3599" t="s">
        <v>18781</v>
      </c>
      <c r="J3599" t="s">
        <v>19119</v>
      </c>
      <c r="K3599" t="str">
        <f>HYPERLINK("http://tuberculist.epfl.ch/quicksearch.php?gene+name=Rv3496c&amp;submit=Search")</f>
        <v>http://tuberculist.epfl.ch/quicksearch.php?gene+name=Rv3496c&amp;submit=Search</v>
      </c>
    </row>
    <row r="3600" spans="1:11">
      <c r="A3600" t="s">
        <v>6689</v>
      </c>
      <c r="B3600" t="s">
        <v>2103</v>
      </c>
      <c r="C3600" t="s">
        <v>9567</v>
      </c>
      <c r="D3600" t="s">
        <v>17787</v>
      </c>
      <c r="E3600" t="s">
        <v>17794</v>
      </c>
      <c r="F3600" t="s">
        <v>17795</v>
      </c>
      <c r="G3600" t="s">
        <v>19206</v>
      </c>
      <c r="H3600" t="s">
        <v>19502</v>
      </c>
      <c r="I3600" t="s">
        <v>19120</v>
      </c>
      <c r="J3600" t="s">
        <v>19119</v>
      </c>
      <c r="K3600" t="str">
        <f>HYPERLINK("http://tuberculist.epfl.ch/quicksearch.php?gene+name=Rv3497c&amp;submit=Search")</f>
        <v>http://tuberculist.epfl.ch/quicksearch.php?gene+name=Rv3497c&amp;submit=Search</v>
      </c>
    </row>
    <row r="3601" spans="1:11">
      <c r="A3601" t="s">
        <v>5215</v>
      </c>
      <c r="B3601" t="s">
        <v>1357</v>
      </c>
      <c r="C3601" t="s">
        <v>9567</v>
      </c>
      <c r="D3601" t="s">
        <v>17787</v>
      </c>
      <c r="E3601" t="s">
        <v>17796</v>
      </c>
      <c r="F3601" t="s">
        <v>17797</v>
      </c>
      <c r="G3601" t="s">
        <v>19206</v>
      </c>
      <c r="H3601" t="s">
        <v>19213</v>
      </c>
      <c r="I3601" t="s">
        <v>18836</v>
      </c>
      <c r="J3601" t="s">
        <v>19119</v>
      </c>
      <c r="K3601" t="str">
        <f>HYPERLINK("http://tuberculist.epfl.ch/quicksearch.php?gene+name=Rv3498c&amp;submit=Search")</f>
        <v>http://tuberculist.epfl.ch/quicksearch.php?gene+name=Rv3498c&amp;submit=Search</v>
      </c>
    </row>
    <row r="3602" spans="1:11">
      <c r="A3602" t="s">
        <v>8569</v>
      </c>
      <c r="B3602" t="s">
        <v>3027</v>
      </c>
      <c r="C3602" t="s">
        <v>9567</v>
      </c>
      <c r="D3602" t="s">
        <v>17787</v>
      </c>
      <c r="E3602" t="s">
        <v>17798</v>
      </c>
      <c r="F3602" t="s">
        <v>17799</v>
      </c>
      <c r="G3602" t="s">
        <v>19206</v>
      </c>
      <c r="H3602" t="s">
        <v>19250</v>
      </c>
      <c r="I3602" t="s">
        <v>19121</v>
      </c>
      <c r="J3602" t="s">
        <v>19119</v>
      </c>
      <c r="K3602" t="str">
        <f>HYPERLINK("http://tuberculist.epfl.ch/quicksearch.php?gene+name=Rv3499c&amp;submit=Search")</f>
        <v>http://tuberculist.epfl.ch/quicksearch.php?gene+name=Rv3499c&amp;submit=Search</v>
      </c>
    </row>
    <row r="3603" spans="1:11">
      <c r="A3603" t="s">
        <v>5110</v>
      </c>
      <c r="B3603" t="s">
        <v>1307</v>
      </c>
      <c r="C3603" t="s">
        <v>9567</v>
      </c>
      <c r="D3603" t="s">
        <v>17800</v>
      </c>
      <c r="E3603" t="s">
        <v>17801</v>
      </c>
      <c r="F3603" t="s">
        <v>17802</v>
      </c>
      <c r="G3603" t="s">
        <v>19206</v>
      </c>
      <c r="H3603" t="s">
        <v>19274</v>
      </c>
      <c r="I3603" t="s">
        <v>18836</v>
      </c>
      <c r="J3603" t="s">
        <v>19119</v>
      </c>
      <c r="K3603" t="str">
        <f>HYPERLINK("http://tuberculist.epfl.ch/quicksearch.php?gene+name=Rv3500c&amp;submit=Search")</f>
        <v>http://tuberculist.epfl.ch/quicksearch.php?gene+name=Rv3500c&amp;submit=Search</v>
      </c>
    </row>
    <row r="3604" spans="1:11">
      <c r="A3604" t="s">
        <v>4110</v>
      </c>
      <c r="B3604" t="s">
        <v>813</v>
      </c>
      <c r="C3604" t="s">
        <v>9567</v>
      </c>
      <c r="D3604" t="s">
        <v>17800</v>
      </c>
      <c r="E3604" t="s">
        <v>17803</v>
      </c>
      <c r="F3604" t="s">
        <v>17804</v>
      </c>
      <c r="G3604" t="s">
        <v>19206</v>
      </c>
      <c r="H3604" t="s">
        <v>19272</v>
      </c>
      <c r="I3604" t="s">
        <v>19122</v>
      </c>
      <c r="J3604" t="s">
        <v>19119</v>
      </c>
      <c r="K3604" t="str">
        <f>HYPERLINK("http://tuberculist.epfl.ch/quicksearch.php?gene+name=Rv3501c&amp;submit=Search")</f>
        <v>http://tuberculist.epfl.ch/quicksearch.php?gene+name=Rv3501c&amp;submit=Search</v>
      </c>
    </row>
    <row r="3605" spans="1:11">
      <c r="A3605" t="s">
        <v>574</v>
      </c>
      <c r="B3605" t="s">
        <v>574</v>
      </c>
      <c r="C3605" t="s">
        <v>9567</v>
      </c>
      <c r="D3605" t="s">
        <v>17805</v>
      </c>
      <c r="E3605" t="s">
        <v>17806</v>
      </c>
      <c r="F3605" t="s">
        <v>17807</v>
      </c>
      <c r="G3605" t="s">
        <v>19195</v>
      </c>
      <c r="H3605" t="s">
        <v>19213</v>
      </c>
      <c r="I3605" t="s">
        <v>19121</v>
      </c>
      <c r="J3605" t="s">
        <v>19119</v>
      </c>
      <c r="K3605" t="str">
        <f>HYPERLINK("http://tuberculist.epfl.ch/quicksearch.php?gene+name=Rv3502c&amp;submit=Search")</f>
        <v>http://tuberculist.epfl.ch/quicksearch.php?gene+name=Rv3502c&amp;submit=Search</v>
      </c>
    </row>
    <row r="3606" spans="1:11">
      <c r="A3606" t="s">
        <v>17808</v>
      </c>
      <c r="B3606" t="s">
        <v>17809</v>
      </c>
      <c r="C3606" t="s">
        <v>9567</v>
      </c>
      <c r="D3606" t="s">
        <v>11181</v>
      </c>
      <c r="E3606" t="s">
        <v>17810</v>
      </c>
      <c r="F3606" t="s">
        <v>17811</v>
      </c>
      <c r="G3606" t="s">
        <v>19195</v>
      </c>
      <c r="I3606" t="s">
        <v>18780</v>
      </c>
      <c r="J3606" t="s">
        <v>18820</v>
      </c>
      <c r="K3606" t="str">
        <f>HYPERLINK("http://tuberculist.epfl.ch/quicksearch.php?gene+name=Rv3503c&amp;submit=Search")</f>
        <v>http://tuberculist.epfl.ch/quicksearch.php?gene+name=Rv3503c&amp;submit=Search</v>
      </c>
    </row>
    <row r="3607" spans="1:11">
      <c r="A3607" t="s">
        <v>9289</v>
      </c>
      <c r="B3607" t="s">
        <v>3368</v>
      </c>
      <c r="C3607" t="s">
        <v>9567</v>
      </c>
      <c r="D3607" t="s">
        <v>9662</v>
      </c>
      <c r="E3607" t="s">
        <v>17812</v>
      </c>
      <c r="F3607" t="s">
        <v>17813</v>
      </c>
      <c r="G3607" t="s">
        <v>19219</v>
      </c>
      <c r="H3607" t="s">
        <v>19233</v>
      </c>
      <c r="I3607" t="s">
        <v>18780</v>
      </c>
      <c r="J3607" t="s">
        <v>19119</v>
      </c>
      <c r="K3607" t="str">
        <f>HYPERLINK("http://tuberculist.epfl.ch/quicksearch.php?gene+name=Rv3504&amp;submit=Search")</f>
        <v>http://tuberculist.epfl.ch/quicksearch.php?gene+name=Rv3504&amp;submit=Search</v>
      </c>
    </row>
    <row r="3608" spans="1:11">
      <c r="A3608" t="s">
        <v>9304</v>
      </c>
      <c r="B3608" t="s">
        <v>3375</v>
      </c>
      <c r="C3608" t="s">
        <v>9567</v>
      </c>
      <c r="D3608" t="s">
        <v>9662</v>
      </c>
      <c r="E3608" t="s">
        <v>17814</v>
      </c>
      <c r="F3608" t="s">
        <v>17815</v>
      </c>
      <c r="G3608" t="s">
        <v>19219</v>
      </c>
      <c r="H3608" t="s">
        <v>19305</v>
      </c>
      <c r="I3608" t="s">
        <v>18779</v>
      </c>
      <c r="J3608" t="s">
        <v>19119</v>
      </c>
      <c r="K3608" t="str">
        <f>HYPERLINK("http://tuberculist.epfl.ch/quicksearch.php?gene+name=Rv3505&amp;submit=Search")</f>
        <v>http://tuberculist.epfl.ch/quicksearch.php?gene+name=Rv3505&amp;submit=Search</v>
      </c>
    </row>
    <row r="3609" spans="1:11">
      <c r="A3609" t="s">
        <v>9134</v>
      </c>
      <c r="B3609" t="s">
        <v>3294</v>
      </c>
      <c r="C3609" t="s">
        <v>9567</v>
      </c>
      <c r="D3609" t="s">
        <v>12417</v>
      </c>
      <c r="E3609" t="s">
        <v>17816</v>
      </c>
      <c r="F3609" t="s">
        <v>17817</v>
      </c>
      <c r="G3609" t="s">
        <v>19219</v>
      </c>
      <c r="H3609" t="s">
        <v>19302</v>
      </c>
      <c r="I3609" t="s">
        <v>18780</v>
      </c>
      <c r="J3609" t="s">
        <v>19119</v>
      </c>
      <c r="K3609" t="str">
        <f>HYPERLINK("http://tuberculist.epfl.ch/quicksearch.php?gene+name=Rv3506&amp;submit=Search")</f>
        <v>http://tuberculist.epfl.ch/quicksearch.php?gene+name=Rv3506&amp;submit=Search</v>
      </c>
    </row>
    <row r="3610" spans="1:11">
      <c r="A3610" t="s">
        <v>8966</v>
      </c>
      <c r="B3610" t="s">
        <v>3213</v>
      </c>
      <c r="C3610" t="s">
        <v>9567</v>
      </c>
      <c r="D3610" t="s">
        <v>9578</v>
      </c>
      <c r="E3610" t="s">
        <v>17818</v>
      </c>
      <c r="F3610" t="s">
        <v>17819</v>
      </c>
      <c r="G3610" t="s">
        <v>19262</v>
      </c>
      <c r="H3610" t="s">
        <v>19267</v>
      </c>
      <c r="I3610" t="s">
        <v>18779</v>
      </c>
      <c r="K3610" t="str">
        <f>HYPERLINK("http://tuberculist.epfl.ch/quicksearch.php?gene+name=Rv3507&amp;submit=Search")</f>
        <v>http://tuberculist.epfl.ch/quicksearch.php?gene+name=Rv3507&amp;submit=Search</v>
      </c>
    </row>
    <row r="3611" spans="1:11">
      <c r="A3611" t="s">
        <v>17820</v>
      </c>
      <c r="B3611" t="s">
        <v>17821</v>
      </c>
      <c r="C3611" t="s">
        <v>9567</v>
      </c>
      <c r="D3611" t="s">
        <v>9578</v>
      </c>
      <c r="E3611" t="s">
        <v>17822</v>
      </c>
      <c r="F3611" t="s">
        <v>17823</v>
      </c>
      <c r="G3611" t="s">
        <v>19262</v>
      </c>
      <c r="H3611" t="s">
        <v>19254</v>
      </c>
      <c r="I3611" t="s">
        <v>18776</v>
      </c>
      <c r="K3611" t="str">
        <f>HYPERLINK("http://tuberculist.epfl.ch/quicksearch.php?gene+name=Rv3508&amp;submit=Search")</f>
        <v>http://tuberculist.epfl.ch/quicksearch.php?gene+name=Rv3508&amp;submit=Search</v>
      </c>
    </row>
    <row r="3612" spans="1:11">
      <c r="A3612" t="s">
        <v>8274</v>
      </c>
      <c r="B3612" t="s">
        <v>2889</v>
      </c>
      <c r="C3612" t="s">
        <v>9567</v>
      </c>
      <c r="D3612" t="s">
        <v>17824</v>
      </c>
      <c r="E3612" t="s">
        <v>17825</v>
      </c>
      <c r="F3612" t="s">
        <v>17826</v>
      </c>
      <c r="G3612" t="s">
        <v>19195</v>
      </c>
      <c r="H3612" t="s">
        <v>20097</v>
      </c>
      <c r="I3612" t="s">
        <v>18780</v>
      </c>
      <c r="K3612" t="str">
        <f>HYPERLINK("http://tuberculist.epfl.ch/quicksearch.php?gene+name=Rv3509c&amp;submit=Search")</f>
        <v>http://tuberculist.epfl.ch/quicksearch.php?gene+name=Rv3509c&amp;submit=Search</v>
      </c>
    </row>
    <row r="3613" spans="1:11">
      <c r="A3613" t="s">
        <v>2228</v>
      </c>
      <c r="B3613" t="s">
        <v>2228</v>
      </c>
      <c r="C3613" t="s">
        <v>9567</v>
      </c>
      <c r="D3613" t="s">
        <v>9578</v>
      </c>
      <c r="E3613" t="s">
        <v>9665</v>
      </c>
      <c r="F3613" t="s">
        <v>17827</v>
      </c>
      <c r="G3613" t="s">
        <v>19298</v>
      </c>
      <c r="H3613" t="s">
        <v>19274</v>
      </c>
      <c r="I3613" t="s">
        <v>18789</v>
      </c>
      <c r="J3613" t="s">
        <v>18775</v>
      </c>
      <c r="K3613" t="str">
        <f>HYPERLINK("http://tuberculist.epfl.ch/quicksearch.php?gene+name=Rv3510c&amp;submit=Search")</f>
        <v>http://tuberculist.epfl.ch/quicksearch.php?gene+name=Rv3510c&amp;submit=Search</v>
      </c>
    </row>
    <row r="3614" spans="1:11">
      <c r="A3614" t="s">
        <v>17828</v>
      </c>
      <c r="B3614" t="s">
        <v>17829</v>
      </c>
      <c r="C3614" t="s">
        <v>9567</v>
      </c>
      <c r="D3614" t="s">
        <v>9578</v>
      </c>
      <c r="E3614" t="s">
        <v>17830</v>
      </c>
      <c r="F3614" t="s">
        <v>17831</v>
      </c>
      <c r="G3614" t="s">
        <v>19262</v>
      </c>
      <c r="I3614" t="s">
        <v>18793</v>
      </c>
      <c r="K3614" t="str">
        <f>HYPERLINK("http://tuberculist.epfl.ch/quicksearch.php?gene+name=Rv3511&amp;submit=Search")</f>
        <v>http://tuberculist.epfl.ch/quicksearch.php?gene+name=Rv3511&amp;submit=Search</v>
      </c>
    </row>
    <row r="3615" spans="1:11">
      <c r="A3615" t="s">
        <v>17832</v>
      </c>
      <c r="B3615" t="s">
        <v>17833</v>
      </c>
      <c r="C3615" t="s">
        <v>9567</v>
      </c>
      <c r="D3615" t="s">
        <v>9578</v>
      </c>
      <c r="E3615" t="s">
        <v>17834</v>
      </c>
      <c r="F3615" t="s">
        <v>17835</v>
      </c>
      <c r="G3615" t="s">
        <v>19262</v>
      </c>
      <c r="H3615" t="s">
        <v>19674</v>
      </c>
      <c r="I3615" t="s">
        <v>18780</v>
      </c>
      <c r="K3615" t="str">
        <f>HYPERLINK("http://tuberculist.epfl.ch/quicksearch.php?gene+name=Rv3512&amp;submit=Search")</f>
        <v>http://tuberculist.epfl.ch/quicksearch.php?gene+name=Rv3512&amp;submit=Search</v>
      </c>
    </row>
    <row r="3616" spans="1:11">
      <c r="A3616" t="s">
        <v>9412</v>
      </c>
      <c r="B3616" t="s">
        <v>3421</v>
      </c>
      <c r="C3616" t="s">
        <v>9567</v>
      </c>
      <c r="D3616" t="s">
        <v>9662</v>
      </c>
      <c r="E3616" t="s">
        <v>17836</v>
      </c>
      <c r="F3616" t="s">
        <v>17837</v>
      </c>
      <c r="G3616" t="s">
        <v>19219</v>
      </c>
      <c r="I3616" t="s">
        <v>18780</v>
      </c>
      <c r="K3616" t="str">
        <f>HYPERLINK("http://tuberculist.epfl.ch/quicksearch.php?gene+name=Rv3513c&amp;submit=Search")</f>
        <v>http://tuberculist.epfl.ch/quicksearch.php?gene+name=Rv3513c&amp;submit=Search</v>
      </c>
    </row>
    <row r="3617" spans="1:11">
      <c r="A3617" t="s">
        <v>17838</v>
      </c>
      <c r="B3617" t="s">
        <v>17839</v>
      </c>
      <c r="C3617" t="s">
        <v>9567</v>
      </c>
      <c r="D3617" t="s">
        <v>9578</v>
      </c>
      <c r="E3617" t="s">
        <v>17840</v>
      </c>
      <c r="F3617" t="s">
        <v>17841</v>
      </c>
      <c r="G3617" t="s">
        <v>19262</v>
      </c>
      <c r="H3617" t="s">
        <v>19267</v>
      </c>
      <c r="I3617" t="s">
        <v>18776</v>
      </c>
      <c r="J3617" t="s">
        <v>18965</v>
      </c>
      <c r="K3617" t="str">
        <f>HYPERLINK("http://tuberculist.epfl.ch/quicksearch.php?gene+name=Rv3514&amp;submit=Search")</f>
        <v>http://tuberculist.epfl.ch/quicksearch.php?gene+name=Rv3514&amp;submit=Search</v>
      </c>
    </row>
    <row r="3618" spans="1:11">
      <c r="A3618" t="s">
        <v>5050</v>
      </c>
      <c r="B3618" t="s">
        <v>1279</v>
      </c>
      <c r="C3618" t="s">
        <v>9567</v>
      </c>
      <c r="D3618" t="s">
        <v>9662</v>
      </c>
      <c r="E3618" t="s">
        <v>17842</v>
      </c>
      <c r="F3618" t="s">
        <v>17843</v>
      </c>
      <c r="G3618" t="s">
        <v>19219</v>
      </c>
      <c r="H3618" t="s">
        <v>19309</v>
      </c>
      <c r="I3618" t="s">
        <v>18836</v>
      </c>
      <c r="J3618" t="s">
        <v>19119</v>
      </c>
      <c r="K3618" t="str">
        <f>HYPERLINK("http://tuberculist.epfl.ch/quicksearch.php?gene+name=Rv3515c&amp;submit=Search")</f>
        <v>http://tuberculist.epfl.ch/quicksearch.php?gene+name=Rv3515c&amp;submit=Search</v>
      </c>
    </row>
    <row r="3619" spans="1:11">
      <c r="A3619" t="s">
        <v>8081</v>
      </c>
      <c r="B3619" t="s">
        <v>2797</v>
      </c>
      <c r="C3619" t="s">
        <v>9567</v>
      </c>
      <c r="D3619" t="s">
        <v>10092</v>
      </c>
      <c r="E3619" t="s">
        <v>17844</v>
      </c>
      <c r="F3619" t="s">
        <v>17845</v>
      </c>
      <c r="G3619" t="s">
        <v>19219</v>
      </c>
      <c r="H3619" t="s">
        <v>19233</v>
      </c>
      <c r="I3619" t="s">
        <v>18780</v>
      </c>
      <c r="J3619" t="s">
        <v>19119</v>
      </c>
      <c r="K3619" t="str">
        <f>HYPERLINK("http://tuberculist.epfl.ch/quicksearch.php?gene+name=Rv3516&amp;submit=Search")</f>
        <v>http://tuberculist.epfl.ch/quicksearch.php?gene+name=Rv3516&amp;submit=Search</v>
      </c>
    </row>
    <row r="3620" spans="1:11">
      <c r="A3620" t="s">
        <v>2329</v>
      </c>
      <c r="B3620" t="s">
        <v>2329</v>
      </c>
      <c r="C3620" t="s">
        <v>9567</v>
      </c>
      <c r="D3620" t="s">
        <v>9578</v>
      </c>
      <c r="E3620" t="s">
        <v>9579</v>
      </c>
      <c r="F3620" t="s">
        <v>17846</v>
      </c>
      <c r="G3620" t="s">
        <v>19212</v>
      </c>
      <c r="H3620" t="s">
        <v>19215</v>
      </c>
      <c r="I3620" t="s">
        <v>18779</v>
      </c>
      <c r="K3620" t="str">
        <f>HYPERLINK("http://tuberculist.epfl.ch/quicksearch.php?gene+name=Rv3517&amp;submit=Search")</f>
        <v>http://tuberculist.epfl.ch/quicksearch.php?gene+name=Rv3517&amp;submit=Search</v>
      </c>
    </row>
    <row r="3621" spans="1:11">
      <c r="A3621" t="s">
        <v>17847</v>
      </c>
      <c r="B3621" t="s">
        <v>871</v>
      </c>
      <c r="C3621" t="s">
        <v>9567</v>
      </c>
      <c r="D3621" t="s">
        <v>9908</v>
      </c>
      <c r="E3621" t="s">
        <v>17848</v>
      </c>
      <c r="F3621" t="s">
        <v>17849</v>
      </c>
      <c r="G3621" t="s">
        <v>19195</v>
      </c>
      <c r="H3621" t="s">
        <v>20098</v>
      </c>
      <c r="I3621" t="s">
        <v>18779</v>
      </c>
      <c r="J3621" t="s">
        <v>18820</v>
      </c>
      <c r="K3621" t="str">
        <f>HYPERLINK("http://tuberculist.epfl.ch/quicksearch.php?gene+name=Rv3518c&amp;submit=Search")</f>
        <v>http://tuberculist.epfl.ch/quicksearch.php?gene+name=Rv3518c&amp;submit=Search</v>
      </c>
    </row>
    <row r="3622" spans="1:11">
      <c r="A3622" t="s">
        <v>2275</v>
      </c>
      <c r="B3622" t="s">
        <v>2275</v>
      </c>
      <c r="C3622" t="s">
        <v>9567</v>
      </c>
      <c r="D3622" t="s">
        <v>9587</v>
      </c>
      <c r="E3622" t="s">
        <v>9768</v>
      </c>
      <c r="F3622" t="s">
        <v>17850</v>
      </c>
      <c r="G3622" t="s">
        <v>19212</v>
      </c>
      <c r="H3622" t="s">
        <v>20099</v>
      </c>
      <c r="I3622" t="s">
        <v>18810</v>
      </c>
      <c r="J3622" t="s">
        <v>18820</v>
      </c>
      <c r="K3622" t="str">
        <f>HYPERLINK("http://tuberculist.epfl.ch/quicksearch.php?gene+name=Rv3519&amp;submit=Search")</f>
        <v>http://tuberculist.epfl.ch/quicksearch.php?gene+name=Rv3519&amp;submit=Search</v>
      </c>
    </row>
    <row r="3623" spans="1:11">
      <c r="A3623" t="s">
        <v>1022</v>
      </c>
      <c r="B3623" t="s">
        <v>1022</v>
      </c>
      <c r="C3623" t="s">
        <v>9567</v>
      </c>
      <c r="D3623" t="s">
        <v>9682</v>
      </c>
      <c r="E3623" t="s">
        <v>17851</v>
      </c>
      <c r="F3623" t="s">
        <v>17852</v>
      </c>
      <c r="G3623" t="s">
        <v>19195</v>
      </c>
      <c r="H3623" t="s">
        <v>19319</v>
      </c>
      <c r="I3623" t="s">
        <v>18789</v>
      </c>
      <c r="J3623" t="s">
        <v>18820</v>
      </c>
      <c r="K3623" t="str">
        <f>HYPERLINK("http://tuberculist.epfl.ch/quicksearch.php?gene+name=Rv3520c&amp;submit=Search")</f>
        <v>http://tuberculist.epfl.ch/quicksearch.php?gene+name=Rv3520c&amp;submit=Search</v>
      </c>
    </row>
    <row r="3624" spans="1:11">
      <c r="A3624" t="s">
        <v>1320</v>
      </c>
      <c r="B3624" t="s">
        <v>1320</v>
      </c>
      <c r="C3624" t="s">
        <v>9567</v>
      </c>
      <c r="D3624" t="s">
        <v>9578</v>
      </c>
      <c r="E3624" t="s">
        <v>9579</v>
      </c>
      <c r="F3624" t="s">
        <v>17853</v>
      </c>
      <c r="G3624" t="s">
        <v>19212</v>
      </c>
      <c r="H3624" t="s">
        <v>19211</v>
      </c>
      <c r="I3624" t="s">
        <v>18780</v>
      </c>
      <c r="J3624" t="s">
        <v>18820</v>
      </c>
      <c r="K3624" t="str">
        <f>HYPERLINK("http://tuberculist.epfl.ch/quicksearch.php?gene+name=Rv3521&amp;submit=Search")</f>
        <v>http://tuberculist.epfl.ch/quicksearch.php?gene+name=Rv3521&amp;submit=Search</v>
      </c>
    </row>
    <row r="3625" spans="1:11">
      <c r="A3625" t="s">
        <v>17854</v>
      </c>
      <c r="B3625" t="s">
        <v>1196</v>
      </c>
      <c r="C3625" t="s">
        <v>9567</v>
      </c>
      <c r="D3625" t="s">
        <v>17855</v>
      </c>
      <c r="E3625" t="s">
        <v>17856</v>
      </c>
      <c r="F3625" t="s">
        <v>17857</v>
      </c>
      <c r="G3625" t="s">
        <v>19219</v>
      </c>
      <c r="I3625" t="s">
        <v>18789</v>
      </c>
      <c r="J3625" t="s">
        <v>19119</v>
      </c>
      <c r="K3625" t="str">
        <f>HYPERLINK("http://tuberculist.epfl.ch/quicksearch.php?gene+name=Rv3522&amp;submit=Search")</f>
        <v>http://tuberculist.epfl.ch/quicksearch.php?gene+name=Rv3522&amp;submit=Search</v>
      </c>
    </row>
    <row r="3626" spans="1:11">
      <c r="A3626" t="s">
        <v>17858</v>
      </c>
      <c r="B3626" t="s">
        <v>2776</v>
      </c>
      <c r="C3626" t="s">
        <v>9567</v>
      </c>
      <c r="D3626" t="s">
        <v>17855</v>
      </c>
      <c r="E3626" t="s">
        <v>17859</v>
      </c>
      <c r="F3626" t="s">
        <v>17860</v>
      </c>
      <c r="G3626" t="s">
        <v>19219</v>
      </c>
      <c r="I3626" t="s">
        <v>18810</v>
      </c>
      <c r="J3626" t="s">
        <v>19119</v>
      </c>
      <c r="K3626" t="str">
        <f>HYPERLINK("http://tuberculist.epfl.ch/quicksearch.php?gene+name=Rv3523&amp;submit=Search")</f>
        <v>http://tuberculist.epfl.ch/quicksearch.php?gene+name=Rv3523&amp;submit=Search</v>
      </c>
    </row>
    <row r="3627" spans="1:11">
      <c r="A3627" t="s">
        <v>3314</v>
      </c>
      <c r="B3627" t="s">
        <v>3314</v>
      </c>
      <c r="C3627" t="s">
        <v>9567</v>
      </c>
      <c r="D3627" t="s">
        <v>9587</v>
      </c>
      <c r="E3627" t="s">
        <v>9595</v>
      </c>
      <c r="F3627" t="s">
        <v>17861</v>
      </c>
      <c r="G3627" t="s">
        <v>19188</v>
      </c>
      <c r="I3627" t="s">
        <v>18780</v>
      </c>
      <c r="K3627" t="str">
        <f>HYPERLINK("http://tuberculist.epfl.ch/quicksearch.php?gene+name=Rv3524&amp;submit=Search")</f>
        <v>http://tuberculist.epfl.ch/quicksearch.php?gene+name=Rv3524&amp;submit=Search</v>
      </c>
    </row>
    <row r="3628" spans="1:11">
      <c r="A3628" t="s">
        <v>1424</v>
      </c>
      <c r="B3628" t="s">
        <v>1424</v>
      </c>
      <c r="C3628" t="s">
        <v>9567</v>
      </c>
      <c r="D3628" t="s">
        <v>9578</v>
      </c>
      <c r="E3628" t="s">
        <v>17862</v>
      </c>
      <c r="F3628" t="s">
        <v>17863</v>
      </c>
      <c r="G3628" t="s">
        <v>19195</v>
      </c>
      <c r="H3628" t="s">
        <v>19227</v>
      </c>
      <c r="I3628" t="s">
        <v>18789</v>
      </c>
      <c r="K3628" t="str">
        <f>HYPERLINK("http://tuberculist.epfl.ch/quicksearch.php?gene+name=Rv3525c&amp;submit=Search")</f>
        <v>http://tuberculist.epfl.ch/quicksearch.php?gene+name=Rv3525c&amp;submit=Search</v>
      </c>
    </row>
    <row r="3629" spans="1:11">
      <c r="A3629" t="s">
        <v>17864</v>
      </c>
      <c r="B3629" t="s">
        <v>3183</v>
      </c>
      <c r="C3629" t="s">
        <v>9567</v>
      </c>
      <c r="D3629" t="s">
        <v>17865</v>
      </c>
      <c r="E3629" t="s">
        <v>17866</v>
      </c>
      <c r="F3629" t="s">
        <v>17867</v>
      </c>
      <c r="G3629" t="s">
        <v>19195</v>
      </c>
      <c r="H3629" t="s">
        <v>19213</v>
      </c>
      <c r="I3629" t="s">
        <v>19123</v>
      </c>
      <c r="J3629" t="s">
        <v>19124</v>
      </c>
      <c r="K3629" t="str">
        <f>HYPERLINK("http://tuberculist.epfl.ch/quicksearch.php?gene+name=Rv3526&amp;submit=Search")</f>
        <v>http://tuberculist.epfl.ch/quicksearch.php?gene+name=Rv3526&amp;submit=Search</v>
      </c>
    </row>
    <row r="3630" spans="1:11">
      <c r="A3630" t="s">
        <v>17868</v>
      </c>
      <c r="B3630" t="s">
        <v>17868</v>
      </c>
      <c r="C3630" t="s">
        <v>9567</v>
      </c>
      <c r="D3630" t="s">
        <v>9587</v>
      </c>
      <c r="E3630" t="s">
        <v>9713</v>
      </c>
      <c r="F3630" t="s">
        <v>17869</v>
      </c>
      <c r="G3630" t="s">
        <v>19204</v>
      </c>
      <c r="H3630" t="s">
        <v>19520</v>
      </c>
      <c r="I3630" t="s">
        <v>18780</v>
      </c>
      <c r="J3630" t="s">
        <v>18820</v>
      </c>
      <c r="K3630" t="str">
        <f>HYPERLINK("http://tuberculist.epfl.ch/quicksearch.php?gene+name=Rv3527&amp;submit=Search")</f>
        <v>http://tuberculist.epfl.ch/quicksearch.php?gene+name=Rv3527&amp;submit=Search</v>
      </c>
    </row>
    <row r="3631" spans="1:11">
      <c r="A3631" t="s">
        <v>2695</v>
      </c>
      <c r="B3631" t="s">
        <v>2695</v>
      </c>
      <c r="C3631" t="s">
        <v>9567</v>
      </c>
      <c r="D3631" t="s">
        <v>9587</v>
      </c>
      <c r="E3631" t="s">
        <v>9768</v>
      </c>
      <c r="F3631" t="s">
        <v>17870</v>
      </c>
      <c r="G3631" t="s">
        <v>19212</v>
      </c>
      <c r="H3631" t="s">
        <v>19225</v>
      </c>
      <c r="I3631" t="s">
        <v>18788</v>
      </c>
      <c r="K3631" t="str">
        <f>HYPERLINK("http://tuberculist.epfl.ch/quicksearch.php?gene+name=Rv3528c&amp;submit=Search")</f>
        <v>http://tuberculist.epfl.ch/quicksearch.php?gene+name=Rv3528c&amp;submit=Search</v>
      </c>
    </row>
    <row r="3632" spans="1:11">
      <c r="A3632" t="s">
        <v>762</v>
      </c>
      <c r="B3632" t="s">
        <v>762</v>
      </c>
      <c r="C3632" t="s">
        <v>9567</v>
      </c>
      <c r="D3632" t="s">
        <v>9578</v>
      </c>
      <c r="E3632" t="s">
        <v>9579</v>
      </c>
      <c r="F3632" t="s">
        <v>17871</v>
      </c>
      <c r="G3632" t="s">
        <v>19204</v>
      </c>
      <c r="I3632" t="s">
        <v>18792</v>
      </c>
      <c r="J3632" t="s">
        <v>18820</v>
      </c>
      <c r="K3632" t="str">
        <f>HYPERLINK("http://tuberculist.epfl.ch/quicksearch.php?gene+name=Rv3529c&amp;submit=Search")</f>
        <v>http://tuberculist.epfl.ch/quicksearch.php?gene+name=Rv3529c&amp;submit=Search</v>
      </c>
    </row>
    <row r="3633" spans="1:11">
      <c r="A3633" t="s">
        <v>1250</v>
      </c>
      <c r="B3633" t="s">
        <v>1250</v>
      </c>
      <c r="C3633" t="s">
        <v>9567</v>
      </c>
      <c r="D3633" t="s">
        <v>9682</v>
      </c>
      <c r="E3633" t="s">
        <v>9683</v>
      </c>
      <c r="F3633" t="s">
        <v>17872</v>
      </c>
      <c r="G3633" t="s">
        <v>19195</v>
      </c>
      <c r="H3633" t="s">
        <v>19213</v>
      </c>
      <c r="I3633" t="s">
        <v>18779</v>
      </c>
      <c r="J3633" t="s">
        <v>18820</v>
      </c>
      <c r="K3633" t="str">
        <f>HYPERLINK("http://tuberculist.epfl.ch/quicksearch.php?gene+name=Rv3530c&amp;submit=Search")</f>
        <v>http://tuberculist.epfl.ch/quicksearch.php?gene+name=Rv3530c&amp;submit=Search</v>
      </c>
    </row>
    <row r="3634" spans="1:11">
      <c r="A3634" t="s">
        <v>2016</v>
      </c>
      <c r="B3634" t="s">
        <v>2016</v>
      </c>
      <c r="C3634" t="s">
        <v>9567</v>
      </c>
      <c r="D3634" t="s">
        <v>9587</v>
      </c>
      <c r="E3634" t="s">
        <v>9713</v>
      </c>
      <c r="F3634" t="s">
        <v>17873</v>
      </c>
      <c r="G3634" t="s">
        <v>19204</v>
      </c>
      <c r="I3634" t="s">
        <v>18781</v>
      </c>
      <c r="J3634" t="s">
        <v>19125</v>
      </c>
      <c r="K3634" t="str">
        <f>HYPERLINK("http://tuberculist.epfl.ch/quicksearch.php?gene+name=Rv3531c&amp;submit=Search")</f>
        <v>http://tuberculist.epfl.ch/quicksearch.php?gene+name=Rv3531c&amp;submit=Search</v>
      </c>
    </row>
    <row r="3635" spans="1:11">
      <c r="A3635" t="s">
        <v>8968</v>
      </c>
      <c r="B3635" t="s">
        <v>3214</v>
      </c>
      <c r="C3635" t="s">
        <v>9567</v>
      </c>
      <c r="D3635" t="s">
        <v>9578</v>
      </c>
      <c r="E3635" t="s">
        <v>17874</v>
      </c>
      <c r="F3635" t="s">
        <v>17875</v>
      </c>
      <c r="G3635" t="s">
        <v>19262</v>
      </c>
      <c r="I3635" t="s">
        <v>18780</v>
      </c>
      <c r="J3635" t="s">
        <v>18832</v>
      </c>
      <c r="K3635" t="str">
        <f>HYPERLINK("http://tuberculist.epfl.ch/quicksearch.php?gene+name=Rv3532&amp;submit=Search")</f>
        <v>http://tuberculist.epfl.ch/quicksearch.php?gene+name=Rv3532&amp;submit=Search</v>
      </c>
    </row>
    <row r="3636" spans="1:11">
      <c r="A3636" t="s">
        <v>17876</v>
      </c>
      <c r="B3636" t="s">
        <v>17877</v>
      </c>
      <c r="C3636" t="s">
        <v>9567</v>
      </c>
      <c r="D3636" t="s">
        <v>9578</v>
      </c>
      <c r="E3636" t="s">
        <v>17878</v>
      </c>
      <c r="F3636" t="s">
        <v>17879</v>
      </c>
      <c r="G3636" t="s">
        <v>19553</v>
      </c>
      <c r="I3636" t="s">
        <v>18773</v>
      </c>
      <c r="J3636" t="s">
        <v>18832</v>
      </c>
      <c r="K3636" t="str">
        <f>HYPERLINK("http://tuberculist.epfl.ch/quicksearch.php?gene+name=Rv3533c&amp;submit=Search")</f>
        <v>http://tuberculist.epfl.ch/quicksearch.php?gene+name=Rv3533c&amp;submit=Search</v>
      </c>
    </row>
    <row r="3637" spans="1:11">
      <c r="A3637" t="s">
        <v>17880</v>
      </c>
      <c r="B3637" t="s">
        <v>2034</v>
      </c>
      <c r="C3637" t="s">
        <v>9567</v>
      </c>
      <c r="D3637" t="s">
        <v>17881</v>
      </c>
      <c r="E3637" t="s">
        <v>17882</v>
      </c>
      <c r="F3637" t="s">
        <v>17883</v>
      </c>
      <c r="G3637" t="s">
        <v>19195</v>
      </c>
      <c r="H3637" t="s">
        <v>19362</v>
      </c>
      <c r="I3637" t="s">
        <v>19121</v>
      </c>
      <c r="J3637" t="s">
        <v>19119</v>
      </c>
      <c r="K3637" t="str">
        <f>HYPERLINK("http://tuberculist.epfl.ch/quicksearch.php?gene+name=Rv3534c&amp;submit=Search")</f>
        <v>http://tuberculist.epfl.ch/quicksearch.php?gene+name=Rv3534c&amp;submit=Search</v>
      </c>
    </row>
    <row r="3638" spans="1:11">
      <c r="A3638" t="s">
        <v>17884</v>
      </c>
      <c r="B3638" t="s">
        <v>2330</v>
      </c>
      <c r="C3638" t="s">
        <v>9567</v>
      </c>
      <c r="D3638" t="s">
        <v>17885</v>
      </c>
      <c r="E3638" t="s">
        <v>17886</v>
      </c>
      <c r="F3638" t="s">
        <v>17887</v>
      </c>
      <c r="G3638" t="s">
        <v>19195</v>
      </c>
      <c r="H3638" t="s">
        <v>19213</v>
      </c>
      <c r="I3638" t="s">
        <v>18780</v>
      </c>
      <c r="J3638" t="s">
        <v>19119</v>
      </c>
      <c r="K3638" t="str">
        <f>HYPERLINK("http://tuberculist.epfl.ch/quicksearch.php?gene+name=Rv3535c&amp;submit=Search")</f>
        <v>http://tuberculist.epfl.ch/quicksearch.php?gene+name=Rv3535c&amp;submit=Search</v>
      </c>
    </row>
    <row r="3639" spans="1:11">
      <c r="A3639" t="s">
        <v>17888</v>
      </c>
      <c r="B3639" t="s">
        <v>2947</v>
      </c>
      <c r="C3639" t="s">
        <v>9567</v>
      </c>
      <c r="D3639" t="s">
        <v>17889</v>
      </c>
      <c r="E3639" t="s">
        <v>17890</v>
      </c>
      <c r="F3639" t="s">
        <v>17891</v>
      </c>
      <c r="G3639" t="s">
        <v>19195</v>
      </c>
      <c r="H3639" t="s">
        <v>19213</v>
      </c>
      <c r="I3639" t="s">
        <v>18891</v>
      </c>
      <c r="J3639" t="s">
        <v>19119</v>
      </c>
      <c r="K3639" t="str">
        <f>HYPERLINK("http://tuberculist.epfl.ch/quicksearch.php?gene+name=Rv3536c&amp;submit=Search")</f>
        <v>http://tuberculist.epfl.ch/quicksearch.php?gene+name=Rv3536c&amp;submit=Search</v>
      </c>
    </row>
    <row r="3640" spans="1:11">
      <c r="A3640" t="s">
        <v>17892</v>
      </c>
      <c r="B3640" t="s">
        <v>2549</v>
      </c>
      <c r="C3640" t="s">
        <v>9567</v>
      </c>
      <c r="D3640" t="s">
        <v>17889</v>
      </c>
      <c r="E3640" t="s">
        <v>11202</v>
      </c>
      <c r="F3640" t="s">
        <v>17893</v>
      </c>
      <c r="G3640" t="s">
        <v>19195</v>
      </c>
      <c r="H3640" t="s">
        <v>19257</v>
      </c>
      <c r="I3640" t="s">
        <v>19126</v>
      </c>
      <c r="J3640" t="s">
        <v>19119</v>
      </c>
      <c r="K3640" t="str">
        <f>HYPERLINK("http://tuberculist.epfl.ch/quicksearch.php?gene+name=Rv3537&amp;submit=Search")</f>
        <v>http://tuberculist.epfl.ch/quicksearch.php?gene+name=Rv3537&amp;submit=Search</v>
      </c>
    </row>
    <row r="3641" spans="1:11">
      <c r="A3641" t="s">
        <v>17894</v>
      </c>
      <c r="B3641" t="s">
        <v>17894</v>
      </c>
      <c r="C3641" t="s">
        <v>9567</v>
      </c>
      <c r="D3641" t="s">
        <v>17895</v>
      </c>
      <c r="E3641" t="s">
        <v>17896</v>
      </c>
      <c r="F3641" t="s">
        <v>17897</v>
      </c>
      <c r="G3641" t="s">
        <v>19195</v>
      </c>
      <c r="H3641" t="s">
        <v>19213</v>
      </c>
      <c r="I3641" t="s">
        <v>18800</v>
      </c>
      <c r="J3641" t="s">
        <v>19119</v>
      </c>
      <c r="K3641" t="str">
        <f>HYPERLINK("http://tuberculist.epfl.ch/quicksearch.php?gene+name=Rv3538&amp;submit=Search")</f>
        <v>http://tuberculist.epfl.ch/quicksearch.php?gene+name=Rv3538&amp;submit=Search</v>
      </c>
    </row>
    <row r="3642" spans="1:11">
      <c r="A3642" t="s">
        <v>4025</v>
      </c>
      <c r="B3642" t="s">
        <v>771</v>
      </c>
      <c r="C3642" t="s">
        <v>9567</v>
      </c>
      <c r="D3642" t="s">
        <v>9578</v>
      </c>
      <c r="E3642" t="s">
        <v>17898</v>
      </c>
      <c r="F3642" t="s">
        <v>17899</v>
      </c>
      <c r="G3642" t="s">
        <v>19553</v>
      </c>
      <c r="H3642" t="s">
        <v>19207</v>
      </c>
      <c r="I3642" t="s">
        <v>18793</v>
      </c>
      <c r="K3642" t="str">
        <f>HYPERLINK("http://tuberculist.epfl.ch/quicksearch.php?gene+name=Rv3539&amp;submit=Search")</f>
        <v>http://tuberculist.epfl.ch/quicksearch.php?gene+name=Rv3539&amp;submit=Search</v>
      </c>
    </row>
    <row r="3643" spans="1:11">
      <c r="A3643" t="s">
        <v>5570</v>
      </c>
      <c r="B3643" t="s">
        <v>1551</v>
      </c>
      <c r="C3643" t="s">
        <v>9567</v>
      </c>
      <c r="D3643" t="s">
        <v>17900</v>
      </c>
      <c r="E3643" t="s">
        <v>17901</v>
      </c>
      <c r="F3643" t="s">
        <v>17902</v>
      </c>
      <c r="G3643" t="s">
        <v>19219</v>
      </c>
      <c r="I3643" t="s">
        <v>19127</v>
      </c>
      <c r="J3643" t="s">
        <v>18820</v>
      </c>
      <c r="K3643" t="str">
        <f>HYPERLINK("http://tuberculist.epfl.ch/quicksearch.php?gene+name=Rv3540c&amp;submit=Search")</f>
        <v>http://tuberculist.epfl.ch/quicksearch.php?gene+name=Rv3540c&amp;submit=Search</v>
      </c>
    </row>
    <row r="3644" spans="1:11">
      <c r="A3644" t="s">
        <v>17903</v>
      </c>
      <c r="B3644" t="s">
        <v>17903</v>
      </c>
      <c r="C3644" t="s">
        <v>9567</v>
      </c>
      <c r="D3644" t="s">
        <v>9578</v>
      </c>
      <c r="E3644" t="s">
        <v>9665</v>
      </c>
      <c r="F3644" t="s">
        <v>17904</v>
      </c>
      <c r="G3644" t="s">
        <v>19220</v>
      </c>
      <c r="H3644" t="s">
        <v>19324</v>
      </c>
      <c r="I3644" t="s">
        <v>19128</v>
      </c>
      <c r="J3644" t="s">
        <v>18820</v>
      </c>
      <c r="K3644" t="str">
        <f>HYPERLINK("http://tuberculist.epfl.ch/quicksearch.php?gene+name=Rv3541c&amp;submit=Search")</f>
        <v>http://tuberculist.epfl.ch/quicksearch.php?gene+name=Rv3541c&amp;submit=Search</v>
      </c>
    </row>
    <row r="3645" spans="1:11">
      <c r="A3645" t="s">
        <v>1197</v>
      </c>
      <c r="B3645" t="s">
        <v>1197</v>
      </c>
      <c r="C3645" t="s">
        <v>9567</v>
      </c>
      <c r="D3645" t="s">
        <v>9578</v>
      </c>
      <c r="E3645" t="s">
        <v>9579</v>
      </c>
      <c r="F3645" t="s">
        <v>17905</v>
      </c>
      <c r="G3645" t="s">
        <v>19220</v>
      </c>
      <c r="I3645" t="s">
        <v>19129</v>
      </c>
      <c r="J3645" t="s">
        <v>18820</v>
      </c>
      <c r="K3645" t="str">
        <f>HYPERLINK("http://tuberculist.epfl.ch/quicksearch.php?gene+name=Rv3542c&amp;submit=Search")</f>
        <v>http://tuberculist.epfl.ch/quicksearch.php?gene+name=Rv3542c&amp;submit=Search</v>
      </c>
    </row>
    <row r="3646" spans="1:11">
      <c r="A3646" t="s">
        <v>6203</v>
      </c>
      <c r="B3646" t="s">
        <v>1859</v>
      </c>
      <c r="C3646" t="s">
        <v>9567</v>
      </c>
      <c r="D3646" t="s">
        <v>9662</v>
      </c>
      <c r="E3646" t="s">
        <v>17906</v>
      </c>
      <c r="F3646" t="s">
        <v>17907</v>
      </c>
      <c r="G3646" t="s">
        <v>19219</v>
      </c>
      <c r="H3646" t="s">
        <v>19213</v>
      </c>
      <c r="I3646" t="s">
        <v>19130</v>
      </c>
      <c r="J3646" t="s">
        <v>18820</v>
      </c>
      <c r="K3646" t="str">
        <f>HYPERLINK("http://tuberculist.epfl.ch/quicksearch.php?gene+name=Rv3543c&amp;submit=Search")</f>
        <v>http://tuberculist.epfl.ch/quicksearch.php?gene+name=Rv3543c&amp;submit=Search</v>
      </c>
    </row>
    <row r="3647" spans="1:11">
      <c r="A3647" t="s">
        <v>7947</v>
      </c>
      <c r="B3647" t="s">
        <v>2735</v>
      </c>
      <c r="C3647" t="s">
        <v>9567</v>
      </c>
      <c r="D3647" t="s">
        <v>9662</v>
      </c>
      <c r="E3647" t="s">
        <v>17908</v>
      </c>
      <c r="F3647" t="s">
        <v>17909</v>
      </c>
      <c r="G3647" t="s">
        <v>19219</v>
      </c>
      <c r="H3647" t="s">
        <v>19213</v>
      </c>
      <c r="I3647" t="s">
        <v>19129</v>
      </c>
      <c r="J3647" t="s">
        <v>18820</v>
      </c>
      <c r="K3647" t="str">
        <f>HYPERLINK("http://tuberculist.epfl.ch/quicksearch.php?gene+name=Rv3544c&amp;submit=Search")</f>
        <v>http://tuberculist.epfl.ch/quicksearch.php?gene+name=Rv3544c&amp;submit=Search</v>
      </c>
    </row>
    <row r="3648" spans="1:11">
      <c r="A3648" t="s">
        <v>9234</v>
      </c>
      <c r="B3648" t="s">
        <v>3340</v>
      </c>
      <c r="C3648" t="s">
        <v>9567</v>
      </c>
      <c r="D3648" t="s">
        <v>9908</v>
      </c>
      <c r="E3648" t="s">
        <v>17910</v>
      </c>
      <c r="F3648" t="s">
        <v>17911</v>
      </c>
      <c r="G3648" t="s">
        <v>19195</v>
      </c>
      <c r="H3648" t="s">
        <v>19247</v>
      </c>
      <c r="I3648" t="s">
        <v>19127</v>
      </c>
      <c r="J3648" t="s">
        <v>18820</v>
      </c>
      <c r="K3648" t="str">
        <f>HYPERLINK("http://tuberculist.epfl.ch/quicksearch.php?gene+name=Rv3545c&amp;submit=Search")</f>
        <v>http://tuberculist.epfl.ch/quicksearch.php?gene+name=Rv3545c&amp;submit=Search</v>
      </c>
    </row>
    <row r="3649" spans="1:11">
      <c r="A3649" t="s">
        <v>8984</v>
      </c>
      <c r="B3649" t="s">
        <v>3223</v>
      </c>
      <c r="C3649" t="s">
        <v>9567</v>
      </c>
      <c r="D3649" t="s">
        <v>12246</v>
      </c>
      <c r="E3649" t="s">
        <v>17912</v>
      </c>
      <c r="F3649" t="s">
        <v>17913</v>
      </c>
      <c r="G3649" t="s">
        <v>19219</v>
      </c>
      <c r="H3649" t="s">
        <v>19227</v>
      </c>
      <c r="I3649" t="s">
        <v>18781</v>
      </c>
      <c r="J3649" t="s">
        <v>19131</v>
      </c>
      <c r="K3649" t="str">
        <f>HYPERLINK("http://tuberculist.epfl.ch/quicksearch.php?gene+name=Rv3546&amp;submit=Search")</f>
        <v>http://tuberculist.epfl.ch/quicksearch.php?gene+name=Rv3546&amp;submit=Search</v>
      </c>
    </row>
    <row r="3650" spans="1:11">
      <c r="A3650" t="s">
        <v>17914</v>
      </c>
      <c r="B3650" t="s">
        <v>750</v>
      </c>
      <c r="C3650" t="s">
        <v>9567</v>
      </c>
      <c r="D3650" t="s">
        <v>17915</v>
      </c>
      <c r="E3650" t="s">
        <v>17916</v>
      </c>
      <c r="F3650" t="s">
        <v>17917</v>
      </c>
      <c r="G3650" t="s">
        <v>19195</v>
      </c>
      <c r="H3650" t="s">
        <v>20100</v>
      </c>
      <c r="I3650" t="s">
        <v>18780</v>
      </c>
      <c r="J3650" t="s">
        <v>18820</v>
      </c>
      <c r="K3650" t="str">
        <f>HYPERLINK("http://tuberculist.epfl.ch/quicksearch.php?gene+name=Rv3547&amp;submit=Search")</f>
        <v>http://tuberculist.epfl.ch/quicksearch.php?gene+name=Rv3547&amp;submit=Search</v>
      </c>
    </row>
    <row r="3651" spans="1:11">
      <c r="A3651" t="s">
        <v>913</v>
      </c>
      <c r="B3651" t="s">
        <v>913</v>
      </c>
      <c r="C3651" t="s">
        <v>9567</v>
      </c>
      <c r="D3651" t="s">
        <v>17918</v>
      </c>
      <c r="E3651" t="s">
        <v>9932</v>
      </c>
      <c r="F3651" t="s">
        <v>17919</v>
      </c>
      <c r="G3651" t="s">
        <v>19195</v>
      </c>
      <c r="H3651" t="s">
        <v>19213</v>
      </c>
      <c r="I3651" t="s">
        <v>18781</v>
      </c>
      <c r="K3651" t="str">
        <f>HYPERLINK("http://tuberculist.epfl.ch/quicksearch.php?gene+name=Rv3548c&amp;submit=Search")</f>
        <v>http://tuberculist.epfl.ch/quicksearch.php?gene+name=Rv3548c&amp;submit=Search</v>
      </c>
    </row>
    <row r="3652" spans="1:11">
      <c r="A3652" t="s">
        <v>2642</v>
      </c>
      <c r="B3652" t="s">
        <v>2642</v>
      </c>
      <c r="C3652" t="s">
        <v>9567</v>
      </c>
      <c r="D3652" t="s">
        <v>17918</v>
      </c>
      <c r="E3652" t="s">
        <v>9932</v>
      </c>
      <c r="F3652" t="s">
        <v>17920</v>
      </c>
      <c r="G3652" t="s">
        <v>19195</v>
      </c>
      <c r="H3652" t="s">
        <v>19214</v>
      </c>
      <c r="I3652" t="s">
        <v>18836</v>
      </c>
      <c r="K3652" t="str">
        <f>HYPERLINK("http://tuberculist.epfl.ch/quicksearch.php?gene+name=Rv3549c&amp;submit=Search")</f>
        <v>http://tuberculist.epfl.ch/quicksearch.php?gene+name=Rv3549c&amp;submit=Search</v>
      </c>
    </row>
    <row r="3653" spans="1:11">
      <c r="A3653" t="s">
        <v>8147</v>
      </c>
      <c r="B3653" t="s">
        <v>2828</v>
      </c>
      <c r="C3653" t="s">
        <v>9567</v>
      </c>
      <c r="D3653" t="s">
        <v>10092</v>
      </c>
      <c r="E3653" t="s">
        <v>17921</v>
      </c>
      <c r="F3653" t="s">
        <v>17922</v>
      </c>
      <c r="G3653" t="s">
        <v>19219</v>
      </c>
      <c r="H3653" t="s">
        <v>19257</v>
      </c>
      <c r="I3653" t="s">
        <v>18780</v>
      </c>
      <c r="K3653" t="str">
        <f>HYPERLINK("http://tuberculist.epfl.ch/quicksearch.php?gene+name=Rv3550&amp;submit=Search")</f>
        <v>http://tuberculist.epfl.ch/quicksearch.php?gene+name=Rv3550&amp;submit=Search</v>
      </c>
    </row>
    <row r="3654" spans="1:11">
      <c r="A3654" t="s">
        <v>751</v>
      </c>
      <c r="B3654" t="s">
        <v>751</v>
      </c>
      <c r="C3654" t="s">
        <v>9567</v>
      </c>
      <c r="D3654" t="s">
        <v>17923</v>
      </c>
      <c r="E3654" t="s">
        <v>17924</v>
      </c>
      <c r="F3654" t="s">
        <v>17925</v>
      </c>
      <c r="G3654" t="s">
        <v>19195</v>
      </c>
      <c r="H3654" t="s">
        <v>19213</v>
      </c>
      <c r="I3654" t="s">
        <v>19132</v>
      </c>
      <c r="K3654" t="str">
        <f>HYPERLINK("http://tuberculist.epfl.ch/quicksearch.php?gene+name=Rv3551&amp;submit=Search")</f>
        <v>http://tuberculist.epfl.ch/quicksearch.php?gene+name=Rv3551&amp;submit=Search</v>
      </c>
    </row>
    <row r="3655" spans="1:11">
      <c r="A3655" t="s">
        <v>2035</v>
      </c>
      <c r="B3655" t="s">
        <v>2035</v>
      </c>
      <c r="C3655" t="s">
        <v>9567</v>
      </c>
      <c r="D3655" t="s">
        <v>17923</v>
      </c>
      <c r="E3655" t="s">
        <v>17926</v>
      </c>
      <c r="F3655" t="s">
        <v>17927</v>
      </c>
      <c r="G3655" t="s">
        <v>19195</v>
      </c>
      <c r="H3655" t="s">
        <v>19192</v>
      </c>
      <c r="I3655" t="s">
        <v>18867</v>
      </c>
      <c r="K3655" t="str">
        <f>HYPERLINK("http://tuberculist.epfl.ch/quicksearch.php?gene+name=Rv3552&amp;submit=Search")</f>
        <v>http://tuberculist.epfl.ch/quicksearch.php?gene+name=Rv3552&amp;submit=Search</v>
      </c>
    </row>
    <row r="3656" spans="1:11">
      <c r="A3656" t="s">
        <v>1680</v>
      </c>
      <c r="B3656" t="s">
        <v>1680</v>
      </c>
      <c r="C3656" t="s">
        <v>9567</v>
      </c>
      <c r="D3656" t="s">
        <v>9682</v>
      </c>
      <c r="E3656" t="s">
        <v>9683</v>
      </c>
      <c r="F3656" t="s">
        <v>17928</v>
      </c>
      <c r="G3656" t="s">
        <v>19195</v>
      </c>
      <c r="H3656" t="s">
        <v>19207</v>
      </c>
      <c r="I3656" t="s">
        <v>18836</v>
      </c>
      <c r="K3656" t="str">
        <f>HYPERLINK("http://tuberculist.epfl.ch/quicksearch.php?gene+name=Rv3553&amp;submit=Search")</f>
        <v>http://tuberculist.epfl.ch/quicksearch.php?gene+name=Rv3553&amp;submit=Search</v>
      </c>
    </row>
    <row r="3657" spans="1:11">
      <c r="A3657" t="s">
        <v>9454</v>
      </c>
      <c r="B3657" t="s">
        <v>439</v>
      </c>
      <c r="C3657" t="s">
        <v>9567</v>
      </c>
      <c r="D3657" t="s">
        <v>17929</v>
      </c>
      <c r="E3657" t="s">
        <v>17930</v>
      </c>
      <c r="F3657" t="s">
        <v>17931</v>
      </c>
      <c r="G3657" t="s">
        <v>19195</v>
      </c>
      <c r="H3657" t="s">
        <v>19211</v>
      </c>
      <c r="I3657" t="s">
        <v>18789</v>
      </c>
      <c r="K3657" t="str">
        <f>HYPERLINK("http://tuberculist.epfl.ch/quicksearch.php?gene+name=Rv3554&amp;submit=Search")</f>
        <v>http://tuberculist.epfl.ch/quicksearch.php?gene+name=Rv3554&amp;submit=Search</v>
      </c>
    </row>
    <row r="3658" spans="1:11">
      <c r="A3658" t="s">
        <v>733</v>
      </c>
      <c r="B3658" t="s">
        <v>733</v>
      </c>
      <c r="C3658" t="s">
        <v>9567</v>
      </c>
      <c r="D3658" t="s">
        <v>9578</v>
      </c>
      <c r="E3658" t="s">
        <v>9665</v>
      </c>
      <c r="F3658" t="s">
        <v>17932</v>
      </c>
      <c r="G3658" t="s">
        <v>19212</v>
      </c>
      <c r="H3658" t="s">
        <v>20101</v>
      </c>
      <c r="I3658" t="s">
        <v>18780</v>
      </c>
      <c r="K3658" t="str">
        <f>HYPERLINK("http://tuberculist.epfl.ch/quicksearch.php?gene+name=Rv3555c&amp;submit=Search")</f>
        <v>http://tuberculist.epfl.ch/quicksearch.php?gene+name=Rv3555c&amp;submit=Search</v>
      </c>
    </row>
    <row r="3659" spans="1:11">
      <c r="A3659" t="s">
        <v>7315</v>
      </c>
      <c r="B3659" t="s">
        <v>2416</v>
      </c>
      <c r="C3659" t="s">
        <v>9567</v>
      </c>
      <c r="D3659" t="s">
        <v>12246</v>
      </c>
      <c r="E3659" t="s">
        <v>17933</v>
      </c>
      <c r="F3659" t="s">
        <v>17934</v>
      </c>
      <c r="G3659" t="s">
        <v>19219</v>
      </c>
      <c r="H3659" t="s">
        <v>19198</v>
      </c>
      <c r="I3659" t="s">
        <v>19133</v>
      </c>
      <c r="K3659" t="str">
        <f>HYPERLINK("http://tuberculist.epfl.ch/quicksearch.php?gene+name=Rv3556c&amp;submit=Search")</f>
        <v>http://tuberculist.epfl.ch/quicksearch.php?gene+name=Rv3556c&amp;submit=Search</v>
      </c>
    </row>
    <row r="3660" spans="1:11">
      <c r="A3660" t="s">
        <v>2309</v>
      </c>
      <c r="B3660" t="s">
        <v>2309</v>
      </c>
      <c r="C3660" t="s">
        <v>9567</v>
      </c>
      <c r="D3660" t="s">
        <v>9629</v>
      </c>
      <c r="E3660" t="s">
        <v>17935</v>
      </c>
      <c r="F3660" t="s">
        <v>17936</v>
      </c>
      <c r="G3660" t="s">
        <v>19197</v>
      </c>
      <c r="I3660" t="s">
        <v>18780</v>
      </c>
      <c r="K3660" t="str">
        <f>HYPERLINK("http://tuberculist.epfl.ch/quicksearch.php?gene+name=Rv3557c&amp;submit=Search")</f>
        <v>http://tuberculist.epfl.ch/quicksearch.php?gene+name=Rv3557c&amp;submit=Search</v>
      </c>
    </row>
    <row r="3661" spans="1:11">
      <c r="A3661" t="s">
        <v>7317</v>
      </c>
      <c r="B3661" t="s">
        <v>2417</v>
      </c>
      <c r="C3661" t="s">
        <v>9567</v>
      </c>
      <c r="D3661" t="s">
        <v>9578</v>
      </c>
      <c r="E3661" t="s">
        <v>17937</v>
      </c>
      <c r="F3661" t="s">
        <v>17938</v>
      </c>
      <c r="G3661" t="s">
        <v>19262</v>
      </c>
      <c r="I3661" t="s">
        <v>18792</v>
      </c>
      <c r="K3661" t="str">
        <f>HYPERLINK("http://tuberculist.epfl.ch/quicksearch.php?gene+name=Rv3558&amp;submit=Search")</f>
        <v>http://tuberculist.epfl.ch/quicksearch.php?gene+name=Rv3558&amp;submit=Search</v>
      </c>
    </row>
    <row r="3662" spans="1:11">
      <c r="A3662" t="s">
        <v>2932</v>
      </c>
      <c r="B3662" t="s">
        <v>2932</v>
      </c>
      <c r="C3662" t="s">
        <v>9567</v>
      </c>
      <c r="D3662" t="s">
        <v>9682</v>
      </c>
      <c r="E3662" t="s">
        <v>9739</v>
      </c>
      <c r="F3662" t="s">
        <v>17939</v>
      </c>
      <c r="G3662" t="s">
        <v>19195</v>
      </c>
      <c r="H3662" t="s">
        <v>19213</v>
      </c>
      <c r="I3662" t="s">
        <v>18985</v>
      </c>
      <c r="K3662" t="str">
        <f>HYPERLINK("http://tuberculist.epfl.ch/quicksearch.php?gene+name=Rv3559c&amp;submit=Search")</f>
        <v>http://tuberculist.epfl.ch/quicksearch.php?gene+name=Rv3559c&amp;submit=Search</v>
      </c>
    </row>
    <row r="3663" spans="1:11">
      <c r="A3663" t="s">
        <v>9229</v>
      </c>
      <c r="B3663" t="s">
        <v>3337</v>
      </c>
      <c r="C3663" t="s">
        <v>9567</v>
      </c>
      <c r="D3663" t="s">
        <v>9662</v>
      </c>
      <c r="E3663" t="s">
        <v>17940</v>
      </c>
      <c r="F3663" t="s">
        <v>17941</v>
      </c>
      <c r="G3663" t="s">
        <v>19219</v>
      </c>
      <c r="I3663" t="s">
        <v>19134</v>
      </c>
      <c r="K3663" t="str">
        <f>HYPERLINK("http://tuberculist.epfl.ch/quicksearch.php?gene+name=Rv3560c&amp;submit=Search")</f>
        <v>http://tuberculist.epfl.ch/quicksearch.php?gene+name=Rv3560c&amp;submit=Search</v>
      </c>
    </row>
    <row r="3664" spans="1:11">
      <c r="A3664" t="s">
        <v>4425</v>
      </c>
      <c r="B3664" t="s">
        <v>981</v>
      </c>
      <c r="C3664" t="s">
        <v>9567</v>
      </c>
      <c r="D3664" t="s">
        <v>9662</v>
      </c>
      <c r="E3664" t="s">
        <v>17942</v>
      </c>
      <c r="F3664" t="s">
        <v>17943</v>
      </c>
      <c r="G3664" t="s">
        <v>19219</v>
      </c>
      <c r="H3664" t="s">
        <v>19309</v>
      </c>
      <c r="I3664" t="s">
        <v>18891</v>
      </c>
      <c r="K3664" t="str">
        <f>HYPERLINK("http://tuberculist.epfl.ch/quicksearch.php?gene+name=Rv3561&amp;submit=Search")</f>
        <v>http://tuberculist.epfl.ch/quicksearch.php?gene+name=Rv3561&amp;submit=Search</v>
      </c>
    </row>
    <row r="3665" spans="1:11">
      <c r="A3665" t="s">
        <v>8398</v>
      </c>
      <c r="B3665" t="s">
        <v>2948</v>
      </c>
      <c r="C3665" t="s">
        <v>9567</v>
      </c>
      <c r="D3665" t="s">
        <v>9662</v>
      </c>
      <c r="E3665" t="s">
        <v>17944</v>
      </c>
      <c r="F3665" t="s">
        <v>17945</v>
      </c>
      <c r="G3665" t="s">
        <v>19219</v>
      </c>
      <c r="H3665" t="s">
        <v>19213</v>
      </c>
      <c r="I3665" t="s">
        <v>18773</v>
      </c>
      <c r="K3665" t="str">
        <f>HYPERLINK("http://tuberculist.epfl.ch/quicksearch.php?gene+name=Rv3562&amp;submit=Search")</f>
        <v>http://tuberculist.epfl.ch/quicksearch.php?gene+name=Rv3562&amp;submit=Search</v>
      </c>
    </row>
    <row r="3666" spans="1:11">
      <c r="A3666" t="s">
        <v>6030</v>
      </c>
      <c r="B3666" t="s">
        <v>1771</v>
      </c>
      <c r="C3666" t="s">
        <v>9567</v>
      </c>
      <c r="D3666" t="s">
        <v>9662</v>
      </c>
      <c r="E3666" t="s">
        <v>17946</v>
      </c>
      <c r="F3666" t="s">
        <v>17947</v>
      </c>
      <c r="G3666" t="s">
        <v>19219</v>
      </c>
      <c r="H3666" t="s">
        <v>19287</v>
      </c>
      <c r="I3666" t="s">
        <v>19135</v>
      </c>
      <c r="K3666" t="str">
        <f>HYPERLINK("http://tuberculist.epfl.ch/quicksearch.php?gene+name=Rv3563&amp;submit=Search")</f>
        <v>http://tuberculist.epfl.ch/quicksearch.php?gene+name=Rv3563&amp;submit=Search</v>
      </c>
    </row>
    <row r="3667" spans="1:11">
      <c r="A3667" t="s">
        <v>17948</v>
      </c>
      <c r="B3667" t="s">
        <v>17949</v>
      </c>
      <c r="C3667" t="s">
        <v>9567</v>
      </c>
      <c r="D3667" t="s">
        <v>9662</v>
      </c>
      <c r="E3667" t="s">
        <v>17950</v>
      </c>
      <c r="F3667" t="s">
        <v>17951</v>
      </c>
      <c r="G3667" t="s">
        <v>19219</v>
      </c>
      <c r="H3667" t="s">
        <v>19213</v>
      </c>
      <c r="I3667" t="s">
        <v>18985</v>
      </c>
      <c r="K3667" t="str">
        <f>HYPERLINK("http://tuberculist.epfl.ch/quicksearch.php?gene+name=Rv3564&amp;submit=Search")</f>
        <v>http://tuberculist.epfl.ch/quicksearch.php?gene+name=Rv3564&amp;submit=Search</v>
      </c>
    </row>
    <row r="3668" spans="1:11">
      <c r="A3668" t="s">
        <v>6614</v>
      </c>
      <c r="B3668" t="s">
        <v>2067</v>
      </c>
      <c r="C3668" t="s">
        <v>9567</v>
      </c>
      <c r="D3668" t="s">
        <v>17952</v>
      </c>
      <c r="E3668" t="s">
        <v>17953</v>
      </c>
      <c r="F3668" t="s">
        <v>17954</v>
      </c>
      <c r="G3668" t="s">
        <v>19195</v>
      </c>
      <c r="H3668" t="s">
        <v>19233</v>
      </c>
      <c r="I3668" t="s">
        <v>18776</v>
      </c>
      <c r="K3668" t="str">
        <f>HYPERLINK("http://tuberculist.epfl.ch/quicksearch.php?gene+name=Rv3565&amp;submit=Search")</f>
        <v>http://tuberculist.epfl.ch/quicksearch.php?gene+name=Rv3565&amp;submit=Search</v>
      </c>
    </row>
    <row r="3669" spans="1:11">
      <c r="A3669" t="s">
        <v>17955</v>
      </c>
      <c r="B3669" t="s">
        <v>17955</v>
      </c>
      <c r="C3669" t="s">
        <v>9567</v>
      </c>
      <c r="D3669" t="s">
        <v>9587</v>
      </c>
      <c r="E3669" t="s">
        <v>9713</v>
      </c>
      <c r="F3669" t="s">
        <v>17956</v>
      </c>
      <c r="G3669" t="s">
        <v>19204</v>
      </c>
      <c r="I3669" t="s">
        <v>18793</v>
      </c>
      <c r="K3669" t="str">
        <f>HYPERLINK("http://tuberculist.epfl.ch/quicksearch.php?gene+name=Rv3566A&amp;submit=Search")</f>
        <v>http://tuberculist.epfl.ch/quicksearch.php?gene+name=Rv3566A&amp;submit=Search</v>
      </c>
    </row>
    <row r="3670" spans="1:11">
      <c r="A3670" t="s">
        <v>5933</v>
      </c>
      <c r="B3670" t="s">
        <v>1720</v>
      </c>
      <c r="C3670" t="s">
        <v>9567</v>
      </c>
      <c r="D3670" t="s">
        <v>17957</v>
      </c>
      <c r="E3670" t="s">
        <v>17958</v>
      </c>
      <c r="F3670" t="s">
        <v>17959</v>
      </c>
      <c r="G3670" t="s">
        <v>19195</v>
      </c>
      <c r="H3670" t="s">
        <v>20065</v>
      </c>
      <c r="I3670" t="s">
        <v>19136</v>
      </c>
      <c r="K3670" t="str">
        <f>HYPERLINK("http://tuberculist.epfl.ch/quicksearch.php?gene+name=Rv3566c&amp;submit=Search")</f>
        <v>http://tuberculist.epfl.ch/quicksearch.php?gene+name=Rv3566c&amp;submit=Search</v>
      </c>
    </row>
    <row r="3671" spans="1:11">
      <c r="A3671" t="s">
        <v>17960</v>
      </c>
      <c r="B3671" t="s">
        <v>17961</v>
      </c>
      <c r="C3671" t="s">
        <v>9567</v>
      </c>
      <c r="D3671" t="s">
        <v>17889</v>
      </c>
      <c r="E3671" t="s">
        <v>17962</v>
      </c>
      <c r="F3671" t="s">
        <v>17963</v>
      </c>
      <c r="G3671" t="s">
        <v>19195</v>
      </c>
      <c r="I3671" t="s">
        <v>18779</v>
      </c>
      <c r="J3671" t="s">
        <v>19119</v>
      </c>
      <c r="K3671" t="str">
        <f>HYPERLINK("http://tuberculist.epfl.ch/quicksearch.php?gene+name=Rv3567c&amp;submit=Search")</f>
        <v>http://tuberculist.epfl.ch/quicksearch.php?gene+name=Rv3567c&amp;submit=Search</v>
      </c>
    </row>
    <row r="3672" spans="1:11">
      <c r="A3672" t="s">
        <v>17964</v>
      </c>
      <c r="B3672" t="s">
        <v>378</v>
      </c>
      <c r="C3672" t="s">
        <v>9567</v>
      </c>
      <c r="D3672" t="s">
        <v>17965</v>
      </c>
      <c r="E3672" t="s">
        <v>17966</v>
      </c>
      <c r="F3672" t="s">
        <v>17967</v>
      </c>
      <c r="G3672" t="s">
        <v>19195</v>
      </c>
      <c r="H3672" t="s">
        <v>19229</v>
      </c>
      <c r="I3672" t="s">
        <v>18891</v>
      </c>
      <c r="J3672" t="s">
        <v>18820</v>
      </c>
      <c r="K3672" t="str">
        <f>HYPERLINK("http://tuberculist.epfl.ch/quicksearch.php?gene+name=Rv3568c&amp;submit=Search")</f>
        <v>http://tuberculist.epfl.ch/quicksearch.php?gene+name=Rv3568c&amp;submit=Search</v>
      </c>
    </row>
    <row r="3673" spans="1:11">
      <c r="A3673" t="s">
        <v>17968</v>
      </c>
      <c r="B3673" t="s">
        <v>2592</v>
      </c>
      <c r="C3673" t="s">
        <v>9567</v>
      </c>
      <c r="D3673" t="s">
        <v>17969</v>
      </c>
      <c r="E3673" t="s">
        <v>17970</v>
      </c>
      <c r="F3673" t="s">
        <v>17971</v>
      </c>
      <c r="G3673" t="s">
        <v>19195</v>
      </c>
      <c r="H3673" t="s">
        <v>20102</v>
      </c>
      <c r="I3673" t="s">
        <v>19137</v>
      </c>
      <c r="J3673" t="s">
        <v>19138</v>
      </c>
      <c r="K3673" t="str">
        <f>HYPERLINK("http://tuberculist.epfl.ch/quicksearch.php?gene+name=Rv3569c&amp;submit=Search")</f>
        <v>http://tuberculist.epfl.ch/quicksearch.php?gene+name=Rv3569c&amp;submit=Search</v>
      </c>
    </row>
    <row r="3674" spans="1:11">
      <c r="A3674" t="s">
        <v>17972</v>
      </c>
      <c r="B3674" t="s">
        <v>3302</v>
      </c>
      <c r="C3674" t="s">
        <v>9567</v>
      </c>
      <c r="D3674" t="s">
        <v>17889</v>
      </c>
      <c r="E3674" t="s">
        <v>17962</v>
      </c>
      <c r="F3674" t="s">
        <v>17973</v>
      </c>
      <c r="G3674" t="s">
        <v>19195</v>
      </c>
      <c r="H3674" t="s">
        <v>19225</v>
      </c>
      <c r="I3674" t="s">
        <v>19041</v>
      </c>
      <c r="J3674" t="s">
        <v>19119</v>
      </c>
      <c r="K3674" t="str">
        <f>HYPERLINK("http://tuberculist.epfl.ch/quicksearch.php?gene+name=Rv3570c&amp;submit=Search")</f>
        <v>http://tuberculist.epfl.ch/quicksearch.php?gene+name=Rv3570c&amp;submit=Search</v>
      </c>
    </row>
    <row r="3675" spans="1:11">
      <c r="A3675" t="s">
        <v>17974</v>
      </c>
      <c r="B3675" t="s">
        <v>3352</v>
      </c>
      <c r="C3675" t="s">
        <v>9567</v>
      </c>
      <c r="D3675" t="s">
        <v>17865</v>
      </c>
      <c r="E3675" t="s">
        <v>17975</v>
      </c>
      <c r="F3675" t="s">
        <v>17976</v>
      </c>
      <c r="G3675" t="s">
        <v>19195</v>
      </c>
      <c r="H3675" t="s">
        <v>19192</v>
      </c>
      <c r="I3675" t="s">
        <v>19139</v>
      </c>
      <c r="J3675" t="s">
        <v>19119</v>
      </c>
      <c r="K3675" t="str">
        <f>HYPERLINK("http://tuberculist.epfl.ch/quicksearch.php?gene+name=Rv3571&amp;submit=Search")</f>
        <v>http://tuberculist.epfl.ch/quicksearch.php?gene+name=Rv3571&amp;submit=Search</v>
      </c>
    </row>
    <row r="3676" spans="1:11">
      <c r="A3676" t="s">
        <v>1938</v>
      </c>
      <c r="B3676" t="s">
        <v>1938</v>
      </c>
      <c r="C3676" t="s">
        <v>9567</v>
      </c>
      <c r="D3676" t="s">
        <v>9587</v>
      </c>
      <c r="E3676" t="s">
        <v>9768</v>
      </c>
      <c r="F3676" t="s">
        <v>17977</v>
      </c>
      <c r="G3676" t="s">
        <v>19204</v>
      </c>
      <c r="H3676" t="s">
        <v>19359</v>
      </c>
      <c r="I3676" t="s">
        <v>18781</v>
      </c>
      <c r="J3676" t="s">
        <v>18820</v>
      </c>
      <c r="K3676" t="str">
        <f>HYPERLINK("http://tuberculist.epfl.ch/quicksearch.php?gene+name=Rv3572&amp;submit=Search")</f>
        <v>http://tuberculist.epfl.ch/quicksearch.php?gene+name=Rv3572&amp;submit=Search</v>
      </c>
    </row>
    <row r="3677" spans="1:11">
      <c r="A3677" t="s">
        <v>4882</v>
      </c>
      <c r="B3677" t="s">
        <v>1198</v>
      </c>
      <c r="C3677" t="s">
        <v>9567</v>
      </c>
      <c r="D3677" t="s">
        <v>9662</v>
      </c>
      <c r="E3677" t="s">
        <v>17978</v>
      </c>
      <c r="F3677" t="s">
        <v>17979</v>
      </c>
      <c r="G3677" t="s">
        <v>19219</v>
      </c>
      <c r="H3677" t="s">
        <v>20103</v>
      </c>
      <c r="I3677" t="s">
        <v>18781</v>
      </c>
      <c r="J3677" t="s">
        <v>18820</v>
      </c>
      <c r="K3677" t="str">
        <f>HYPERLINK("http://tuberculist.epfl.ch/quicksearch.php?gene+name=Rv3573c&amp;submit=Search")</f>
        <v>http://tuberculist.epfl.ch/quicksearch.php?gene+name=Rv3573c&amp;submit=Search</v>
      </c>
    </row>
    <row r="3678" spans="1:11">
      <c r="A3678" t="s">
        <v>17980</v>
      </c>
      <c r="B3678" t="s">
        <v>17981</v>
      </c>
      <c r="C3678" t="s">
        <v>9567</v>
      </c>
      <c r="D3678" t="s">
        <v>17982</v>
      </c>
      <c r="E3678" t="s">
        <v>17983</v>
      </c>
      <c r="F3678" t="s">
        <v>17984</v>
      </c>
      <c r="G3678" t="s">
        <v>19197</v>
      </c>
      <c r="H3678" t="s">
        <v>19213</v>
      </c>
      <c r="I3678" t="s">
        <v>18812</v>
      </c>
      <c r="K3678" t="str">
        <f>HYPERLINK("http://tuberculist.epfl.ch/quicksearch.php?gene+name=Rv3574&amp;submit=Search")</f>
        <v>http://tuberculist.epfl.ch/quicksearch.php?gene+name=Rv3574&amp;submit=Search</v>
      </c>
    </row>
    <row r="3679" spans="1:11">
      <c r="A3679" t="s">
        <v>3321</v>
      </c>
      <c r="B3679" t="s">
        <v>3321</v>
      </c>
      <c r="C3679" t="s">
        <v>9567</v>
      </c>
      <c r="D3679" t="s">
        <v>9629</v>
      </c>
      <c r="E3679" t="s">
        <v>17985</v>
      </c>
      <c r="F3679" t="s">
        <v>17986</v>
      </c>
      <c r="G3679" t="s">
        <v>19197</v>
      </c>
      <c r="H3679" t="s">
        <v>19233</v>
      </c>
      <c r="I3679" t="s">
        <v>18781</v>
      </c>
      <c r="K3679" t="str">
        <f>HYPERLINK("http://tuberculist.epfl.ch/quicksearch.php?gene+name=Rv3575c&amp;submit=Search")</f>
        <v>http://tuberculist.epfl.ch/quicksearch.php?gene+name=Rv3575c&amp;submit=Search</v>
      </c>
    </row>
    <row r="3680" spans="1:11">
      <c r="A3680" t="s">
        <v>5414</v>
      </c>
      <c r="B3680" t="s">
        <v>1468</v>
      </c>
      <c r="C3680" t="s">
        <v>9567</v>
      </c>
      <c r="D3680" t="s">
        <v>9587</v>
      </c>
      <c r="E3680" t="s">
        <v>17987</v>
      </c>
      <c r="F3680" t="s">
        <v>17988</v>
      </c>
      <c r="G3680" t="s">
        <v>19188</v>
      </c>
      <c r="H3680" t="s">
        <v>20104</v>
      </c>
      <c r="I3680" t="s">
        <v>18780</v>
      </c>
      <c r="K3680" t="str">
        <f>HYPERLINK("http://tuberculist.epfl.ch/quicksearch.php?gene+name=Rv3576&amp;submit=Search")</f>
        <v>http://tuberculist.epfl.ch/quicksearch.php?gene+name=Rv3576&amp;submit=Search</v>
      </c>
    </row>
    <row r="3681" spans="1:11">
      <c r="A3681" t="s">
        <v>1772</v>
      </c>
      <c r="B3681" t="s">
        <v>1772</v>
      </c>
      <c r="C3681" t="s">
        <v>9567</v>
      </c>
      <c r="D3681" t="s">
        <v>9578</v>
      </c>
      <c r="E3681" t="s">
        <v>9579</v>
      </c>
      <c r="F3681" t="s">
        <v>17989</v>
      </c>
      <c r="G3681" t="s">
        <v>19212</v>
      </c>
      <c r="H3681" t="s">
        <v>19207</v>
      </c>
      <c r="I3681" t="s">
        <v>18780</v>
      </c>
      <c r="K3681" t="str">
        <f>HYPERLINK("http://tuberculist.epfl.ch/quicksearch.php?gene+name=Rv3577&amp;submit=Search")</f>
        <v>http://tuberculist.epfl.ch/quicksearch.php?gene+name=Rv3577&amp;submit=Search</v>
      </c>
    </row>
    <row r="3682" spans="1:11">
      <c r="A3682" t="s">
        <v>6206</v>
      </c>
      <c r="B3682" t="s">
        <v>1860</v>
      </c>
      <c r="C3682" t="s">
        <v>9567</v>
      </c>
      <c r="D3682" t="s">
        <v>17990</v>
      </c>
      <c r="E3682" t="s">
        <v>17991</v>
      </c>
      <c r="F3682" t="s">
        <v>17992</v>
      </c>
      <c r="G3682" t="s">
        <v>19188</v>
      </c>
      <c r="I3682" t="s">
        <v>18780</v>
      </c>
      <c r="K3682" t="str">
        <f>HYPERLINK("http://tuberculist.epfl.ch/quicksearch.php?gene+name=Rv3578&amp;submit=Search")</f>
        <v>http://tuberculist.epfl.ch/quicksearch.php?gene+name=Rv3578&amp;submit=Search</v>
      </c>
    </row>
    <row r="3683" spans="1:11">
      <c r="A3683" t="s">
        <v>3382</v>
      </c>
      <c r="B3683" t="s">
        <v>3382</v>
      </c>
      <c r="C3683" t="s">
        <v>9567</v>
      </c>
      <c r="D3683" t="s">
        <v>10061</v>
      </c>
      <c r="E3683" t="s">
        <v>17993</v>
      </c>
      <c r="F3683" t="s">
        <v>17994</v>
      </c>
      <c r="G3683" t="s">
        <v>19195</v>
      </c>
      <c r="I3683" t="s">
        <v>18774</v>
      </c>
      <c r="K3683" t="str">
        <f>HYPERLINK("http://tuberculist.epfl.ch/quicksearch.php?gene+name=Rv3579c&amp;submit=Search")</f>
        <v>http://tuberculist.epfl.ch/quicksearch.php?gene+name=Rv3579c&amp;submit=Search</v>
      </c>
    </row>
    <row r="3684" spans="1:11">
      <c r="A3684" t="s">
        <v>17995</v>
      </c>
      <c r="B3684" t="s">
        <v>2977</v>
      </c>
      <c r="C3684" t="s">
        <v>9567</v>
      </c>
      <c r="D3684" t="s">
        <v>17996</v>
      </c>
      <c r="E3684" t="s">
        <v>17997</v>
      </c>
      <c r="F3684" t="s">
        <v>17998</v>
      </c>
      <c r="G3684" t="s">
        <v>19181</v>
      </c>
      <c r="H3684" t="s">
        <v>19326</v>
      </c>
      <c r="I3684" t="s">
        <v>18774</v>
      </c>
      <c r="K3684" t="str">
        <f>HYPERLINK("http://tuberculist.epfl.ch/quicksearch.php?gene+name=Rv3580c&amp;submit=Search")</f>
        <v>http://tuberculist.epfl.ch/quicksearch.php?gene+name=Rv3580c&amp;submit=Search</v>
      </c>
    </row>
    <row r="3685" spans="1:11">
      <c r="A3685" t="s">
        <v>8528</v>
      </c>
      <c r="B3685" t="s">
        <v>3009</v>
      </c>
      <c r="C3685" t="s">
        <v>9567</v>
      </c>
      <c r="D3685" t="s">
        <v>17999</v>
      </c>
      <c r="E3685" t="s">
        <v>18000</v>
      </c>
      <c r="F3685" t="s">
        <v>18001</v>
      </c>
      <c r="G3685" t="s">
        <v>19195</v>
      </c>
      <c r="H3685" t="s">
        <v>19233</v>
      </c>
      <c r="I3685" t="s">
        <v>18774</v>
      </c>
      <c r="K3685" t="str">
        <f>HYPERLINK("http://tuberculist.epfl.ch/quicksearch.php?gene+name=Rv3581c&amp;submit=Search")</f>
        <v>http://tuberculist.epfl.ch/quicksearch.php?gene+name=Rv3581c&amp;submit=Search</v>
      </c>
    </row>
    <row r="3686" spans="1:11">
      <c r="A3686" t="s">
        <v>7003</v>
      </c>
      <c r="B3686" t="s">
        <v>2260</v>
      </c>
      <c r="C3686" t="s">
        <v>9567</v>
      </c>
      <c r="D3686" t="s">
        <v>18002</v>
      </c>
      <c r="E3686" t="s">
        <v>18003</v>
      </c>
      <c r="F3686" t="s">
        <v>18004</v>
      </c>
      <c r="G3686" t="s">
        <v>19195</v>
      </c>
      <c r="H3686" t="s">
        <v>19459</v>
      </c>
      <c r="I3686" t="s">
        <v>18774</v>
      </c>
      <c r="K3686" t="str">
        <f>HYPERLINK("http://tuberculist.epfl.ch/quicksearch.php?gene+name=Rv3582c&amp;submit=Search")</f>
        <v>http://tuberculist.epfl.ch/quicksearch.php?gene+name=Rv3582c&amp;submit=Search</v>
      </c>
    </row>
    <row r="3687" spans="1:11">
      <c r="A3687" t="s">
        <v>460</v>
      </c>
      <c r="B3687" t="s">
        <v>460</v>
      </c>
      <c r="C3687" t="s">
        <v>9567</v>
      </c>
      <c r="D3687" t="s">
        <v>9629</v>
      </c>
      <c r="E3687" t="s">
        <v>18005</v>
      </c>
      <c r="F3687" t="s">
        <v>18006</v>
      </c>
      <c r="G3687" t="s">
        <v>19197</v>
      </c>
      <c r="H3687" t="s">
        <v>19233</v>
      </c>
      <c r="I3687" t="s">
        <v>18776</v>
      </c>
      <c r="K3687" t="str">
        <f>HYPERLINK("http://tuberculist.epfl.ch/quicksearch.php?gene+name=Rv3583c&amp;submit=Search")</f>
        <v>http://tuberculist.epfl.ch/quicksearch.php?gene+name=Rv3583c&amp;submit=Search</v>
      </c>
    </row>
    <row r="3688" spans="1:11">
      <c r="A3688" t="s">
        <v>7714</v>
      </c>
      <c r="B3688" t="s">
        <v>2609</v>
      </c>
      <c r="C3688" t="s">
        <v>9567</v>
      </c>
      <c r="D3688" t="s">
        <v>9587</v>
      </c>
      <c r="E3688" t="s">
        <v>18007</v>
      </c>
      <c r="F3688" t="s">
        <v>18008</v>
      </c>
      <c r="G3688" t="s">
        <v>19188</v>
      </c>
      <c r="H3688" t="s">
        <v>20105</v>
      </c>
      <c r="I3688" t="s">
        <v>18780</v>
      </c>
      <c r="K3688" t="str">
        <f>HYPERLINK("http://tuberculist.epfl.ch/quicksearch.php?gene+name=Rv3584&amp;submit=Search")</f>
        <v>http://tuberculist.epfl.ch/quicksearch.php?gene+name=Rv3584&amp;submit=Search</v>
      </c>
    </row>
    <row r="3689" spans="1:11">
      <c r="A3689" t="s">
        <v>4586</v>
      </c>
      <c r="B3689" t="s">
        <v>1049</v>
      </c>
      <c r="C3689" t="s">
        <v>9567</v>
      </c>
      <c r="D3689" t="s">
        <v>18009</v>
      </c>
      <c r="E3689" t="s">
        <v>18010</v>
      </c>
      <c r="F3689" t="s">
        <v>18011</v>
      </c>
      <c r="G3689" t="s">
        <v>19181</v>
      </c>
      <c r="H3689" t="s">
        <v>19215</v>
      </c>
      <c r="I3689" t="s">
        <v>18780</v>
      </c>
      <c r="K3689" t="str">
        <f>HYPERLINK("http://tuberculist.epfl.ch/quicksearch.php?gene+name=Rv3585&amp;submit=Search")</f>
        <v>http://tuberculist.epfl.ch/quicksearch.php?gene+name=Rv3585&amp;submit=Search</v>
      </c>
    </row>
    <row r="3690" spans="1:11">
      <c r="A3690" t="s">
        <v>1700</v>
      </c>
      <c r="B3690" t="s">
        <v>1700</v>
      </c>
      <c r="C3690" t="s">
        <v>9567</v>
      </c>
      <c r="D3690" t="s">
        <v>9578</v>
      </c>
      <c r="E3690" t="s">
        <v>9579</v>
      </c>
      <c r="F3690" t="s">
        <v>18012</v>
      </c>
      <c r="G3690" t="s">
        <v>19185</v>
      </c>
      <c r="H3690" t="s">
        <v>19213</v>
      </c>
      <c r="I3690" t="s">
        <v>18789</v>
      </c>
      <c r="K3690" t="str">
        <f>HYPERLINK("http://tuberculist.epfl.ch/quicksearch.php?gene+name=Rv3586&amp;submit=Search")</f>
        <v>http://tuberculist.epfl.ch/quicksearch.php?gene+name=Rv3586&amp;submit=Search</v>
      </c>
    </row>
    <row r="3691" spans="1:11">
      <c r="A3691" t="s">
        <v>646</v>
      </c>
      <c r="B3691" t="s">
        <v>646</v>
      </c>
      <c r="C3691" t="s">
        <v>9567</v>
      </c>
      <c r="D3691" t="s">
        <v>9578</v>
      </c>
      <c r="E3691" t="s">
        <v>9595</v>
      </c>
      <c r="F3691" t="s">
        <v>18013</v>
      </c>
      <c r="G3691" t="s">
        <v>19188</v>
      </c>
      <c r="H3691" t="s">
        <v>20106</v>
      </c>
      <c r="I3691" t="s">
        <v>18776</v>
      </c>
      <c r="K3691" t="str">
        <f>HYPERLINK("http://tuberculist.epfl.ch/quicksearch.php?gene+name=Rv3587c&amp;submit=Search")</f>
        <v>http://tuberculist.epfl.ch/quicksearch.php?gene+name=Rv3587c&amp;submit=Search</v>
      </c>
    </row>
    <row r="3692" spans="1:11">
      <c r="A3692" t="s">
        <v>8362</v>
      </c>
      <c r="B3692" t="s">
        <v>2933</v>
      </c>
      <c r="C3692" t="s">
        <v>9567</v>
      </c>
      <c r="D3692" t="s">
        <v>12600</v>
      </c>
      <c r="E3692" t="s">
        <v>18014</v>
      </c>
      <c r="F3692" t="s">
        <v>18015</v>
      </c>
      <c r="G3692" t="s">
        <v>19195</v>
      </c>
      <c r="H3692" t="s">
        <v>19274</v>
      </c>
      <c r="I3692" t="s">
        <v>18837</v>
      </c>
      <c r="J3692" t="s">
        <v>18775</v>
      </c>
      <c r="K3692" t="str">
        <f>HYPERLINK("http://tuberculist.epfl.ch/quicksearch.php?gene+name=Rv3588c&amp;submit=Search")</f>
        <v>http://tuberculist.epfl.ch/quicksearch.php?gene+name=Rv3588c&amp;submit=Search</v>
      </c>
    </row>
    <row r="3693" spans="1:11">
      <c r="A3693" t="s">
        <v>3951</v>
      </c>
      <c r="B3693" t="s">
        <v>734</v>
      </c>
      <c r="C3693" t="s">
        <v>9567</v>
      </c>
      <c r="D3693" t="s">
        <v>18016</v>
      </c>
      <c r="E3693" t="s">
        <v>18017</v>
      </c>
      <c r="F3693" t="s">
        <v>18018</v>
      </c>
      <c r="G3693" t="s">
        <v>19181</v>
      </c>
      <c r="H3693" t="s">
        <v>19207</v>
      </c>
      <c r="I3693" t="s">
        <v>18780</v>
      </c>
      <c r="K3693" t="str">
        <f>HYPERLINK("http://tuberculist.epfl.ch/quicksearch.php?gene+name=Rv3589&amp;submit=Search")</f>
        <v>http://tuberculist.epfl.ch/quicksearch.php?gene+name=Rv3589&amp;submit=Search</v>
      </c>
    </row>
    <row r="3694" spans="1:11">
      <c r="A3694" t="s">
        <v>8002</v>
      </c>
      <c r="B3694" t="s">
        <v>2760</v>
      </c>
      <c r="C3694" t="s">
        <v>9567</v>
      </c>
      <c r="D3694" t="s">
        <v>9578</v>
      </c>
      <c r="E3694" t="s">
        <v>18019</v>
      </c>
      <c r="F3694" t="s">
        <v>18020</v>
      </c>
      <c r="G3694" t="s">
        <v>19553</v>
      </c>
      <c r="H3694" t="s">
        <v>19267</v>
      </c>
      <c r="I3694" t="s">
        <v>18780</v>
      </c>
      <c r="K3694" t="str">
        <f>HYPERLINK("http://tuberculist.epfl.ch/quicksearch.php?gene+name=Rv3590c&amp;submit=Search")</f>
        <v>http://tuberculist.epfl.ch/quicksearch.php?gene+name=Rv3590c&amp;submit=Search</v>
      </c>
    </row>
    <row r="3695" spans="1:11">
      <c r="A3695" t="s">
        <v>18021</v>
      </c>
      <c r="B3695" t="s">
        <v>18021</v>
      </c>
      <c r="C3695" t="s">
        <v>9567</v>
      </c>
      <c r="D3695" t="s">
        <v>9682</v>
      </c>
      <c r="E3695" t="s">
        <v>9686</v>
      </c>
      <c r="F3695" t="s">
        <v>18022</v>
      </c>
      <c r="G3695" t="s">
        <v>19195</v>
      </c>
      <c r="H3695" t="s">
        <v>19233</v>
      </c>
      <c r="I3695" t="s">
        <v>18780</v>
      </c>
      <c r="K3695" t="str">
        <f>HYPERLINK("http://tuberculist.epfl.ch/quicksearch.php?gene+name=Rv3591c&amp;submit=Search")</f>
        <v>http://tuberculist.epfl.ch/quicksearch.php?gene+name=Rv3591c&amp;submit=Search</v>
      </c>
    </row>
    <row r="3696" spans="1:11">
      <c r="A3696" t="s">
        <v>18023</v>
      </c>
      <c r="B3696" t="s">
        <v>2100</v>
      </c>
      <c r="C3696" t="s">
        <v>9567</v>
      </c>
      <c r="D3696" t="s">
        <v>18024</v>
      </c>
      <c r="E3696" t="s">
        <v>18025</v>
      </c>
      <c r="F3696" t="s">
        <v>18026</v>
      </c>
      <c r="G3696" t="s">
        <v>19195</v>
      </c>
      <c r="H3696" t="s">
        <v>20107</v>
      </c>
      <c r="I3696" t="s">
        <v>18780</v>
      </c>
      <c r="J3696" t="s">
        <v>18873</v>
      </c>
      <c r="K3696" t="str">
        <f>HYPERLINK("http://tuberculist.epfl.ch/quicksearch.php?gene+name=Rv3592&amp;submit=Search")</f>
        <v>http://tuberculist.epfl.ch/quicksearch.php?gene+name=Rv3592&amp;submit=Search</v>
      </c>
    </row>
    <row r="3697" spans="1:11">
      <c r="A3697" t="s">
        <v>3850</v>
      </c>
      <c r="B3697" t="s">
        <v>682</v>
      </c>
      <c r="C3697" t="s">
        <v>9567</v>
      </c>
      <c r="D3697" t="s">
        <v>9587</v>
      </c>
      <c r="E3697" t="s">
        <v>18027</v>
      </c>
      <c r="F3697" t="s">
        <v>18028</v>
      </c>
      <c r="G3697" t="s">
        <v>19188</v>
      </c>
      <c r="H3697" t="s">
        <v>19959</v>
      </c>
      <c r="I3697" t="s">
        <v>18774</v>
      </c>
      <c r="K3697" t="str">
        <f>HYPERLINK("http://tuberculist.epfl.ch/quicksearch.php?gene+name=Rv3593&amp;submit=Search")</f>
        <v>http://tuberculist.epfl.ch/quicksearch.php?gene+name=Rv3593&amp;submit=Search</v>
      </c>
    </row>
    <row r="3698" spans="1:11">
      <c r="A3698" t="s">
        <v>1748</v>
      </c>
      <c r="B3698" t="s">
        <v>1748</v>
      </c>
      <c r="C3698" t="s">
        <v>9567</v>
      </c>
      <c r="D3698" t="s">
        <v>9578</v>
      </c>
      <c r="E3698" t="s">
        <v>9579</v>
      </c>
      <c r="F3698" t="s">
        <v>18029</v>
      </c>
      <c r="G3698" t="s">
        <v>19212</v>
      </c>
      <c r="I3698" t="s">
        <v>18780</v>
      </c>
      <c r="K3698" t="str">
        <f>HYPERLINK("http://tuberculist.epfl.ch/quicksearch.php?gene+name=Rv3594&amp;submit=Search")</f>
        <v>http://tuberculist.epfl.ch/quicksearch.php?gene+name=Rv3594&amp;submit=Search</v>
      </c>
    </row>
    <row r="3699" spans="1:11">
      <c r="A3699" t="s">
        <v>6484</v>
      </c>
      <c r="B3699" t="s">
        <v>1990</v>
      </c>
      <c r="C3699" t="s">
        <v>9567</v>
      </c>
      <c r="D3699" t="s">
        <v>9578</v>
      </c>
      <c r="E3699" t="s">
        <v>18030</v>
      </c>
      <c r="F3699" t="s">
        <v>18031</v>
      </c>
      <c r="G3699" t="s">
        <v>19262</v>
      </c>
      <c r="H3699" t="s">
        <v>19254</v>
      </c>
      <c r="I3699" t="s">
        <v>18780</v>
      </c>
      <c r="K3699" t="str">
        <f>HYPERLINK("http://tuberculist.epfl.ch/quicksearch.php?gene+name=Rv3595c&amp;submit=Search")</f>
        <v>http://tuberculist.epfl.ch/quicksearch.php?gene+name=Rv3595c&amp;submit=Search</v>
      </c>
    </row>
    <row r="3700" spans="1:11">
      <c r="A3700" t="s">
        <v>18032</v>
      </c>
      <c r="B3700" t="s">
        <v>2750</v>
      </c>
      <c r="C3700" t="s">
        <v>9567</v>
      </c>
      <c r="D3700" t="s">
        <v>18033</v>
      </c>
      <c r="E3700" t="s">
        <v>18034</v>
      </c>
      <c r="F3700" t="s">
        <v>18035</v>
      </c>
      <c r="G3700" t="s">
        <v>19195</v>
      </c>
      <c r="H3700" t="s">
        <v>20108</v>
      </c>
      <c r="I3700" t="s">
        <v>19140</v>
      </c>
      <c r="K3700" t="str">
        <f>HYPERLINK("http://tuberculist.epfl.ch/quicksearch.php?gene+name=Rv3596c&amp;submit=Search")</f>
        <v>http://tuberculist.epfl.ch/quicksearch.php?gene+name=Rv3596c&amp;submit=Search</v>
      </c>
    </row>
    <row r="3701" spans="1:11">
      <c r="A3701" t="s">
        <v>3485</v>
      </c>
      <c r="B3701" t="s">
        <v>500</v>
      </c>
      <c r="C3701" t="s">
        <v>9567</v>
      </c>
      <c r="D3701" t="s">
        <v>18036</v>
      </c>
      <c r="E3701" t="s">
        <v>18037</v>
      </c>
      <c r="F3701" t="s">
        <v>18038</v>
      </c>
      <c r="G3701" t="s">
        <v>19181</v>
      </c>
      <c r="H3701" t="s">
        <v>20109</v>
      </c>
      <c r="I3701" t="s">
        <v>19141</v>
      </c>
      <c r="K3701" t="str">
        <f>HYPERLINK("http://tuberculist.epfl.ch/quicksearch.php?gene+name=Rv3597c&amp;submit=Search")</f>
        <v>http://tuberculist.epfl.ch/quicksearch.php?gene+name=Rv3597c&amp;submit=Search</v>
      </c>
    </row>
    <row r="3702" spans="1:11">
      <c r="A3702" t="s">
        <v>4444</v>
      </c>
      <c r="B3702" t="s">
        <v>1702</v>
      </c>
      <c r="C3702" t="s">
        <v>9567</v>
      </c>
      <c r="D3702" t="s">
        <v>18039</v>
      </c>
      <c r="E3702" t="s">
        <v>18040</v>
      </c>
      <c r="F3702" t="s">
        <v>18041</v>
      </c>
      <c r="G3702" t="s">
        <v>19181</v>
      </c>
      <c r="H3702" t="s">
        <v>19287</v>
      </c>
      <c r="I3702" t="s">
        <v>18774</v>
      </c>
      <c r="K3702" t="str">
        <f>HYPERLINK("http://tuberculist.epfl.ch/quicksearch.php?gene+name=Rv3598c&amp;submit=Search")</f>
        <v>http://tuberculist.epfl.ch/quicksearch.php?gene+name=Rv3598c&amp;submit=Search</v>
      </c>
    </row>
    <row r="3703" spans="1:11">
      <c r="A3703" t="s">
        <v>18042</v>
      </c>
      <c r="B3703" t="s">
        <v>18042</v>
      </c>
      <c r="C3703" t="s">
        <v>9567</v>
      </c>
      <c r="D3703" t="s">
        <v>9587</v>
      </c>
      <c r="E3703" t="s">
        <v>18043</v>
      </c>
      <c r="F3703" t="s">
        <v>18044</v>
      </c>
      <c r="G3703" t="s">
        <v>19363</v>
      </c>
      <c r="I3703" t="s">
        <v>18773</v>
      </c>
      <c r="K3703" t="str">
        <f>HYPERLINK("http://tuberculist.epfl.ch/quicksearch.php?gene+name=Rv3599c&amp;submit=Search")</f>
        <v>http://tuberculist.epfl.ch/quicksearch.php?gene+name=Rv3599c&amp;submit=Search</v>
      </c>
    </row>
    <row r="3704" spans="1:11">
      <c r="A3704" t="s">
        <v>1425</v>
      </c>
      <c r="B3704" t="s">
        <v>1425</v>
      </c>
      <c r="C3704" t="s">
        <v>9567</v>
      </c>
      <c r="D3704" t="s">
        <v>9578</v>
      </c>
      <c r="E3704" t="s">
        <v>9665</v>
      </c>
      <c r="F3704" t="s">
        <v>18045</v>
      </c>
      <c r="G3704" t="s">
        <v>19204</v>
      </c>
      <c r="H3704" t="s">
        <v>19459</v>
      </c>
      <c r="I3704" t="s">
        <v>18780</v>
      </c>
      <c r="K3704" t="str">
        <f>HYPERLINK("http://tuberculist.epfl.ch/quicksearch.php?gene+name=Rv3600c&amp;submit=Search")</f>
        <v>http://tuberculist.epfl.ch/quicksearch.php?gene+name=Rv3600c&amp;submit=Search</v>
      </c>
    </row>
    <row r="3705" spans="1:11">
      <c r="A3705" t="s">
        <v>6408</v>
      </c>
      <c r="B3705" t="s">
        <v>1953</v>
      </c>
      <c r="C3705" t="s">
        <v>9567</v>
      </c>
      <c r="D3705" t="s">
        <v>18046</v>
      </c>
      <c r="E3705" t="s">
        <v>18047</v>
      </c>
      <c r="F3705" t="s">
        <v>18048</v>
      </c>
      <c r="G3705" t="s">
        <v>19195</v>
      </c>
      <c r="I3705" t="s">
        <v>18845</v>
      </c>
      <c r="K3705" t="str">
        <f>HYPERLINK("http://tuberculist.epfl.ch/quicksearch.php?gene+name=Rv3601c&amp;submit=Search")</f>
        <v>http://tuberculist.epfl.ch/quicksearch.php?gene+name=Rv3601c&amp;submit=Search</v>
      </c>
    </row>
    <row r="3706" spans="1:11">
      <c r="A3706" t="s">
        <v>4848</v>
      </c>
      <c r="B3706" t="s">
        <v>1183</v>
      </c>
      <c r="C3706" t="s">
        <v>9567</v>
      </c>
      <c r="D3706" t="s">
        <v>18049</v>
      </c>
      <c r="E3706" t="s">
        <v>18050</v>
      </c>
      <c r="F3706" t="s">
        <v>18051</v>
      </c>
      <c r="G3706" t="s">
        <v>19195</v>
      </c>
      <c r="H3706" t="s">
        <v>19334</v>
      </c>
      <c r="I3706" t="s">
        <v>18774</v>
      </c>
      <c r="K3706" t="str">
        <f>HYPERLINK("http://tuberculist.epfl.ch/quicksearch.php?gene+name=Rv3602c&amp;submit=Search")</f>
        <v>http://tuberculist.epfl.ch/quicksearch.php?gene+name=Rv3602c&amp;submit=Search</v>
      </c>
    </row>
    <row r="3707" spans="1:11">
      <c r="A3707" t="s">
        <v>2725</v>
      </c>
      <c r="B3707" t="s">
        <v>2725</v>
      </c>
      <c r="C3707" t="s">
        <v>9567</v>
      </c>
      <c r="D3707" t="s">
        <v>9578</v>
      </c>
      <c r="E3707" t="s">
        <v>15616</v>
      </c>
      <c r="F3707" t="s">
        <v>18052</v>
      </c>
      <c r="G3707" t="s">
        <v>19212</v>
      </c>
      <c r="H3707" t="s">
        <v>19213</v>
      </c>
      <c r="I3707" t="s">
        <v>18776</v>
      </c>
      <c r="K3707" t="str">
        <f>HYPERLINK("http://tuberculist.epfl.ch/quicksearch.php?gene+name=Rv3603c&amp;submit=Search")</f>
        <v>http://tuberculist.epfl.ch/quicksearch.php?gene+name=Rv3603c&amp;submit=Search</v>
      </c>
    </row>
    <row r="3708" spans="1:11">
      <c r="A3708" t="s">
        <v>1687</v>
      </c>
      <c r="B3708" t="s">
        <v>1687</v>
      </c>
      <c r="C3708" t="s">
        <v>9567</v>
      </c>
      <c r="D3708" t="s">
        <v>9587</v>
      </c>
      <c r="E3708" t="s">
        <v>18053</v>
      </c>
      <c r="F3708" t="s">
        <v>18054</v>
      </c>
      <c r="G3708" t="s">
        <v>19188</v>
      </c>
      <c r="H3708" t="s">
        <v>19342</v>
      </c>
      <c r="I3708" t="s">
        <v>18774</v>
      </c>
      <c r="J3708" t="s">
        <v>18839</v>
      </c>
      <c r="K3708" t="str">
        <f>HYPERLINK("http://tuberculist.epfl.ch/quicksearch.php?gene+name=Rv3604c&amp;submit=Search")</f>
        <v>http://tuberculist.epfl.ch/quicksearch.php?gene+name=Rv3604c&amp;submit=Search</v>
      </c>
    </row>
    <row r="3709" spans="1:11">
      <c r="A3709" t="s">
        <v>1441</v>
      </c>
      <c r="B3709" t="s">
        <v>1441</v>
      </c>
      <c r="C3709" t="s">
        <v>9567</v>
      </c>
      <c r="D3709" t="s">
        <v>9587</v>
      </c>
      <c r="E3709" t="s">
        <v>18055</v>
      </c>
      <c r="F3709" t="s">
        <v>18056</v>
      </c>
      <c r="G3709" t="s">
        <v>19188</v>
      </c>
      <c r="I3709" t="s">
        <v>18789</v>
      </c>
      <c r="K3709" t="str">
        <f>HYPERLINK("http://tuberculist.epfl.ch/quicksearch.php?gene+name=Rv3605c&amp;submit=Search")</f>
        <v>http://tuberculist.epfl.ch/quicksearch.php?gene+name=Rv3605c&amp;submit=Search</v>
      </c>
    </row>
    <row r="3710" spans="1:11">
      <c r="A3710" t="s">
        <v>7657</v>
      </c>
      <c r="B3710" t="s">
        <v>2584</v>
      </c>
      <c r="C3710" t="s">
        <v>9567</v>
      </c>
      <c r="D3710" t="s">
        <v>18057</v>
      </c>
      <c r="E3710" t="s">
        <v>18058</v>
      </c>
      <c r="F3710" t="s">
        <v>18059</v>
      </c>
      <c r="G3710" t="s">
        <v>19195</v>
      </c>
      <c r="I3710" t="s">
        <v>18773</v>
      </c>
      <c r="K3710" t="str">
        <f>HYPERLINK("http://tuberculist.epfl.ch/quicksearch.php?gene+name=Rv3606c&amp;submit=Search")</f>
        <v>http://tuberculist.epfl.ch/quicksearch.php?gene+name=Rv3606c&amp;submit=Search</v>
      </c>
    </row>
    <row r="3711" spans="1:11">
      <c r="A3711" t="s">
        <v>9055</v>
      </c>
      <c r="B3711" t="s">
        <v>3255</v>
      </c>
      <c r="C3711" t="s">
        <v>9567</v>
      </c>
      <c r="D3711" t="s">
        <v>18060</v>
      </c>
      <c r="E3711" t="s">
        <v>18061</v>
      </c>
      <c r="F3711" t="s">
        <v>18062</v>
      </c>
      <c r="G3711" t="s">
        <v>19195</v>
      </c>
      <c r="H3711" t="s">
        <v>19229</v>
      </c>
      <c r="I3711" t="s">
        <v>18800</v>
      </c>
      <c r="K3711" t="str">
        <f>HYPERLINK("http://tuberculist.epfl.ch/quicksearch.php?gene+name=Rv3607c&amp;submit=Search")</f>
        <v>http://tuberculist.epfl.ch/quicksearch.php?gene+name=Rv3607c&amp;submit=Search</v>
      </c>
    </row>
    <row r="3712" spans="1:11">
      <c r="A3712" t="s">
        <v>3694</v>
      </c>
      <c r="B3712" t="s">
        <v>611</v>
      </c>
      <c r="C3712" t="s">
        <v>9567</v>
      </c>
      <c r="D3712" t="s">
        <v>18063</v>
      </c>
      <c r="E3712" t="s">
        <v>18064</v>
      </c>
      <c r="F3712" t="s">
        <v>18065</v>
      </c>
      <c r="G3712" t="s">
        <v>19195</v>
      </c>
      <c r="I3712" t="s">
        <v>18774</v>
      </c>
      <c r="K3712" t="str">
        <f>HYPERLINK("http://tuberculist.epfl.ch/quicksearch.php?gene+name=Rv3608c&amp;submit=Search")</f>
        <v>http://tuberculist.epfl.ch/quicksearch.php?gene+name=Rv3608c&amp;submit=Search</v>
      </c>
    </row>
    <row r="3713" spans="1:11">
      <c r="A3713" t="s">
        <v>6034</v>
      </c>
      <c r="B3713" t="s">
        <v>1773</v>
      </c>
      <c r="C3713" t="s">
        <v>9567</v>
      </c>
      <c r="D3713" t="s">
        <v>18066</v>
      </c>
      <c r="E3713" t="s">
        <v>18067</v>
      </c>
      <c r="F3713" t="s">
        <v>18068</v>
      </c>
      <c r="G3713" t="s">
        <v>19195</v>
      </c>
      <c r="H3713" t="s">
        <v>19213</v>
      </c>
      <c r="I3713" t="s">
        <v>18774</v>
      </c>
      <c r="K3713" t="str">
        <f>HYPERLINK("http://tuberculist.epfl.ch/quicksearch.php?gene+name=Rv3609c&amp;submit=Search")</f>
        <v>http://tuberculist.epfl.ch/quicksearch.php?gene+name=Rv3609c&amp;submit=Search</v>
      </c>
    </row>
    <row r="3714" spans="1:11">
      <c r="A3714" t="s">
        <v>6549</v>
      </c>
      <c r="B3714" t="s">
        <v>2025</v>
      </c>
      <c r="C3714" t="s">
        <v>9567</v>
      </c>
      <c r="D3714" t="s">
        <v>18069</v>
      </c>
      <c r="E3714" t="s">
        <v>18070</v>
      </c>
      <c r="F3714" t="s">
        <v>18071</v>
      </c>
      <c r="G3714" t="s">
        <v>19188</v>
      </c>
      <c r="H3714" t="s">
        <v>20110</v>
      </c>
      <c r="I3714" t="s">
        <v>18842</v>
      </c>
      <c r="K3714" t="str">
        <f>HYPERLINK("http://tuberculist.epfl.ch/quicksearch.php?gene+name=Rv3610c&amp;submit=Search")</f>
        <v>http://tuberculist.epfl.ch/quicksearch.php?gene+name=Rv3610c&amp;submit=Search</v>
      </c>
    </row>
    <row r="3715" spans="1:11">
      <c r="A3715" t="s">
        <v>442</v>
      </c>
      <c r="B3715" t="s">
        <v>442</v>
      </c>
      <c r="C3715" t="s">
        <v>9567</v>
      </c>
      <c r="D3715" t="s">
        <v>9587</v>
      </c>
      <c r="E3715" t="s">
        <v>18072</v>
      </c>
      <c r="F3715" t="s">
        <v>18073</v>
      </c>
      <c r="G3715" t="s">
        <v>19212</v>
      </c>
      <c r="I3715" t="s">
        <v>18800</v>
      </c>
      <c r="K3715" t="str">
        <f>HYPERLINK("http://tuberculist.epfl.ch/quicksearch.php?gene+name=Rv3611&amp;submit=Search")</f>
        <v>http://tuberculist.epfl.ch/quicksearch.php?gene+name=Rv3611&amp;submit=Search</v>
      </c>
    </row>
    <row r="3716" spans="1:11">
      <c r="A3716" t="s">
        <v>114</v>
      </c>
      <c r="B3716" t="s">
        <v>114</v>
      </c>
      <c r="C3716" t="s">
        <v>9567</v>
      </c>
      <c r="D3716" t="s">
        <v>9578</v>
      </c>
      <c r="E3716" t="s">
        <v>9579</v>
      </c>
      <c r="F3716" t="s">
        <v>18074</v>
      </c>
      <c r="G3716" t="s">
        <v>19212</v>
      </c>
      <c r="I3716" t="s">
        <v>18780</v>
      </c>
      <c r="J3716" t="s">
        <v>18840</v>
      </c>
      <c r="K3716" t="str">
        <f>HYPERLINK("http://tuberculist.epfl.ch/quicksearch.php?gene+name=Rv3612c&amp;submit=Search")</f>
        <v>http://tuberculist.epfl.ch/quicksearch.php?gene+name=Rv3612c&amp;submit=Search</v>
      </c>
    </row>
    <row r="3717" spans="1:11">
      <c r="A3717" t="s">
        <v>119</v>
      </c>
      <c r="B3717" t="s">
        <v>119</v>
      </c>
      <c r="C3717" t="s">
        <v>9567</v>
      </c>
      <c r="D3717" t="s">
        <v>9587</v>
      </c>
      <c r="E3717" t="s">
        <v>9713</v>
      </c>
      <c r="F3717" t="s">
        <v>18075</v>
      </c>
      <c r="G3717" t="s">
        <v>19212</v>
      </c>
      <c r="I3717" t="s">
        <v>18779</v>
      </c>
      <c r="K3717" t="str">
        <f>HYPERLINK("http://tuberculist.epfl.ch/quicksearch.php?gene+name=Rv3613c&amp;submit=Search")</f>
        <v>http://tuberculist.epfl.ch/quicksearch.php?gene+name=Rv3613c&amp;submit=Search</v>
      </c>
    </row>
    <row r="3718" spans="1:11">
      <c r="A3718" t="s">
        <v>127</v>
      </c>
      <c r="B3718" t="s">
        <v>126</v>
      </c>
      <c r="C3718" t="s">
        <v>9567</v>
      </c>
      <c r="D3718" t="s">
        <v>9578</v>
      </c>
      <c r="E3718" t="s">
        <v>18076</v>
      </c>
      <c r="F3718" t="s">
        <v>18077</v>
      </c>
      <c r="G3718" t="s">
        <v>19188</v>
      </c>
      <c r="H3718" t="s">
        <v>19225</v>
      </c>
      <c r="I3718" t="s">
        <v>19142</v>
      </c>
      <c r="K3718" t="str">
        <f>HYPERLINK("http://tuberculist.epfl.ch/quicksearch.php?gene+name=Rv3614c&amp;submit=Search")</f>
        <v>http://tuberculist.epfl.ch/quicksearch.php?gene+name=Rv3614c&amp;submit=Search</v>
      </c>
    </row>
    <row r="3719" spans="1:11">
      <c r="A3719" t="s">
        <v>136</v>
      </c>
      <c r="B3719" t="s">
        <v>135</v>
      </c>
      <c r="C3719" t="s">
        <v>9567</v>
      </c>
      <c r="D3719" t="s">
        <v>9578</v>
      </c>
      <c r="E3719" t="s">
        <v>18078</v>
      </c>
      <c r="F3719" t="s">
        <v>18079</v>
      </c>
      <c r="G3719" t="s">
        <v>19188</v>
      </c>
      <c r="H3719" t="s">
        <v>19272</v>
      </c>
      <c r="I3719" t="s">
        <v>19143</v>
      </c>
      <c r="K3719" t="str">
        <f>HYPERLINK("http://tuberculist.epfl.ch/quicksearch.php?gene+name=Rv3615c&amp;submit=Search")</f>
        <v>http://tuberculist.epfl.ch/quicksearch.php?gene+name=Rv3615c&amp;submit=Search</v>
      </c>
    </row>
    <row r="3720" spans="1:11">
      <c r="A3720" t="s">
        <v>56</v>
      </c>
      <c r="B3720" t="s">
        <v>55</v>
      </c>
      <c r="C3720" t="s">
        <v>9567</v>
      </c>
      <c r="D3720" t="s">
        <v>9578</v>
      </c>
      <c r="E3720" t="s">
        <v>18080</v>
      </c>
      <c r="F3720" t="s">
        <v>18081</v>
      </c>
      <c r="G3720" t="s">
        <v>19188</v>
      </c>
      <c r="H3720" t="s">
        <v>20111</v>
      </c>
      <c r="I3720" t="s">
        <v>19144</v>
      </c>
      <c r="K3720" t="str">
        <f>HYPERLINK("http://tuberculist.epfl.ch/quicksearch.php?gene+name=Rv3616c&amp;submit=Search")</f>
        <v>http://tuberculist.epfl.ch/quicksearch.php?gene+name=Rv3616c&amp;submit=Search</v>
      </c>
    </row>
    <row r="3721" spans="1:11">
      <c r="A3721" t="s">
        <v>18082</v>
      </c>
      <c r="B3721" t="s">
        <v>18083</v>
      </c>
      <c r="C3721" t="s">
        <v>9567</v>
      </c>
      <c r="D3721" t="s">
        <v>18084</v>
      </c>
      <c r="E3721" t="s">
        <v>18085</v>
      </c>
      <c r="F3721" t="s">
        <v>18086</v>
      </c>
      <c r="G3721" t="s">
        <v>19206</v>
      </c>
      <c r="H3721" t="s">
        <v>19880</v>
      </c>
      <c r="I3721" t="s">
        <v>18798</v>
      </c>
      <c r="K3721" t="str">
        <f>HYPERLINK("http://tuberculist.epfl.ch/quicksearch.php?gene+name=Rv3617&amp;submit=Search")</f>
        <v>http://tuberculist.epfl.ch/quicksearch.php?gene+name=Rv3617&amp;submit=Search</v>
      </c>
    </row>
    <row r="3722" spans="1:11">
      <c r="A3722" t="s">
        <v>18087</v>
      </c>
      <c r="B3722" t="s">
        <v>18087</v>
      </c>
      <c r="C3722" t="s">
        <v>9567</v>
      </c>
      <c r="D3722" t="s">
        <v>9578</v>
      </c>
      <c r="E3722" t="s">
        <v>11442</v>
      </c>
      <c r="F3722" t="s">
        <v>18088</v>
      </c>
      <c r="G3722" t="s">
        <v>19195</v>
      </c>
      <c r="H3722" t="s">
        <v>19233</v>
      </c>
      <c r="I3722" t="s">
        <v>18798</v>
      </c>
      <c r="K3722" t="str">
        <f>HYPERLINK("http://tuberculist.epfl.ch/quicksearch.php?gene+name=Rv3618&amp;submit=Search")</f>
        <v>http://tuberculist.epfl.ch/quicksearch.php?gene+name=Rv3618&amp;submit=Search</v>
      </c>
    </row>
    <row r="3723" spans="1:11">
      <c r="A3723" t="s">
        <v>18089</v>
      </c>
      <c r="B3723" t="s">
        <v>18090</v>
      </c>
      <c r="C3723" t="s">
        <v>9567</v>
      </c>
      <c r="D3723" t="s">
        <v>9587</v>
      </c>
      <c r="E3723" t="s">
        <v>18091</v>
      </c>
      <c r="F3723" t="s">
        <v>18092</v>
      </c>
      <c r="G3723" t="s">
        <v>19188</v>
      </c>
      <c r="I3723" t="s">
        <v>18773</v>
      </c>
      <c r="K3723" t="str">
        <f>HYPERLINK("http://tuberculist.epfl.ch/quicksearch.php?gene+name=Rv3619c&amp;submit=Search")</f>
        <v>http://tuberculist.epfl.ch/quicksearch.php?gene+name=Rv3619c&amp;submit=Search</v>
      </c>
    </row>
    <row r="3724" spans="1:11">
      <c r="A3724" t="s">
        <v>18093</v>
      </c>
      <c r="B3724" t="s">
        <v>18094</v>
      </c>
      <c r="C3724" t="s">
        <v>9567</v>
      </c>
      <c r="D3724" t="s">
        <v>9587</v>
      </c>
      <c r="E3724" t="s">
        <v>18095</v>
      </c>
      <c r="F3724" t="s">
        <v>18096</v>
      </c>
      <c r="G3724" t="s">
        <v>19188</v>
      </c>
      <c r="H3724" t="s">
        <v>19672</v>
      </c>
      <c r="I3724" t="s">
        <v>18773</v>
      </c>
      <c r="K3724" t="str">
        <f>HYPERLINK("http://tuberculist.epfl.ch/quicksearch.php?gene+name=Rv3620c&amp;submit=Search")</f>
        <v>http://tuberculist.epfl.ch/quicksearch.php?gene+name=Rv3620c&amp;submit=Search</v>
      </c>
    </row>
    <row r="3725" spans="1:11">
      <c r="A3725" t="s">
        <v>18097</v>
      </c>
      <c r="B3725" t="s">
        <v>18098</v>
      </c>
      <c r="C3725" t="s">
        <v>9567</v>
      </c>
      <c r="D3725" t="s">
        <v>9578</v>
      </c>
      <c r="E3725" t="s">
        <v>18099</v>
      </c>
      <c r="F3725" t="s">
        <v>18100</v>
      </c>
      <c r="G3725" t="s">
        <v>19553</v>
      </c>
      <c r="H3725" t="s">
        <v>19267</v>
      </c>
      <c r="I3725" t="s">
        <v>18793</v>
      </c>
      <c r="K3725" t="str">
        <f>HYPERLINK("http://tuberculist.epfl.ch/quicksearch.php?gene+name=Rv3621c&amp;submit=Search")</f>
        <v>http://tuberculist.epfl.ch/quicksearch.php?gene+name=Rv3621c&amp;submit=Search</v>
      </c>
    </row>
    <row r="3726" spans="1:11">
      <c r="A3726" t="s">
        <v>18101</v>
      </c>
      <c r="B3726" t="s">
        <v>18102</v>
      </c>
      <c r="C3726" t="s">
        <v>9567</v>
      </c>
      <c r="D3726" t="s">
        <v>9578</v>
      </c>
      <c r="E3726" t="s">
        <v>18103</v>
      </c>
      <c r="F3726" t="s">
        <v>18104</v>
      </c>
      <c r="G3726" t="s">
        <v>19253</v>
      </c>
      <c r="I3726" t="s">
        <v>18793</v>
      </c>
      <c r="K3726" t="str">
        <f>HYPERLINK("http://tuberculist.epfl.ch/quicksearch.php?gene+name=Rv3622c&amp;submit=Search")</f>
        <v>http://tuberculist.epfl.ch/quicksearch.php?gene+name=Rv3622c&amp;submit=Search</v>
      </c>
    </row>
    <row r="3727" spans="1:11">
      <c r="A3727" t="s">
        <v>3902</v>
      </c>
      <c r="B3727" t="s">
        <v>706</v>
      </c>
      <c r="C3727" t="s">
        <v>9567</v>
      </c>
      <c r="D3727" t="s">
        <v>9587</v>
      </c>
      <c r="E3727" t="s">
        <v>18105</v>
      </c>
      <c r="F3727" t="s">
        <v>18106</v>
      </c>
      <c r="G3727" t="s">
        <v>19188</v>
      </c>
      <c r="H3727" t="s">
        <v>20112</v>
      </c>
      <c r="I3727" t="s">
        <v>18780</v>
      </c>
      <c r="K3727" t="str">
        <f>HYPERLINK("http://tuberculist.epfl.ch/quicksearch.php?gene+name=Rv3623&amp;submit=Search")</f>
        <v>http://tuberculist.epfl.ch/quicksearch.php?gene+name=Rv3623&amp;submit=Search</v>
      </c>
    </row>
    <row r="3728" spans="1:11">
      <c r="A3728" t="s">
        <v>5002</v>
      </c>
      <c r="B3728" t="s">
        <v>1255</v>
      </c>
      <c r="C3728" t="s">
        <v>9567</v>
      </c>
      <c r="D3728" t="s">
        <v>18107</v>
      </c>
      <c r="E3728" t="s">
        <v>18108</v>
      </c>
      <c r="F3728" t="s">
        <v>18109</v>
      </c>
      <c r="G3728" t="s">
        <v>19195</v>
      </c>
      <c r="H3728" t="s">
        <v>19247</v>
      </c>
      <c r="I3728" t="s">
        <v>18776</v>
      </c>
      <c r="K3728" t="str">
        <f>HYPERLINK("http://tuberculist.epfl.ch/quicksearch.php?gene+name=Rv3624c&amp;submit=Search")</f>
        <v>http://tuberculist.epfl.ch/quicksearch.php?gene+name=Rv3624c&amp;submit=Search</v>
      </c>
    </row>
    <row r="3729" spans="1:11">
      <c r="A3729" t="s">
        <v>4066</v>
      </c>
      <c r="B3729" t="s">
        <v>791</v>
      </c>
      <c r="C3729" t="s">
        <v>9567</v>
      </c>
      <c r="D3729" t="s">
        <v>18110</v>
      </c>
      <c r="E3729" t="s">
        <v>18111</v>
      </c>
      <c r="F3729" t="s">
        <v>18112</v>
      </c>
      <c r="G3729" t="s">
        <v>19188</v>
      </c>
      <c r="I3729" t="s">
        <v>18774</v>
      </c>
      <c r="K3729" t="str">
        <f>HYPERLINK("http://tuberculist.epfl.ch/quicksearch.php?gene+name=Rv3625c&amp;submit=Search")</f>
        <v>http://tuberculist.epfl.ch/quicksearch.php?gene+name=Rv3625c&amp;submit=Search</v>
      </c>
    </row>
    <row r="3730" spans="1:11">
      <c r="A3730" t="s">
        <v>1117</v>
      </c>
      <c r="B3730" t="s">
        <v>1117</v>
      </c>
      <c r="C3730" t="s">
        <v>9567</v>
      </c>
      <c r="D3730" t="s">
        <v>9578</v>
      </c>
      <c r="E3730" t="s">
        <v>9579</v>
      </c>
      <c r="F3730" t="s">
        <v>18113</v>
      </c>
      <c r="G3730" t="s">
        <v>19212</v>
      </c>
      <c r="H3730" t="s">
        <v>19236</v>
      </c>
      <c r="I3730" t="s">
        <v>18779</v>
      </c>
      <c r="K3730" t="str">
        <f>HYPERLINK("http://tuberculist.epfl.ch/quicksearch.php?gene+name=Rv3626c&amp;submit=Search")</f>
        <v>http://tuberculist.epfl.ch/quicksearch.php?gene+name=Rv3626c&amp;submit=Search</v>
      </c>
    </row>
    <row r="3731" spans="1:11">
      <c r="A3731" t="s">
        <v>1744</v>
      </c>
      <c r="B3731" t="s">
        <v>1744</v>
      </c>
      <c r="C3731" t="s">
        <v>9567</v>
      </c>
      <c r="D3731" t="s">
        <v>12798</v>
      </c>
      <c r="E3731" t="s">
        <v>9665</v>
      </c>
      <c r="F3731" t="s">
        <v>18114</v>
      </c>
      <c r="G3731" t="s">
        <v>19212</v>
      </c>
      <c r="H3731" t="s">
        <v>20113</v>
      </c>
      <c r="I3731" t="s">
        <v>18774</v>
      </c>
      <c r="K3731" t="str">
        <f>HYPERLINK("http://tuberculist.epfl.ch/quicksearch.php?gene+name=Rv3627c&amp;submit=Search")</f>
        <v>http://tuberculist.epfl.ch/quicksearch.php?gene+name=Rv3627c&amp;submit=Search</v>
      </c>
    </row>
    <row r="3732" spans="1:11">
      <c r="A3732" t="s">
        <v>5856</v>
      </c>
      <c r="B3732" t="s">
        <v>1681</v>
      </c>
      <c r="C3732" t="s">
        <v>9567</v>
      </c>
      <c r="D3732" t="s">
        <v>18115</v>
      </c>
      <c r="E3732" t="s">
        <v>18116</v>
      </c>
      <c r="F3732" t="s">
        <v>18117</v>
      </c>
      <c r="G3732" t="s">
        <v>19195</v>
      </c>
      <c r="H3732" t="s">
        <v>20114</v>
      </c>
      <c r="I3732" t="s">
        <v>18776</v>
      </c>
      <c r="J3732" t="s">
        <v>18775</v>
      </c>
      <c r="K3732" t="str">
        <f>HYPERLINK("http://tuberculist.epfl.ch/quicksearch.php?gene+name=Rv3628&amp;submit=Search")</f>
        <v>http://tuberculist.epfl.ch/quicksearch.php?gene+name=Rv3628&amp;submit=Search</v>
      </c>
    </row>
    <row r="3733" spans="1:11">
      <c r="A3733" t="s">
        <v>2573</v>
      </c>
      <c r="B3733" t="s">
        <v>2573</v>
      </c>
      <c r="C3733" t="s">
        <v>9567</v>
      </c>
      <c r="D3733" t="s">
        <v>9587</v>
      </c>
      <c r="E3733" t="s">
        <v>9668</v>
      </c>
      <c r="F3733" t="s">
        <v>18118</v>
      </c>
      <c r="G3733" t="s">
        <v>19188</v>
      </c>
      <c r="H3733" t="s">
        <v>19320</v>
      </c>
      <c r="I3733" t="s">
        <v>18789</v>
      </c>
      <c r="K3733" t="str">
        <f>HYPERLINK("http://tuberculist.epfl.ch/quicksearch.php?gene+name=Rv3629c&amp;submit=Search")</f>
        <v>http://tuberculist.epfl.ch/quicksearch.php?gene+name=Rv3629c&amp;submit=Search</v>
      </c>
    </row>
    <row r="3734" spans="1:11">
      <c r="A3734" t="s">
        <v>662</v>
      </c>
      <c r="B3734" t="s">
        <v>662</v>
      </c>
      <c r="C3734" t="s">
        <v>9567</v>
      </c>
      <c r="D3734" t="s">
        <v>9587</v>
      </c>
      <c r="E3734" t="s">
        <v>9668</v>
      </c>
      <c r="F3734" t="s">
        <v>18119</v>
      </c>
      <c r="G3734" t="s">
        <v>19188</v>
      </c>
      <c r="H3734" t="s">
        <v>19211</v>
      </c>
      <c r="I3734" t="s">
        <v>18780</v>
      </c>
      <c r="K3734" t="str">
        <f>HYPERLINK("http://tuberculist.epfl.ch/quicksearch.php?gene+name=Rv3630&amp;submit=Search")</f>
        <v>http://tuberculist.epfl.ch/quicksearch.php?gene+name=Rv3630&amp;submit=Search</v>
      </c>
    </row>
    <row r="3735" spans="1:11">
      <c r="A3735" t="s">
        <v>2128</v>
      </c>
      <c r="B3735" t="s">
        <v>2128</v>
      </c>
      <c r="C3735" t="s">
        <v>9567</v>
      </c>
      <c r="D3735" t="s">
        <v>9682</v>
      </c>
      <c r="E3735" t="s">
        <v>18120</v>
      </c>
      <c r="F3735" t="s">
        <v>18121</v>
      </c>
      <c r="G3735" t="s">
        <v>19195</v>
      </c>
      <c r="I3735" t="s">
        <v>18853</v>
      </c>
      <c r="K3735" t="str">
        <f>HYPERLINK("http://tuberculist.epfl.ch/quicksearch.php?gene+name=Rv3631&amp;submit=Search")</f>
        <v>http://tuberculist.epfl.ch/quicksearch.php?gene+name=Rv3631&amp;submit=Search</v>
      </c>
    </row>
    <row r="3736" spans="1:11">
      <c r="A3736" t="s">
        <v>18122</v>
      </c>
      <c r="B3736" t="s">
        <v>18122</v>
      </c>
      <c r="C3736" t="s">
        <v>9567</v>
      </c>
      <c r="D3736" t="s">
        <v>9587</v>
      </c>
      <c r="E3736" t="s">
        <v>9588</v>
      </c>
      <c r="F3736" t="s">
        <v>18123</v>
      </c>
      <c r="G3736" t="s">
        <v>19188</v>
      </c>
      <c r="H3736" t="s">
        <v>19233</v>
      </c>
      <c r="I3736" t="s">
        <v>18780</v>
      </c>
      <c r="K3736" t="str">
        <f>HYPERLINK("http://tuberculist.epfl.ch/quicksearch.php?gene+name=Rv3632&amp;submit=Search")</f>
        <v>http://tuberculist.epfl.ch/quicksearch.php?gene+name=Rv3632&amp;submit=Search</v>
      </c>
    </row>
    <row r="3737" spans="1:11">
      <c r="A3737" t="s">
        <v>633</v>
      </c>
      <c r="B3737" t="s">
        <v>633</v>
      </c>
      <c r="C3737" t="s">
        <v>9567</v>
      </c>
      <c r="D3737" t="s">
        <v>9578</v>
      </c>
      <c r="E3737" t="s">
        <v>9665</v>
      </c>
      <c r="F3737" t="s">
        <v>18124</v>
      </c>
      <c r="G3737" t="s">
        <v>19210</v>
      </c>
      <c r="H3737" t="s">
        <v>19225</v>
      </c>
      <c r="I3737" t="s">
        <v>18780</v>
      </c>
      <c r="K3737" t="str">
        <f>HYPERLINK("http://tuberculist.epfl.ch/quicksearch.php?gene+name=Rv3633&amp;submit=Search")</f>
        <v>http://tuberculist.epfl.ch/quicksearch.php?gene+name=Rv3633&amp;submit=Search</v>
      </c>
    </row>
    <row r="3738" spans="1:11">
      <c r="A3738" t="s">
        <v>6239</v>
      </c>
      <c r="B3738" t="s">
        <v>1873</v>
      </c>
      <c r="C3738" t="s">
        <v>9567</v>
      </c>
      <c r="D3738" t="s">
        <v>18125</v>
      </c>
      <c r="E3738" t="s">
        <v>18126</v>
      </c>
      <c r="F3738" t="s">
        <v>18127</v>
      </c>
      <c r="G3738" t="s">
        <v>19195</v>
      </c>
      <c r="H3738" t="s">
        <v>20115</v>
      </c>
      <c r="I3738" t="s">
        <v>18774</v>
      </c>
      <c r="J3738" t="s">
        <v>18873</v>
      </c>
      <c r="K3738" t="str">
        <f>HYPERLINK("http://tuberculist.epfl.ch/quicksearch.php?gene+name=Rv3634c&amp;submit=Search")</f>
        <v>http://tuberculist.epfl.ch/quicksearch.php?gene+name=Rv3634c&amp;submit=Search</v>
      </c>
    </row>
    <row r="3739" spans="1:11">
      <c r="A3739" t="s">
        <v>2593</v>
      </c>
      <c r="B3739" t="s">
        <v>2593</v>
      </c>
      <c r="C3739" t="s">
        <v>9567</v>
      </c>
      <c r="D3739" t="s">
        <v>9587</v>
      </c>
      <c r="E3739" t="s">
        <v>9597</v>
      </c>
      <c r="F3739" t="s">
        <v>18128</v>
      </c>
      <c r="G3739" t="s">
        <v>19188</v>
      </c>
      <c r="I3739" t="s">
        <v>18774</v>
      </c>
      <c r="K3739" t="str">
        <f>HYPERLINK("http://tuberculist.epfl.ch/quicksearch.php?gene+name=Rv3635&amp;submit=Search")</f>
        <v>http://tuberculist.epfl.ch/quicksearch.php?gene+name=Rv3635&amp;submit=Search</v>
      </c>
    </row>
    <row r="3740" spans="1:11">
      <c r="A3740" t="s">
        <v>1833</v>
      </c>
      <c r="B3740" t="s">
        <v>1833</v>
      </c>
      <c r="C3740" t="s">
        <v>9567</v>
      </c>
      <c r="D3740" t="s">
        <v>12015</v>
      </c>
      <c r="E3740" t="s">
        <v>11734</v>
      </c>
      <c r="F3740" t="s">
        <v>18129</v>
      </c>
      <c r="G3740" t="s">
        <v>19217</v>
      </c>
      <c r="I3740" t="s">
        <v>18780</v>
      </c>
      <c r="K3740" t="str">
        <f>HYPERLINK("http://tuberculist.epfl.ch/quicksearch.php?gene+name=Rv3636&amp;submit=Search")</f>
        <v>http://tuberculist.epfl.ch/quicksearch.php?gene+name=Rv3636&amp;submit=Search</v>
      </c>
    </row>
    <row r="3741" spans="1:11">
      <c r="A3741" t="s">
        <v>18130</v>
      </c>
      <c r="B3741" t="s">
        <v>18130</v>
      </c>
      <c r="C3741" t="s">
        <v>9567</v>
      </c>
      <c r="D3741" t="s">
        <v>12015</v>
      </c>
      <c r="E3741" t="s">
        <v>11734</v>
      </c>
      <c r="F3741" t="s">
        <v>18131</v>
      </c>
      <c r="G3741" t="s">
        <v>19217</v>
      </c>
      <c r="I3741" t="s">
        <v>18780</v>
      </c>
      <c r="K3741" t="str">
        <f>HYPERLINK("http://tuberculist.epfl.ch/quicksearch.php?gene+name=Rv3637&amp;submit=Search")</f>
        <v>http://tuberculist.epfl.ch/quicksearch.php?gene+name=Rv3637&amp;submit=Search</v>
      </c>
    </row>
    <row r="3742" spans="1:11">
      <c r="A3742" t="s">
        <v>962</v>
      </c>
      <c r="B3742" t="s">
        <v>962</v>
      </c>
      <c r="C3742" t="s">
        <v>9567</v>
      </c>
      <c r="D3742" t="s">
        <v>12015</v>
      </c>
      <c r="E3742" t="s">
        <v>11734</v>
      </c>
      <c r="F3742" t="s">
        <v>18132</v>
      </c>
      <c r="G3742" t="s">
        <v>19217</v>
      </c>
      <c r="I3742" t="s">
        <v>18779</v>
      </c>
      <c r="K3742" t="str">
        <f>HYPERLINK("http://tuberculist.epfl.ch/quicksearch.php?gene+name=Rv3638&amp;submit=Search")</f>
        <v>http://tuberculist.epfl.ch/quicksearch.php?gene+name=Rv3638&amp;submit=Search</v>
      </c>
    </row>
    <row r="3743" spans="1:11">
      <c r="A3743" t="s">
        <v>18133</v>
      </c>
      <c r="B3743" t="s">
        <v>18133</v>
      </c>
      <c r="C3743" t="s">
        <v>9567</v>
      </c>
      <c r="D3743" t="s">
        <v>9578</v>
      </c>
      <c r="E3743" t="s">
        <v>9579</v>
      </c>
      <c r="F3743" t="s">
        <v>18134</v>
      </c>
      <c r="G3743" t="s">
        <v>19216</v>
      </c>
      <c r="I3743" t="s">
        <v>18779</v>
      </c>
      <c r="K3743" t="str">
        <f>HYPERLINK("http://tuberculist.epfl.ch/quicksearch.php?gene+name=Rv3639c&amp;submit=Search")</f>
        <v>http://tuberculist.epfl.ch/quicksearch.php?gene+name=Rv3639c&amp;submit=Search</v>
      </c>
    </row>
    <row r="3744" spans="1:11">
      <c r="A3744" t="s">
        <v>1455</v>
      </c>
      <c r="B3744" t="s">
        <v>1455</v>
      </c>
      <c r="C3744" t="s">
        <v>9567</v>
      </c>
      <c r="D3744" t="s">
        <v>18135</v>
      </c>
      <c r="E3744" t="s">
        <v>11730</v>
      </c>
      <c r="F3744" t="s">
        <v>18136</v>
      </c>
      <c r="G3744" t="s">
        <v>19217</v>
      </c>
      <c r="H3744" t="s">
        <v>19207</v>
      </c>
      <c r="I3744" t="s">
        <v>18789</v>
      </c>
      <c r="K3744" t="str">
        <f>HYPERLINK("http://tuberculist.epfl.ch/quicksearch.php?gene+name=Rv3640c&amp;submit=Search")</f>
        <v>http://tuberculist.epfl.ch/quicksearch.php?gene+name=Rv3640c&amp;submit=Search</v>
      </c>
    </row>
    <row r="3745" spans="1:11">
      <c r="A3745" t="s">
        <v>18137</v>
      </c>
      <c r="B3745" t="s">
        <v>18138</v>
      </c>
      <c r="C3745" t="s">
        <v>9567</v>
      </c>
      <c r="D3745" t="s">
        <v>18139</v>
      </c>
      <c r="E3745" t="s">
        <v>18140</v>
      </c>
      <c r="F3745" t="s">
        <v>18141</v>
      </c>
      <c r="G3745" t="s">
        <v>19188</v>
      </c>
      <c r="I3745" t="s">
        <v>18780</v>
      </c>
      <c r="K3745" t="str">
        <f>HYPERLINK("http://tuberculist.epfl.ch/quicksearch.php?gene+name=Rv3641c&amp;submit=Search")</f>
        <v>http://tuberculist.epfl.ch/quicksearch.php?gene+name=Rv3641c&amp;submit=Search</v>
      </c>
    </row>
    <row r="3746" spans="1:11">
      <c r="A3746" t="s">
        <v>2869</v>
      </c>
      <c r="B3746" t="s">
        <v>2869</v>
      </c>
      <c r="C3746" t="s">
        <v>9567</v>
      </c>
      <c r="D3746" t="s">
        <v>9587</v>
      </c>
      <c r="E3746" t="s">
        <v>9713</v>
      </c>
      <c r="F3746" t="s">
        <v>18142</v>
      </c>
      <c r="G3746" t="s">
        <v>19210</v>
      </c>
      <c r="I3746" t="s">
        <v>18780</v>
      </c>
      <c r="K3746" t="str">
        <f>HYPERLINK("http://tuberculist.epfl.ch/quicksearch.php?gene+name=Rv3642c&amp;submit=Search")</f>
        <v>http://tuberculist.epfl.ch/quicksearch.php?gene+name=Rv3642c&amp;submit=Search</v>
      </c>
    </row>
    <row r="3747" spans="1:11">
      <c r="A3747" t="s">
        <v>18143</v>
      </c>
      <c r="B3747" t="s">
        <v>18143</v>
      </c>
      <c r="C3747" t="s">
        <v>9567</v>
      </c>
      <c r="D3747" t="s">
        <v>9587</v>
      </c>
      <c r="E3747" t="s">
        <v>9713</v>
      </c>
      <c r="F3747" t="s">
        <v>18144</v>
      </c>
      <c r="G3747" t="s">
        <v>19212</v>
      </c>
      <c r="I3747" t="s">
        <v>18780</v>
      </c>
      <c r="K3747" t="str">
        <f>HYPERLINK("http://tuberculist.epfl.ch/quicksearch.php?gene+name=Rv3643&amp;submit=Search")</f>
        <v>http://tuberculist.epfl.ch/quicksearch.php?gene+name=Rv3643&amp;submit=Search</v>
      </c>
    </row>
    <row r="3748" spans="1:11">
      <c r="A3748" t="s">
        <v>575</v>
      </c>
      <c r="B3748" t="s">
        <v>575</v>
      </c>
      <c r="C3748" t="s">
        <v>9567</v>
      </c>
      <c r="D3748" t="s">
        <v>18145</v>
      </c>
      <c r="E3748" t="s">
        <v>18146</v>
      </c>
      <c r="F3748" t="s">
        <v>18147</v>
      </c>
      <c r="G3748" t="s">
        <v>19181</v>
      </c>
      <c r="H3748" t="s">
        <v>19215</v>
      </c>
      <c r="I3748" t="s">
        <v>18776</v>
      </c>
      <c r="K3748" t="str">
        <f>HYPERLINK("http://tuberculist.epfl.ch/quicksearch.php?gene+name=Rv3644c&amp;submit=Search")</f>
        <v>http://tuberculist.epfl.ch/quicksearch.php?gene+name=Rv3644c&amp;submit=Search</v>
      </c>
    </row>
    <row r="3749" spans="1:11">
      <c r="A3749" t="s">
        <v>991</v>
      </c>
      <c r="B3749" t="s">
        <v>991</v>
      </c>
      <c r="C3749" t="s">
        <v>9567</v>
      </c>
      <c r="D3749" t="s">
        <v>9544</v>
      </c>
      <c r="E3749" t="s">
        <v>9597</v>
      </c>
      <c r="F3749" t="s">
        <v>18148</v>
      </c>
      <c r="G3749" t="s">
        <v>19188</v>
      </c>
      <c r="I3749" t="s">
        <v>18776</v>
      </c>
      <c r="K3749" t="str">
        <f>HYPERLINK("http://tuberculist.epfl.ch/quicksearch.php?gene+name=Rv3645&amp;submit=Search")</f>
        <v>http://tuberculist.epfl.ch/quicksearch.php?gene+name=Rv3645&amp;submit=Search</v>
      </c>
    </row>
    <row r="3750" spans="1:11">
      <c r="A3750" t="s">
        <v>4441</v>
      </c>
      <c r="B3750" t="s">
        <v>987</v>
      </c>
      <c r="C3750" t="s">
        <v>9567</v>
      </c>
      <c r="D3750" t="s">
        <v>18149</v>
      </c>
      <c r="E3750" t="s">
        <v>18150</v>
      </c>
      <c r="F3750" t="s">
        <v>18151</v>
      </c>
      <c r="G3750" t="s">
        <v>19181</v>
      </c>
      <c r="H3750" t="s">
        <v>19726</v>
      </c>
      <c r="I3750" t="s">
        <v>18774</v>
      </c>
      <c r="K3750" t="str">
        <f>HYPERLINK("http://tuberculist.epfl.ch/quicksearch.php?gene+name=Rv3646c&amp;submit=Search")</f>
        <v>http://tuberculist.epfl.ch/quicksearch.php?gene+name=Rv3646c&amp;submit=Search</v>
      </c>
    </row>
    <row r="3751" spans="1:11">
      <c r="A3751" t="s">
        <v>2866</v>
      </c>
      <c r="B3751" t="s">
        <v>2866</v>
      </c>
      <c r="C3751" t="s">
        <v>9567</v>
      </c>
      <c r="D3751" t="s">
        <v>9578</v>
      </c>
      <c r="E3751" t="s">
        <v>9579</v>
      </c>
      <c r="F3751" t="s">
        <v>18152</v>
      </c>
      <c r="G3751" t="s">
        <v>19185</v>
      </c>
      <c r="H3751" t="s">
        <v>19213</v>
      </c>
      <c r="I3751" t="s">
        <v>18779</v>
      </c>
      <c r="K3751" t="str">
        <f>HYPERLINK("http://tuberculist.epfl.ch/quicksearch.php?gene+name=Rv3647c&amp;submit=Search")</f>
        <v>http://tuberculist.epfl.ch/quicksearch.php?gene+name=Rv3647c&amp;submit=Search</v>
      </c>
    </row>
    <row r="3752" spans="1:11">
      <c r="A3752" t="s">
        <v>7442</v>
      </c>
      <c r="B3752" t="s">
        <v>2483</v>
      </c>
      <c r="C3752" t="s">
        <v>9567</v>
      </c>
      <c r="D3752" t="s">
        <v>18153</v>
      </c>
      <c r="E3752" t="s">
        <v>18154</v>
      </c>
      <c r="F3752" t="s">
        <v>18155</v>
      </c>
      <c r="G3752" t="s">
        <v>19206</v>
      </c>
      <c r="H3752" t="s">
        <v>20116</v>
      </c>
      <c r="I3752" t="s">
        <v>18800</v>
      </c>
      <c r="K3752" t="str">
        <f>HYPERLINK("http://tuberculist.epfl.ch/quicksearch.php?gene+name=Rv3648c&amp;submit=Search")</f>
        <v>http://tuberculist.epfl.ch/quicksearch.php?gene+name=Rv3648c&amp;submit=Search</v>
      </c>
    </row>
    <row r="3753" spans="1:11">
      <c r="A3753" t="s">
        <v>1552</v>
      </c>
      <c r="B3753" t="s">
        <v>1552</v>
      </c>
      <c r="C3753" t="s">
        <v>9567</v>
      </c>
      <c r="D3753" t="s">
        <v>18156</v>
      </c>
      <c r="E3753" t="s">
        <v>18157</v>
      </c>
      <c r="F3753" t="s">
        <v>18158</v>
      </c>
      <c r="G3753" t="s">
        <v>19181</v>
      </c>
      <c r="H3753" t="s">
        <v>19207</v>
      </c>
      <c r="I3753" t="s">
        <v>18812</v>
      </c>
      <c r="K3753" t="str">
        <f>HYPERLINK("http://tuberculist.epfl.ch/quicksearch.php?gene+name=Rv3649&amp;submit=Search")</f>
        <v>http://tuberculist.epfl.ch/quicksearch.php?gene+name=Rv3649&amp;submit=Search</v>
      </c>
    </row>
    <row r="3754" spans="1:11">
      <c r="A3754" t="s">
        <v>18159</v>
      </c>
      <c r="B3754" t="s">
        <v>18160</v>
      </c>
      <c r="C3754" t="s">
        <v>9567</v>
      </c>
      <c r="D3754" t="s">
        <v>9578</v>
      </c>
      <c r="E3754" t="s">
        <v>18161</v>
      </c>
      <c r="F3754" t="s">
        <v>18162</v>
      </c>
      <c r="G3754" t="s">
        <v>20117</v>
      </c>
      <c r="I3754" t="s">
        <v>18773</v>
      </c>
      <c r="K3754" t="str">
        <f>HYPERLINK("http://tuberculist.epfl.ch/quicksearch.php?gene+name=Rv3650&amp;submit=Search")</f>
        <v>http://tuberculist.epfl.ch/quicksearch.php?gene+name=Rv3650&amp;submit=Search</v>
      </c>
    </row>
    <row r="3755" spans="1:11">
      <c r="A3755" t="s">
        <v>3405</v>
      </c>
      <c r="B3755" t="s">
        <v>3405</v>
      </c>
      <c r="C3755" t="s">
        <v>9567</v>
      </c>
      <c r="D3755" t="s">
        <v>9578</v>
      </c>
      <c r="E3755" t="s">
        <v>9579</v>
      </c>
      <c r="F3755" t="s">
        <v>18163</v>
      </c>
      <c r="G3755" t="s">
        <v>19212</v>
      </c>
      <c r="H3755" t="s">
        <v>19334</v>
      </c>
      <c r="I3755" t="s">
        <v>18979</v>
      </c>
      <c r="K3755" t="str">
        <f>HYPERLINK("http://tuberculist.epfl.ch/quicksearch.php?gene+name=Rv3651&amp;submit=Search")</f>
        <v>http://tuberculist.epfl.ch/quicksearch.php?gene+name=Rv3651&amp;submit=Search</v>
      </c>
    </row>
    <row r="3756" spans="1:11">
      <c r="A3756" t="s">
        <v>18164</v>
      </c>
      <c r="B3756" t="s">
        <v>18165</v>
      </c>
      <c r="C3756" t="s">
        <v>9567</v>
      </c>
      <c r="D3756" t="s">
        <v>9578</v>
      </c>
      <c r="E3756" t="s">
        <v>18166</v>
      </c>
      <c r="F3756" t="s">
        <v>18167</v>
      </c>
      <c r="G3756" t="s">
        <v>19262</v>
      </c>
      <c r="I3756" t="s">
        <v>18793</v>
      </c>
      <c r="K3756" t="str">
        <f>HYPERLINK("http://tuberculist.epfl.ch/quicksearch.php?gene+name=Rv3652&amp;submit=Search")</f>
        <v>http://tuberculist.epfl.ch/quicksearch.php?gene+name=Rv3652&amp;submit=Search</v>
      </c>
    </row>
    <row r="3757" spans="1:11">
      <c r="A3757" t="s">
        <v>18168</v>
      </c>
      <c r="B3757" t="s">
        <v>18169</v>
      </c>
      <c r="C3757" t="s">
        <v>9567</v>
      </c>
      <c r="D3757" t="s">
        <v>9578</v>
      </c>
      <c r="E3757" t="s">
        <v>18170</v>
      </c>
      <c r="F3757" t="s">
        <v>18171</v>
      </c>
      <c r="G3757" t="s">
        <v>19262</v>
      </c>
      <c r="I3757" t="s">
        <v>18793</v>
      </c>
      <c r="K3757" t="str">
        <f>HYPERLINK("http://tuberculist.epfl.ch/quicksearch.php?gene+name=Rv3653&amp;submit=Search")</f>
        <v>http://tuberculist.epfl.ch/quicksearch.php?gene+name=Rv3653&amp;submit=Search</v>
      </c>
    </row>
    <row r="3758" spans="1:11">
      <c r="A3758" t="s">
        <v>18172</v>
      </c>
      <c r="B3758" t="s">
        <v>18172</v>
      </c>
      <c r="C3758" t="s">
        <v>9567</v>
      </c>
      <c r="D3758" t="s">
        <v>9578</v>
      </c>
      <c r="E3758" t="s">
        <v>9579</v>
      </c>
      <c r="F3758" t="s">
        <v>18173</v>
      </c>
      <c r="G3758" t="s">
        <v>19212</v>
      </c>
      <c r="I3758" t="s">
        <v>18779</v>
      </c>
      <c r="K3758" t="str">
        <f>HYPERLINK("http://tuberculist.epfl.ch/quicksearch.php?gene+name=Rv3654c&amp;submit=Search")</f>
        <v>http://tuberculist.epfl.ch/quicksearch.php?gene+name=Rv3654c&amp;submit=Search</v>
      </c>
    </row>
    <row r="3759" spans="1:11">
      <c r="A3759" t="s">
        <v>18174</v>
      </c>
      <c r="B3759" t="s">
        <v>18174</v>
      </c>
      <c r="C3759" t="s">
        <v>9567</v>
      </c>
      <c r="D3759" t="s">
        <v>9578</v>
      </c>
      <c r="E3759" t="s">
        <v>9579</v>
      </c>
      <c r="F3759" t="s">
        <v>18175</v>
      </c>
      <c r="G3759" t="s">
        <v>19212</v>
      </c>
      <c r="I3759" t="s">
        <v>18780</v>
      </c>
      <c r="K3759" t="str">
        <f>HYPERLINK("http://tuberculist.epfl.ch/quicksearch.php?gene+name=Rv3655c&amp;submit=Search")</f>
        <v>http://tuberculist.epfl.ch/quicksearch.php?gene+name=Rv3655c&amp;submit=Search</v>
      </c>
    </row>
    <row r="3760" spans="1:11">
      <c r="A3760" t="s">
        <v>18176</v>
      </c>
      <c r="B3760" t="s">
        <v>18176</v>
      </c>
      <c r="C3760" t="s">
        <v>9567</v>
      </c>
      <c r="D3760" t="s">
        <v>9578</v>
      </c>
      <c r="E3760" t="s">
        <v>9579</v>
      </c>
      <c r="F3760" t="s">
        <v>18177</v>
      </c>
      <c r="G3760" t="s">
        <v>19212</v>
      </c>
      <c r="I3760" t="s">
        <v>18780</v>
      </c>
      <c r="K3760" t="str">
        <f>HYPERLINK("http://tuberculist.epfl.ch/quicksearch.php?gene+name=Rv3656c&amp;submit=Search")</f>
        <v>http://tuberculist.epfl.ch/quicksearch.php?gene+name=Rv3656c&amp;submit=Search</v>
      </c>
    </row>
    <row r="3761" spans="1:11">
      <c r="A3761" t="s">
        <v>18178</v>
      </c>
      <c r="B3761" t="s">
        <v>18178</v>
      </c>
      <c r="C3761" t="s">
        <v>9567</v>
      </c>
      <c r="D3761" t="s">
        <v>9587</v>
      </c>
      <c r="E3761" t="s">
        <v>18179</v>
      </c>
      <c r="F3761" t="s">
        <v>18180</v>
      </c>
      <c r="G3761" t="s">
        <v>19188</v>
      </c>
      <c r="I3761" t="s">
        <v>18859</v>
      </c>
      <c r="K3761" t="str">
        <f>HYPERLINK("http://tuberculist.epfl.ch/quicksearch.php?gene+name=Rv3657c&amp;submit=Search")</f>
        <v>http://tuberculist.epfl.ch/quicksearch.php?gene+name=Rv3657c&amp;submit=Search</v>
      </c>
    </row>
    <row r="3762" spans="1:11">
      <c r="A3762" t="s">
        <v>863</v>
      </c>
      <c r="B3762" t="s">
        <v>863</v>
      </c>
      <c r="C3762" t="s">
        <v>9567</v>
      </c>
      <c r="D3762" t="s">
        <v>9587</v>
      </c>
      <c r="E3762" t="s">
        <v>9597</v>
      </c>
      <c r="F3762" t="s">
        <v>18181</v>
      </c>
      <c r="G3762" t="s">
        <v>19188</v>
      </c>
      <c r="H3762" t="s">
        <v>19207</v>
      </c>
      <c r="I3762" t="s">
        <v>18801</v>
      </c>
      <c r="K3762" t="str">
        <f>HYPERLINK("http://tuberculist.epfl.ch/quicksearch.php?gene+name=Rv3658c&amp;submit=Search")</f>
        <v>http://tuberculist.epfl.ch/quicksearch.php?gene+name=Rv3658c&amp;submit=Search</v>
      </c>
    </row>
    <row r="3763" spans="1:11">
      <c r="A3763" t="s">
        <v>18182</v>
      </c>
      <c r="B3763" t="s">
        <v>18182</v>
      </c>
      <c r="C3763" t="s">
        <v>9567</v>
      </c>
      <c r="D3763" t="s">
        <v>9578</v>
      </c>
      <c r="E3763" t="s">
        <v>9579</v>
      </c>
      <c r="F3763" t="s">
        <v>18183</v>
      </c>
      <c r="G3763" t="s">
        <v>19204</v>
      </c>
      <c r="I3763" t="s">
        <v>18780</v>
      </c>
      <c r="K3763" t="str">
        <f>HYPERLINK("http://tuberculist.epfl.ch/quicksearch.php?gene+name=Rv3659c&amp;submit=Search")</f>
        <v>http://tuberculist.epfl.ch/quicksearch.php?gene+name=Rv3659c&amp;submit=Search</v>
      </c>
    </row>
    <row r="3764" spans="1:11">
      <c r="A3764" t="s">
        <v>18184</v>
      </c>
      <c r="B3764" t="s">
        <v>18184</v>
      </c>
      <c r="C3764" t="s">
        <v>9567</v>
      </c>
      <c r="D3764" t="s">
        <v>18185</v>
      </c>
      <c r="E3764" t="s">
        <v>9579</v>
      </c>
      <c r="F3764" t="s">
        <v>18186</v>
      </c>
      <c r="G3764" t="s">
        <v>19206</v>
      </c>
      <c r="H3764" t="s">
        <v>19215</v>
      </c>
      <c r="I3764" t="s">
        <v>18899</v>
      </c>
      <c r="J3764" t="s">
        <v>18809</v>
      </c>
      <c r="K3764" t="str">
        <f>HYPERLINK("http://tuberculist.epfl.ch/quicksearch.php?gene+name=Rv3660c&amp;submit=Search")</f>
        <v>http://tuberculist.epfl.ch/quicksearch.php?gene+name=Rv3660c&amp;submit=Search</v>
      </c>
    </row>
    <row r="3765" spans="1:11">
      <c r="A3765" t="s">
        <v>3416</v>
      </c>
      <c r="B3765" t="s">
        <v>3416</v>
      </c>
      <c r="C3765" t="s">
        <v>9567</v>
      </c>
      <c r="D3765" t="s">
        <v>18185</v>
      </c>
      <c r="E3765" t="s">
        <v>9579</v>
      </c>
      <c r="F3765" t="s">
        <v>18187</v>
      </c>
      <c r="G3765" t="s">
        <v>19206</v>
      </c>
      <c r="H3765" t="s">
        <v>20072</v>
      </c>
      <c r="I3765" t="s">
        <v>18780</v>
      </c>
      <c r="J3765" t="s">
        <v>18775</v>
      </c>
      <c r="K3765" t="str">
        <f>HYPERLINK("http://tuberculist.epfl.ch/quicksearch.php?gene+name=Rv3661&amp;submit=Search")</f>
        <v>http://tuberculist.epfl.ch/quicksearch.php?gene+name=Rv3661&amp;submit=Search</v>
      </c>
    </row>
    <row r="3766" spans="1:11">
      <c r="A3766" t="s">
        <v>18188</v>
      </c>
      <c r="B3766" t="s">
        <v>18188</v>
      </c>
      <c r="C3766" t="s">
        <v>9567</v>
      </c>
      <c r="D3766" t="s">
        <v>9578</v>
      </c>
      <c r="E3766" t="s">
        <v>9579</v>
      </c>
      <c r="F3766" t="s">
        <v>18189</v>
      </c>
      <c r="G3766" t="s">
        <v>19210</v>
      </c>
      <c r="H3766" t="s">
        <v>19207</v>
      </c>
      <c r="I3766" t="s">
        <v>18793</v>
      </c>
      <c r="K3766" t="str">
        <f>HYPERLINK("http://tuberculist.epfl.ch/quicksearch.php?gene+name=Rv3662c&amp;submit=Search")</f>
        <v>http://tuberculist.epfl.ch/quicksearch.php?gene+name=Rv3662c&amp;submit=Search</v>
      </c>
    </row>
    <row r="3767" spans="1:11">
      <c r="A3767" t="s">
        <v>4793</v>
      </c>
      <c r="B3767" t="s">
        <v>1155</v>
      </c>
      <c r="C3767" t="s">
        <v>9567</v>
      </c>
      <c r="D3767" t="s">
        <v>18190</v>
      </c>
      <c r="E3767" t="s">
        <v>18191</v>
      </c>
      <c r="F3767" t="s">
        <v>18192</v>
      </c>
      <c r="G3767" t="s">
        <v>19188</v>
      </c>
      <c r="H3767" t="s">
        <v>19207</v>
      </c>
      <c r="I3767" t="s">
        <v>18811</v>
      </c>
      <c r="K3767" t="str">
        <f>HYPERLINK("http://tuberculist.epfl.ch/quicksearch.php?gene+name=Rv3663c&amp;submit=Search")</f>
        <v>http://tuberculist.epfl.ch/quicksearch.php?gene+name=Rv3663c&amp;submit=Search</v>
      </c>
    </row>
    <row r="3768" spans="1:11">
      <c r="A3768" t="s">
        <v>6583</v>
      </c>
      <c r="B3768" t="s">
        <v>2049</v>
      </c>
      <c r="C3768" t="s">
        <v>9567</v>
      </c>
      <c r="D3768" t="s">
        <v>18193</v>
      </c>
      <c r="E3768" t="s">
        <v>18194</v>
      </c>
      <c r="F3768" t="s">
        <v>18195</v>
      </c>
      <c r="G3768" t="s">
        <v>19188</v>
      </c>
      <c r="I3768" t="s">
        <v>18773</v>
      </c>
      <c r="K3768" t="str">
        <f>HYPERLINK("http://tuberculist.epfl.ch/quicksearch.php?gene+name=Rv3664c&amp;submit=Search")</f>
        <v>http://tuberculist.epfl.ch/quicksearch.php?gene+name=Rv3664c&amp;submit=Search</v>
      </c>
    </row>
    <row r="3769" spans="1:11">
      <c r="A3769" t="s">
        <v>8434</v>
      </c>
      <c r="B3769" t="s">
        <v>2966</v>
      </c>
      <c r="C3769" t="s">
        <v>9567</v>
      </c>
      <c r="D3769" t="s">
        <v>18193</v>
      </c>
      <c r="E3769" t="s">
        <v>18196</v>
      </c>
      <c r="F3769" t="s">
        <v>18197</v>
      </c>
      <c r="G3769" t="s">
        <v>19188</v>
      </c>
      <c r="I3769" t="s">
        <v>18788</v>
      </c>
      <c r="K3769" t="str">
        <f>HYPERLINK("http://tuberculist.epfl.ch/quicksearch.php?gene+name=Rv3665c&amp;submit=Search")</f>
        <v>http://tuberculist.epfl.ch/quicksearch.php?gene+name=Rv3665c&amp;submit=Search</v>
      </c>
    </row>
    <row r="3770" spans="1:11">
      <c r="A3770" t="s">
        <v>7570</v>
      </c>
      <c r="B3770" t="s">
        <v>2539</v>
      </c>
      <c r="C3770" t="s">
        <v>9567</v>
      </c>
      <c r="D3770" t="s">
        <v>18198</v>
      </c>
      <c r="E3770" t="s">
        <v>18199</v>
      </c>
      <c r="F3770" t="s">
        <v>18200</v>
      </c>
      <c r="G3770" t="s">
        <v>19188</v>
      </c>
      <c r="H3770" t="s">
        <v>19229</v>
      </c>
      <c r="I3770" t="s">
        <v>18800</v>
      </c>
      <c r="K3770" t="str">
        <f>HYPERLINK("http://tuberculist.epfl.ch/quicksearch.php?gene+name=Rv3666c&amp;submit=Search")</f>
        <v>http://tuberculist.epfl.ch/quicksearch.php?gene+name=Rv3666c&amp;submit=Search</v>
      </c>
    </row>
    <row r="3771" spans="1:11">
      <c r="A3771" t="s">
        <v>6241</v>
      </c>
      <c r="B3771" t="s">
        <v>1874</v>
      </c>
      <c r="C3771" t="s">
        <v>9567</v>
      </c>
      <c r="D3771" t="s">
        <v>18201</v>
      </c>
      <c r="E3771" t="s">
        <v>18202</v>
      </c>
      <c r="F3771" t="s">
        <v>18203</v>
      </c>
      <c r="G3771" t="s">
        <v>19219</v>
      </c>
      <c r="H3771" t="s">
        <v>20118</v>
      </c>
      <c r="I3771" t="s">
        <v>18779</v>
      </c>
      <c r="K3771" t="str">
        <f>HYPERLINK("http://tuberculist.epfl.ch/quicksearch.php?gene+name=Rv3667&amp;submit=Search")</f>
        <v>http://tuberculist.epfl.ch/quicksearch.php?gene+name=Rv3667&amp;submit=Search</v>
      </c>
    </row>
    <row r="3772" spans="1:11">
      <c r="A3772" t="s">
        <v>2736</v>
      </c>
      <c r="B3772" t="s">
        <v>2736</v>
      </c>
      <c r="C3772" t="s">
        <v>9567</v>
      </c>
      <c r="D3772" t="s">
        <v>18204</v>
      </c>
      <c r="E3772" t="s">
        <v>18205</v>
      </c>
      <c r="F3772" t="s">
        <v>18206</v>
      </c>
      <c r="G3772" t="s">
        <v>19195</v>
      </c>
      <c r="H3772" t="s">
        <v>20119</v>
      </c>
      <c r="I3772" t="s">
        <v>18789</v>
      </c>
      <c r="K3772" t="str">
        <f>HYPERLINK("http://tuberculist.epfl.ch/quicksearch.php?gene+name=Rv3668c&amp;submit=Search")</f>
        <v>http://tuberculist.epfl.ch/quicksearch.php?gene+name=Rv3668c&amp;submit=Search</v>
      </c>
    </row>
    <row r="3773" spans="1:11">
      <c r="A3773" t="s">
        <v>3044</v>
      </c>
      <c r="B3773" t="s">
        <v>3044</v>
      </c>
      <c r="C3773" t="s">
        <v>9567</v>
      </c>
      <c r="D3773" t="s">
        <v>9587</v>
      </c>
      <c r="E3773" t="s">
        <v>9597</v>
      </c>
      <c r="F3773" t="s">
        <v>18207</v>
      </c>
      <c r="G3773" t="s">
        <v>19188</v>
      </c>
      <c r="H3773" t="s">
        <v>19634</v>
      </c>
      <c r="I3773" t="s">
        <v>18800</v>
      </c>
      <c r="K3773" t="str">
        <f>HYPERLINK("http://tuberculist.epfl.ch/quicksearch.php?gene+name=Rv3669&amp;submit=Search")</f>
        <v>http://tuberculist.epfl.ch/quicksearch.php?gene+name=Rv3669&amp;submit=Search</v>
      </c>
    </row>
    <row r="3774" spans="1:11">
      <c r="A3774" t="s">
        <v>8445</v>
      </c>
      <c r="B3774" t="s">
        <v>2972</v>
      </c>
      <c r="C3774" t="s">
        <v>9567</v>
      </c>
      <c r="D3774" t="s">
        <v>18208</v>
      </c>
      <c r="E3774" t="s">
        <v>18209</v>
      </c>
      <c r="F3774" t="s">
        <v>18210</v>
      </c>
      <c r="G3774" t="s">
        <v>19206</v>
      </c>
      <c r="H3774" t="s">
        <v>19252</v>
      </c>
      <c r="I3774" t="s">
        <v>18776</v>
      </c>
      <c r="K3774" t="str">
        <f>HYPERLINK("http://tuberculist.epfl.ch/quicksearch.php?gene+name=Rv3670&amp;submit=Search")</f>
        <v>http://tuberculist.epfl.ch/quicksearch.php?gene+name=Rv3670&amp;submit=Search</v>
      </c>
    </row>
    <row r="3775" spans="1:11">
      <c r="A3775" t="s">
        <v>2384</v>
      </c>
      <c r="B3775" t="s">
        <v>2384</v>
      </c>
      <c r="C3775" t="s">
        <v>9567</v>
      </c>
      <c r="D3775" t="s">
        <v>18211</v>
      </c>
      <c r="E3775" t="s">
        <v>18212</v>
      </c>
      <c r="F3775" t="s">
        <v>18213</v>
      </c>
      <c r="G3775" t="s">
        <v>19195</v>
      </c>
      <c r="H3775" t="s">
        <v>19948</v>
      </c>
      <c r="I3775" t="s">
        <v>19145</v>
      </c>
      <c r="K3775" t="str">
        <f>HYPERLINK("http://tuberculist.epfl.ch/quicksearch.php?gene+name=Rv3671c&amp;submit=Search")</f>
        <v>http://tuberculist.epfl.ch/quicksearch.php?gene+name=Rv3671c&amp;submit=Search</v>
      </c>
    </row>
    <row r="3776" spans="1:11">
      <c r="A3776" t="s">
        <v>2916</v>
      </c>
      <c r="B3776" t="s">
        <v>2916</v>
      </c>
      <c r="C3776" t="s">
        <v>9567</v>
      </c>
      <c r="D3776" t="s">
        <v>9578</v>
      </c>
      <c r="E3776" t="s">
        <v>9579</v>
      </c>
      <c r="F3776" t="s">
        <v>18214</v>
      </c>
      <c r="G3776" t="s">
        <v>19185</v>
      </c>
      <c r="H3776" t="s">
        <v>19342</v>
      </c>
      <c r="I3776" t="s">
        <v>18779</v>
      </c>
      <c r="K3776" t="str">
        <f>HYPERLINK("http://tuberculist.epfl.ch/quicksearch.php?gene+name=Rv3672c&amp;submit=Search")</f>
        <v>http://tuberculist.epfl.ch/quicksearch.php?gene+name=Rv3672c&amp;submit=Search</v>
      </c>
    </row>
    <row r="3777" spans="1:11">
      <c r="A3777" t="s">
        <v>1514</v>
      </c>
      <c r="B3777" t="s">
        <v>1514</v>
      </c>
      <c r="C3777" t="s">
        <v>9567</v>
      </c>
      <c r="D3777" t="s">
        <v>18215</v>
      </c>
      <c r="E3777" t="s">
        <v>18216</v>
      </c>
      <c r="F3777" t="s">
        <v>18217</v>
      </c>
      <c r="G3777" t="s">
        <v>19195</v>
      </c>
      <c r="H3777" t="s">
        <v>19192</v>
      </c>
      <c r="I3777" t="s">
        <v>18776</v>
      </c>
      <c r="K3777" t="str">
        <f>HYPERLINK("http://tuberculist.epfl.ch/quicksearch.php?gene+name=Rv3673c&amp;submit=Search")</f>
        <v>http://tuberculist.epfl.ch/quicksearch.php?gene+name=Rv3673c&amp;submit=Search</v>
      </c>
    </row>
    <row r="3778" spans="1:11">
      <c r="A3778" t="s">
        <v>4932</v>
      </c>
      <c r="B3778" t="s">
        <v>1224</v>
      </c>
      <c r="C3778" t="s">
        <v>9567</v>
      </c>
      <c r="D3778" t="s">
        <v>18218</v>
      </c>
      <c r="E3778" t="s">
        <v>18219</v>
      </c>
      <c r="F3778" t="s">
        <v>18220</v>
      </c>
      <c r="G3778" t="s">
        <v>19181</v>
      </c>
      <c r="H3778" t="s">
        <v>19275</v>
      </c>
      <c r="I3778" t="s">
        <v>18789</v>
      </c>
      <c r="K3778" t="str">
        <f>HYPERLINK("http://tuberculist.epfl.ch/quicksearch.php?gene+name=Rv3674c&amp;submit=Search")</f>
        <v>http://tuberculist.epfl.ch/quicksearch.php?gene+name=Rv3674c&amp;submit=Search</v>
      </c>
    </row>
    <row r="3779" spans="1:11">
      <c r="A3779" t="s">
        <v>3341</v>
      </c>
      <c r="B3779" t="s">
        <v>3341</v>
      </c>
      <c r="C3779" t="s">
        <v>9567</v>
      </c>
      <c r="D3779" t="s">
        <v>9587</v>
      </c>
      <c r="E3779" t="s">
        <v>9590</v>
      </c>
      <c r="F3779" t="s">
        <v>18221</v>
      </c>
      <c r="G3779" t="s">
        <v>19188</v>
      </c>
      <c r="H3779" t="s">
        <v>19305</v>
      </c>
      <c r="I3779" t="s">
        <v>18777</v>
      </c>
      <c r="K3779" t="str">
        <f>HYPERLINK("http://tuberculist.epfl.ch/quicksearch.php?gene+name=Rv3675&amp;submit=Search")</f>
        <v>http://tuberculist.epfl.ch/quicksearch.php?gene+name=Rv3675&amp;submit=Search</v>
      </c>
    </row>
    <row r="3780" spans="1:11">
      <c r="A3780" t="s">
        <v>18222</v>
      </c>
      <c r="B3780" t="s">
        <v>3067</v>
      </c>
      <c r="C3780" t="s">
        <v>9567</v>
      </c>
      <c r="D3780" t="s">
        <v>9629</v>
      </c>
      <c r="E3780" t="s">
        <v>18223</v>
      </c>
      <c r="F3780" t="s">
        <v>18224</v>
      </c>
      <c r="G3780" t="s">
        <v>19197</v>
      </c>
      <c r="H3780" t="s">
        <v>20120</v>
      </c>
      <c r="I3780" t="s">
        <v>19146</v>
      </c>
      <c r="K3780" t="str">
        <f>HYPERLINK("http://tuberculist.epfl.ch/quicksearch.php?gene+name=Rv3676&amp;submit=Search")</f>
        <v>http://tuberculist.epfl.ch/quicksearch.php?gene+name=Rv3676&amp;submit=Search</v>
      </c>
    </row>
    <row r="3781" spans="1:11">
      <c r="A3781" t="s">
        <v>2402</v>
      </c>
      <c r="B3781" t="s">
        <v>2402</v>
      </c>
      <c r="C3781" t="s">
        <v>9567</v>
      </c>
      <c r="D3781" t="s">
        <v>9682</v>
      </c>
      <c r="E3781" t="s">
        <v>9686</v>
      </c>
      <c r="F3781" t="s">
        <v>18225</v>
      </c>
      <c r="G3781" t="s">
        <v>19195</v>
      </c>
      <c r="I3781" t="s">
        <v>18780</v>
      </c>
      <c r="K3781" t="str">
        <f>HYPERLINK("http://tuberculist.epfl.ch/quicksearch.php?gene+name=Rv3677c&amp;submit=Search")</f>
        <v>http://tuberculist.epfl.ch/quicksearch.php?gene+name=Rv3677c&amp;submit=Search</v>
      </c>
    </row>
    <row r="3782" spans="1:11">
      <c r="A3782" t="s">
        <v>18226</v>
      </c>
      <c r="B3782" t="s">
        <v>18226</v>
      </c>
      <c r="C3782" t="s">
        <v>9567</v>
      </c>
      <c r="D3782" t="s">
        <v>9578</v>
      </c>
      <c r="E3782" t="s">
        <v>9579</v>
      </c>
      <c r="F3782" t="s">
        <v>18227</v>
      </c>
      <c r="G3782" t="s">
        <v>19210</v>
      </c>
      <c r="H3782" t="s">
        <v>19214</v>
      </c>
      <c r="I3782" t="s">
        <v>18793</v>
      </c>
      <c r="K3782" t="str">
        <f>HYPERLINK("http://tuberculist.epfl.ch/quicksearch.php?gene+name=Rv3678A&amp;submit=Search")</f>
        <v>http://tuberculist.epfl.ch/quicksearch.php?gene+name=Rv3678A&amp;submit=Search</v>
      </c>
    </row>
    <row r="3783" spans="1:11">
      <c r="A3783" t="s">
        <v>2306</v>
      </c>
      <c r="B3783" t="s">
        <v>2306</v>
      </c>
      <c r="C3783" t="s">
        <v>9567</v>
      </c>
      <c r="D3783" t="s">
        <v>9578</v>
      </c>
      <c r="E3783" t="s">
        <v>9665</v>
      </c>
      <c r="F3783" t="s">
        <v>18228</v>
      </c>
      <c r="G3783" t="s">
        <v>19204</v>
      </c>
      <c r="H3783" t="s">
        <v>20121</v>
      </c>
      <c r="I3783" t="s">
        <v>18780</v>
      </c>
      <c r="K3783" t="str">
        <f>HYPERLINK("http://tuberculist.epfl.ch/quicksearch.php?gene+name=Rv3678c&amp;submit=Search")</f>
        <v>http://tuberculist.epfl.ch/quicksearch.php?gene+name=Rv3678c&amp;submit=Search</v>
      </c>
    </row>
    <row r="3784" spans="1:11">
      <c r="A3784" t="s">
        <v>2399</v>
      </c>
      <c r="B3784" t="s">
        <v>2399</v>
      </c>
      <c r="C3784" t="s">
        <v>9567</v>
      </c>
      <c r="D3784" t="s">
        <v>18229</v>
      </c>
      <c r="E3784" t="s">
        <v>18230</v>
      </c>
      <c r="F3784" t="s">
        <v>18231</v>
      </c>
      <c r="G3784" t="s">
        <v>19188</v>
      </c>
      <c r="H3784" t="s">
        <v>19597</v>
      </c>
      <c r="I3784" t="s">
        <v>18801</v>
      </c>
      <c r="K3784" t="str">
        <f>HYPERLINK("http://tuberculist.epfl.ch/quicksearch.php?gene+name=Rv3679&amp;submit=Search")</f>
        <v>http://tuberculist.epfl.ch/quicksearch.php?gene+name=Rv3679&amp;submit=Search</v>
      </c>
    </row>
    <row r="3785" spans="1:11">
      <c r="A3785" t="s">
        <v>1923</v>
      </c>
      <c r="B3785" t="s">
        <v>1923</v>
      </c>
      <c r="C3785" t="s">
        <v>9567</v>
      </c>
      <c r="D3785" t="s">
        <v>18229</v>
      </c>
      <c r="E3785" t="s">
        <v>18230</v>
      </c>
      <c r="F3785" t="s">
        <v>18232</v>
      </c>
      <c r="G3785" t="s">
        <v>19188</v>
      </c>
      <c r="H3785" t="s">
        <v>19597</v>
      </c>
      <c r="I3785" t="s">
        <v>18773</v>
      </c>
      <c r="K3785" t="str">
        <f>HYPERLINK("http://tuberculist.epfl.ch/quicksearch.php?gene+name=Rv3680&amp;submit=Search")</f>
        <v>http://tuberculist.epfl.ch/quicksearch.php?gene+name=Rv3680&amp;submit=Search</v>
      </c>
    </row>
    <row r="3786" spans="1:11">
      <c r="A3786" t="s">
        <v>7006</v>
      </c>
      <c r="B3786" t="s">
        <v>2261</v>
      </c>
      <c r="C3786" t="s">
        <v>9567</v>
      </c>
      <c r="D3786" t="s">
        <v>17415</v>
      </c>
      <c r="E3786" t="s">
        <v>18233</v>
      </c>
      <c r="F3786" t="s">
        <v>18234</v>
      </c>
      <c r="G3786" t="s">
        <v>19197</v>
      </c>
      <c r="H3786" t="s">
        <v>19205</v>
      </c>
      <c r="I3786" t="s">
        <v>18780</v>
      </c>
      <c r="K3786" t="str">
        <f>HYPERLINK("http://tuberculist.epfl.ch/quicksearch.php?gene+name=Rv3681c&amp;submit=Search")</f>
        <v>http://tuberculist.epfl.ch/quicksearch.php?gene+name=Rv3681c&amp;submit=Search</v>
      </c>
    </row>
    <row r="3787" spans="1:11">
      <c r="A3787" t="s">
        <v>8518</v>
      </c>
      <c r="B3787" t="s">
        <v>3005</v>
      </c>
      <c r="C3787" t="s">
        <v>9567</v>
      </c>
      <c r="D3787" t="s">
        <v>18235</v>
      </c>
      <c r="E3787" t="s">
        <v>18236</v>
      </c>
      <c r="F3787" t="s">
        <v>18237</v>
      </c>
      <c r="G3787" t="s">
        <v>19188</v>
      </c>
      <c r="H3787" t="s">
        <v>20122</v>
      </c>
      <c r="I3787" t="s">
        <v>19147</v>
      </c>
      <c r="K3787" t="str">
        <f>HYPERLINK("http://tuberculist.epfl.ch/quicksearch.php?gene+name=Rv3682&amp;submit=Search")</f>
        <v>http://tuberculist.epfl.ch/quicksearch.php?gene+name=Rv3682&amp;submit=Search</v>
      </c>
    </row>
    <row r="3788" spans="1:11">
      <c r="A3788" t="s">
        <v>2910</v>
      </c>
      <c r="B3788" t="s">
        <v>2910</v>
      </c>
      <c r="C3788" t="s">
        <v>9567</v>
      </c>
      <c r="D3788" t="s">
        <v>9578</v>
      </c>
      <c r="E3788" t="s">
        <v>9665</v>
      </c>
      <c r="F3788" t="s">
        <v>18238</v>
      </c>
      <c r="G3788" t="s">
        <v>19210</v>
      </c>
      <c r="H3788" t="s">
        <v>20123</v>
      </c>
      <c r="I3788" t="s">
        <v>18810</v>
      </c>
      <c r="K3788" t="str">
        <f>HYPERLINK("http://tuberculist.epfl.ch/quicksearch.php?gene+name=Rv3683&amp;submit=Search")</f>
        <v>http://tuberculist.epfl.ch/quicksearch.php?gene+name=Rv3683&amp;submit=Search</v>
      </c>
    </row>
    <row r="3789" spans="1:11">
      <c r="A3789" t="s">
        <v>3248</v>
      </c>
      <c r="B3789" t="s">
        <v>3248</v>
      </c>
      <c r="C3789" t="s">
        <v>9567</v>
      </c>
      <c r="D3789" t="s">
        <v>9682</v>
      </c>
      <c r="E3789" t="s">
        <v>18239</v>
      </c>
      <c r="F3789" t="s">
        <v>18240</v>
      </c>
      <c r="G3789" t="s">
        <v>19195</v>
      </c>
      <c r="H3789" t="s">
        <v>20124</v>
      </c>
      <c r="I3789" t="s">
        <v>18780</v>
      </c>
      <c r="K3789" t="str">
        <f>HYPERLINK("http://tuberculist.epfl.ch/quicksearch.php?gene+name=Rv3684&amp;submit=Search")</f>
        <v>http://tuberculist.epfl.ch/quicksearch.php?gene+name=Rv3684&amp;submit=Search</v>
      </c>
    </row>
    <row r="3790" spans="1:11">
      <c r="A3790" t="s">
        <v>7681</v>
      </c>
      <c r="B3790" t="s">
        <v>2594</v>
      </c>
      <c r="C3790" t="s">
        <v>9567</v>
      </c>
      <c r="D3790" t="s">
        <v>9908</v>
      </c>
      <c r="E3790" t="s">
        <v>18241</v>
      </c>
      <c r="F3790" t="s">
        <v>18242</v>
      </c>
      <c r="G3790" t="s">
        <v>19195</v>
      </c>
      <c r="H3790" t="s">
        <v>19207</v>
      </c>
      <c r="I3790" t="s">
        <v>18780</v>
      </c>
      <c r="K3790" t="str">
        <f>HYPERLINK("http://tuberculist.epfl.ch/quicksearch.php?gene+name=Rv3685c&amp;submit=Search")</f>
        <v>http://tuberculist.epfl.ch/quicksearch.php?gene+name=Rv3685c&amp;submit=Search</v>
      </c>
    </row>
    <row r="3791" spans="1:11">
      <c r="A3791" t="s">
        <v>1202</v>
      </c>
      <c r="B3791" t="s">
        <v>1202</v>
      </c>
      <c r="C3791" t="s">
        <v>9567</v>
      </c>
      <c r="D3791" t="s">
        <v>9578</v>
      </c>
      <c r="E3791" t="s">
        <v>9579</v>
      </c>
      <c r="F3791" t="s">
        <v>18243</v>
      </c>
      <c r="G3791" t="s">
        <v>19212</v>
      </c>
      <c r="I3791" t="s">
        <v>18780</v>
      </c>
      <c r="K3791" t="str">
        <f>HYPERLINK("http://tuberculist.epfl.ch/quicksearch.php?gene+name=Rv3686c&amp;submit=Search")</f>
        <v>http://tuberculist.epfl.ch/quicksearch.php?gene+name=Rv3686c&amp;submit=Search</v>
      </c>
    </row>
    <row r="3792" spans="1:11">
      <c r="A3792" t="s">
        <v>18244</v>
      </c>
      <c r="B3792" t="s">
        <v>18245</v>
      </c>
      <c r="C3792" t="s">
        <v>9567</v>
      </c>
      <c r="D3792" t="s">
        <v>18246</v>
      </c>
      <c r="E3792" t="s">
        <v>18247</v>
      </c>
      <c r="F3792" t="s">
        <v>18248</v>
      </c>
      <c r="G3792" t="s">
        <v>19181</v>
      </c>
      <c r="H3792" t="s">
        <v>19192</v>
      </c>
      <c r="I3792" t="s">
        <v>18793</v>
      </c>
      <c r="K3792" t="str">
        <f>HYPERLINK("http://tuberculist.epfl.ch/quicksearch.php?gene+name=Rv3687c&amp;submit=Search")</f>
        <v>http://tuberculist.epfl.ch/quicksearch.php?gene+name=Rv3687c&amp;submit=Search</v>
      </c>
    </row>
    <row r="3793" spans="1:11">
      <c r="A3793" t="s">
        <v>1266</v>
      </c>
      <c r="B3793" t="s">
        <v>1266</v>
      </c>
      <c r="C3793" t="s">
        <v>9567</v>
      </c>
      <c r="D3793" t="s">
        <v>9578</v>
      </c>
      <c r="E3793" t="s">
        <v>9665</v>
      </c>
      <c r="F3793" t="s">
        <v>18249</v>
      </c>
      <c r="G3793" t="s">
        <v>19185</v>
      </c>
      <c r="H3793" t="s">
        <v>19229</v>
      </c>
      <c r="I3793" t="s">
        <v>18780</v>
      </c>
      <c r="K3793" t="str">
        <f>HYPERLINK("http://tuberculist.epfl.ch/quicksearch.php?gene+name=Rv3688c&amp;submit=Search")</f>
        <v>http://tuberculist.epfl.ch/quicksearch.php?gene+name=Rv3688c&amp;submit=Search</v>
      </c>
    </row>
    <row r="3794" spans="1:11">
      <c r="A3794" t="s">
        <v>1560</v>
      </c>
      <c r="B3794" t="s">
        <v>1560</v>
      </c>
      <c r="C3794" t="s">
        <v>9567</v>
      </c>
      <c r="D3794" t="s">
        <v>9587</v>
      </c>
      <c r="E3794" t="s">
        <v>9597</v>
      </c>
      <c r="F3794" t="s">
        <v>18250</v>
      </c>
      <c r="G3794" t="s">
        <v>19188</v>
      </c>
      <c r="H3794" t="s">
        <v>19192</v>
      </c>
      <c r="I3794" t="s">
        <v>18780</v>
      </c>
      <c r="K3794" t="str">
        <f>HYPERLINK("http://tuberculist.epfl.ch/quicksearch.php?gene+name=Rv3689&amp;submit=Search")</f>
        <v>http://tuberculist.epfl.ch/quicksearch.php?gene+name=Rv3689&amp;submit=Search</v>
      </c>
    </row>
    <row r="3795" spans="1:11">
      <c r="A3795" t="s">
        <v>18251</v>
      </c>
      <c r="B3795" t="s">
        <v>18251</v>
      </c>
      <c r="C3795" t="s">
        <v>9567</v>
      </c>
      <c r="D3795" t="s">
        <v>9587</v>
      </c>
      <c r="E3795" t="s">
        <v>9595</v>
      </c>
      <c r="F3795" t="s">
        <v>18252</v>
      </c>
      <c r="G3795" t="s">
        <v>19188</v>
      </c>
      <c r="H3795" t="s">
        <v>19370</v>
      </c>
      <c r="I3795" t="s">
        <v>18780</v>
      </c>
      <c r="K3795" t="str">
        <f>HYPERLINK("http://tuberculist.epfl.ch/quicksearch.php?gene+name=Rv3690&amp;submit=Search")</f>
        <v>http://tuberculist.epfl.ch/quicksearch.php?gene+name=Rv3690&amp;submit=Search</v>
      </c>
    </row>
    <row r="3796" spans="1:11">
      <c r="A3796" t="s">
        <v>1649</v>
      </c>
      <c r="B3796" t="s">
        <v>1649</v>
      </c>
      <c r="C3796" t="s">
        <v>9567</v>
      </c>
      <c r="D3796" t="s">
        <v>9578</v>
      </c>
      <c r="E3796" t="s">
        <v>9665</v>
      </c>
      <c r="F3796" t="s">
        <v>18253</v>
      </c>
      <c r="G3796" t="s">
        <v>19212</v>
      </c>
      <c r="H3796" t="s">
        <v>19225</v>
      </c>
      <c r="I3796" t="s">
        <v>18789</v>
      </c>
      <c r="K3796" t="str">
        <f>HYPERLINK("http://tuberculist.epfl.ch/quicksearch.php?gene+name=Rv3691&amp;submit=Search")</f>
        <v>http://tuberculist.epfl.ch/quicksearch.php?gene+name=Rv3691&amp;submit=Search</v>
      </c>
    </row>
    <row r="3797" spans="1:11">
      <c r="A3797" t="s">
        <v>7220</v>
      </c>
      <c r="B3797" t="s">
        <v>2370</v>
      </c>
      <c r="C3797" t="s">
        <v>9567</v>
      </c>
      <c r="D3797" t="s">
        <v>16992</v>
      </c>
      <c r="E3797" t="s">
        <v>18254</v>
      </c>
      <c r="F3797" t="s">
        <v>18255</v>
      </c>
      <c r="G3797" t="s">
        <v>19197</v>
      </c>
      <c r="H3797" t="s">
        <v>19341</v>
      </c>
      <c r="I3797" t="s">
        <v>18789</v>
      </c>
      <c r="K3797" t="str">
        <f>HYPERLINK("http://tuberculist.epfl.ch/quicksearch.php?gene+name=Rv3692&amp;submit=Search")</f>
        <v>http://tuberculist.epfl.ch/quicksearch.php?gene+name=Rv3692&amp;submit=Search</v>
      </c>
    </row>
    <row r="3798" spans="1:11">
      <c r="A3798" t="s">
        <v>673</v>
      </c>
      <c r="B3798" t="s">
        <v>673</v>
      </c>
      <c r="C3798" t="s">
        <v>9567</v>
      </c>
      <c r="D3798" t="s">
        <v>9587</v>
      </c>
      <c r="E3798" t="s">
        <v>9588</v>
      </c>
      <c r="F3798" t="s">
        <v>18256</v>
      </c>
      <c r="G3798" t="s">
        <v>19188</v>
      </c>
      <c r="H3798" t="s">
        <v>20125</v>
      </c>
      <c r="I3798" t="s">
        <v>18779</v>
      </c>
      <c r="K3798" t="str">
        <f>HYPERLINK("http://tuberculist.epfl.ch/quicksearch.php?gene+name=Rv3693&amp;submit=Search")</f>
        <v>http://tuberculist.epfl.ch/quicksearch.php?gene+name=Rv3693&amp;submit=Search</v>
      </c>
    </row>
    <row r="3799" spans="1:11">
      <c r="A3799" t="s">
        <v>3089</v>
      </c>
      <c r="B3799" t="s">
        <v>3089</v>
      </c>
      <c r="C3799" t="s">
        <v>9567</v>
      </c>
      <c r="D3799" t="s">
        <v>9587</v>
      </c>
      <c r="E3799" t="s">
        <v>9671</v>
      </c>
      <c r="F3799" t="s">
        <v>18257</v>
      </c>
      <c r="G3799" t="s">
        <v>19188</v>
      </c>
      <c r="H3799" t="s">
        <v>19504</v>
      </c>
      <c r="I3799" t="s">
        <v>18789</v>
      </c>
      <c r="K3799" t="str">
        <f>HYPERLINK("http://tuberculist.epfl.ch/quicksearch.php?gene+name=Rv3694c&amp;submit=Search")</f>
        <v>http://tuberculist.epfl.ch/quicksearch.php?gene+name=Rv3694c&amp;submit=Search</v>
      </c>
    </row>
    <row r="3800" spans="1:11">
      <c r="A3800" t="s">
        <v>3215</v>
      </c>
      <c r="B3800" t="s">
        <v>3215</v>
      </c>
      <c r="C3800" t="s">
        <v>9567</v>
      </c>
      <c r="D3800" t="s">
        <v>9587</v>
      </c>
      <c r="E3800" t="s">
        <v>9588</v>
      </c>
      <c r="F3800" t="s">
        <v>18258</v>
      </c>
      <c r="G3800" t="s">
        <v>19188</v>
      </c>
      <c r="H3800" t="s">
        <v>19278</v>
      </c>
      <c r="I3800" t="s">
        <v>18779</v>
      </c>
      <c r="K3800" t="str">
        <f>HYPERLINK("http://tuberculist.epfl.ch/quicksearch.php?gene+name=Rv3695&amp;submit=Search")</f>
        <v>http://tuberculist.epfl.ch/quicksearch.php?gene+name=Rv3695&amp;submit=Search</v>
      </c>
    </row>
    <row r="3801" spans="1:11">
      <c r="A3801" t="s">
        <v>6244</v>
      </c>
      <c r="B3801" t="s">
        <v>1875</v>
      </c>
      <c r="C3801" t="s">
        <v>9567</v>
      </c>
      <c r="D3801" t="s">
        <v>18259</v>
      </c>
      <c r="E3801" t="s">
        <v>18260</v>
      </c>
      <c r="F3801" t="s">
        <v>18261</v>
      </c>
      <c r="G3801" t="s">
        <v>19195</v>
      </c>
      <c r="H3801" t="s">
        <v>19362</v>
      </c>
      <c r="I3801" t="s">
        <v>18819</v>
      </c>
      <c r="K3801" t="str">
        <f>HYPERLINK("http://tuberculist.epfl.ch/quicksearch.php?gene+name=Rv3696c&amp;submit=Search")</f>
        <v>http://tuberculist.epfl.ch/quicksearch.php?gene+name=Rv3696c&amp;submit=Search</v>
      </c>
    </row>
    <row r="3802" spans="1:11">
      <c r="A3802" t="s">
        <v>18262</v>
      </c>
      <c r="B3802" t="s">
        <v>18263</v>
      </c>
      <c r="C3802" t="s">
        <v>9567</v>
      </c>
      <c r="D3802" t="s">
        <v>9587</v>
      </c>
      <c r="E3802" t="s">
        <v>18264</v>
      </c>
      <c r="F3802" t="s">
        <v>18265</v>
      </c>
      <c r="G3802" t="s">
        <v>19206</v>
      </c>
      <c r="I3802" t="s">
        <v>18773</v>
      </c>
      <c r="K3802" t="str">
        <f>HYPERLINK("http://tuberculist.epfl.ch/quicksearch.php?gene+name=Rv3697A&amp;submit=Search")</f>
        <v>http://tuberculist.epfl.ch/quicksearch.php?gene+name=Rv3697A&amp;submit=Search</v>
      </c>
    </row>
    <row r="3803" spans="1:11">
      <c r="A3803" t="s">
        <v>18266</v>
      </c>
      <c r="B3803" t="s">
        <v>2450</v>
      </c>
      <c r="C3803" t="s">
        <v>9567</v>
      </c>
      <c r="D3803" t="s">
        <v>9587</v>
      </c>
      <c r="E3803" t="s">
        <v>18267</v>
      </c>
      <c r="F3803" t="s">
        <v>18268</v>
      </c>
      <c r="G3803" t="s">
        <v>19206</v>
      </c>
      <c r="I3803" t="s">
        <v>18780</v>
      </c>
      <c r="K3803" t="str">
        <f>HYPERLINK("http://tuberculist.epfl.ch/quicksearch.php?gene+name=Rv3697c&amp;submit=Search")</f>
        <v>http://tuberculist.epfl.ch/quicksearch.php?gene+name=Rv3697c&amp;submit=Search</v>
      </c>
    </row>
    <row r="3804" spans="1:11">
      <c r="A3804" t="s">
        <v>2758</v>
      </c>
      <c r="B3804" t="s">
        <v>2758</v>
      </c>
      <c r="C3804" t="s">
        <v>9567</v>
      </c>
      <c r="D3804" t="s">
        <v>9578</v>
      </c>
      <c r="E3804" t="s">
        <v>9665</v>
      </c>
      <c r="F3804" t="s">
        <v>18269</v>
      </c>
      <c r="G3804" t="s">
        <v>19204</v>
      </c>
      <c r="H3804" t="s">
        <v>19250</v>
      </c>
      <c r="I3804" t="s">
        <v>18789</v>
      </c>
      <c r="K3804" t="str">
        <f>HYPERLINK("http://tuberculist.epfl.ch/quicksearch.php?gene+name=Rv3698&amp;submit=Search")</f>
        <v>http://tuberculist.epfl.ch/quicksearch.php?gene+name=Rv3698&amp;submit=Search</v>
      </c>
    </row>
    <row r="3805" spans="1:11">
      <c r="A3805" t="s">
        <v>637</v>
      </c>
      <c r="B3805" t="s">
        <v>637</v>
      </c>
      <c r="C3805" t="s">
        <v>9567</v>
      </c>
      <c r="D3805" t="s">
        <v>9578</v>
      </c>
      <c r="E3805" t="s">
        <v>9665</v>
      </c>
      <c r="F3805" t="s">
        <v>18270</v>
      </c>
      <c r="G3805" t="s">
        <v>19212</v>
      </c>
      <c r="H3805" t="s">
        <v>20126</v>
      </c>
      <c r="I3805" t="s">
        <v>18780</v>
      </c>
      <c r="K3805" t="str">
        <f>HYPERLINK("http://tuberculist.epfl.ch/quicksearch.php?gene+name=Rv3699&amp;submit=Search")</f>
        <v>http://tuberculist.epfl.ch/quicksearch.php?gene+name=Rv3699&amp;submit=Search</v>
      </c>
    </row>
    <row r="3806" spans="1:11">
      <c r="A3806" t="s">
        <v>2520</v>
      </c>
      <c r="B3806" t="s">
        <v>2520</v>
      </c>
      <c r="C3806" t="s">
        <v>9567</v>
      </c>
      <c r="D3806" t="s">
        <v>9682</v>
      </c>
      <c r="E3806" t="s">
        <v>9579</v>
      </c>
      <c r="F3806" t="s">
        <v>18271</v>
      </c>
      <c r="G3806" t="s">
        <v>19195</v>
      </c>
      <c r="I3806" t="s">
        <v>18779</v>
      </c>
      <c r="K3806" t="str">
        <f>HYPERLINK("http://tuberculist.epfl.ch/quicksearch.php?gene+name=Rv3700c&amp;submit=Search")</f>
        <v>http://tuberculist.epfl.ch/quicksearch.php?gene+name=Rv3700c&amp;submit=Search</v>
      </c>
    </row>
    <row r="3807" spans="1:11">
      <c r="A3807" t="s">
        <v>1635</v>
      </c>
      <c r="B3807" t="s">
        <v>1635</v>
      </c>
      <c r="C3807" t="s">
        <v>9567</v>
      </c>
      <c r="D3807" t="s">
        <v>9578</v>
      </c>
      <c r="E3807" t="s">
        <v>9579</v>
      </c>
      <c r="F3807" t="s">
        <v>18272</v>
      </c>
      <c r="G3807" t="s">
        <v>19204</v>
      </c>
      <c r="H3807" t="s">
        <v>19207</v>
      </c>
      <c r="I3807" t="s">
        <v>19019</v>
      </c>
      <c r="K3807" t="str">
        <f>HYPERLINK("http://tuberculist.epfl.ch/quicksearch.php?gene+name=Rv3701c&amp;submit=Search")</f>
        <v>http://tuberculist.epfl.ch/quicksearch.php?gene+name=Rv3701c&amp;submit=Search</v>
      </c>
    </row>
    <row r="3808" spans="1:11">
      <c r="A3808" t="s">
        <v>2670</v>
      </c>
      <c r="B3808" t="s">
        <v>2670</v>
      </c>
      <c r="C3808" t="s">
        <v>9567</v>
      </c>
      <c r="D3808" t="s">
        <v>9578</v>
      </c>
      <c r="E3808" t="s">
        <v>9579</v>
      </c>
      <c r="F3808" t="s">
        <v>18273</v>
      </c>
      <c r="G3808" t="s">
        <v>19212</v>
      </c>
      <c r="H3808" t="s">
        <v>19316</v>
      </c>
      <c r="I3808" t="s">
        <v>18779</v>
      </c>
      <c r="K3808" t="str">
        <f>HYPERLINK("http://tuberculist.epfl.ch/quicksearch.php?gene+name=Rv3702c&amp;submit=Search")</f>
        <v>http://tuberculist.epfl.ch/quicksearch.php?gene+name=Rv3702c&amp;submit=Search</v>
      </c>
    </row>
    <row r="3809" spans="1:11">
      <c r="A3809" t="s">
        <v>651</v>
      </c>
      <c r="B3809" t="s">
        <v>651</v>
      </c>
      <c r="C3809" t="s">
        <v>9567</v>
      </c>
      <c r="D3809" t="s">
        <v>9578</v>
      </c>
      <c r="E3809" t="s">
        <v>9579</v>
      </c>
      <c r="F3809" t="s">
        <v>18274</v>
      </c>
      <c r="G3809" t="s">
        <v>19212</v>
      </c>
      <c r="I3809" t="s">
        <v>18789</v>
      </c>
      <c r="K3809" t="str">
        <f>HYPERLINK("http://tuberculist.epfl.ch/quicksearch.php?gene+name=Rv3703c&amp;submit=Search")</f>
        <v>http://tuberculist.epfl.ch/quicksearch.php?gene+name=Rv3703c&amp;submit=Search</v>
      </c>
    </row>
    <row r="3810" spans="1:11">
      <c r="A3810" t="s">
        <v>6679</v>
      </c>
      <c r="B3810" t="s">
        <v>2099</v>
      </c>
      <c r="C3810" t="s">
        <v>9567</v>
      </c>
      <c r="D3810" t="s">
        <v>18275</v>
      </c>
      <c r="E3810" t="s">
        <v>18276</v>
      </c>
      <c r="F3810" t="s">
        <v>18277</v>
      </c>
      <c r="G3810" t="s">
        <v>19195</v>
      </c>
      <c r="H3810" t="s">
        <v>19207</v>
      </c>
      <c r="I3810" t="s">
        <v>18780</v>
      </c>
      <c r="K3810" t="str">
        <f>HYPERLINK("http://tuberculist.epfl.ch/quicksearch.php?gene+name=Rv3704c&amp;submit=Search")</f>
        <v>http://tuberculist.epfl.ch/quicksearch.php?gene+name=Rv3704c&amp;submit=Search</v>
      </c>
    </row>
    <row r="3811" spans="1:11">
      <c r="A3811" t="s">
        <v>2068</v>
      </c>
      <c r="B3811" t="s">
        <v>2068</v>
      </c>
      <c r="C3811" t="s">
        <v>9567</v>
      </c>
      <c r="D3811" t="s">
        <v>9578</v>
      </c>
      <c r="E3811" t="s">
        <v>14872</v>
      </c>
      <c r="F3811" t="s">
        <v>18278</v>
      </c>
      <c r="G3811" t="s">
        <v>19212</v>
      </c>
      <c r="H3811" t="s">
        <v>19334</v>
      </c>
      <c r="I3811" t="s">
        <v>18793</v>
      </c>
      <c r="K3811" t="str">
        <f>HYPERLINK("http://tuberculist.epfl.ch/quicksearch.php?gene+name=Rv3705A&amp;submit=Search")</f>
        <v>http://tuberculist.epfl.ch/quicksearch.php?gene+name=Rv3705A&amp;submit=Search</v>
      </c>
    </row>
    <row r="3812" spans="1:11">
      <c r="A3812" t="s">
        <v>18279</v>
      </c>
      <c r="B3812" t="s">
        <v>18279</v>
      </c>
      <c r="C3812" t="s">
        <v>9567</v>
      </c>
      <c r="D3812" t="s">
        <v>9578</v>
      </c>
      <c r="E3812" t="s">
        <v>9665</v>
      </c>
      <c r="F3812" t="s">
        <v>18280</v>
      </c>
      <c r="G3812" t="s">
        <v>19204</v>
      </c>
      <c r="H3812" t="s">
        <v>20127</v>
      </c>
      <c r="I3812" t="s">
        <v>18789</v>
      </c>
      <c r="K3812" t="str">
        <f>HYPERLINK("http://tuberculist.epfl.ch/quicksearch.php?gene+name=Rv3705c&amp;submit=Search")</f>
        <v>http://tuberculist.epfl.ch/quicksearch.php?gene+name=Rv3705c&amp;submit=Search</v>
      </c>
    </row>
    <row r="3813" spans="1:11">
      <c r="A3813" t="s">
        <v>18281</v>
      </c>
      <c r="B3813" t="s">
        <v>18281</v>
      </c>
      <c r="C3813" t="s">
        <v>9567</v>
      </c>
      <c r="D3813" t="s">
        <v>9578</v>
      </c>
      <c r="E3813" t="s">
        <v>14872</v>
      </c>
      <c r="F3813" t="s">
        <v>18282</v>
      </c>
      <c r="G3813" t="s">
        <v>19212</v>
      </c>
      <c r="I3813" t="s">
        <v>18780</v>
      </c>
      <c r="K3813" t="str">
        <f>HYPERLINK("http://tuberculist.epfl.ch/quicksearch.php?gene+name=Rv3706c&amp;submit=Search")</f>
        <v>http://tuberculist.epfl.ch/quicksearch.php?gene+name=Rv3706c&amp;submit=Search</v>
      </c>
    </row>
    <row r="3814" spans="1:11">
      <c r="A3814" t="s">
        <v>1956</v>
      </c>
      <c r="B3814" t="s">
        <v>1956</v>
      </c>
      <c r="C3814" t="s">
        <v>9567</v>
      </c>
      <c r="D3814" t="s">
        <v>9578</v>
      </c>
      <c r="E3814" t="s">
        <v>9579</v>
      </c>
      <c r="F3814" t="s">
        <v>18283</v>
      </c>
      <c r="G3814" t="s">
        <v>19204</v>
      </c>
      <c r="I3814" t="s">
        <v>18780</v>
      </c>
      <c r="K3814" t="str">
        <f>HYPERLINK("http://tuberculist.epfl.ch/quicksearch.php?gene+name=Rv3707c&amp;submit=Search")</f>
        <v>http://tuberculist.epfl.ch/quicksearch.php?gene+name=Rv3707c&amp;submit=Search</v>
      </c>
    </row>
    <row r="3815" spans="1:11">
      <c r="A3815" t="s">
        <v>9328</v>
      </c>
      <c r="B3815" t="s">
        <v>3387</v>
      </c>
      <c r="C3815" t="s">
        <v>9567</v>
      </c>
      <c r="D3815" t="s">
        <v>18284</v>
      </c>
      <c r="E3815" t="s">
        <v>18285</v>
      </c>
      <c r="F3815" t="s">
        <v>18286</v>
      </c>
      <c r="G3815" t="s">
        <v>19195</v>
      </c>
      <c r="H3815" t="s">
        <v>19403</v>
      </c>
      <c r="I3815" t="s">
        <v>18774</v>
      </c>
      <c r="K3815" t="str">
        <f>HYPERLINK("http://tuberculist.epfl.ch/quicksearch.php?gene+name=Rv3708c&amp;submit=Search")</f>
        <v>http://tuberculist.epfl.ch/quicksearch.php?gene+name=Rv3708c&amp;submit=Search</v>
      </c>
    </row>
    <row r="3816" spans="1:11">
      <c r="A3816" t="s">
        <v>7231</v>
      </c>
      <c r="B3816" t="s">
        <v>2375</v>
      </c>
      <c r="C3816" t="s">
        <v>9567</v>
      </c>
      <c r="D3816" t="s">
        <v>18287</v>
      </c>
      <c r="E3816" t="s">
        <v>18288</v>
      </c>
      <c r="F3816" t="s">
        <v>18289</v>
      </c>
      <c r="G3816" t="s">
        <v>19195</v>
      </c>
      <c r="H3816" t="s">
        <v>19225</v>
      </c>
      <c r="I3816" t="s">
        <v>18774</v>
      </c>
      <c r="K3816" t="str">
        <f>HYPERLINK("http://tuberculist.epfl.ch/quicksearch.php?gene+name=Rv3709c&amp;submit=Search")</f>
        <v>http://tuberculist.epfl.ch/quicksearch.php?gene+name=Rv3709c&amp;submit=Search</v>
      </c>
    </row>
    <row r="3817" spans="1:11">
      <c r="A3817" t="s">
        <v>5577</v>
      </c>
      <c r="B3817" t="s">
        <v>1554</v>
      </c>
      <c r="C3817" t="s">
        <v>9567</v>
      </c>
      <c r="D3817" t="s">
        <v>18290</v>
      </c>
      <c r="E3817" t="s">
        <v>18291</v>
      </c>
      <c r="F3817" t="s">
        <v>18292</v>
      </c>
      <c r="G3817" t="s">
        <v>19195</v>
      </c>
      <c r="H3817" t="s">
        <v>20128</v>
      </c>
      <c r="I3817" t="s">
        <v>18774</v>
      </c>
      <c r="K3817" t="str">
        <f>HYPERLINK("http://tuberculist.epfl.ch/quicksearch.php?gene+name=Rv3710&amp;submit=Search")</f>
        <v>http://tuberculist.epfl.ch/quicksearch.php?gene+name=Rv3710&amp;submit=Search</v>
      </c>
    </row>
    <row r="3818" spans="1:11">
      <c r="A3818" t="s">
        <v>3680</v>
      </c>
      <c r="B3818" t="s">
        <v>603</v>
      </c>
      <c r="C3818" t="s">
        <v>9567</v>
      </c>
      <c r="D3818" t="s">
        <v>18293</v>
      </c>
      <c r="E3818" t="s">
        <v>18294</v>
      </c>
      <c r="F3818" t="s">
        <v>18295</v>
      </c>
      <c r="G3818" t="s">
        <v>19181</v>
      </c>
      <c r="H3818" t="s">
        <v>19254</v>
      </c>
      <c r="I3818" t="s">
        <v>18780</v>
      </c>
      <c r="K3818" t="str">
        <f>HYPERLINK("http://tuberculist.epfl.ch/quicksearch.php?gene+name=Rv3711c&amp;submit=Search")</f>
        <v>http://tuberculist.epfl.ch/quicksearch.php?gene+name=Rv3711c&amp;submit=Search</v>
      </c>
    </row>
    <row r="3819" spans="1:11">
      <c r="A3819" t="s">
        <v>553</v>
      </c>
      <c r="B3819" t="s">
        <v>553</v>
      </c>
      <c r="C3819" t="s">
        <v>9567</v>
      </c>
      <c r="D3819" t="s">
        <v>9682</v>
      </c>
      <c r="E3819" t="s">
        <v>18296</v>
      </c>
      <c r="F3819" t="s">
        <v>18297</v>
      </c>
      <c r="G3819" t="s">
        <v>19195</v>
      </c>
      <c r="H3819" t="s">
        <v>19825</v>
      </c>
      <c r="I3819" t="s">
        <v>18774</v>
      </c>
      <c r="K3819" t="str">
        <f>HYPERLINK("http://tuberculist.epfl.ch/quicksearch.php?gene+name=Rv3712&amp;submit=Search")</f>
        <v>http://tuberculist.epfl.ch/quicksearch.php?gene+name=Rv3712&amp;submit=Search</v>
      </c>
    </row>
    <row r="3820" spans="1:11">
      <c r="A3820" t="s">
        <v>8142</v>
      </c>
      <c r="B3820" t="s">
        <v>2825</v>
      </c>
      <c r="C3820" t="s">
        <v>9567</v>
      </c>
      <c r="D3820" t="s">
        <v>18298</v>
      </c>
      <c r="E3820" t="s">
        <v>18299</v>
      </c>
      <c r="F3820" t="s">
        <v>18300</v>
      </c>
      <c r="G3820" t="s">
        <v>19195</v>
      </c>
      <c r="H3820" t="s">
        <v>19233</v>
      </c>
      <c r="I3820" t="s">
        <v>18774</v>
      </c>
      <c r="K3820" t="str">
        <f>HYPERLINK("http://tuberculist.epfl.ch/quicksearch.php?gene+name=Rv3713&amp;submit=Search")</f>
        <v>http://tuberculist.epfl.ch/quicksearch.php?gene+name=Rv3713&amp;submit=Search</v>
      </c>
    </row>
    <row r="3821" spans="1:11">
      <c r="A3821" t="s">
        <v>1267</v>
      </c>
      <c r="B3821" t="s">
        <v>1267</v>
      </c>
      <c r="C3821" t="s">
        <v>9567</v>
      </c>
      <c r="D3821" t="s">
        <v>9578</v>
      </c>
      <c r="E3821" t="s">
        <v>9579</v>
      </c>
      <c r="F3821" t="s">
        <v>18301</v>
      </c>
      <c r="G3821" t="s">
        <v>19212</v>
      </c>
      <c r="H3821" t="s">
        <v>19207</v>
      </c>
      <c r="I3821" t="s">
        <v>18789</v>
      </c>
      <c r="K3821" t="str">
        <f>HYPERLINK("http://tuberculist.epfl.ch/quicksearch.php?gene+name=Rv3714c&amp;submit=Search")</f>
        <v>http://tuberculist.epfl.ch/quicksearch.php?gene+name=Rv3714c&amp;submit=Search</v>
      </c>
    </row>
    <row r="3822" spans="1:11">
      <c r="A3822" t="s">
        <v>8471</v>
      </c>
      <c r="B3822" t="s">
        <v>2983</v>
      </c>
      <c r="C3822" t="s">
        <v>9567</v>
      </c>
      <c r="D3822" t="s">
        <v>18302</v>
      </c>
      <c r="E3822" t="s">
        <v>18303</v>
      </c>
      <c r="F3822" t="s">
        <v>18304</v>
      </c>
      <c r="G3822" t="s">
        <v>19181</v>
      </c>
      <c r="I3822" t="s">
        <v>18780</v>
      </c>
      <c r="K3822" t="str">
        <f>HYPERLINK("http://tuberculist.epfl.ch/quicksearch.php?gene+name=Rv3715c&amp;submit=Search")</f>
        <v>http://tuberculist.epfl.ch/quicksearch.php?gene+name=Rv3715c&amp;submit=Search</v>
      </c>
    </row>
    <row r="3823" spans="1:11">
      <c r="A3823" t="s">
        <v>3136</v>
      </c>
      <c r="B3823" t="s">
        <v>3136</v>
      </c>
      <c r="C3823" t="s">
        <v>9567</v>
      </c>
      <c r="D3823" t="s">
        <v>9578</v>
      </c>
      <c r="E3823" t="s">
        <v>9665</v>
      </c>
      <c r="F3823" t="s">
        <v>18305</v>
      </c>
      <c r="G3823" t="s">
        <v>19185</v>
      </c>
      <c r="H3823" t="s">
        <v>20129</v>
      </c>
      <c r="I3823" t="s">
        <v>18780</v>
      </c>
      <c r="K3823" t="str">
        <f>HYPERLINK("http://tuberculist.epfl.ch/quicksearch.php?gene+name=Rv3716c&amp;submit=Search")</f>
        <v>http://tuberculist.epfl.ch/quicksearch.php?gene+name=Rv3716c&amp;submit=Search</v>
      </c>
    </row>
    <row r="3824" spans="1:11">
      <c r="A3824" t="s">
        <v>2192</v>
      </c>
      <c r="B3824" t="s">
        <v>2192</v>
      </c>
      <c r="C3824" t="s">
        <v>9567</v>
      </c>
      <c r="D3824" t="s">
        <v>9578</v>
      </c>
      <c r="E3824" t="s">
        <v>9579</v>
      </c>
      <c r="F3824" t="s">
        <v>18306</v>
      </c>
      <c r="G3824" t="s">
        <v>19204</v>
      </c>
      <c r="H3824" t="s">
        <v>19247</v>
      </c>
      <c r="I3824" t="s">
        <v>18812</v>
      </c>
      <c r="K3824" t="str">
        <f>HYPERLINK("http://tuberculist.epfl.ch/quicksearch.php?gene+name=Rv3717&amp;submit=Search")</f>
        <v>http://tuberculist.epfl.ch/quicksearch.php?gene+name=Rv3717&amp;submit=Search</v>
      </c>
    </row>
    <row r="3825" spans="1:11">
      <c r="A3825" t="s">
        <v>744</v>
      </c>
      <c r="B3825" t="s">
        <v>744</v>
      </c>
      <c r="C3825" t="s">
        <v>9567</v>
      </c>
      <c r="D3825" t="s">
        <v>9578</v>
      </c>
      <c r="E3825" t="s">
        <v>9665</v>
      </c>
      <c r="F3825" t="s">
        <v>18307</v>
      </c>
      <c r="G3825" t="s">
        <v>19220</v>
      </c>
      <c r="H3825" t="s">
        <v>19459</v>
      </c>
      <c r="I3825" t="s">
        <v>18780</v>
      </c>
      <c r="K3825" t="str">
        <f>HYPERLINK("http://tuberculist.epfl.ch/quicksearch.php?gene+name=Rv3718c&amp;submit=Search")</f>
        <v>http://tuberculist.epfl.ch/quicksearch.php?gene+name=Rv3718c&amp;submit=Search</v>
      </c>
    </row>
    <row r="3826" spans="1:11">
      <c r="A3826" t="s">
        <v>1335</v>
      </c>
      <c r="B3826" t="s">
        <v>1335</v>
      </c>
      <c r="C3826" t="s">
        <v>9567</v>
      </c>
      <c r="D3826" t="s">
        <v>9578</v>
      </c>
      <c r="E3826" t="s">
        <v>9665</v>
      </c>
      <c r="F3826" t="s">
        <v>18308</v>
      </c>
      <c r="G3826" t="s">
        <v>19212</v>
      </c>
      <c r="H3826" t="s">
        <v>20130</v>
      </c>
      <c r="I3826" t="s">
        <v>18788</v>
      </c>
      <c r="K3826" t="str">
        <f>HYPERLINK("http://tuberculist.epfl.ch/quicksearch.php?gene+name=Rv3719&amp;submit=Search")</f>
        <v>http://tuberculist.epfl.ch/quicksearch.php?gene+name=Rv3719&amp;submit=Search</v>
      </c>
    </row>
    <row r="3827" spans="1:11">
      <c r="A3827" t="s">
        <v>3245</v>
      </c>
      <c r="B3827" t="s">
        <v>3245</v>
      </c>
      <c r="C3827" t="s">
        <v>9567</v>
      </c>
      <c r="D3827" t="s">
        <v>18309</v>
      </c>
      <c r="E3827" t="s">
        <v>18310</v>
      </c>
      <c r="F3827" t="s">
        <v>18311</v>
      </c>
      <c r="G3827" t="s">
        <v>19219</v>
      </c>
      <c r="H3827" t="s">
        <v>20131</v>
      </c>
      <c r="I3827" t="s">
        <v>18795</v>
      </c>
      <c r="K3827" t="str">
        <f>HYPERLINK("http://tuberculist.epfl.ch/quicksearch.php?gene+name=Rv3720&amp;submit=Search")</f>
        <v>http://tuberculist.epfl.ch/quicksearch.php?gene+name=Rv3720&amp;submit=Search</v>
      </c>
    </row>
    <row r="3828" spans="1:11">
      <c r="A3828" t="s">
        <v>4502</v>
      </c>
      <c r="B3828" t="s">
        <v>1014</v>
      </c>
      <c r="C3828" t="s">
        <v>9567</v>
      </c>
      <c r="D3828" t="s">
        <v>18312</v>
      </c>
      <c r="E3828" t="s">
        <v>18313</v>
      </c>
      <c r="F3828" t="s">
        <v>18314</v>
      </c>
      <c r="G3828" t="s">
        <v>19181</v>
      </c>
      <c r="I3828" t="s">
        <v>18774</v>
      </c>
      <c r="K3828" t="str">
        <f>HYPERLINK("http://tuberculist.epfl.ch/quicksearch.php?gene+name=Rv3721c&amp;submit=Search")</f>
        <v>http://tuberculist.epfl.ch/quicksearch.php?gene+name=Rv3721c&amp;submit=Search</v>
      </c>
    </row>
    <row r="3829" spans="1:11">
      <c r="A3829" t="s">
        <v>1112</v>
      </c>
      <c r="B3829" t="s">
        <v>1112</v>
      </c>
      <c r="C3829" t="s">
        <v>9567</v>
      </c>
      <c r="D3829" t="s">
        <v>9578</v>
      </c>
      <c r="E3829" t="s">
        <v>9665</v>
      </c>
      <c r="F3829" t="s">
        <v>18315</v>
      </c>
      <c r="G3829" t="s">
        <v>19204</v>
      </c>
      <c r="H3829" t="s">
        <v>19887</v>
      </c>
      <c r="I3829" t="s">
        <v>18774</v>
      </c>
      <c r="K3829" t="str">
        <f>HYPERLINK("http://tuberculist.epfl.ch/quicksearch.php?gene+name=Rv3722c&amp;submit=Search")</f>
        <v>http://tuberculist.epfl.ch/quicksearch.php?gene+name=Rv3722c&amp;submit=Search</v>
      </c>
    </row>
    <row r="3830" spans="1:11">
      <c r="A3830" t="s">
        <v>2554</v>
      </c>
      <c r="B3830" t="s">
        <v>2554</v>
      </c>
      <c r="C3830" t="s">
        <v>9567</v>
      </c>
      <c r="D3830" t="s">
        <v>9587</v>
      </c>
      <c r="E3830" t="s">
        <v>9597</v>
      </c>
      <c r="F3830" t="s">
        <v>18316</v>
      </c>
      <c r="G3830" t="s">
        <v>19188</v>
      </c>
      <c r="H3830" t="s">
        <v>20132</v>
      </c>
      <c r="I3830" t="s">
        <v>18827</v>
      </c>
      <c r="K3830" t="str">
        <f>HYPERLINK("http://tuberculist.epfl.ch/quicksearch.php?gene+name=Rv3723&amp;submit=Search")</f>
        <v>http://tuberculist.epfl.ch/quicksearch.php?gene+name=Rv3723&amp;submit=Search</v>
      </c>
    </row>
    <row r="3831" spans="1:11">
      <c r="A3831" t="s">
        <v>18317</v>
      </c>
      <c r="B3831" t="s">
        <v>18318</v>
      </c>
      <c r="C3831" t="s">
        <v>9567</v>
      </c>
      <c r="D3831" t="s">
        <v>14947</v>
      </c>
      <c r="E3831" t="s">
        <v>18319</v>
      </c>
      <c r="F3831" t="s">
        <v>18320</v>
      </c>
      <c r="G3831" t="s">
        <v>19188</v>
      </c>
      <c r="I3831" t="s">
        <v>18793</v>
      </c>
      <c r="K3831" t="str">
        <f>HYPERLINK("http://tuberculist.epfl.ch/quicksearch.php?gene+name=Rv3724A&amp;submit=Search")</f>
        <v>http://tuberculist.epfl.ch/quicksearch.php?gene+name=Rv3724A&amp;submit=Search</v>
      </c>
    </row>
    <row r="3832" spans="1:11">
      <c r="A3832" t="s">
        <v>18321</v>
      </c>
      <c r="B3832" t="s">
        <v>1609</v>
      </c>
      <c r="C3832" t="s">
        <v>9567</v>
      </c>
      <c r="D3832" t="s">
        <v>14947</v>
      </c>
      <c r="E3832" t="s">
        <v>18322</v>
      </c>
      <c r="F3832" t="s">
        <v>18323</v>
      </c>
      <c r="G3832" t="s">
        <v>19188</v>
      </c>
      <c r="I3832" t="s">
        <v>18773</v>
      </c>
      <c r="K3832" t="str">
        <f>HYPERLINK("http://tuberculist.epfl.ch/quicksearch.php?gene+name=Rv3724B&amp;submit=Search")</f>
        <v>http://tuberculist.epfl.ch/quicksearch.php?gene+name=Rv3724B&amp;submit=Search</v>
      </c>
    </row>
    <row r="3833" spans="1:11">
      <c r="A3833" t="s">
        <v>2280</v>
      </c>
      <c r="B3833" t="s">
        <v>2280</v>
      </c>
      <c r="C3833" t="s">
        <v>9567</v>
      </c>
      <c r="D3833" t="s">
        <v>9682</v>
      </c>
      <c r="E3833" t="s">
        <v>9683</v>
      </c>
      <c r="F3833" t="s">
        <v>18324</v>
      </c>
      <c r="G3833" t="s">
        <v>19195</v>
      </c>
      <c r="H3833" t="s">
        <v>20027</v>
      </c>
      <c r="I3833" t="s">
        <v>18789</v>
      </c>
      <c r="K3833" t="str">
        <f>HYPERLINK("http://tuberculist.epfl.ch/quicksearch.php?gene+name=Rv3725&amp;submit=Search")</f>
        <v>http://tuberculist.epfl.ch/quicksearch.php?gene+name=Rv3725&amp;submit=Search</v>
      </c>
    </row>
    <row r="3834" spans="1:11">
      <c r="A3834" t="s">
        <v>3056</v>
      </c>
      <c r="B3834" t="s">
        <v>3056</v>
      </c>
      <c r="C3834" t="s">
        <v>9567</v>
      </c>
      <c r="D3834" t="s">
        <v>9682</v>
      </c>
      <c r="E3834" t="s">
        <v>14021</v>
      </c>
      <c r="F3834" t="s">
        <v>18325</v>
      </c>
      <c r="G3834" t="s">
        <v>19195</v>
      </c>
      <c r="H3834" t="s">
        <v>19970</v>
      </c>
      <c r="I3834" t="s">
        <v>18780</v>
      </c>
      <c r="K3834" t="str">
        <f>HYPERLINK("http://tuberculist.epfl.ch/quicksearch.php?gene+name=Rv3726&amp;submit=Search")</f>
        <v>http://tuberculist.epfl.ch/quicksearch.php?gene+name=Rv3726&amp;submit=Search</v>
      </c>
    </row>
    <row r="3835" spans="1:11">
      <c r="A3835" t="s">
        <v>1491</v>
      </c>
      <c r="B3835" t="s">
        <v>1491</v>
      </c>
      <c r="C3835" t="s">
        <v>9567</v>
      </c>
      <c r="D3835" t="s">
        <v>9682</v>
      </c>
      <c r="E3835" t="s">
        <v>9683</v>
      </c>
      <c r="F3835" t="s">
        <v>18326</v>
      </c>
      <c r="G3835" t="s">
        <v>19195</v>
      </c>
      <c r="H3835" t="s">
        <v>19342</v>
      </c>
      <c r="I3835" t="s">
        <v>18780</v>
      </c>
      <c r="K3835" t="str">
        <f>HYPERLINK("http://tuberculist.epfl.ch/quicksearch.php?gene+name=Rv3727&amp;submit=Search")</f>
        <v>http://tuberculist.epfl.ch/quicksearch.php?gene+name=Rv3727&amp;submit=Search</v>
      </c>
    </row>
    <row r="3836" spans="1:11">
      <c r="A3836" t="s">
        <v>1214</v>
      </c>
      <c r="B3836" t="s">
        <v>1214</v>
      </c>
      <c r="C3836" t="s">
        <v>9567</v>
      </c>
      <c r="D3836" t="s">
        <v>17169</v>
      </c>
      <c r="E3836" t="s">
        <v>18327</v>
      </c>
      <c r="F3836" t="s">
        <v>18328</v>
      </c>
      <c r="G3836" t="s">
        <v>19188</v>
      </c>
      <c r="I3836" t="s">
        <v>18780</v>
      </c>
      <c r="K3836" t="str">
        <f>HYPERLINK("http://tuberculist.epfl.ch/quicksearch.php?gene+name=Rv3728&amp;submit=Search")</f>
        <v>http://tuberculist.epfl.ch/quicksearch.php?gene+name=Rv3728&amp;submit=Search</v>
      </c>
    </row>
    <row r="3837" spans="1:11">
      <c r="A3837" t="s">
        <v>2838</v>
      </c>
      <c r="B3837" t="s">
        <v>2838</v>
      </c>
      <c r="C3837" t="s">
        <v>9567</v>
      </c>
      <c r="D3837" t="s">
        <v>9682</v>
      </c>
      <c r="E3837" t="s">
        <v>16700</v>
      </c>
      <c r="F3837" t="s">
        <v>18329</v>
      </c>
      <c r="G3837" t="s">
        <v>19195</v>
      </c>
      <c r="I3837" t="s">
        <v>18789</v>
      </c>
      <c r="K3837" t="str">
        <f>HYPERLINK("http://tuberculist.epfl.ch/quicksearch.php?gene+name=Rv3729&amp;submit=Search")</f>
        <v>http://tuberculist.epfl.ch/quicksearch.php?gene+name=Rv3729&amp;submit=Search</v>
      </c>
    </row>
    <row r="3838" spans="1:11">
      <c r="A3838" t="s">
        <v>1386</v>
      </c>
      <c r="B3838" t="s">
        <v>1386</v>
      </c>
      <c r="C3838" t="s">
        <v>9567</v>
      </c>
      <c r="D3838" t="s">
        <v>9578</v>
      </c>
      <c r="E3838" t="s">
        <v>9579</v>
      </c>
      <c r="F3838" t="s">
        <v>18330</v>
      </c>
      <c r="G3838" t="s">
        <v>19204</v>
      </c>
      <c r="H3838" t="s">
        <v>19764</v>
      </c>
      <c r="I3838" t="s">
        <v>18780</v>
      </c>
      <c r="K3838" t="str">
        <f>HYPERLINK("http://tuberculist.epfl.ch/quicksearch.php?gene+name=Rv3730c&amp;submit=Search")</f>
        <v>http://tuberculist.epfl.ch/quicksearch.php?gene+name=Rv3730c&amp;submit=Search</v>
      </c>
    </row>
    <row r="3839" spans="1:11">
      <c r="A3839" t="s">
        <v>4394</v>
      </c>
      <c r="B3839" t="s">
        <v>963</v>
      </c>
      <c r="C3839" t="s">
        <v>9567</v>
      </c>
      <c r="D3839" t="s">
        <v>16758</v>
      </c>
      <c r="E3839" t="s">
        <v>18331</v>
      </c>
      <c r="F3839" t="s">
        <v>18332</v>
      </c>
      <c r="G3839" t="s">
        <v>19181</v>
      </c>
      <c r="H3839" t="s">
        <v>19233</v>
      </c>
      <c r="I3839" t="s">
        <v>19148</v>
      </c>
      <c r="K3839" t="str">
        <f>HYPERLINK("http://tuberculist.epfl.ch/quicksearch.php?gene+name=Rv3731&amp;submit=Search")</f>
        <v>http://tuberculist.epfl.ch/quicksearch.php?gene+name=Rv3731&amp;submit=Search</v>
      </c>
    </row>
    <row r="3840" spans="1:11">
      <c r="A3840" t="s">
        <v>674</v>
      </c>
      <c r="B3840" t="s">
        <v>674</v>
      </c>
      <c r="C3840" t="s">
        <v>9567</v>
      </c>
      <c r="D3840" t="s">
        <v>9578</v>
      </c>
      <c r="E3840" t="s">
        <v>9665</v>
      </c>
      <c r="F3840" t="s">
        <v>18333</v>
      </c>
      <c r="G3840" t="s">
        <v>19204</v>
      </c>
      <c r="H3840" t="s">
        <v>19634</v>
      </c>
      <c r="I3840" t="s">
        <v>18780</v>
      </c>
      <c r="K3840" t="str">
        <f>HYPERLINK("http://tuberculist.epfl.ch/quicksearch.php?gene+name=Rv3732&amp;submit=Search")</f>
        <v>http://tuberculist.epfl.ch/quicksearch.php?gene+name=Rv3732&amp;submit=Search</v>
      </c>
    </row>
    <row r="3841" spans="1:11">
      <c r="A3841" t="s">
        <v>1375</v>
      </c>
      <c r="B3841" t="s">
        <v>1375</v>
      </c>
      <c r="C3841" t="s">
        <v>9567</v>
      </c>
      <c r="D3841" t="s">
        <v>9578</v>
      </c>
      <c r="E3841" t="s">
        <v>9579</v>
      </c>
      <c r="F3841" t="s">
        <v>18334</v>
      </c>
      <c r="G3841" t="s">
        <v>19185</v>
      </c>
      <c r="I3841" t="s">
        <v>18789</v>
      </c>
      <c r="K3841" t="str">
        <f>HYPERLINK("http://tuberculist.epfl.ch/quicksearch.php?gene+name=Rv3733c&amp;submit=Search")</f>
        <v>http://tuberculist.epfl.ch/quicksearch.php?gene+name=Rv3733c&amp;submit=Search</v>
      </c>
    </row>
    <row r="3842" spans="1:11">
      <c r="A3842" t="s">
        <v>18335</v>
      </c>
      <c r="B3842" t="s">
        <v>542</v>
      </c>
      <c r="C3842" t="s">
        <v>9567</v>
      </c>
      <c r="D3842" t="s">
        <v>10087</v>
      </c>
      <c r="E3842" t="s">
        <v>18336</v>
      </c>
      <c r="F3842" t="s">
        <v>18337</v>
      </c>
      <c r="G3842" t="s">
        <v>19219</v>
      </c>
      <c r="H3842" t="s">
        <v>19511</v>
      </c>
      <c r="I3842" t="s">
        <v>18789</v>
      </c>
      <c r="K3842" t="str">
        <f>HYPERLINK("http://tuberculist.epfl.ch/quicksearch.php?gene+name=Rv3734c&amp;submit=Search")</f>
        <v>http://tuberculist.epfl.ch/quicksearch.php?gene+name=Rv3734c&amp;submit=Search</v>
      </c>
    </row>
    <row r="3843" spans="1:11">
      <c r="A3843" t="s">
        <v>2690</v>
      </c>
      <c r="B3843" t="s">
        <v>2690</v>
      </c>
      <c r="C3843" t="s">
        <v>9567</v>
      </c>
      <c r="D3843" t="s">
        <v>9578</v>
      </c>
      <c r="E3843" t="s">
        <v>9579</v>
      </c>
      <c r="F3843" t="s">
        <v>18338</v>
      </c>
      <c r="G3843" t="s">
        <v>19212</v>
      </c>
      <c r="H3843" t="s">
        <v>19213</v>
      </c>
      <c r="I3843" t="s">
        <v>18780</v>
      </c>
      <c r="K3843" t="str">
        <f>HYPERLINK("http://tuberculist.epfl.ch/quicksearch.php?gene+name=Rv3735&amp;submit=Search")</f>
        <v>http://tuberculist.epfl.ch/quicksearch.php?gene+name=Rv3735&amp;submit=Search</v>
      </c>
    </row>
    <row r="3844" spans="1:11">
      <c r="A3844" t="s">
        <v>3306</v>
      </c>
      <c r="B3844" t="s">
        <v>3306</v>
      </c>
      <c r="C3844" t="s">
        <v>9567</v>
      </c>
      <c r="D3844" t="s">
        <v>9629</v>
      </c>
      <c r="E3844" t="s">
        <v>18339</v>
      </c>
      <c r="F3844" t="s">
        <v>18340</v>
      </c>
      <c r="G3844" t="s">
        <v>19197</v>
      </c>
      <c r="H3844" t="s">
        <v>19211</v>
      </c>
      <c r="I3844" t="s">
        <v>18789</v>
      </c>
      <c r="K3844" t="str">
        <f>HYPERLINK("http://tuberculist.epfl.ch/quicksearch.php?gene+name=Rv3736&amp;submit=Search")</f>
        <v>http://tuberculist.epfl.ch/quicksearch.php?gene+name=Rv3736&amp;submit=Search</v>
      </c>
    </row>
    <row r="3845" spans="1:11">
      <c r="A3845" t="s">
        <v>1498</v>
      </c>
      <c r="B3845" t="s">
        <v>1498</v>
      </c>
      <c r="C3845" t="s">
        <v>9567</v>
      </c>
      <c r="D3845" t="s">
        <v>9587</v>
      </c>
      <c r="E3845" t="s">
        <v>9597</v>
      </c>
      <c r="F3845" t="s">
        <v>18341</v>
      </c>
      <c r="G3845" t="s">
        <v>19188</v>
      </c>
      <c r="H3845" t="s">
        <v>19873</v>
      </c>
      <c r="I3845" t="s">
        <v>18780</v>
      </c>
      <c r="K3845" t="str">
        <f>HYPERLINK("http://tuberculist.epfl.ch/quicksearch.php?gene+name=Rv3737&amp;submit=Search")</f>
        <v>http://tuberculist.epfl.ch/quicksearch.php?gene+name=Rv3737&amp;submit=Search</v>
      </c>
    </row>
    <row r="3846" spans="1:11">
      <c r="A3846" t="s">
        <v>18342</v>
      </c>
      <c r="B3846" t="s">
        <v>18343</v>
      </c>
      <c r="C3846" t="s">
        <v>9567</v>
      </c>
      <c r="D3846" t="s">
        <v>9578</v>
      </c>
      <c r="E3846" t="s">
        <v>18344</v>
      </c>
      <c r="F3846" t="s">
        <v>18345</v>
      </c>
      <c r="G3846" t="s">
        <v>19262</v>
      </c>
      <c r="I3846" t="s">
        <v>18793</v>
      </c>
      <c r="K3846" t="str">
        <f>HYPERLINK("http://tuberculist.epfl.ch/quicksearch.php?gene+name=Rv3738c&amp;submit=Search")</f>
        <v>http://tuberculist.epfl.ch/quicksearch.php?gene+name=Rv3738c&amp;submit=Search</v>
      </c>
    </row>
    <row r="3847" spans="1:11">
      <c r="A3847" t="s">
        <v>18346</v>
      </c>
      <c r="B3847" t="s">
        <v>18347</v>
      </c>
      <c r="C3847" t="s">
        <v>9567</v>
      </c>
      <c r="D3847" t="s">
        <v>9578</v>
      </c>
      <c r="E3847" t="s">
        <v>18348</v>
      </c>
      <c r="F3847" t="s">
        <v>18349</v>
      </c>
      <c r="G3847" t="s">
        <v>19262</v>
      </c>
      <c r="I3847" t="s">
        <v>18818</v>
      </c>
      <c r="K3847" t="str">
        <f>HYPERLINK("http://tuberculist.epfl.ch/quicksearch.php?gene+name=Rv3739c&amp;submit=Search")</f>
        <v>http://tuberculist.epfl.ch/quicksearch.php?gene+name=Rv3739c&amp;submit=Search</v>
      </c>
    </row>
    <row r="3848" spans="1:11">
      <c r="A3848" t="s">
        <v>893</v>
      </c>
      <c r="B3848" t="s">
        <v>893</v>
      </c>
      <c r="C3848" t="s">
        <v>9567</v>
      </c>
      <c r="D3848" t="s">
        <v>10087</v>
      </c>
      <c r="E3848" t="s">
        <v>10088</v>
      </c>
      <c r="F3848" t="s">
        <v>18350</v>
      </c>
      <c r="G3848" t="s">
        <v>19219</v>
      </c>
      <c r="I3848" t="s">
        <v>18789</v>
      </c>
      <c r="K3848" t="str">
        <f>HYPERLINK("http://tuberculist.epfl.ch/quicksearch.php?gene+name=Rv3740c&amp;submit=Search")</f>
        <v>http://tuberculist.epfl.ch/quicksearch.php?gene+name=Rv3740c&amp;submit=Search</v>
      </c>
    </row>
    <row r="3849" spans="1:11">
      <c r="A3849" t="s">
        <v>1456</v>
      </c>
      <c r="B3849" t="s">
        <v>1456</v>
      </c>
      <c r="C3849" t="s">
        <v>9567</v>
      </c>
      <c r="D3849" t="s">
        <v>9682</v>
      </c>
      <c r="E3849" t="s">
        <v>9683</v>
      </c>
      <c r="F3849" t="s">
        <v>18351</v>
      </c>
      <c r="G3849" t="s">
        <v>19195</v>
      </c>
      <c r="H3849" t="s">
        <v>19263</v>
      </c>
      <c r="I3849" t="s">
        <v>18780</v>
      </c>
      <c r="K3849" t="str">
        <f>HYPERLINK("http://tuberculist.epfl.ch/quicksearch.php?gene+name=Rv3741c&amp;submit=Search")</f>
        <v>http://tuberculist.epfl.ch/quicksearch.php?gene+name=Rv3741c&amp;submit=Search</v>
      </c>
    </row>
    <row r="3850" spans="1:11">
      <c r="A3850" t="s">
        <v>576</v>
      </c>
      <c r="B3850" t="s">
        <v>576</v>
      </c>
      <c r="C3850" t="s">
        <v>9567</v>
      </c>
      <c r="D3850" t="s">
        <v>9682</v>
      </c>
      <c r="E3850" t="s">
        <v>9683</v>
      </c>
      <c r="F3850" t="s">
        <v>18352</v>
      </c>
      <c r="G3850" t="s">
        <v>19195</v>
      </c>
      <c r="I3850" t="s">
        <v>18780</v>
      </c>
      <c r="K3850" t="str">
        <f>HYPERLINK("http://tuberculist.epfl.ch/quicksearch.php?gene+name=Rv3742c&amp;submit=Search")</f>
        <v>http://tuberculist.epfl.ch/quicksearch.php?gene+name=Rv3742c&amp;submit=Search</v>
      </c>
    </row>
    <row r="3851" spans="1:11">
      <c r="A3851" t="s">
        <v>5725</v>
      </c>
      <c r="B3851" t="s">
        <v>1623</v>
      </c>
      <c r="C3851" t="s">
        <v>9567</v>
      </c>
      <c r="D3851" t="s">
        <v>18353</v>
      </c>
      <c r="E3851" t="s">
        <v>18354</v>
      </c>
      <c r="F3851" t="s">
        <v>18355</v>
      </c>
      <c r="G3851" t="s">
        <v>19188</v>
      </c>
      <c r="H3851" t="s">
        <v>19214</v>
      </c>
      <c r="I3851" t="s">
        <v>18789</v>
      </c>
      <c r="K3851" t="str">
        <f>HYPERLINK("http://tuberculist.epfl.ch/quicksearch.php?gene+name=Rv3743c&amp;submit=Search")</f>
        <v>http://tuberculist.epfl.ch/quicksearch.php?gene+name=Rv3743c&amp;submit=Search</v>
      </c>
    </row>
    <row r="3852" spans="1:11">
      <c r="A3852" t="s">
        <v>18356</v>
      </c>
      <c r="B3852" t="s">
        <v>1762</v>
      </c>
      <c r="C3852" t="s">
        <v>9567</v>
      </c>
      <c r="D3852" t="s">
        <v>18357</v>
      </c>
      <c r="E3852" t="s">
        <v>18358</v>
      </c>
      <c r="F3852" t="s">
        <v>18359</v>
      </c>
      <c r="G3852" t="s">
        <v>19197</v>
      </c>
      <c r="I3852" t="s">
        <v>18780</v>
      </c>
      <c r="K3852" t="str">
        <f>HYPERLINK("http://tuberculist.epfl.ch/quicksearch.php?gene+name=Rv3744&amp;submit=Search")</f>
        <v>http://tuberculist.epfl.ch/quicksearch.php?gene+name=Rv3744&amp;submit=Search</v>
      </c>
    </row>
    <row r="3853" spans="1:11">
      <c r="A3853" t="s">
        <v>18360</v>
      </c>
      <c r="B3853" t="s">
        <v>18360</v>
      </c>
      <c r="C3853" t="s">
        <v>9567</v>
      </c>
      <c r="D3853" t="s">
        <v>9578</v>
      </c>
      <c r="E3853" t="s">
        <v>9579</v>
      </c>
      <c r="F3853" t="s">
        <v>18361</v>
      </c>
      <c r="G3853" t="s">
        <v>19212</v>
      </c>
      <c r="I3853" t="s">
        <v>18777</v>
      </c>
      <c r="K3853" t="str">
        <f>HYPERLINK("http://tuberculist.epfl.ch/quicksearch.php?gene+name=Rv3745c&amp;submit=Search")</f>
        <v>http://tuberculist.epfl.ch/quicksearch.php?gene+name=Rv3745c&amp;submit=Search</v>
      </c>
    </row>
    <row r="3854" spans="1:11">
      <c r="A3854" t="s">
        <v>18362</v>
      </c>
      <c r="B3854" t="s">
        <v>18363</v>
      </c>
      <c r="C3854" t="s">
        <v>9567</v>
      </c>
      <c r="D3854" t="s">
        <v>9578</v>
      </c>
      <c r="E3854" t="s">
        <v>18364</v>
      </c>
      <c r="F3854" t="s">
        <v>18365</v>
      </c>
      <c r="G3854" t="s">
        <v>19262</v>
      </c>
      <c r="I3854" t="s">
        <v>18793</v>
      </c>
      <c r="J3854" t="s">
        <v>18832</v>
      </c>
      <c r="K3854" t="str">
        <f>HYPERLINK("http://tuberculist.epfl.ch/quicksearch.php?gene+name=Rv3746c&amp;submit=Search")</f>
        <v>http://tuberculist.epfl.ch/quicksearch.php?gene+name=Rv3746c&amp;submit=Search</v>
      </c>
    </row>
    <row r="3855" spans="1:11">
      <c r="A3855" t="s">
        <v>1682</v>
      </c>
      <c r="B3855" t="s">
        <v>1682</v>
      </c>
      <c r="C3855" t="s">
        <v>9567</v>
      </c>
      <c r="D3855" t="s">
        <v>9578</v>
      </c>
      <c r="E3855" t="s">
        <v>9665</v>
      </c>
      <c r="F3855" t="s">
        <v>18366</v>
      </c>
      <c r="G3855" t="s">
        <v>19212</v>
      </c>
      <c r="H3855" t="s">
        <v>19272</v>
      </c>
      <c r="I3855" t="s">
        <v>18780</v>
      </c>
      <c r="J3855" t="s">
        <v>18775</v>
      </c>
      <c r="K3855" t="str">
        <f>HYPERLINK("http://tuberculist.epfl.ch/quicksearch.php?gene+name=Rv3747&amp;submit=Search")</f>
        <v>http://tuberculist.epfl.ch/quicksearch.php?gene+name=Rv3747&amp;submit=Search</v>
      </c>
    </row>
    <row r="3856" spans="1:11">
      <c r="A3856" t="s">
        <v>18367</v>
      </c>
      <c r="B3856" t="s">
        <v>18367</v>
      </c>
      <c r="C3856" t="s">
        <v>9567</v>
      </c>
      <c r="D3856" t="s">
        <v>9578</v>
      </c>
      <c r="E3856" t="s">
        <v>9579</v>
      </c>
      <c r="F3856" t="s">
        <v>18368</v>
      </c>
      <c r="G3856" t="s">
        <v>19212</v>
      </c>
      <c r="H3856" t="s">
        <v>19436</v>
      </c>
      <c r="I3856" t="s">
        <v>18780</v>
      </c>
      <c r="K3856" t="str">
        <f>HYPERLINK("http://tuberculist.epfl.ch/quicksearch.php?gene+name=Rv3748&amp;submit=Search")</f>
        <v>http://tuberculist.epfl.ch/quicksearch.php?gene+name=Rv3748&amp;submit=Search</v>
      </c>
    </row>
    <row r="3857" spans="1:11">
      <c r="A3857" t="s">
        <v>735</v>
      </c>
      <c r="B3857" t="s">
        <v>735</v>
      </c>
      <c r="C3857" t="s">
        <v>9567</v>
      </c>
      <c r="D3857" t="s">
        <v>9578</v>
      </c>
      <c r="E3857" t="s">
        <v>9579</v>
      </c>
      <c r="F3857" t="s">
        <v>18369</v>
      </c>
      <c r="G3857" t="s">
        <v>19204</v>
      </c>
      <c r="I3857" t="s">
        <v>18780</v>
      </c>
      <c r="J3857" t="s">
        <v>18809</v>
      </c>
      <c r="K3857" t="str">
        <f>HYPERLINK("http://tuberculist.epfl.ch/quicksearch.php?gene+name=Rv3749c&amp;submit=Search")</f>
        <v>http://tuberculist.epfl.ch/quicksearch.php?gene+name=Rv3749c&amp;submit=Search</v>
      </c>
    </row>
    <row r="3858" spans="1:11">
      <c r="A3858" t="s">
        <v>18370</v>
      </c>
      <c r="B3858" t="s">
        <v>18370</v>
      </c>
      <c r="C3858" t="s">
        <v>9567</v>
      </c>
      <c r="D3858" t="s">
        <v>18371</v>
      </c>
      <c r="E3858" t="s">
        <v>14975</v>
      </c>
      <c r="F3858" t="s">
        <v>18372</v>
      </c>
      <c r="G3858" t="s">
        <v>19217</v>
      </c>
      <c r="I3858" t="s">
        <v>18780</v>
      </c>
      <c r="K3858" t="str">
        <f>HYPERLINK("http://tuberculist.epfl.ch/quicksearch.php?gene+name=Rv3750c&amp;submit=Search")</f>
        <v>http://tuberculist.epfl.ch/quicksearch.php?gene+name=Rv3750c&amp;submit=Search</v>
      </c>
    </row>
    <row r="3859" spans="1:11">
      <c r="A3859" t="s">
        <v>18373</v>
      </c>
      <c r="B3859" t="s">
        <v>18373</v>
      </c>
      <c r="C3859" t="s">
        <v>9567</v>
      </c>
      <c r="D3859" t="s">
        <v>18374</v>
      </c>
      <c r="E3859" t="s">
        <v>12040</v>
      </c>
      <c r="F3859" t="s">
        <v>18375</v>
      </c>
      <c r="G3859" t="s">
        <v>19217</v>
      </c>
      <c r="I3859" t="s">
        <v>18779</v>
      </c>
      <c r="K3859" t="str">
        <f>HYPERLINK("http://tuberculist.epfl.ch/quicksearch.php?gene+name=Rv3751&amp;submit=Search")</f>
        <v>http://tuberculist.epfl.ch/quicksearch.php?gene+name=Rv3751&amp;submit=Search</v>
      </c>
    </row>
    <row r="3860" spans="1:11">
      <c r="A3860" t="s">
        <v>18376</v>
      </c>
      <c r="B3860" t="s">
        <v>18376</v>
      </c>
      <c r="C3860" t="s">
        <v>9567</v>
      </c>
      <c r="D3860" t="s">
        <v>11531</v>
      </c>
      <c r="E3860" t="s">
        <v>18377</v>
      </c>
      <c r="F3860" t="s">
        <v>18378</v>
      </c>
      <c r="G3860" t="s">
        <v>19195</v>
      </c>
      <c r="H3860" t="s">
        <v>19265</v>
      </c>
      <c r="I3860" t="s">
        <v>18800</v>
      </c>
      <c r="K3860" t="str">
        <f>HYPERLINK("http://tuberculist.epfl.ch/quicksearch.php?gene+name=Rv3752c&amp;submit=Search")</f>
        <v>http://tuberculist.epfl.ch/quicksearch.php?gene+name=Rv3752c&amp;submit=Search</v>
      </c>
    </row>
    <row r="3861" spans="1:11">
      <c r="A3861" t="s">
        <v>756</v>
      </c>
      <c r="B3861" t="s">
        <v>756</v>
      </c>
      <c r="C3861" t="s">
        <v>9567</v>
      </c>
      <c r="D3861" t="s">
        <v>9578</v>
      </c>
      <c r="E3861" t="s">
        <v>9665</v>
      </c>
      <c r="F3861" t="s">
        <v>18379</v>
      </c>
      <c r="G3861" t="s">
        <v>19204</v>
      </c>
      <c r="H3861" t="s">
        <v>19233</v>
      </c>
      <c r="I3861" t="s">
        <v>18777</v>
      </c>
      <c r="K3861" t="str">
        <f>HYPERLINK("http://tuberculist.epfl.ch/quicksearch.php?gene+name=Rv3753c&amp;submit=Search")</f>
        <v>http://tuberculist.epfl.ch/quicksearch.php?gene+name=Rv3753c&amp;submit=Search</v>
      </c>
    </row>
    <row r="3862" spans="1:11">
      <c r="A3862" t="s">
        <v>5984</v>
      </c>
      <c r="B3862" t="s">
        <v>1749</v>
      </c>
      <c r="C3862" t="s">
        <v>9567</v>
      </c>
      <c r="D3862" t="s">
        <v>18380</v>
      </c>
      <c r="E3862" t="s">
        <v>18381</v>
      </c>
      <c r="F3862" t="s">
        <v>18382</v>
      </c>
      <c r="G3862" t="s">
        <v>19195</v>
      </c>
      <c r="H3862" t="s">
        <v>19233</v>
      </c>
      <c r="I3862" t="s">
        <v>18776</v>
      </c>
      <c r="K3862" t="str">
        <f>HYPERLINK("http://tuberculist.epfl.ch/quicksearch.php?gene+name=Rv3754&amp;submit=Search")</f>
        <v>http://tuberculist.epfl.ch/quicksearch.php?gene+name=Rv3754&amp;submit=Search</v>
      </c>
    </row>
    <row r="3863" spans="1:11">
      <c r="A3863" t="s">
        <v>2184</v>
      </c>
      <c r="B3863" t="s">
        <v>2184</v>
      </c>
      <c r="C3863" t="s">
        <v>9567</v>
      </c>
      <c r="D3863" t="s">
        <v>9578</v>
      </c>
      <c r="E3863" t="s">
        <v>9665</v>
      </c>
      <c r="F3863" t="s">
        <v>18383</v>
      </c>
      <c r="G3863" t="s">
        <v>19210</v>
      </c>
      <c r="H3863" t="s">
        <v>19229</v>
      </c>
      <c r="I3863" t="s">
        <v>18859</v>
      </c>
      <c r="K3863" t="str">
        <f>HYPERLINK("http://tuberculist.epfl.ch/quicksearch.php?gene+name=Rv3755c&amp;submit=Search")</f>
        <v>http://tuberculist.epfl.ch/quicksearch.php?gene+name=Rv3755c&amp;submit=Search</v>
      </c>
    </row>
    <row r="3864" spans="1:11">
      <c r="A3864" t="s">
        <v>5032</v>
      </c>
      <c r="B3864" t="s">
        <v>1268</v>
      </c>
      <c r="C3864" t="s">
        <v>9567</v>
      </c>
      <c r="D3864" t="s">
        <v>18384</v>
      </c>
      <c r="E3864" t="s">
        <v>18385</v>
      </c>
      <c r="F3864" t="s">
        <v>18386</v>
      </c>
      <c r="G3864" t="s">
        <v>19206</v>
      </c>
      <c r="H3864" t="s">
        <v>19192</v>
      </c>
      <c r="I3864" t="s">
        <v>18780</v>
      </c>
      <c r="K3864" t="str">
        <f>HYPERLINK("http://tuberculist.epfl.ch/quicksearch.php?gene+name=Rv3756c&amp;submit=Search")</f>
        <v>http://tuberculist.epfl.ch/quicksearch.php?gene+name=Rv3756c&amp;submit=Search</v>
      </c>
    </row>
    <row r="3865" spans="1:11">
      <c r="A3865" t="s">
        <v>3566</v>
      </c>
      <c r="B3865" t="s">
        <v>543</v>
      </c>
      <c r="C3865" t="s">
        <v>9567</v>
      </c>
      <c r="D3865" t="s">
        <v>18384</v>
      </c>
      <c r="E3865" t="s">
        <v>18387</v>
      </c>
      <c r="F3865" t="s">
        <v>18388</v>
      </c>
      <c r="G3865" t="s">
        <v>19206</v>
      </c>
      <c r="H3865" t="s">
        <v>19211</v>
      </c>
      <c r="I3865" t="s">
        <v>18779</v>
      </c>
      <c r="K3865" t="str">
        <f>HYPERLINK("http://tuberculist.epfl.ch/quicksearch.php?gene+name=Rv3757c&amp;submit=Search")</f>
        <v>http://tuberculist.epfl.ch/quicksearch.php?gene+name=Rv3757c&amp;submit=Search</v>
      </c>
    </row>
    <row r="3866" spans="1:11">
      <c r="A3866" t="s">
        <v>5285</v>
      </c>
      <c r="B3866" t="s">
        <v>1395</v>
      </c>
      <c r="C3866" t="s">
        <v>9567</v>
      </c>
      <c r="D3866" t="s">
        <v>18389</v>
      </c>
      <c r="E3866" t="s">
        <v>18390</v>
      </c>
      <c r="F3866" t="s">
        <v>18391</v>
      </c>
      <c r="G3866" t="s">
        <v>19206</v>
      </c>
      <c r="H3866" t="s">
        <v>19252</v>
      </c>
      <c r="I3866" t="s">
        <v>18810</v>
      </c>
      <c r="K3866" t="str">
        <f>HYPERLINK("http://tuberculist.epfl.ch/quicksearch.php?gene+name=Rv3758c&amp;submit=Search")</f>
        <v>http://tuberculist.epfl.ch/quicksearch.php?gene+name=Rv3758c&amp;submit=Search</v>
      </c>
    </row>
    <row r="3867" spans="1:11">
      <c r="A3867" t="s">
        <v>3754</v>
      </c>
      <c r="B3867" t="s">
        <v>638</v>
      </c>
      <c r="C3867" t="s">
        <v>9567</v>
      </c>
      <c r="D3867" t="s">
        <v>18392</v>
      </c>
      <c r="E3867" t="s">
        <v>18393</v>
      </c>
      <c r="F3867" t="s">
        <v>18394</v>
      </c>
      <c r="G3867" t="s">
        <v>19206</v>
      </c>
      <c r="H3867" t="s">
        <v>20133</v>
      </c>
      <c r="I3867" t="s">
        <v>18793</v>
      </c>
      <c r="J3867" t="s">
        <v>18839</v>
      </c>
      <c r="K3867" t="str">
        <f>HYPERLINK("http://tuberculist.epfl.ch/quicksearch.php?gene+name=Rv3759c&amp;submit=Search")</f>
        <v>http://tuberculist.epfl.ch/quicksearch.php?gene+name=Rv3759c&amp;submit=Search</v>
      </c>
    </row>
    <row r="3868" spans="1:11">
      <c r="A3868" t="s">
        <v>18395</v>
      </c>
      <c r="B3868" t="s">
        <v>18395</v>
      </c>
      <c r="C3868" t="s">
        <v>9567</v>
      </c>
      <c r="D3868" t="s">
        <v>9587</v>
      </c>
      <c r="E3868" t="s">
        <v>9588</v>
      </c>
      <c r="F3868" t="s">
        <v>18396</v>
      </c>
      <c r="G3868" t="s">
        <v>19188</v>
      </c>
      <c r="H3868" t="s">
        <v>20134</v>
      </c>
      <c r="I3868" t="s">
        <v>18780</v>
      </c>
      <c r="J3868" t="s">
        <v>18839</v>
      </c>
      <c r="K3868" t="str">
        <f>HYPERLINK("http://tuberculist.epfl.ch/quicksearch.php?gene+name=Rv3760&amp;submit=Search")</f>
        <v>http://tuberculist.epfl.ch/quicksearch.php?gene+name=Rv3760&amp;submit=Search</v>
      </c>
    </row>
    <row r="3869" spans="1:11">
      <c r="A3869" t="s">
        <v>6992</v>
      </c>
      <c r="B3869" t="s">
        <v>2255</v>
      </c>
      <c r="C3869" t="s">
        <v>9567</v>
      </c>
      <c r="D3869" t="s">
        <v>18397</v>
      </c>
      <c r="E3869" t="s">
        <v>18398</v>
      </c>
      <c r="F3869" t="s">
        <v>18399</v>
      </c>
      <c r="G3869" t="s">
        <v>19219</v>
      </c>
      <c r="H3869" t="s">
        <v>19716</v>
      </c>
      <c r="I3869" t="s">
        <v>18780</v>
      </c>
      <c r="K3869" t="str">
        <f>HYPERLINK("http://tuberculist.epfl.ch/quicksearch.php?gene+name=Rv3761c&amp;submit=Search")</f>
        <v>http://tuberculist.epfl.ch/quicksearch.php?gene+name=Rv3761c&amp;submit=Search</v>
      </c>
    </row>
    <row r="3870" spans="1:11">
      <c r="A3870" t="s">
        <v>2484</v>
      </c>
      <c r="B3870" t="s">
        <v>2484</v>
      </c>
      <c r="C3870" t="s">
        <v>9567</v>
      </c>
      <c r="D3870" t="s">
        <v>9682</v>
      </c>
      <c r="E3870" t="s">
        <v>9686</v>
      </c>
      <c r="F3870" t="s">
        <v>18400</v>
      </c>
      <c r="G3870" t="s">
        <v>19195</v>
      </c>
      <c r="H3870" t="s">
        <v>19804</v>
      </c>
      <c r="I3870" t="s">
        <v>18789</v>
      </c>
      <c r="J3870" t="s">
        <v>18775</v>
      </c>
      <c r="K3870" t="str">
        <f>HYPERLINK("http://tuberculist.epfl.ch/quicksearch.php?gene+name=Rv3762c&amp;submit=Search")</f>
        <v>http://tuberculist.epfl.ch/quicksearch.php?gene+name=Rv3762c&amp;submit=Search</v>
      </c>
    </row>
    <row r="3871" spans="1:11">
      <c r="A3871" t="s">
        <v>6963</v>
      </c>
      <c r="B3871" t="s">
        <v>2243</v>
      </c>
      <c r="C3871" t="s">
        <v>9567</v>
      </c>
      <c r="D3871" t="s">
        <v>18401</v>
      </c>
      <c r="E3871" t="s">
        <v>18402</v>
      </c>
      <c r="F3871" t="s">
        <v>18403</v>
      </c>
      <c r="G3871" t="s">
        <v>19188</v>
      </c>
      <c r="H3871" t="s">
        <v>20135</v>
      </c>
      <c r="I3871" t="s">
        <v>18821</v>
      </c>
      <c r="J3871" t="s">
        <v>18775</v>
      </c>
      <c r="K3871" t="str">
        <f>HYPERLINK("http://tuberculist.epfl.ch/quicksearch.php?gene+name=Rv3763&amp;submit=Search")</f>
        <v>http://tuberculist.epfl.ch/quicksearch.php?gene+name=Rv3763&amp;submit=Search</v>
      </c>
    </row>
    <row r="3872" spans="1:11">
      <c r="A3872" t="s">
        <v>18404</v>
      </c>
      <c r="B3872" t="s">
        <v>3114</v>
      </c>
      <c r="C3872" t="s">
        <v>9567</v>
      </c>
      <c r="D3872" t="s">
        <v>10949</v>
      </c>
      <c r="E3872" t="s">
        <v>18405</v>
      </c>
      <c r="F3872" t="s">
        <v>18406</v>
      </c>
      <c r="G3872" t="s">
        <v>19197</v>
      </c>
      <c r="H3872" t="s">
        <v>19944</v>
      </c>
      <c r="I3872" t="s">
        <v>19149</v>
      </c>
      <c r="K3872" t="str">
        <f>HYPERLINK("http://tuberculist.epfl.ch/quicksearch.php?gene+name=Rv3764c&amp;submit=Search")</f>
        <v>http://tuberculist.epfl.ch/quicksearch.php?gene+name=Rv3764c&amp;submit=Search</v>
      </c>
    </row>
    <row r="3873" spans="1:11">
      <c r="A3873" t="s">
        <v>18407</v>
      </c>
      <c r="B3873" t="s">
        <v>1864</v>
      </c>
      <c r="C3873" t="s">
        <v>9567</v>
      </c>
      <c r="D3873" t="s">
        <v>10949</v>
      </c>
      <c r="E3873" t="s">
        <v>18408</v>
      </c>
      <c r="F3873" t="s">
        <v>18409</v>
      </c>
      <c r="G3873" t="s">
        <v>19197</v>
      </c>
      <c r="I3873" t="s">
        <v>19150</v>
      </c>
      <c r="K3873" t="str">
        <f>HYPERLINK("http://tuberculist.epfl.ch/quicksearch.php?gene+name=Rv3765c&amp;submit=Search")</f>
        <v>http://tuberculist.epfl.ch/quicksearch.php?gene+name=Rv3765c&amp;submit=Search</v>
      </c>
    </row>
    <row r="3874" spans="1:11">
      <c r="A3874" t="s">
        <v>3200</v>
      </c>
      <c r="B3874" t="s">
        <v>3200</v>
      </c>
      <c r="C3874" t="s">
        <v>9567</v>
      </c>
      <c r="D3874" t="s">
        <v>9587</v>
      </c>
      <c r="E3874" t="s">
        <v>9713</v>
      </c>
      <c r="F3874" t="s">
        <v>18410</v>
      </c>
      <c r="G3874" t="s">
        <v>19212</v>
      </c>
      <c r="H3874" t="s">
        <v>19211</v>
      </c>
      <c r="I3874" t="s">
        <v>18821</v>
      </c>
      <c r="K3874" t="str">
        <f>HYPERLINK("http://tuberculist.epfl.ch/quicksearch.php?gene+name=Rv3766&amp;submit=Search")</f>
        <v>http://tuberculist.epfl.ch/quicksearch.php?gene+name=Rv3766&amp;submit=Search</v>
      </c>
    </row>
    <row r="3875" spans="1:11">
      <c r="A3875" t="s">
        <v>1239</v>
      </c>
      <c r="B3875" t="s">
        <v>1239</v>
      </c>
      <c r="C3875" t="s">
        <v>9567</v>
      </c>
      <c r="D3875" t="s">
        <v>9924</v>
      </c>
      <c r="E3875" t="s">
        <v>9925</v>
      </c>
      <c r="F3875" t="s">
        <v>18411</v>
      </c>
      <c r="G3875" t="s">
        <v>19219</v>
      </c>
      <c r="H3875" t="s">
        <v>19225</v>
      </c>
      <c r="I3875" t="s">
        <v>18804</v>
      </c>
      <c r="J3875" t="s">
        <v>18873</v>
      </c>
      <c r="K3875" t="str">
        <f>HYPERLINK("http://tuberculist.epfl.ch/quicksearch.php?gene+name=Rv3767c&amp;submit=Search")</f>
        <v>http://tuberculist.epfl.ch/quicksearch.php?gene+name=Rv3767c&amp;submit=Search</v>
      </c>
    </row>
    <row r="3876" spans="1:11">
      <c r="A3876" t="s">
        <v>2759</v>
      </c>
      <c r="B3876" t="s">
        <v>2759</v>
      </c>
      <c r="C3876" t="s">
        <v>9567</v>
      </c>
      <c r="D3876" t="s">
        <v>9587</v>
      </c>
      <c r="E3876" t="s">
        <v>9768</v>
      </c>
      <c r="F3876" t="s">
        <v>18412</v>
      </c>
      <c r="G3876" t="s">
        <v>19212</v>
      </c>
      <c r="H3876" t="s">
        <v>19192</v>
      </c>
      <c r="I3876" t="s">
        <v>18821</v>
      </c>
      <c r="K3876" t="str">
        <f>HYPERLINK("http://tuberculist.epfl.ch/quicksearch.php?gene+name=Rv3768&amp;submit=Search")</f>
        <v>http://tuberculist.epfl.ch/quicksearch.php?gene+name=Rv3768&amp;submit=Search</v>
      </c>
    </row>
    <row r="3877" spans="1:11">
      <c r="A3877" t="s">
        <v>2069</v>
      </c>
      <c r="B3877" t="s">
        <v>2069</v>
      </c>
      <c r="C3877" t="s">
        <v>9567</v>
      </c>
      <c r="D3877" t="s">
        <v>9587</v>
      </c>
      <c r="E3877" t="s">
        <v>9713</v>
      </c>
      <c r="F3877" t="s">
        <v>18413</v>
      </c>
      <c r="G3877" t="s">
        <v>19212</v>
      </c>
      <c r="I3877" t="s">
        <v>18860</v>
      </c>
      <c r="K3877" t="str">
        <f>HYPERLINK("http://tuberculist.epfl.ch/quicksearch.php?gene+name=Rv3769&amp;submit=Search")</f>
        <v>http://tuberculist.epfl.ch/quicksearch.php?gene+name=Rv3769&amp;submit=Search</v>
      </c>
    </row>
    <row r="3878" spans="1:11">
      <c r="A3878" t="s">
        <v>18414</v>
      </c>
      <c r="B3878" t="s">
        <v>18414</v>
      </c>
      <c r="C3878" t="s">
        <v>9567</v>
      </c>
      <c r="D3878" t="s">
        <v>12015</v>
      </c>
      <c r="E3878" t="s">
        <v>18415</v>
      </c>
      <c r="F3878" t="s">
        <v>18416</v>
      </c>
      <c r="G3878" t="s">
        <v>19217</v>
      </c>
      <c r="I3878" t="s">
        <v>18793</v>
      </c>
      <c r="K3878" t="str">
        <f>HYPERLINK("http://tuberculist.epfl.ch/quicksearch.php?gene+name=Rv3770A&amp;submit=Search")</f>
        <v>http://tuberculist.epfl.ch/quicksearch.php?gene+name=Rv3770A&amp;submit=Search</v>
      </c>
    </row>
    <row r="3879" spans="1:11">
      <c r="A3879" t="s">
        <v>18417</v>
      </c>
      <c r="B3879" t="s">
        <v>18417</v>
      </c>
      <c r="C3879" t="s">
        <v>9567</v>
      </c>
      <c r="D3879" t="s">
        <v>12015</v>
      </c>
      <c r="E3879" t="s">
        <v>18415</v>
      </c>
      <c r="F3879" t="s">
        <v>18418</v>
      </c>
      <c r="G3879" t="s">
        <v>19217</v>
      </c>
      <c r="I3879" t="s">
        <v>18793</v>
      </c>
      <c r="K3879" t="str">
        <f>HYPERLINK("http://tuberculist.epfl.ch/quicksearch.php?gene+name=Rv3770B&amp;submit=Search")</f>
        <v>http://tuberculist.epfl.ch/quicksearch.php?gene+name=Rv3770B&amp;submit=Search</v>
      </c>
    </row>
    <row r="3880" spans="1:11">
      <c r="A3880" t="s">
        <v>814</v>
      </c>
      <c r="B3880" t="s">
        <v>814</v>
      </c>
      <c r="C3880" t="s">
        <v>9567</v>
      </c>
      <c r="D3880" t="s">
        <v>9587</v>
      </c>
      <c r="E3880" t="s">
        <v>18419</v>
      </c>
      <c r="F3880" t="s">
        <v>18420</v>
      </c>
      <c r="G3880" t="s">
        <v>19216</v>
      </c>
      <c r="I3880" t="s">
        <v>18789</v>
      </c>
      <c r="K3880" t="str">
        <f>HYPERLINK("http://tuberculist.epfl.ch/quicksearch.php?gene+name=Rv3770c&amp;submit=Search")</f>
        <v>http://tuberculist.epfl.ch/quicksearch.php?gene+name=Rv3770c&amp;submit=Search</v>
      </c>
    </row>
    <row r="3881" spans="1:11">
      <c r="A3881" t="s">
        <v>2355</v>
      </c>
      <c r="B3881" t="s">
        <v>2355</v>
      </c>
      <c r="C3881" t="s">
        <v>9567</v>
      </c>
      <c r="D3881" t="s">
        <v>9578</v>
      </c>
      <c r="E3881" t="s">
        <v>9579</v>
      </c>
      <c r="F3881" t="s">
        <v>18421</v>
      </c>
      <c r="G3881" t="s">
        <v>19216</v>
      </c>
      <c r="I3881" t="s">
        <v>18779</v>
      </c>
      <c r="K3881" t="str">
        <f>HYPERLINK("http://tuberculist.epfl.ch/quicksearch.php?gene+name=Rv3771c&amp;submit=Search")</f>
        <v>http://tuberculist.epfl.ch/quicksearch.php?gene+name=Rv3771c&amp;submit=Search</v>
      </c>
    </row>
    <row r="3882" spans="1:11">
      <c r="A3882" t="s">
        <v>4272</v>
      </c>
      <c r="B3882" t="s">
        <v>897</v>
      </c>
      <c r="C3882" t="s">
        <v>9567</v>
      </c>
      <c r="D3882" t="s">
        <v>18422</v>
      </c>
      <c r="E3882" t="s">
        <v>18423</v>
      </c>
      <c r="F3882" t="s">
        <v>18424</v>
      </c>
      <c r="G3882" t="s">
        <v>19195</v>
      </c>
      <c r="H3882" t="s">
        <v>20136</v>
      </c>
      <c r="I3882" t="s">
        <v>18780</v>
      </c>
      <c r="K3882" t="str">
        <f>HYPERLINK("http://tuberculist.epfl.ch/quicksearch.php?gene+name=Rv3772&amp;submit=Search")</f>
        <v>http://tuberculist.epfl.ch/quicksearch.php?gene+name=Rv3772&amp;submit=Search</v>
      </c>
    </row>
    <row r="3883" spans="1:11">
      <c r="A3883" t="s">
        <v>18425</v>
      </c>
      <c r="B3883" t="s">
        <v>18425</v>
      </c>
      <c r="C3883" t="s">
        <v>9567</v>
      </c>
      <c r="D3883" t="s">
        <v>9578</v>
      </c>
      <c r="E3883" t="s">
        <v>9665</v>
      </c>
      <c r="F3883" t="s">
        <v>18426</v>
      </c>
      <c r="G3883" t="s">
        <v>19204</v>
      </c>
      <c r="H3883" t="s">
        <v>19196</v>
      </c>
      <c r="I3883" t="s">
        <v>18780</v>
      </c>
      <c r="K3883" t="str">
        <f>HYPERLINK("http://tuberculist.epfl.ch/quicksearch.php?gene+name=Rv3773c&amp;submit=Search")</f>
        <v>http://tuberculist.epfl.ch/quicksearch.php?gene+name=Rv3773c&amp;submit=Search</v>
      </c>
    </row>
    <row r="3884" spans="1:11">
      <c r="A3884" t="s">
        <v>9458</v>
      </c>
      <c r="B3884" t="s">
        <v>469</v>
      </c>
      <c r="C3884" t="s">
        <v>9567</v>
      </c>
      <c r="D3884" t="s">
        <v>10092</v>
      </c>
      <c r="E3884" t="s">
        <v>18427</v>
      </c>
      <c r="F3884" t="s">
        <v>18428</v>
      </c>
      <c r="G3884" t="s">
        <v>19219</v>
      </c>
      <c r="H3884" t="s">
        <v>19608</v>
      </c>
      <c r="I3884" t="s">
        <v>18780</v>
      </c>
      <c r="K3884" t="str">
        <f>HYPERLINK("http://tuberculist.epfl.ch/quicksearch.php?gene+name=Rv3774&amp;submit=Search")</f>
        <v>http://tuberculist.epfl.ch/quicksearch.php?gene+name=Rv3774&amp;submit=Search</v>
      </c>
    </row>
    <row r="3885" spans="1:11">
      <c r="A3885" t="s">
        <v>3533</v>
      </c>
      <c r="B3885" t="s">
        <v>522</v>
      </c>
      <c r="C3885" t="s">
        <v>9567</v>
      </c>
      <c r="D3885" t="s">
        <v>10079</v>
      </c>
      <c r="E3885" t="s">
        <v>18429</v>
      </c>
      <c r="F3885" t="s">
        <v>18430</v>
      </c>
      <c r="G3885" t="s">
        <v>19195</v>
      </c>
      <c r="H3885" t="s">
        <v>19225</v>
      </c>
      <c r="I3885" t="s">
        <v>18780</v>
      </c>
      <c r="K3885" t="str">
        <f>HYPERLINK("http://tuberculist.epfl.ch/quicksearch.php?gene+name=Rv3775&amp;submit=Search")</f>
        <v>http://tuberculist.epfl.ch/quicksearch.php?gene+name=Rv3775&amp;submit=Search</v>
      </c>
    </row>
    <row r="3886" spans="1:11">
      <c r="A3886" t="s">
        <v>1803</v>
      </c>
      <c r="B3886" t="s">
        <v>1803</v>
      </c>
      <c r="C3886" t="s">
        <v>9567</v>
      </c>
      <c r="D3886" t="s">
        <v>9578</v>
      </c>
      <c r="E3886" t="s">
        <v>9579</v>
      </c>
      <c r="F3886" t="s">
        <v>18431</v>
      </c>
      <c r="G3886" t="s">
        <v>19212</v>
      </c>
      <c r="H3886" t="s">
        <v>19207</v>
      </c>
      <c r="I3886" t="s">
        <v>18789</v>
      </c>
      <c r="J3886" t="s">
        <v>18855</v>
      </c>
      <c r="K3886" t="str">
        <f>HYPERLINK("http://tuberculist.epfl.ch/quicksearch.php?gene+name=Rv3776&amp;submit=Search")</f>
        <v>http://tuberculist.epfl.ch/quicksearch.php?gene+name=Rv3776&amp;submit=Search</v>
      </c>
    </row>
    <row r="3887" spans="1:11">
      <c r="A3887" t="s">
        <v>1108</v>
      </c>
      <c r="B3887" t="s">
        <v>1108</v>
      </c>
      <c r="C3887" t="s">
        <v>9567</v>
      </c>
      <c r="D3887" t="s">
        <v>9682</v>
      </c>
      <c r="E3887" t="s">
        <v>9739</v>
      </c>
      <c r="F3887" t="s">
        <v>18432</v>
      </c>
      <c r="G3887" t="s">
        <v>19195</v>
      </c>
      <c r="H3887" t="s">
        <v>19283</v>
      </c>
      <c r="I3887" t="s">
        <v>18792</v>
      </c>
      <c r="K3887" t="str">
        <f>HYPERLINK("http://tuberculist.epfl.ch/quicksearch.php?gene+name=Rv3777&amp;submit=Search")</f>
        <v>http://tuberculist.epfl.ch/quicksearch.php?gene+name=Rv3777&amp;submit=Search</v>
      </c>
    </row>
    <row r="3888" spans="1:11">
      <c r="A3888" t="s">
        <v>2475</v>
      </c>
      <c r="B3888" t="s">
        <v>2475</v>
      </c>
      <c r="C3888" t="s">
        <v>9567</v>
      </c>
      <c r="D3888" t="s">
        <v>9682</v>
      </c>
      <c r="E3888" t="s">
        <v>18433</v>
      </c>
      <c r="F3888" t="s">
        <v>18434</v>
      </c>
      <c r="G3888" t="s">
        <v>19195</v>
      </c>
      <c r="H3888" t="s">
        <v>20044</v>
      </c>
      <c r="I3888" t="s">
        <v>18774</v>
      </c>
      <c r="K3888" t="str">
        <f>HYPERLINK("http://tuberculist.epfl.ch/quicksearch.php?gene+name=Rv3778c&amp;submit=Search")</f>
        <v>http://tuberculist.epfl.ch/quicksearch.php?gene+name=Rv3778c&amp;submit=Search</v>
      </c>
    </row>
    <row r="3889" spans="1:11">
      <c r="A3889" t="s">
        <v>3249</v>
      </c>
      <c r="B3889" t="s">
        <v>3249</v>
      </c>
      <c r="C3889" t="s">
        <v>9567</v>
      </c>
      <c r="D3889" t="s">
        <v>9587</v>
      </c>
      <c r="E3889" t="s">
        <v>18435</v>
      </c>
      <c r="F3889" t="s">
        <v>18436</v>
      </c>
      <c r="G3889" t="s">
        <v>19188</v>
      </c>
      <c r="H3889" t="s">
        <v>19265</v>
      </c>
      <c r="I3889" t="s">
        <v>18781</v>
      </c>
      <c r="K3889" t="str">
        <f>HYPERLINK("http://tuberculist.epfl.ch/quicksearch.php?gene+name=Rv3779&amp;submit=Search")</f>
        <v>http://tuberculist.epfl.ch/quicksearch.php?gene+name=Rv3779&amp;submit=Search</v>
      </c>
    </row>
    <row r="3890" spans="1:11">
      <c r="A3890" t="s">
        <v>3085</v>
      </c>
      <c r="B3890" t="s">
        <v>3085</v>
      </c>
      <c r="C3890" t="s">
        <v>9567</v>
      </c>
      <c r="D3890" t="s">
        <v>9578</v>
      </c>
      <c r="E3890" t="s">
        <v>9665</v>
      </c>
      <c r="F3890" t="s">
        <v>18437</v>
      </c>
      <c r="G3890" t="s">
        <v>19210</v>
      </c>
      <c r="H3890" t="s">
        <v>19225</v>
      </c>
      <c r="I3890" t="s">
        <v>18788</v>
      </c>
      <c r="K3890" t="str">
        <f>HYPERLINK("http://tuberculist.epfl.ch/quicksearch.php?gene+name=Rv3780&amp;submit=Search")</f>
        <v>http://tuberculist.epfl.ch/quicksearch.php?gene+name=Rv3780&amp;submit=Search</v>
      </c>
    </row>
    <row r="3891" spans="1:11">
      <c r="A3891" t="s">
        <v>18438</v>
      </c>
      <c r="B3891" t="s">
        <v>1787</v>
      </c>
      <c r="C3891" t="s">
        <v>9567</v>
      </c>
      <c r="D3891" t="s">
        <v>18439</v>
      </c>
      <c r="E3891" t="s">
        <v>18440</v>
      </c>
      <c r="F3891" t="s">
        <v>18441</v>
      </c>
      <c r="G3891" t="s">
        <v>19188</v>
      </c>
      <c r="H3891" t="s">
        <v>19225</v>
      </c>
      <c r="I3891" t="s">
        <v>18885</v>
      </c>
      <c r="K3891" t="str">
        <f>HYPERLINK("http://tuberculist.epfl.ch/quicksearch.php?gene+name=Rv3781&amp;submit=Search")</f>
        <v>http://tuberculist.epfl.ch/quicksearch.php?gene+name=Rv3781&amp;submit=Search</v>
      </c>
    </row>
    <row r="3892" spans="1:11">
      <c r="A3892" t="s">
        <v>18442</v>
      </c>
      <c r="B3892" t="s">
        <v>2885</v>
      </c>
      <c r="C3892" t="s">
        <v>9567</v>
      </c>
      <c r="D3892" t="s">
        <v>18443</v>
      </c>
      <c r="E3892" t="s">
        <v>18444</v>
      </c>
      <c r="F3892" t="s">
        <v>18445</v>
      </c>
      <c r="G3892" t="s">
        <v>19188</v>
      </c>
      <c r="H3892" t="s">
        <v>19339</v>
      </c>
      <c r="I3892" t="s">
        <v>18774</v>
      </c>
      <c r="K3892" t="str">
        <f>HYPERLINK("http://tuberculist.epfl.ch/quicksearch.php?gene+name=Rv3782&amp;submit=Search")</f>
        <v>http://tuberculist.epfl.ch/quicksearch.php?gene+name=Rv3782&amp;submit=Search</v>
      </c>
    </row>
    <row r="3893" spans="1:11">
      <c r="A3893" t="s">
        <v>6793</v>
      </c>
      <c r="B3893" t="s">
        <v>2159</v>
      </c>
      <c r="C3893" t="s">
        <v>9567</v>
      </c>
      <c r="D3893" t="s">
        <v>18446</v>
      </c>
      <c r="E3893" t="s">
        <v>18447</v>
      </c>
      <c r="F3893" t="s">
        <v>18448</v>
      </c>
      <c r="G3893" t="s">
        <v>19188</v>
      </c>
      <c r="H3893" t="s">
        <v>19192</v>
      </c>
      <c r="I3893" t="s">
        <v>18845</v>
      </c>
      <c r="K3893" t="str">
        <f>HYPERLINK("http://tuberculist.epfl.ch/quicksearch.php?gene+name=Rv3783&amp;submit=Search")</f>
        <v>http://tuberculist.epfl.ch/quicksearch.php?gene+name=Rv3783&amp;submit=Search</v>
      </c>
    </row>
    <row r="3894" spans="1:11">
      <c r="A3894" t="s">
        <v>2092</v>
      </c>
      <c r="B3894" t="s">
        <v>2092</v>
      </c>
      <c r="C3894" t="s">
        <v>9567</v>
      </c>
      <c r="D3894" t="s">
        <v>18449</v>
      </c>
      <c r="E3894" t="s">
        <v>17737</v>
      </c>
      <c r="F3894" t="s">
        <v>18450</v>
      </c>
      <c r="G3894" t="s">
        <v>19195</v>
      </c>
      <c r="H3894" t="s">
        <v>19213</v>
      </c>
      <c r="I3894" t="s">
        <v>18789</v>
      </c>
      <c r="K3894" t="str">
        <f>HYPERLINK("http://tuberculist.epfl.ch/quicksearch.php?gene+name=Rv3784&amp;submit=Search")</f>
        <v>http://tuberculist.epfl.ch/quicksearch.php?gene+name=Rv3784&amp;submit=Search</v>
      </c>
    </row>
    <row r="3895" spans="1:11">
      <c r="A3895" t="s">
        <v>3066</v>
      </c>
      <c r="B3895" t="s">
        <v>3066</v>
      </c>
      <c r="C3895" t="s">
        <v>9567</v>
      </c>
      <c r="D3895" t="s">
        <v>9587</v>
      </c>
      <c r="E3895" t="s">
        <v>9713</v>
      </c>
      <c r="F3895" t="s">
        <v>18451</v>
      </c>
      <c r="G3895" t="s">
        <v>19212</v>
      </c>
      <c r="H3895" t="s">
        <v>19236</v>
      </c>
      <c r="I3895" t="s">
        <v>18780</v>
      </c>
      <c r="K3895" t="str">
        <f>HYPERLINK("http://tuberculist.epfl.ch/quicksearch.php?gene+name=Rv3785&amp;submit=Search")</f>
        <v>http://tuberculist.epfl.ch/quicksearch.php?gene+name=Rv3785&amp;submit=Search</v>
      </c>
    </row>
    <row r="3896" spans="1:11">
      <c r="A3896" t="s">
        <v>1137</v>
      </c>
      <c r="B3896" t="s">
        <v>1137</v>
      </c>
      <c r="C3896" t="s">
        <v>9567</v>
      </c>
      <c r="D3896" t="s">
        <v>9587</v>
      </c>
      <c r="E3896" t="s">
        <v>9768</v>
      </c>
      <c r="F3896" t="s">
        <v>18452</v>
      </c>
      <c r="G3896" t="s">
        <v>19204</v>
      </c>
      <c r="H3896" t="s">
        <v>20137</v>
      </c>
      <c r="I3896" t="s">
        <v>18789</v>
      </c>
      <c r="K3896" t="str">
        <f>HYPERLINK("http://tuberculist.epfl.ch/quicksearch.php?gene+name=Rv3786c&amp;submit=Search")</f>
        <v>http://tuberculist.epfl.ch/quicksearch.php?gene+name=Rv3786c&amp;submit=Search</v>
      </c>
    </row>
    <row r="3897" spans="1:11">
      <c r="A3897" t="s">
        <v>18453</v>
      </c>
      <c r="B3897" t="s">
        <v>18453</v>
      </c>
      <c r="C3897" t="s">
        <v>9567</v>
      </c>
      <c r="D3897" t="s">
        <v>9578</v>
      </c>
      <c r="E3897" t="s">
        <v>9579</v>
      </c>
      <c r="F3897" t="s">
        <v>18454</v>
      </c>
      <c r="G3897" t="s">
        <v>19220</v>
      </c>
      <c r="I3897" t="s">
        <v>18780</v>
      </c>
      <c r="K3897" t="str">
        <f>HYPERLINK("http://tuberculist.epfl.ch/quicksearch.php?gene+name=Rv3787c&amp;submit=Search")</f>
        <v>http://tuberculist.epfl.ch/quicksearch.php?gene+name=Rv3787c&amp;submit=Search</v>
      </c>
    </row>
    <row r="3898" spans="1:11">
      <c r="A3898" t="s">
        <v>18455</v>
      </c>
      <c r="B3898" t="s">
        <v>18455</v>
      </c>
      <c r="C3898" t="s">
        <v>9567</v>
      </c>
      <c r="D3898" t="s">
        <v>9587</v>
      </c>
      <c r="E3898" t="s">
        <v>9713</v>
      </c>
      <c r="F3898" t="s">
        <v>18456</v>
      </c>
      <c r="G3898" t="s">
        <v>19210</v>
      </c>
      <c r="H3898" t="s">
        <v>20138</v>
      </c>
      <c r="I3898" t="s">
        <v>18780</v>
      </c>
      <c r="K3898" t="str">
        <f>HYPERLINK("http://tuberculist.epfl.ch/quicksearch.php?gene+name=Rv3788&amp;submit=Search")</f>
        <v>http://tuberculist.epfl.ch/quicksearch.php?gene+name=Rv3788&amp;submit=Search</v>
      </c>
    </row>
    <row r="3899" spans="1:11">
      <c r="A3899" t="s">
        <v>18457</v>
      </c>
      <c r="B3899" t="s">
        <v>18457</v>
      </c>
      <c r="C3899" t="s">
        <v>9567</v>
      </c>
      <c r="D3899" t="s">
        <v>9578</v>
      </c>
      <c r="E3899" t="s">
        <v>18458</v>
      </c>
      <c r="F3899" t="s">
        <v>18459</v>
      </c>
      <c r="G3899" t="s">
        <v>19188</v>
      </c>
      <c r="H3899" t="s">
        <v>19619</v>
      </c>
      <c r="I3899" t="s">
        <v>18788</v>
      </c>
      <c r="K3899" t="str">
        <f>HYPERLINK("http://tuberculist.epfl.ch/quicksearch.php?gene+name=Rv3789&amp;submit=Search")</f>
        <v>http://tuberculist.epfl.ch/quicksearch.php?gene+name=Rv3789&amp;submit=Search</v>
      </c>
    </row>
    <row r="3900" spans="1:11">
      <c r="A3900" t="s">
        <v>18460</v>
      </c>
      <c r="B3900" t="s">
        <v>1501</v>
      </c>
      <c r="C3900" t="s">
        <v>9567</v>
      </c>
      <c r="D3900" t="s">
        <v>18461</v>
      </c>
      <c r="E3900" t="s">
        <v>18462</v>
      </c>
      <c r="F3900" t="s">
        <v>18463</v>
      </c>
      <c r="G3900" t="s">
        <v>19219</v>
      </c>
      <c r="H3900" t="s">
        <v>19344</v>
      </c>
      <c r="I3900" t="s">
        <v>18774</v>
      </c>
      <c r="K3900" t="str">
        <f>HYPERLINK("http://tuberculist.epfl.ch/quicksearch.php?gene+name=Rv3790&amp;submit=Search")</f>
        <v>http://tuberculist.epfl.ch/quicksearch.php?gene+name=Rv3790&amp;submit=Search</v>
      </c>
    </row>
    <row r="3901" spans="1:11">
      <c r="A3901" t="s">
        <v>18464</v>
      </c>
      <c r="B3901" t="s">
        <v>3074</v>
      </c>
      <c r="C3901" t="s">
        <v>9567</v>
      </c>
      <c r="D3901" t="s">
        <v>18461</v>
      </c>
      <c r="E3901" t="s">
        <v>18465</v>
      </c>
      <c r="F3901" t="s">
        <v>18466</v>
      </c>
      <c r="G3901" t="s">
        <v>19219</v>
      </c>
      <c r="H3901" t="s">
        <v>19401</v>
      </c>
      <c r="I3901" t="s">
        <v>18774</v>
      </c>
      <c r="K3901" t="str">
        <f>HYPERLINK("http://tuberculist.epfl.ch/quicksearch.php?gene+name=Rv3791&amp;submit=Search")</f>
        <v>http://tuberculist.epfl.ch/quicksearch.php?gene+name=Rv3791&amp;submit=Search</v>
      </c>
    </row>
    <row r="3902" spans="1:11">
      <c r="A3902" t="s">
        <v>18467</v>
      </c>
      <c r="B3902" t="s">
        <v>1605</v>
      </c>
      <c r="C3902" t="s">
        <v>9567</v>
      </c>
      <c r="D3902" t="s">
        <v>10125</v>
      </c>
      <c r="E3902" t="s">
        <v>18468</v>
      </c>
      <c r="F3902" t="s">
        <v>18469</v>
      </c>
      <c r="G3902" t="s">
        <v>19188</v>
      </c>
      <c r="H3902" t="s">
        <v>19305</v>
      </c>
      <c r="I3902" t="s">
        <v>18774</v>
      </c>
      <c r="K3902" t="str">
        <f>HYPERLINK("http://tuberculist.epfl.ch/quicksearch.php?gene+name=Rv3792&amp;submit=Search")</f>
        <v>http://tuberculist.epfl.ch/quicksearch.php?gene+name=Rv3792&amp;submit=Search</v>
      </c>
    </row>
    <row r="3903" spans="1:11">
      <c r="A3903" t="s">
        <v>5674</v>
      </c>
      <c r="B3903" t="s">
        <v>1599</v>
      </c>
      <c r="C3903" t="s">
        <v>9567</v>
      </c>
      <c r="D3903" t="s">
        <v>18470</v>
      </c>
      <c r="E3903" t="s">
        <v>18471</v>
      </c>
      <c r="F3903" t="s">
        <v>18472</v>
      </c>
      <c r="G3903" t="s">
        <v>19188</v>
      </c>
      <c r="H3903" t="s">
        <v>20139</v>
      </c>
      <c r="I3903" t="s">
        <v>19151</v>
      </c>
      <c r="K3903" t="str">
        <f>HYPERLINK("http://tuberculist.epfl.ch/quicksearch.php?gene+name=Rv3793&amp;submit=Search")</f>
        <v>http://tuberculist.epfl.ch/quicksearch.php?gene+name=Rv3793&amp;submit=Search</v>
      </c>
    </row>
    <row r="3904" spans="1:11">
      <c r="A3904" t="s">
        <v>5701</v>
      </c>
      <c r="B3904" t="s">
        <v>1612</v>
      </c>
      <c r="C3904" t="s">
        <v>9567</v>
      </c>
      <c r="D3904" t="s">
        <v>18470</v>
      </c>
      <c r="E3904" t="s">
        <v>18473</v>
      </c>
      <c r="F3904" t="s">
        <v>18474</v>
      </c>
      <c r="G3904" t="s">
        <v>19188</v>
      </c>
      <c r="H3904" t="s">
        <v>20140</v>
      </c>
      <c r="I3904" t="s">
        <v>19102</v>
      </c>
      <c r="K3904" t="str">
        <f>HYPERLINK("http://tuberculist.epfl.ch/quicksearch.php?gene+name=Rv3794&amp;submit=Search")</f>
        <v>http://tuberculist.epfl.ch/quicksearch.php?gene+name=Rv3794&amp;submit=Search</v>
      </c>
    </row>
    <row r="3905" spans="1:11">
      <c r="A3905" t="s">
        <v>9177</v>
      </c>
      <c r="B3905" t="s">
        <v>3313</v>
      </c>
      <c r="C3905" t="s">
        <v>9567</v>
      </c>
      <c r="D3905" t="s">
        <v>18470</v>
      </c>
      <c r="E3905" t="s">
        <v>18475</v>
      </c>
      <c r="F3905" t="s">
        <v>18476</v>
      </c>
      <c r="G3905" t="s">
        <v>19188</v>
      </c>
      <c r="H3905" t="s">
        <v>19374</v>
      </c>
      <c r="I3905" t="s">
        <v>18774</v>
      </c>
      <c r="K3905" t="str">
        <f>HYPERLINK("http://tuberculist.epfl.ch/quicksearch.php?gene+name=Rv3795&amp;submit=Search")</f>
        <v>http://tuberculist.epfl.ch/quicksearch.php?gene+name=Rv3795&amp;submit=Search</v>
      </c>
    </row>
    <row r="3906" spans="1:11">
      <c r="A3906" t="s">
        <v>2619</v>
      </c>
      <c r="B3906" t="s">
        <v>2619</v>
      </c>
      <c r="C3906" t="s">
        <v>9567</v>
      </c>
      <c r="D3906" t="s">
        <v>9578</v>
      </c>
      <c r="E3906" t="s">
        <v>9665</v>
      </c>
      <c r="F3906" t="s">
        <v>18477</v>
      </c>
      <c r="G3906" t="s">
        <v>19212</v>
      </c>
      <c r="H3906" t="s">
        <v>19229</v>
      </c>
      <c r="I3906" t="s">
        <v>18789</v>
      </c>
      <c r="K3906" t="str">
        <f>HYPERLINK("http://tuberculist.epfl.ch/quicksearch.php?gene+name=Rv3796&amp;submit=Search")</f>
        <v>http://tuberculist.epfl.ch/quicksearch.php?gene+name=Rv3796&amp;submit=Search</v>
      </c>
    </row>
    <row r="3907" spans="1:11">
      <c r="A3907" t="s">
        <v>4222</v>
      </c>
      <c r="B3907" t="s">
        <v>872</v>
      </c>
      <c r="C3907" t="s">
        <v>9567</v>
      </c>
      <c r="D3907" t="s">
        <v>9662</v>
      </c>
      <c r="E3907" t="s">
        <v>18478</v>
      </c>
      <c r="F3907" t="s">
        <v>18479</v>
      </c>
      <c r="G3907" t="s">
        <v>19219</v>
      </c>
      <c r="H3907" t="s">
        <v>19362</v>
      </c>
      <c r="I3907" t="s">
        <v>18780</v>
      </c>
      <c r="K3907" t="str">
        <f>HYPERLINK("http://tuberculist.epfl.ch/quicksearch.php?gene+name=Rv3797&amp;submit=Search")</f>
        <v>http://tuberculist.epfl.ch/quicksearch.php?gene+name=Rv3797&amp;submit=Search</v>
      </c>
    </row>
    <row r="3908" spans="1:11">
      <c r="A3908" t="s">
        <v>18480</v>
      </c>
      <c r="B3908" t="s">
        <v>18480</v>
      </c>
      <c r="C3908" t="s">
        <v>9567</v>
      </c>
      <c r="D3908" t="s">
        <v>18481</v>
      </c>
      <c r="E3908" t="s">
        <v>11730</v>
      </c>
      <c r="F3908" t="s">
        <v>18482</v>
      </c>
      <c r="G3908" t="s">
        <v>19217</v>
      </c>
      <c r="I3908" t="s">
        <v>18779</v>
      </c>
      <c r="K3908" t="str">
        <f>HYPERLINK("http://tuberculist.epfl.ch/quicksearch.php?gene+name=Rv3798&amp;submit=Search")</f>
        <v>http://tuberculist.epfl.ch/quicksearch.php?gene+name=Rv3798&amp;submit=Search</v>
      </c>
    </row>
    <row r="3909" spans="1:11">
      <c r="A3909" t="s">
        <v>9169</v>
      </c>
      <c r="B3909" t="s">
        <v>3310</v>
      </c>
      <c r="C3909" t="s">
        <v>9567</v>
      </c>
      <c r="D3909" t="s">
        <v>17268</v>
      </c>
      <c r="E3909" t="s">
        <v>18483</v>
      </c>
      <c r="F3909" t="s">
        <v>18484</v>
      </c>
      <c r="G3909" t="s">
        <v>19219</v>
      </c>
      <c r="H3909" t="s">
        <v>20141</v>
      </c>
      <c r="I3909" t="s">
        <v>18774</v>
      </c>
      <c r="K3909" t="str">
        <f>HYPERLINK("http://tuberculist.epfl.ch/quicksearch.php?gene+name=Rv3799c&amp;submit=Search")</f>
        <v>http://tuberculist.epfl.ch/quicksearch.php?gene+name=Rv3799c&amp;submit=Search</v>
      </c>
    </row>
    <row r="3910" spans="1:11">
      <c r="A3910" t="s">
        <v>9302</v>
      </c>
      <c r="B3910" t="s">
        <v>3374</v>
      </c>
      <c r="C3910" t="s">
        <v>9567</v>
      </c>
      <c r="D3910" t="s">
        <v>18485</v>
      </c>
      <c r="E3910" t="s">
        <v>18486</v>
      </c>
      <c r="F3910" t="s">
        <v>18487</v>
      </c>
      <c r="G3910" t="s">
        <v>19219</v>
      </c>
      <c r="H3910" t="s">
        <v>20142</v>
      </c>
      <c r="I3910" t="s">
        <v>18774</v>
      </c>
      <c r="K3910" t="str">
        <f>HYPERLINK("http://tuberculist.epfl.ch/quicksearch.php?gene+name=Rv3800c&amp;submit=Search")</f>
        <v>http://tuberculist.epfl.ch/quicksearch.php?gene+name=Rv3800c&amp;submit=Search</v>
      </c>
    </row>
    <row r="3911" spans="1:11">
      <c r="A3911" t="s">
        <v>4938</v>
      </c>
      <c r="B3911" t="s">
        <v>1226</v>
      </c>
      <c r="C3911" t="s">
        <v>9567</v>
      </c>
      <c r="D3911" t="s">
        <v>18488</v>
      </c>
      <c r="E3911" t="s">
        <v>18489</v>
      </c>
      <c r="F3911" t="s">
        <v>18490</v>
      </c>
      <c r="G3911" t="s">
        <v>19219</v>
      </c>
      <c r="H3911" t="s">
        <v>20143</v>
      </c>
      <c r="I3911" t="s">
        <v>19152</v>
      </c>
      <c r="K3911" t="str">
        <f>HYPERLINK("http://tuberculist.epfl.ch/quicksearch.php?gene+name=Rv3801c&amp;submit=Search")</f>
        <v>http://tuberculist.epfl.ch/quicksearch.php?gene+name=Rv3801c&amp;submit=Search</v>
      </c>
    </row>
    <row r="3912" spans="1:11">
      <c r="A3912" t="s">
        <v>915</v>
      </c>
      <c r="B3912" t="s">
        <v>915</v>
      </c>
      <c r="C3912" t="s">
        <v>9567</v>
      </c>
      <c r="D3912" t="s">
        <v>18491</v>
      </c>
      <c r="E3912" t="s">
        <v>9595</v>
      </c>
      <c r="F3912" t="s">
        <v>18492</v>
      </c>
      <c r="G3912" t="s">
        <v>19188</v>
      </c>
      <c r="H3912" t="s">
        <v>20144</v>
      </c>
      <c r="I3912" t="s">
        <v>18774</v>
      </c>
      <c r="K3912" t="str">
        <f>HYPERLINK("http://tuberculist.epfl.ch/quicksearch.php?gene+name=Rv3802c&amp;submit=Search")</f>
        <v>http://tuberculist.epfl.ch/quicksearch.php?gene+name=Rv3802c&amp;submit=Search</v>
      </c>
    </row>
    <row r="3913" spans="1:11">
      <c r="A3913" t="s">
        <v>5277</v>
      </c>
      <c r="B3913" t="s">
        <v>1390</v>
      </c>
      <c r="C3913" t="s">
        <v>9567</v>
      </c>
      <c r="D3913" t="s">
        <v>14005</v>
      </c>
      <c r="E3913" t="s">
        <v>18493</v>
      </c>
      <c r="F3913" t="s">
        <v>18494</v>
      </c>
      <c r="G3913" t="s">
        <v>19219</v>
      </c>
      <c r="H3913" t="s">
        <v>20145</v>
      </c>
      <c r="I3913" t="s">
        <v>18780</v>
      </c>
      <c r="K3913" t="str">
        <f>HYPERLINK("http://tuberculist.epfl.ch/quicksearch.php?gene+name=Rv3803c&amp;submit=Search")</f>
        <v>http://tuberculist.epfl.ch/quicksearch.php?gene+name=Rv3803c&amp;submit=Search</v>
      </c>
    </row>
    <row r="3914" spans="1:11">
      <c r="A3914" t="s">
        <v>61</v>
      </c>
      <c r="B3914" t="s">
        <v>60</v>
      </c>
      <c r="C3914" t="s">
        <v>9567</v>
      </c>
      <c r="D3914" t="s">
        <v>14005</v>
      </c>
      <c r="E3914" t="s">
        <v>18495</v>
      </c>
      <c r="F3914" t="s">
        <v>18496</v>
      </c>
      <c r="G3914" t="s">
        <v>19219</v>
      </c>
      <c r="H3914" t="s">
        <v>20146</v>
      </c>
      <c r="I3914" t="s">
        <v>18788</v>
      </c>
      <c r="J3914" t="s">
        <v>18775</v>
      </c>
      <c r="K3914" t="str">
        <f>HYPERLINK("http://tuberculist.epfl.ch/quicksearch.php?gene+name=Rv3804c&amp;submit=Search")</f>
        <v>http://tuberculist.epfl.ch/quicksearch.php?gene+name=Rv3804c&amp;submit=Search</v>
      </c>
    </row>
    <row r="3915" spans="1:11">
      <c r="A3915" t="s">
        <v>18497</v>
      </c>
      <c r="B3915" t="s">
        <v>3379</v>
      </c>
      <c r="C3915" t="s">
        <v>9567</v>
      </c>
      <c r="D3915" t="s">
        <v>10125</v>
      </c>
      <c r="E3915" t="s">
        <v>18498</v>
      </c>
      <c r="F3915" t="s">
        <v>18499</v>
      </c>
      <c r="G3915" t="s">
        <v>19188</v>
      </c>
      <c r="I3915" t="s">
        <v>18885</v>
      </c>
      <c r="K3915" t="str">
        <f>HYPERLINK("http://tuberculist.epfl.ch/quicksearch.php?gene+name=Rv3805c&amp;submit=Search")</f>
        <v>http://tuberculist.epfl.ch/quicksearch.php?gene+name=Rv3805c&amp;submit=Search</v>
      </c>
    </row>
    <row r="3916" spans="1:11">
      <c r="A3916" t="s">
        <v>18500</v>
      </c>
      <c r="B3916" t="s">
        <v>1263</v>
      </c>
      <c r="C3916" t="s">
        <v>9567</v>
      </c>
      <c r="D3916" t="s">
        <v>18501</v>
      </c>
      <c r="E3916" t="s">
        <v>18502</v>
      </c>
      <c r="F3916" t="s">
        <v>18503</v>
      </c>
      <c r="G3916" t="s">
        <v>19188</v>
      </c>
      <c r="H3916" t="s">
        <v>20147</v>
      </c>
      <c r="I3916" t="s">
        <v>18774</v>
      </c>
      <c r="K3916" t="str">
        <f>HYPERLINK("http://tuberculist.epfl.ch/quicksearch.php?gene+name=Rv3806c&amp;submit=Search")</f>
        <v>http://tuberculist.epfl.ch/quicksearch.php?gene+name=Rv3806c&amp;submit=Search</v>
      </c>
    </row>
    <row r="3917" spans="1:11">
      <c r="A3917" t="s">
        <v>2795</v>
      </c>
      <c r="B3917" t="s">
        <v>2795</v>
      </c>
      <c r="C3917" t="s">
        <v>9567</v>
      </c>
      <c r="D3917" t="s">
        <v>9587</v>
      </c>
      <c r="E3917" t="s">
        <v>9671</v>
      </c>
      <c r="F3917" t="s">
        <v>18504</v>
      </c>
      <c r="G3917" t="s">
        <v>19188</v>
      </c>
      <c r="H3917" t="s">
        <v>19233</v>
      </c>
      <c r="I3917" t="s">
        <v>18867</v>
      </c>
      <c r="K3917" t="str">
        <f>HYPERLINK("http://tuberculist.epfl.ch/quicksearch.php?gene+name=Rv3807c&amp;submit=Search")</f>
        <v>http://tuberculist.epfl.ch/quicksearch.php?gene+name=Rv3807c&amp;submit=Search</v>
      </c>
    </row>
    <row r="3918" spans="1:11">
      <c r="A3918" t="s">
        <v>18505</v>
      </c>
      <c r="B3918" t="s">
        <v>1486</v>
      </c>
      <c r="C3918" t="s">
        <v>9567</v>
      </c>
      <c r="D3918" t="s">
        <v>18506</v>
      </c>
      <c r="E3918" t="s">
        <v>18507</v>
      </c>
      <c r="F3918" t="s">
        <v>18508</v>
      </c>
      <c r="G3918" t="s">
        <v>19188</v>
      </c>
      <c r="H3918" t="s">
        <v>20148</v>
      </c>
      <c r="I3918" t="s">
        <v>18774</v>
      </c>
      <c r="K3918" t="str">
        <f>HYPERLINK("http://tuberculist.epfl.ch/quicksearch.php?gene+name=Rv3808c&amp;submit=Search")</f>
        <v>http://tuberculist.epfl.ch/quicksearch.php?gene+name=Rv3808c&amp;submit=Search</v>
      </c>
    </row>
    <row r="3919" spans="1:11">
      <c r="A3919" t="s">
        <v>5574</v>
      </c>
      <c r="B3919" t="s">
        <v>1553</v>
      </c>
      <c r="C3919" t="s">
        <v>9567</v>
      </c>
      <c r="D3919" t="s">
        <v>18509</v>
      </c>
      <c r="E3919" t="s">
        <v>18510</v>
      </c>
      <c r="F3919" t="s">
        <v>18511</v>
      </c>
      <c r="G3919" t="s">
        <v>19188</v>
      </c>
      <c r="H3919" t="s">
        <v>19305</v>
      </c>
      <c r="I3919" t="s">
        <v>18788</v>
      </c>
      <c r="K3919" t="str">
        <f>HYPERLINK("http://tuberculist.epfl.ch/quicksearch.php?gene+name=Rv3809c&amp;submit=Search")</f>
        <v>http://tuberculist.epfl.ch/quicksearch.php?gene+name=Rv3809c&amp;submit=Search</v>
      </c>
    </row>
    <row r="3920" spans="1:11">
      <c r="A3920" t="s">
        <v>6268</v>
      </c>
      <c r="B3920" t="s">
        <v>1887</v>
      </c>
      <c r="C3920" t="s">
        <v>9567</v>
      </c>
      <c r="D3920" t="s">
        <v>18512</v>
      </c>
      <c r="E3920" t="s">
        <v>18513</v>
      </c>
      <c r="F3920" t="s">
        <v>18514</v>
      </c>
      <c r="G3920" t="s">
        <v>19188</v>
      </c>
      <c r="I3920" t="s">
        <v>18846</v>
      </c>
      <c r="K3920" t="str">
        <f>HYPERLINK("http://tuberculist.epfl.ch/quicksearch.php?gene+name=Rv3810&amp;submit=Search")</f>
        <v>http://tuberculist.epfl.ch/quicksearch.php?gene+name=Rv3810&amp;submit=Search</v>
      </c>
    </row>
    <row r="3921" spans="1:11">
      <c r="A3921" t="s">
        <v>1524</v>
      </c>
      <c r="B3921" t="s">
        <v>1524</v>
      </c>
      <c r="C3921" t="s">
        <v>9567</v>
      </c>
      <c r="D3921" t="s">
        <v>9578</v>
      </c>
      <c r="E3921" t="s">
        <v>9579</v>
      </c>
      <c r="F3921" t="s">
        <v>18515</v>
      </c>
      <c r="G3921" t="s">
        <v>19212</v>
      </c>
      <c r="I3921" t="s">
        <v>18780</v>
      </c>
      <c r="K3921" t="str">
        <f>HYPERLINK("http://tuberculist.epfl.ch/quicksearch.php?gene+name=Rv3811&amp;submit=Search")</f>
        <v>http://tuberculist.epfl.ch/quicksearch.php?gene+name=Rv3811&amp;submit=Search</v>
      </c>
    </row>
    <row r="3922" spans="1:11">
      <c r="A3922" t="s">
        <v>4670</v>
      </c>
      <c r="B3922" t="s">
        <v>1092</v>
      </c>
      <c r="C3922" t="s">
        <v>9567</v>
      </c>
      <c r="D3922" t="s">
        <v>12614</v>
      </c>
      <c r="E3922" t="s">
        <v>18516</v>
      </c>
      <c r="F3922" t="s">
        <v>18517</v>
      </c>
      <c r="G3922" t="s">
        <v>19253</v>
      </c>
      <c r="H3922" t="s">
        <v>19267</v>
      </c>
      <c r="I3922" t="s">
        <v>18789</v>
      </c>
      <c r="K3922" t="str">
        <f>HYPERLINK("http://tuberculist.epfl.ch/quicksearch.php?gene+name=Rv3812&amp;submit=Search")</f>
        <v>http://tuberculist.epfl.ch/quicksearch.php?gene+name=Rv3812&amp;submit=Search</v>
      </c>
    </row>
    <row r="3923" spans="1:11">
      <c r="A3923" t="s">
        <v>2696</v>
      </c>
      <c r="B3923" t="s">
        <v>2696</v>
      </c>
      <c r="C3923" t="s">
        <v>9567</v>
      </c>
      <c r="D3923" t="s">
        <v>9578</v>
      </c>
      <c r="E3923" t="s">
        <v>9665</v>
      </c>
      <c r="F3923" t="s">
        <v>18518</v>
      </c>
      <c r="G3923" t="s">
        <v>19210</v>
      </c>
      <c r="H3923" t="s">
        <v>19192</v>
      </c>
      <c r="I3923" t="s">
        <v>18780</v>
      </c>
      <c r="K3923" t="str">
        <f>HYPERLINK("http://tuberculist.epfl.ch/quicksearch.php?gene+name=Rv3813c&amp;submit=Search")</f>
        <v>http://tuberculist.epfl.ch/quicksearch.php?gene+name=Rv3813c&amp;submit=Search</v>
      </c>
    </row>
    <row r="3924" spans="1:11">
      <c r="A3924" t="s">
        <v>2477</v>
      </c>
      <c r="B3924" t="s">
        <v>2477</v>
      </c>
      <c r="C3924" t="s">
        <v>9567</v>
      </c>
      <c r="D3924" t="s">
        <v>9682</v>
      </c>
      <c r="E3924" t="s">
        <v>18519</v>
      </c>
      <c r="F3924" t="s">
        <v>18520</v>
      </c>
      <c r="G3924" t="s">
        <v>19195</v>
      </c>
      <c r="H3924" t="s">
        <v>19207</v>
      </c>
      <c r="I3924" t="s">
        <v>18780</v>
      </c>
      <c r="K3924" t="str">
        <f>HYPERLINK("http://tuberculist.epfl.ch/quicksearch.php?gene+name=Rv3814c&amp;submit=Search")</f>
        <v>http://tuberculist.epfl.ch/quicksearch.php?gene+name=Rv3814c&amp;submit=Search</v>
      </c>
    </row>
    <row r="3925" spans="1:11">
      <c r="A3925" t="s">
        <v>2787</v>
      </c>
      <c r="B3925" t="s">
        <v>2787</v>
      </c>
      <c r="C3925" t="s">
        <v>9567</v>
      </c>
      <c r="D3925" t="s">
        <v>9682</v>
      </c>
      <c r="E3925" t="s">
        <v>18519</v>
      </c>
      <c r="F3925" t="s">
        <v>18521</v>
      </c>
      <c r="G3925" t="s">
        <v>19195</v>
      </c>
      <c r="H3925" t="s">
        <v>19213</v>
      </c>
      <c r="I3925" t="s">
        <v>18780</v>
      </c>
      <c r="K3925" t="str">
        <f>HYPERLINK("http://tuberculist.epfl.ch/quicksearch.php?gene+name=Rv3815c&amp;submit=Search")</f>
        <v>http://tuberculist.epfl.ch/quicksearch.php?gene+name=Rv3815c&amp;submit=Search</v>
      </c>
    </row>
    <row r="3926" spans="1:11">
      <c r="A3926" t="s">
        <v>2556</v>
      </c>
      <c r="B3926" t="s">
        <v>2556</v>
      </c>
      <c r="C3926" t="s">
        <v>9567</v>
      </c>
      <c r="D3926" t="s">
        <v>9682</v>
      </c>
      <c r="E3926" t="s">
        <v>18519</v>
      </c>
      <c r="F3926" t="s">
        <v>18522</v>
      </c>
      <c r="G3926" t="s">
        <v>19195</v>
      </c>
      <c r="H3926" t="s">
        <v>20149</v>
      </c>
      <c r="I3926" t="s">
        <v>18818</v>
      </c>
      <c r="K3926" t="str">
        <f>HYPERLINK("http://tuberculist.epfl.ch/quicksearch.php?gene+name=Rv3816c&amp;submit=Search")</f>
        <v>http://tuberculist.epfl.ch/quicksearch.php?gene+name=Rv3816c&amp;submit=Search</v>
      </c>
    </row>
    <row r="3927" spans="1:11">
      <c r="A3927" t="s">
        <v>18523</v>
      </c>
      <c r="B3927" t="s">
        <v>18523</v>
      </c>
      <c r="C3927" t="s">
        <v>9567</v>
      </c>
      <c r="D3927" t="s">
        <v>18524</v>
      </c>
      <c r="E3927" t="s">
        <v>18525</v>
      </c>
      <c r="F3927" t="s">
        <v>18526</v>
      </c>
      <c r="G3927" t="s">
        <v>19195</v>
      </c>
      <c r="H3927" t="s">
        <v>19214</v>
      </c>
      <c r="I3927" t="s">
        <v>18780</v>
      </c>
      <c r="K3927" t="str">
        <f>HYPERLINK("http://tuberculist.epfl.ch/quicksearch.php?gene+name=Rv3817&amp;submit=Search")</f>
        <v>http://tuberculist.epfl.ch/quicksearch.php?gene+name=Rv3817&amp;submit=Search</v>
      </c>
    </row>
    <row r="3928" spans="1:11">
      <c r="A3928" t="s">
        <v>884</v>
      </c>
      <c r="B3928" t="s">
        <v>884</v>
      </c>
      <c r="C3928" t="s">
        <v>9567</v>
      </c>
      <c r="D3928" t="s">
        <v>9587</v>
      </c>
      <c r="E3928" t="s">
        <v>9768</v>
      </c>
      <c r="F3928" t="s">
        <v>18527</v>
      </c>
      <c r="G3928" t="s">
        <v>19210</v>
      </c>
      <c r="H3928" t="s">
        <v>19233</v>
      </c>
      <c r="I3928" t="s">
        <v>18788</v>
      </c>
      <c r="K3928" t="str">
        <f>HYPERLINK("http://tuberculist.epfl.ch/quicksearch.php?gene+name=Rv3818&amp;submit=Search")</f>
        <v>http://tuberculist.epfl.ch/quicksearch.php?gene+name=Rv3818&amp;submit=Search</v>
      </c>
    </row>
    <row r="3929" spans="1:11">
      <c r="A3929" t="s">
        <v>1178</v>
      </c>
      <c r="B3929" t="s">
        <v>1178</v>
      </c>
      <c r="C3929" t="s">
        <v>9567</v>
      </c>
      <c r="D3929" t="s">
        <v>9587</v>
      </c>
      <c r="E3929" t="s">
        <v>9768</v>
      </c>
      <c r="F3929" t="s">
        <v>18528</v>
      </c>
      <c r="G3929" t="s">
        <v>19212</v>
      </c>
      <c r="H3929" t="s">
        <v>19324</v>
      </c>
      <c r="I3929" t="s">
        <v>18780</v>
      </c>
      <c r="K3929" t="str">
        <f>HYPERLINK("http://tuberculist.epfl.ch/quicksearch.php?gene+name=Rv3819&amp;submit=Search")</f>
        <v>http://tuberculist.epfl.ch/quicksearch.php?gene+name=Rv3819&amp;submit=Search</v>
      </c>
    </row>
    <row r="3930" spans="1:11">
      <c r="A3930" t="s">
        <v>6177</v>
      </c>
      <c r="B3930" t="s">
        <v>1848</v>
      </c>
      <c r="C3930" t="s">
        <v>9567</v>
      </c>
      <c r="D3930" t="s">
        <v>18529</v>
      </c>
      <c r="E3930" t="s">
        <v>18530</v>
      </c>
      <c r="F3930" t="s">
        <v>18531</v>
      </c>
      <c r="G3930" t="s">
        <v>19219</v>
      </c>
      <c r="H3930" t="s">
        <v>19334</v>
      </c>
      <c r="I3930" t="s">
        <v>19153</v>
      </c>
      <c r="K3930" t="str">
        <f>HYPERLINK("http://tuberculist.epfl.ch/quicksearch.php?gene+name=Rv3820c&amp;submit=Search")</f>
        <v>http://tuberculist.epfl.ch/quicksearch.php?gene+name=Rv3820c&amp;submit=Search</v>
      </c>
    </row>
    <row r="3931" spans="1:11">
      <c r="A3931" t="s">
        <v>1358</v>
      </c>
      <c r="B3931" t="s">
        <v>1358</v>
      </c>
      <c r="C3931" t="s">
        <v>9567</v>
      </c>
      <c r="D3931" t="s">
        <v>9587</v>
      </c>
      <c r="E3931" t="s">
        <v>9668</v>
      </c>
      <c r="F3931" t="s">
        <v>18532</v>
      </c>
      <c r="G3931" t="s">
        <v>19188</v>
      </c>
      <c r="I3931" t="s">
        <v>18780</v>
      </c>
      <c r="K3931" t="str">
        <f>HYPERLINK("http://tuberculist.epfl.ch/quicksearch.php?gene+name=Rv3821&amp;submit=Search")</f>
        <v>http://tuberculist.epfl.ch/quicksearch.php?gene+name=Rv3821&amp;submit=Search</v>
      </c>
    </row>
    <row r="3932" spans="1:11">
      <c r="A3932" t="s">
        <v>341</v>
      </c>
      <c r="B3932" t="s">
        <v>341</v>
      </c>
      <c r="C3932" t="s">
        <v>9567</v>
      </c>
      <c r="D3932" t="s">
        <v>9578</v>
      </c>
      <c r="E3932" t="s">
        <v>9579</v>
      </c>
      <c r="F3932" t="s">
        <v>18533</v>
      </c>
      <c r="G3932" t="s">
        <v>19212</v>
      </c>
      <c r="H3932" t="s">
        <v>19213</v>
      </c>
      <c r="I3932" t="s">
        <v>18780</v>
      </c>
      <c r="K3932" t="str">
        <f>HYPERLINK("http://tuberculist.epfl.ch/quicksearch.php?gene+name=Rv3822&amp;submit=Search")</f>
        <v>http://tuberculist.epfl.ch/quicksearch.php?gene+name=Rv3822&amp;submit=Search</v>
      </c>
    </row>
    <row r="3933" spans="1:11">
      <c r="A3933" t="s">
        <v>9117</v>
      </c>
      <c r="B3933" t="s">
        <v>3287</v>
      </c>
      <c r="C3933" t="s">
        <v>9567</v>
      </c>
      <c r="D3933" t="s">
        <v>18534</v>
      </c>
      <c r="E3933" t="s">
        <v>18535</v>
      </c>
      <c r="F3933" t="s">
        <v>18536</v>
      </c>
      <c r="G3933" t="s">
        <v>19188</v>
      </c>
      <c r="H3933" t="s">
        <v>19236</v>
      </c>
      <c r="I3933" t="s">
        <v>18795</v>
      </c>
      <c r="K3933" t="str">
        <f>HYPERLINK("http://tuberculist.epfl.ch/quicksearch.php?gene+name=Rv3823c&amp;submit=Search")</f>
        <v>http://tuberculist.epfl.ch/quicksearch.php?gene+name=Rv3823c&amp;submit=Search</v>
      </c>
    </row>
    <row r="3934" spans="1:11">
      <c r="A3934" t="s">
        <v>4840</v>
      </c>
      <c r="B3934" t="s">
        <v>1179</v>
      </c>
      <c r="C3934" t="s">
        <v>9567</v>
      </c>
      <c r="D3934" t="s">
        <v>18529</v>
      </c>
      <c r="E3934" t="s">
        <v>18537</v>
      </c>
      <c r="F3934" t="s">
        <v>18538</v>
      </c>
      <c r="G3934" t="s">
        <v>19219</v>
      </c>
      <c r="H3934" t="s">
        <v>19254</v>
      </c>
      <c r="I3934" t="s">
        <v>19154</v>
      </c>
      <c r="J3934" t="s">
        <v>18775</v>
      </c>
      <c r="K3934" t="str">
        <f>HYPERLINK("http://tuberculist.epfl.ch/quicksearch.php?gene+name=Rv3824c&amp;submit=Search")</f>
        <v>http://tuberculist.epfl.ch/quicksearch.php?gene+name=Rv3824c&amp;submit=Search</v>
      </c>
    </row>
    <row r="3935" spans="1:11">
      <c r="A3935" t="s">
        <v>73</v>
      </c>
      <c r="B3935" t="s">
        <v>72</v>
      </c>
      <c r="C3935" t="s">
        <v>9567</v>
      </c>
      <c r="D3935" t="s">
        <v>18539</v>
      </c>
      <c r="E3935" t="s">
        <v>18540</v>
      </c>
      <c r="F3935" t="s">
        <v>18541</v>
      </c>
      <c r="G3935" t="s">
        <v>19219</v>
      </c>
      <c r="H3935" t="s">
        <v>19726</v>
      </c>
      <c r="I3935" t="s">
        <v>18836</v>
      </c>
      <c r="J3935" t="s">
        <v>18775</v>
      </c>
      <c r="K3935" t="str">
        <f>HYPERLINK("http://tuberculist.epfl.ch/quicksearch.php?gene+name=Rv3825c&amp;submit=Search")</f>
        <v>http://tuberculist.epfl.ch/quicksearch.php?gene+name=Rv3825c&amp;submit=Search</v>
      </c>
    </row>
    <row r="3936" spans="1:11">
      <c r="A3936" t="s">
        <v>5209</v>
      </c>
      <c r="B3936" t="s">
        <v>1354</v>
      </c>
      <c r="C3936" t="s">
        <v>9567</v>
      </c>
      <c r="D3936" t="s">
        <v>9662</v>
      </c>
      <c r="E3936" t="s">
        <v>18542</v>
      </c>
      <c r="F3936" t="s">
        <v>18543</v>
      </c>
      <c r="G3936" t="s">
        <v>19219</v>
      </c>
      <c r="H3936" t="s">
        <v>19435</v>
      </c>
      <c r="I3936" t="s">
        <v>19155</v>
      </c>
      <c r="J3936" t="s">
        <v>18873</v>
      </c>
      <c r="K3936" t="str">
        <f>HYPERLINK("http://tuberculist.epfl.ch/quicksearch.php?gene+name=Rv3826&amp;submit=Search")</f>
        <v>http://tuberculist.epfl.ch/quicksearch.php?gene+name=Rv3826&amp;submit=Search</v>
      </c>
    </row>
    <row r="3937" spans="1:11">
      <c r="A3937" t="s">
        <v>2237</v>
      </c>
      <c r="B3937" t="s">
        <v>2237</v>
      </c>
      <c r="C3937" t="s">
        <v>9567</v>
      </c>
      <c r="D3937" t="s">
        <v>18544</v>
      </c>
      <c r="E3937" t="s">
        <v>11734</v>
      </c>
      <c r="F3937" t="s">
        <v>18545</v>
      </c>
      <c r="G3937" t="s">
        <v>19217</v>
      </c>
      <c r="H3937" t="s">
        <v>19207</v>
      </c>
      <c r="I3937" t="s">
        <v>18789</v>
      </c>
      <c r="K3937" t="str">
        <f>HYPERLINK("http://tuberculist.epfl.ch/quicksearch.php?gene+name=Rv3827c&amp;submit=Search")</f>
        <v>http://tuberculist.epfl.ch/quicksearch.php?gene+name=Rv3827c&amp;submit=Search</v>
      </c>
    </row>
    <row r="3938" spans="1:11">
      <c r="A3938" t="s">
        <v>18546</v>
      </c>
      <c r="B3938" t="s">
        <v>18546</v>
      </c>
      <c r="C3938" t="s">
        <v>9567</v>
      </c>
      <c r="D3938" t="s">
        <v>10963</v>
      </c>
      <c r="E3938" t="s">
        <v>10964</v>
      </c>
      <c r="F3938" t="s">
        <v>18547</v>
      </c>
      <c r="G3938" t="s">
        <v>19217</v>
      </c>
      <c r="I3938" t="s">
        <v>18789</v>
      </c>
      <c r="K3938" t="str">
        <f>HYPERLINK("http://tuberculist.epfl.ch/quicksearch.php?gene+name=Rv3828c&amp;submit=Search")</f>
        <v>http://tuberculist.epfl.ch/quicksearch.php?gene+name=Rv3828c&amp;submit=Search</v>
      </c>
    </row>
    <row r="3939" spans="1:11">
      <c r="A3939" t="s">
        <v>873</v>
      </c>
      <c r="B3939" t="s">
        <v>873</v>
      </c>
      <c r="C3939" t="s">
        <v>9567</v>
      </c>
      <c r="D3939" t="s">
        <v>9682</v>
      </c>
      <c r="E3939" t="s">
        <v>11202</v>
      </c>
      <c r="F3939" t="s">
        <v>18548</v>
      </c>
      <c r="G3939" t="s">
        <v>19195</v>
      </c>
      <c r="H3939" t="s">
        <v>19710</v>
      </c>
      <c r="I3939" t="s">
        <v>18793</v>
      </c>
      <c r="K3939" t="str">
        <f>HYPERLINK("http://tuberculist.epfl.ch/quicksearch.php?gene+name=Rv3829c&amp;submit=Search")</f>
        <v>http://tuberculist.epfl.ch/quicksearch.php?gene+name=Rv3829c&amp;submit=Search</v>
      </c>
    </row>
    <row r="3940" spans="1:11">
      <c r="A3940" t="s">
        <v>18549</v>
      </c>
      <c r="B3940" t="s">
        <v>18549</v>
      </c>
      <c r="C3940" t="s">
        <v>9567</v>
      </c>
      <c r="D3940" t="s">
        <v>9629</v>
      </c>
      <c r="E3940" t="s">
        <v>17935</v>
      </c>
      <c r="F3940" t="s">
        <v>18550</v>
      </c>
      <c r="G3940" t="s">
        <v>19197</v>
      </c>
      <c r="I3940" t="s">
        <v>18780</v>
      </c>
      <c r="K3940" t="str">
        <f>HYPERLINK("http://tuberculist.epfl.ch/quicksearch.php?gene+name=Rv3830c&amp;submit=Search")</f>
        <v>http://tuberculist.epfl.ch/quicksearch.php?gene+name=Rv3830c&amp;submit=Search</v>
      </c>
    </row>
    <row r="3941" spans="1:11">
      <c r="A3941" t="s">
        <v>2356</v>
      </c>
      <c r="B3941" t="s">
        <v>2356</v>
      </c>
      <c r="C3941" t="s">
        <v>9567</v>
      </c>
      <c r="D3941" t="s">
        <v>9587</v>
      </c>
      <c r="E3941" t="s">
        <v>9713</v>
      </c>
      <c r="F3941" t="s">
        <v>18551</v>
      </c>
      <c r="G3941" t="s">
        <v>19216</v>
      </c>
      <c r="I3941" t="s">
        <v>18780</v>
      </c>
      <c r="K3941" t="str">
        <f>HYPERLINK("http://tuberculist.epfl.ch/quicksearch.php?gene+name=Rv3831&amp;submit=Search")</f>
        <v>http://tuberculist.epfl.ch/quicksearch.php?gene+name=Rv3831&amp;submit=Search</v>
      </c>
    </row>
    <row r="3942" spans="1:11">
      <c r="A3942" t="s">
        <v>18552</v>
      </c>
      <c r="B3942" t="s">
        <v>18552</v>
      </c>
      <c r="C3942" t="s">
        <v>9567</v>
      </c>
      <c r="D3942" t="s">
        <v>9578</v>
      </c>
      <c r="E3942" t="s">
        <v>9665</v>
      </c>
      <c r="F3942" t="s">
        <v>18553</v>
      </c>
      <c r="G3942" t="s">
        <v>19212</v>
      </c>
      <c r="H3942" t="s">
        <v>19250</v>
      </c>
      <c r="I3942" t="s">
        <v>18780</v>
      </c>
      <c r="K3942" t="str">
        <f>HYPERLINK("http://tuberculist.epfl.ch/quicksearch.php?gene+name=Rv3832c&amp;submit=Search")</f>
        <v>http://tuberculist.epfl.ch/quicksearch.php?gene+name=Rv3832c&amp;submit=Search</v>
      </c>
    </row>
    <row r="3943" spans="1:11">
      <c r="A3943" t="s">
        <v>3371</v>
      </c>
      <c r="B3943" t="s">
        <v>3371</v>
      </c>
      <c r="C3943" t="s">
        <v>9567</v>
      </c>
      <c r="D3943" t="s">
        <v>17415</v>
      </c>
      <c r="E3943" t="s">
        <v>18554</v>
      </c>
      <c r="F3943" t="s">
        <v>18555</v>
      </c>
      <c r="G3943" t="s">
        <v>19197</v>
      </c>
      <c r="I3943" t="s">
        <v>18780</v>
      </c>
      <c r="K3943" t="str">
        <f>HYPERLINK("http://tuberculist.epfl.ch/quicksearch.php?gene+name=Rv3833&amp;submit=Search")</f>
        <v>http://tuberculist.epfl.ch/quicksearch.php?gene+name=Rv3833&amp;submit=Search</v>
      </c>
    </row>
    <row r="3944" spans="1:11">
      <c r="A3944" t="s">
        <v>8149</v>
      </c>
      <c r="B3944" t="s">
        <v>2829</v>
      </c>
      <c r="C3944" t="s">
        <v>9567</v>
      </c>
      <c r="D3944" t="s">
        <v>18556</v>
      </c>
      <c r="E3944" t="s">
        <v>18557</v>
      </c>
      <c r="F3944" t="s">
        <v>18558</v>
      </c>
      <c r="G3944" t="s">
        <v>19181</v>
      </c>
      <c r="H3944" t="s">
        <v>19196</v>
      </c>
      <c r="I3944" t="s">
        <v>18774</v>
      </c>
      <c r="K3944" t="str">
        <f>HYPERLINK("http://tuberculist.epfl.ch/quicksearch.php?gene+name=Rv3834c&amp;submit=Search")</f>
        <v>http://tuberculist.epfl.ch/quicksearch.php?gene+name=Rv3834c&amp;submit=Search</v>
      </c>
    </row>
    <row r="3945" spans="1:11">
      <c r="A3945" t="s">
        <v>1785</v>
      </c>
      <c r="B3945" t="s">
        <v>1785</v>
      </c>
      <c r="C3945" t="s">
        <v>9567</v>
      </c>
      <c r="D3945" t="s">
        <v>9587</v>
      </c>
      <c r="E3945" t="s">
        <v>11913</v>
      </c>
      <c r="F3945" t="s">
        <v>18559</v>
      </c>
      <c r="G3945" t="s">
        <v>19188</v>
      </c>
      <c r="H3945" t="s">
        <v>20150</v>
      </c>
      <c r="I3945" t="s">
        <v>18773</v>
      </c>
      <c r="K3945" t="str">
        <f>HYPERLINK("http://tuberculist.epfl.ch/quicksearch.php?gene+name=Rv3835&amp;submit=Search")</f>
        <v>http://tuberculist.epfl.ch/quicksearch.php?gene+name=Rv3835&amp;submit=Search</v>
      </c>
    </row>
    <row r="3946" spans="1:11">
      <c r="A3946" t="s">
        <v>3218</v>
      </c>
      <c r="B3946" t="s">
        <v>3218</v>
      </c>
      <c r="C3946" t="s">
        <v>9567</v>
      </c>
      <c r="D3946" t="s">
        <v>9578</v>
      </c>
      <c r="E3946" t="s">
        <v>9579</v>
      </c>
      <c r="F3946" t="s">
        <v>18560</v>
      </c>
      <c r="G3946" t="s">
        <v>19212</v>
      </c>
      <c r="I3946" t="s">
        <v>18780</v>
      </c>
      <c r="K3946" t="str">
        <f>HYPERLINK("http://tuberculist.epfl.ch/quicksearch.php?gene+name=Rv3836&amp;submit=Search")</f>
        <v>http://tuberculist.epfl.ch/quicksearch.php?gene+name=Rv3836&amp;submit=Search</v>
      </c>
    </row>
    <row r="3947" spans="1:11">
      <c r="A3947" t="s">
        <v>800</v>
      </c>
      <c r="B3947" t="s">
        <v>800</v>
      </c>
      <c r="C3947" t="s">
        <v>9567</v>
      </c>
      <c r="D3947" t="s">
        <v>18561</v>
      </c>
      <c r="E3947" t="s">
        <v>18562</v>
      </c>
      <c r="F3947" t="s">
        <v>18563</v>
      </c>
      <c r="G3947" t="s">
        <v>19195</v>
      </c>
      <c r="H3947" t="s">
        <v>19213</v>
      </c>
      <c r="I3947" t="s">
        <v>18780</v>
      </c>
      <c r="K3947" t="str">
        <f>HYPERLINK("http://tuberculist.epfl.ch/quicksearch.php?gene+name=Rv3837c&amp;submit=Search")</f>
        <v>http://tuberculist.epfl.ch/quicksearch.php?gene+name=Rv3837c&amp;submit=Search</v>
      </c>
    </row>
    <row r="3948" spans="1:11">
      <c r="A3948" t="s">
        <v>245</v>
      </c>
      <c r="B3948" t="s">
        <v>244</v>
      </c>
      <c r="C3948" t="s">
        <v>9567</v>
      </c>
      <c r="D3948" t="s">
        <v>18564</v>
      </c>
      <c r="E3948" t="s">
        <v>18565</v>
      </c>
      <c r="F3948" t="s">
        <v>18566</v>
      </c>
      <c r="G3948" t="s">
        <v>19195</v>
      </c>
      <c r="H3948" t="s">
        <v>19233</v>
      </c>
      <c r="I3948" t="s">
        <v>18776</v>
      </c>
      <c r="J3948" t="s">
        <v>18856</v>
      </c>
      <c r="K3948" t="str">
        <f>HYPERLINK("http://tuberculist.epfl.ch/quicksearch.php?gene+name=Rv3838c&amp;submit=Search")</f>
        <v>http://tuberculist.epfl.ch/quicksearch.php?gene+name=Rv3838c&amp;submit=Search</v>
      </c>
    </row>
    <row r="3949" spans="1:11">
      <c r="A3949" t="s">
        <v>276</v>
      </c>
      <c r="B3949" t="s">
        <v>276</v>
      </c>
      <c r="C3949" t="s">
        <v>9567</v>
      </c>
      <c r="D3949" t="s">
        <v>9578</v>
      </c>
      <c r="E3949" t="s">
        <v>9579</v>
      </c>
      <c r="F3949" t="s">
        <v>18567</v>
      </c>
      <c r="G3949" t="s">
        <v>19204</v>
      </c>
      <c r="I3949" t="s">
        <v>18789</v>
      </c>
      <c r="J3949" t="s">
        <v>18856</v>
      </c>
      <c r="K3949" t="str">
        <f>HYPERLINK("http://tuberculist.epfl.ch/quicksearch.php?gene+name=Rv3839&amp;submit=Search")</f>
        <v>http://tuberculist.epfl.ch/quicksearch.php?gene+name=Rv3839&amp;submit=Search</v>
      </c>
    </row>
    <row r="3950" spans="1:11">
      <c r="A3950" t="s">
        <v>280</v>
      </c>
      <c r="B3950" t="s">
        <v>280</v>
      </c>
      <c r="C3950" t="s">
        <v>9567</v>
      </c>
      <c r="D3950" t="s">
        <v>18568</v>
      </c>
      <c r="E3950" t="s">
        <v>9633</v>
      </c>
      <c r="F3950" t="s">
        <v>18569</v>
      </c>
      <c r="G3950" t="s">
        <v>19197</v>
      </c>
      <c r="I3950" t="s">
        <v>18780</v>
      </c>
      <c r="K3950" t="str">
        <f>HYPERLINK("http://tuberculist.epfl.ch/quicksearch.php?gene+name=Rv3840&amp;submit=Search")</f>
        <v>http://tuberculist.epfl.ch/quicksearch.php?gene+name=Rv3840&amp;submit=Search</v>
      </c>
    </row>
    <row r="3951" spans="1:11">
      <c r="A3951" t="s">
        <v>90</v>
      </c>
      <c r="B3951" t="s">
        <v>89</v>
      </c>
      <c r="C3951" t="s">
        <v>9567</v>
      </c>
      <c r="D3951" t="s">
        <v>18570</v>
      </c>
      <c r="E3951" t="s">
        <v>18571</v>
      </c>
      <c r="F3951" t="s">
        <v>18572</v>
      </c>
      <c r="G3951" t="s">
        <v>19195</v>
      </c>
      <c r="H3951" t="s">
        <v>20151</v>
      </c>
      <c r="I3951" t="s">
        <v>18779</v>
      </c>
      <c r="J3951" t="s">
        <v>18856</v>
      </c>
      <c r="K3951" t="str">
        <f>HYPERLINK("http://tuberculist.epfl.ch/quicksearch.php?gene+name=Rv3841&amp;submit=Search")</f>
        <v>http://tuberculist.epfl.ch/quicksearch.php?gene+name=Rv3841&amp;submit=Search</v>
      </c>
    </row>
    <row r="3952" spans="1:11">
      <c r="A3952" t="s">
        <v>4239</v>
      </c>
      <c r="B3952" t="s">
        <v>879</v>
      </c>
      <c r="C3952" t="s">
        <v>9567</v>
      </c>
      <c r="D3952" t="s">
        <v>10302</v>
      </c>
      <c r="E3952" t="s">
        <v>18573</v>
      </c>
      <c r="F3952" t="s">
        <v>18574</v>
      </c>
      <c r="G3952" t="s">
        <v>19195</v>
      </c>
      <c r="H3952" t="s">
        <v>19192</v>
      </c>
      <c r="I3952" t="s">
        <v>18786</v>
      </c>
      <c r="K3952" t="str">
        <f>HYPERLINK("http://tuberculist.epfl.ch/quicksearch.php?gene+name=Rv3842c&amp;submit=Search")</f>
        <v>http://tuberculist.epfl.ch/quicksearch.php?gene+name=Rv3842c&amp;submit=Search</v>
      </c>
    </row>
    <row r="3953" spans="1:11">
      <c r="A3953" t="s">
        <v>1148</v>
      </c>
      <c r="B3953" t="s">
        <v>1148</v>
      </c>
      <c r="C3953" t="s">
        <v>9567</v>
      </c>
      <c r="D3953" t="s">
        <v>9587</v>
      </c>
      <c r="E3953" t="s">
        <v>9597</v>
      </c>
      <c r="F3953" t="s">
        <v>18575</v>
      </c>
      <c r="G3953" t="s">
        <v>19188</v>
      </c>
      <c r="I3953" t="s">
        <v>18779</v>
      </c>
      <c r="K3953" t="str">
        <f>HYPERLINK("http://tuberculist.epfl.ch/quicksearch.php?gene+name=Rv3843c&amp;submit=Search")</f>
        <v>http://tuberculist.epfl.ch/quicksearch.php?gene+name=Rv3843c&amp;submit=Search</v>
      </c>
    </row>
    <row r="3954" spans="1:11">
      <c r="A3954" t="s">
        <v>18576</v>
      </c>
      <c r="B3954" t="s">
        <v>18576</v>
      </c>
      <c r="C3954" t="s">
        <v>9567</v>
      </c>
      <c r="D3954" t="s">
        <v>18135</v>
      </c>
      <c r="E3954" t="s">
        <v>11734</v>
      </c>
      <c r="F3954" t="s">
        <v>18577</v>
      </c>
      <c r="G3954" t="s">
        <v>19217</v>
      </c>
      <c r="I3954" t="s">
        <v>18773</v>
      </c>
      <c r="K3954" t="str">
        <f>HYPERLINK("http://tuberculist.epfl.ch/quicksearch.php?gene+name=Rv3844&amp;submit=Search")</f>
        <v>http://tuberculist.epfl.ch/quicksearch.php?gene+name=Rv3844&amp;submit=Search</v>
      </c>
    </row>
    <row r="3955" spans="1:11">
      <c r="A3955" t="s">
        <v>18578</v>
      </c>
      <c r="B3955" t="s">
        <v>18578</v>
      </c>
      <c r="C3955" t="s">
        <v>9567</v>
      </c>
      <c r="D3955" t="s">
        <v>9587</v>
      </c>
      <c r="E3955" t="s">
        <v>9713</v>
      </c>
      <c r="F3955" t="s">
        <v>18579</v>
      </c>
      <c r="G3955" t="s">
        <v>19212</v>
      </c>
      <c r="H3955" t="s">
        <v>19207</v>
      </c>
      <c r="I3955" t="s">
        <v>18793</v>
      </c>
      <c r="K3955" t="str">
        <f>HYPERLINK("http://tuberculist.epfl.ch/quicksearch.php?gene+name=Rv3845&amp;submit=Search")</f>
        <v>http://tuberculist.epfl.ch/quicksearch.php?gene+name=Rv3845&amp;submit=Search</v>
      </c>
    </row>
    <row r="3956" spans="1:11">
      <c r="A3956" t="s">
        <v>4069</v>
      </c>
      <c r="B3956" t="s">
        <v>792</v>
      </c>
      <c r="C3956" t="s">
        <v>9567</v>
      </c>
      <c r="D3956" t="s">
        <v>18580</v>
      </c>
      <c r="E3956" t="s">
        <v>18581</v>
      </c>
      <c r="F3956" t="s">
        <v>18582</v>
      </c>
      <c r="G3956" t="s">
        <v>19206</v>
      </c>
      <c r="H3956" t="s">
        <v>20152</v>
      </c>
      <c r="I3956" t="s">
        <v>18776</v>
      </c>
      <c r="K3956" t="str">
        <f>HYPERLINK("http://tuberculist.epfl.ch/quicksearch.php?gene+name=Rv3846&amp;submit=Search")</f>
        <v>http://tuberculist.epfl.ch/quicksearch.php?gene+name=Rv3846&amp;submit=Search</v>
      </c>
    </row>
    <row r="3957" spans="1:11">
      <c r="A3957" t="s">
        <v>639</v>
      </c>
      <c r="B3957" t="s">
        <v>639</v>
      </c>
      <c r="C3957" t="s">
        <v>9567</v>
      </c>
      <c r="D3957" t="s">
        <v>9587</v>
      </c>
      <c r="E3957" t="s">
        <v>9713</v>
      </c>
      <c r="F3957" t="s">
        <v>18583</v>
      </c>
      <c r="G3957" t="s">
        <v>19210</v>
      </c>
      <c r="I3957" t="s">
        <v>18780</v>
      </c>
      <c r="K3957" t="str">
        <f>HYPERLINK("http://tuberculist.epfl.ch/quicksearch.php?gene+name=Rv3847&amp;submit=Search")</f>
        <v>http://tuberculist.epfl.ch/quicksearch.php?gene+name=Rv3847&amp;submit=Search</v>
      </c>
    </row>
    <row r="3958" spans="1:11">
      <c r="A3958" t="s">
        <v>1442</v>
      </c>
      <c r="B3958" t="s">
        <v>1442</v>
      </c>
      <c r="C3958" t="s">
        <v>9567</v>
      </c>
      <c r="D3958" t="s">
        <v>9587</v>
      </c>
      <c r="E3958" t="s">
        <v>9597</v>
      </c>
      <c r="F3958" t="s">
        <v>18584</v>
      </c>
      <c r="G3958" t="s">
        <v>19188</v>
      </c>
      <c r="I3958" t="s">
        <v>18773</v>
      </c>
      <c r="K3958" t="str">
        <f>HYPERLINK("http://tuberculist.epfl.ch/quicksearch.php?gene+name=Rv3848&amp;submit=Search")</f>
        <v>http://tuberculist.epfl.ch/quicksearch.php?gene+name=Rv3848&amp;submit=Search</v>
      </c>
    </row>
    <row r="3959" spans="1:11">
      <c r="A3959" t="s">
        <v>9548</v>
      </c>
      <c r="B3959" t="s">
        <v>344</v>
      </c>
      <c r="C3959" t="s">
        <v>9567</v>
      </c>
      <c r="D3959" t="s">
        <v>18585</v>
      </c>
      <c r="E3959" t="s">
        <v>18586</v>
      </c>
      <c r="F3959" t="s">
        <v>18587</v>
      </c>
      <c r="G3959" t="s">
        <v>19197</v>
      </c>
      <c r="H3959" t="s">
        <v>20153</v>
      </c>
      <c r="I3959" t="s">
        <v>18937</v>
      </c>
      <c r="K3959" t="str">
        <f>HYPERLINK("http://tuberculist.epfl.ch/quicksearch.php?gene+name=Rv3849&amp;submit=Search")</f>
        <v>http://tuberculist.epfl.ch/quicksearch.php?gene+name=Rv3849&amp;submit=Search</v>
      </c>
    </row>
    <row r="3960" spans="1:11">
      <c r="A3960" t="s">
        <v>2485</v>
      </c>
      <c r="B3960" t="s">
        <v>2485</v>
      </c>
      <c r="C3960" t="s">
        <v>9567</v>
      </c>
      <c r="D3960" t="s">
        <v>9578</v>
      </c>
      <c r="E3960" t="s">
        <v>9665</v>
      </c>
      <c r="F3960" t="s">
        <v>18588</v>
      </c>
      <c r="G3960" t="s">
        <v>19210</v>
      </c>
      <c r="H3960" t="s">
        <v>19511</v>
      </c>
      <c r="I3960" t="s">
        <v>18780</v>
      </c>
      <c r="K3960" t="str">
        <f>HYPERLINK("http://tuberculist.epfl.ch/quicksearch.php?gene+name=Rv3850&amp;submit=Search")</f>
        <v>http://tuberculist.epfl.ch/quicksearch.php?gene+name=Rv3850&amp;submit=Search</v>
      </c>
    </row>
    <row r="3961" spans="1:11">
      <c r="A3961" t="s">
        <v>18589</v>
      </c>
      <c r="B3961" t="s">
        <v>18589</v>
      </c>
      <c r="C3961" t="s">
        <v>9567</v>
      </c>
      <c r="D3961" t="s">
        <v>9587</v>
      </c>
      <c r="E3961" t="s">
        <v>9590</v>
      </c>
      <c r="F3961" t="s">
        <v>18590</v>
      </c>
      <c r="G3961" t="s">
        <v>19188</v>
      </c>
      <c r="H3961" t="s">
        <v>19430</v>
      </c>
      <c r="I3961" t="s">
        <v>18779</v>
      </c>
      <c r="K3961" t="str">
        <f>HYPERLINK("http://tuberculist.epfl.ch/quicksearch.php?gene+name=Rv3851&amp;submit=Search")</f>
        <v>http://tuberculist.epfl.ch/quicksearch.php?gene+name=Rv3851&amp;submit=Search</v>
      </c>
    </row>
    <row r="3962" spans="1:11">
      <c r="A3962" t="s">
        <v>5755</v>
      </c>
      <c r="B3962" t="s">
        <v>1636</v>
      </c>
      <c r="C3962" t="s">
        <v>9567</v>
      </c>
      <c r="D3962" t="s">
        <v>9578</v>
      </c>
      <c r="E3962" t="s">
        <v>18591</v>
      </c>
      <c r="F3962" t="s">
        <v>18592</v>
      </c>
      <c r="G3962" t="s">
        <v>19181</v>
      </c>
      <c r="H3962" t="s">
        <v>19189</v>
      </c>
      <c r="I3962" t="s">
        <v>18780</v>
      </c>
      <c r="K3962" t="str">
        <f>HYPERLINK("http://tuberculist.epfl.ch/quicksearch.php?gene+name=Rv3852&amp;submit=Search")</f>
        <v>http://tuberculist.epfl.ch/quicksearch.php?gene+name=Rv3852&amp;submit=Search</v>
      </c>
    </row>
    <row r="3963" spans="1:11">
      <c r="A3963" t="s">
        <v>18593</v>
      </c>
      <c r="B3963" t="s">
        <v>1481</v>
      </c>
      <c r="C3963" t="s">
        <v>9567</v>
      </c>
      <c r="D3963" t="s">
        <v>18594</v>
      </c>
      <c r="E3963" t="s">
        <v>18595</v>
      </c>
      <c r="F3963" t="s">
        <v>18596</v>
      </c>
      <c r="G3963" t="s">
        <v>19197</v>
      </c>
      <c r="H3963" t="s">
        <v>20154</v>
      </c>
      <c r="I3963" t="s">
        <v>18779</v>
      </c>
      <c r="K3963" t="str">
        <f>HYPERLINK("http://tuberculist.epfl.ch/quicksearch.php?gene+name=Rv3853&amp;submit=Search")</f>
        <v>http://tuberculist.epfl.ch/quicksearch.php?gene+name=Rv3853&amp;submit=Search</v>
      </c>
    </row>
    <row r="3964" spans="1:11">
      <c r="A3964" t="s">
        <v>5138</v>
      </c>
      <c r="B3964" t="s">
        <v>1321</v>
      </c>
      <c r="C3964" t="s">
        <v>9567</v>
      </c>
      <c r="D3964" t="s">
        <v>18597</v>
      </c>
      <c r="E3964" t="s">
        <v>18598</v>
      </c>
      <c r="F3964" t="s">
        <v>18599</v>
      </c>
      <c r="G3964" t="s">
        <v>19195</v>
      </c>
      <c r="H3964" t="s">
        <v>19235</v>
      </c>
      <c r="I3964" t="s">
        <v>18789</v>
      </c>
      <c r="K3964" t="str">
        <f>HYPERLINK("http://tuberculist.epfl.ch/quicksearch.php?gene+name=Rv3854c&amp;submit=Search")</f>
        <v>http://tuberculist.epfl.ch/quicksearch.php?gene+name=Rv3854c&amp;submit=Search</v>
      </c>
    </row>
    <row r="3965" spans="1:11">
      <c r="A3965" t="s">
        <v>6218</v>
      </c>
      <c r="B3965" t="s">
        <v>1865</v>
      </c>
      <c r="C3965" t="s">
        <v>9567</v>
      </c>
      <c r="D3965" t="s">
        <v>18600</v>
      </c>
      <c r="E3965" t="s">
        <v>18601</v>
      </c>
      <c r="F3965" t="s">
        <v>18602</v>
      </c>
      <c r="G3965" t="s">
        <v>19197</v>
      </c>
      <c r="H3965" t="s">
        <v>19443</v>
      </c>
      <c r="I3965" t="s">
        <v>18810</v>
      </c>
      <c r="K3965" t="str">
        <f>HYPERLINK("http://tuberculist.epfl.ch/quicksearch.php?gene+name=Rv3855&amp;submit=Search")</f>
        <v>http://tuberculist.epfl.ch/quicksearch.php?gene+name=Rv3855&amp;submit=Search</v>
      </c>
    </row>
    <row r="3966" spans="1:11">
      <c r="A3966" t="s">
        <v>1333</v>
      </c>
      <c r="B3966" t="s">
        <v>1333</v>
      </c>
      <c r="C3966" t="s">
        <v>9567</v>
      </c>
      <c r="D3966" t="s">
        <v>9578</v>
      </c>
      <c r="E3966" t="s">
        <v>9579</v>
      </c>
      <c r="F3966" t="s">
        <v>18603</v>
      </c>
      <c r="G3966" t="s">
        <v>19185</v>
      </c>
      <c r="H3966" t="s">
        <v>19207</v>
      </c>
      <c r="I3966" t="s">
        <v>18780</v>
      </c>
      <c r="K3966" t="str">
        <f>HYPERLINK("http://tuberculist.epfl.ch/quicksearch.php?gene+name=Rv3856c&amp;submit=Search")</f>
        <v>http://tuberculist.epfl.ch/quicksearch.php?gene+name=Rv3856c&amp;submit=Search</v>
      </c>
    </row>
    <row r="3967" spans="1:11">
      <c r="A3967" t="s">
        <v>3404</v>
      </c>
      <c r="B3967" t="s">
        <v>3404</v>
      </c>
      <c r="C3967" t="s">
        <v>9567</v>
      </c>
      <c r="D3967" t="s">
        <v>9587</v>
      </c>
      <c r="E3967" t="s">
        <v>9590</v>
      </c>
      <c r="F3967" t="s">
        <v>18604</v>
      </c>
      <c r="G3967" t="s">
        <v>19188</v>
      </c>
      <c r="I3967" t="s">
        <v>18780</v>
      </c>
      <c r="J3967" t="s">
        <v>18822</v>
      </c>
      <c r="K3967" t="str">
        <f>HYPERLINK("http://tuberculist.epfl.ch/quicksearch.php?gene+name=Rv3857c&amp;submit=Search")</f>
        <v>http://tuberculist.epfl.ch/quicksearch.php?gene+name=Rv3857c&amp;submit=Search</v>
      </c>
    </row>
    <row r="3968" spans="1:11">
      <c r="A3968" t="s">
        <v>7573</v>
      </c>
      <c r="B3968" t="s">
        <v>2540</v>
      </c>
      <c r="C3968" t="s">
        <v>9567</v>
      </c>
      <c r="D3968" t="s">
        <v>18605</v>
      </c>
      <c r="E3968" t="s">
        <v>18606</v>
      </c>
      <c r="F3968" t="s">
        <v>18607</v>
      </c>
      <c r="G3968" t="s">
        <v>19195</v>
      </c>
      <c r="H3968" t="s">
        <v>19746</v>
      </c>
      <c r="I3968" t="s">
        <v>18774</v>
      </c>
      <c r="K3968" t="str">
        <f>HYPERLINK("http://tuberculist.epfl.ch/quicksearch.php?gene+name=Rv3858c&amp;submit=Search")</f>
        <v>http://tuberculist.epfl.ch/quicksearch.php?gene+name=Rv3858c&amp;submit=Search</v>
      </c>
    </row>
    <row r="3969" spans="1:11">
      <c r="A3969" t="s">
        <v>7324</v>
      </c>
      <c r="B3969" t="s">
        <v>2421</v>
      </c>
      <c r="C3969" t="s">
        <v>9567</v>
      </c>
      <c r="D3969" t="s">
        <v>18608</v>
      </c>
      <c r="E3969" t="s">
        <v>18609</v>
      </c>
      <c r="F3969" t="s">
        <v>18610</v>
      </c>
      <c r="G3969" t="s">
        <v>19195</v>
      </c>
      <c r="H3969" t="s">
        <v>20155</v>
      </c>
      <c r="I3969" t="s">
        <v>18791</v>
      </c>
      <c r="K3969" t="str">
        <f>HYPERLINK("http://tuberculist.epfl.ch/quicksearch.php?gene+name=Rv3859c&amp;submit=Search")</f>
        <v>http://tuberculist.epfl.ch/quicksearch.php?gene+name=Rv3859c&amp;submit=Search</v>
      </c>
    </row>
    <row r="3970" spans="1:11">
      <c r="A3970" t="s">
        <v>1731</v>
      </c>
      <c r="B3970" t="s">
        <v>1731</v>
      </c>
      <c r="C3970" t="s">
        <v>9567</v>
      </c>
      <c r="D3970" t="s">
        <v>9578</v>
      </c>
      <c r="E3970" t="s">
        <v>9665</v>
      </c>
      <c r="F3970" t="s">
        <v>18611</v>
      </c>
      <c r="G3970" t="s">
        <v>19212</v>
      </c>
      <c r="H3970" t="s">
        <v>19250</v>
      </c>
      <c r="I3970" t="s">
        <v>18780</v>
      </c>
      <c r="K3970" t="str">
        <f>HYPERLINK("http://tuberculist.epfl.ch/quicksearch.php?gene+name=Rv3860&amp;submit=Search")</f>
        <v>http://tuberculist.epfl.ch/quicksearch.php?gene+name=Rv3860&amp;submit=Search</v>
      </c>
    </row>
    <row r="3971" spans="1:11">
      <c r="A3971" t="s">
        <v>1688</v>
      </c>
      <c r="B3971" t="s">
        <v>1688</v>
      </c>
      <c r="C3971" t="s">
        <v>9567</v>
      </c>
      <c r="D3971" t="s">
        <v>9587</v>
      </c>
      <c r="E3971" t="s">
        <v>9713</v>
      </c>
      <c r="F3971" t="s">
        <v>18612</v>
      </c>
      <c r="G3971" t="s">
        <v>19212</v>
      </c>
      <c r="I3971" t="s">
        <v>18779</v>
      </c>
      <c r="K3971" t="str">
        <f>HYPERLINK("http://tuberculist.epfl.ch/quicksearch.php?gene+name=Rv3861&amp;submit=Search")</f>
        <v>http://tuberculist.epfl.ch/quicksearch.php?gene+name=Rv3861&amp;submit=Search</v>
      </c>
    </row>
    <row r="3972" spans="1:11">
      <c r="A3972" t="s">
        <v>345</v>
      </c>
      <c r="B3972" t="s">
        <v>346</v>
      </c>
      <c r="C3972" t="s">
        <v>9567</v>
      </c>
      <c r="D3972" t="s">
        <v>9629</v>
      </c>
      <c r="E3972" t="s">
        <v>18613</v>
      </c>
      <c r="F3972" t="s">
        <v>18614</v>
      </c>
      <c r="G3972" t="s">
        <v>19197</v>
      </c>
      <c r="I3972" t="s">
        <v>18789</v>
      </c>
      <c r="K3972" t="str">
        <f>HYPERLINK("http://tuberculist.epfl.ch/quicksearch.php?gene+name=Rv3862c&amp;submit=Search")</f>
        <v>http://tuberculist.epfl.ch/quicksearch.php?gene+name=Rv3862c&amp;submit=Search</v>
      </c>
    </row>
    <row r="3973" spans="1:11">
      <c r="A3973" t="s">
        <v>680</v>
      </c>
      <c r="B3973" t="s">
        <v>680</v>
      </c>
      <c r="C3973" t="s">
        <v>9567</v>
      </c>
      <c r="D3973" t="s">
        <v>9587</v>
      </c>
      <c r="E3973" t="s">
        <v>18615</v>
      </c>
      <c r="F3973" t="s">
        <v>18616</v>
      </c>
      <c r="G3973" t="s">
        <v>19208</v>
      </c>
      <c r="H3973" t="s">
        <v>19374</v>
      </c>
      <c r="I3973" t="s">
        <v>18788</v>
      </c>
      <c r="K3973" t="str">
        <f>HYPERLINK("http://tuberculist.epfl.ch/quicksearch.php?gene+name=Rv3863&amp;submit=Search")</f>
        <v>http://tuberculist.epfl.ch/quicksearch.php?gene+name=Rv3863&amp;submit=Search</v>
      </c>
    </row>
    <row r="3974" spans="1:11">
      <c r="A3974" t="s">
        <v>389</v>
      </c>
      <c r="B3974" t="s">
        <v>348</v>
      </c>
      <c r="C3974" t="s">
        <v>9567</v>
      </c>
      <c r="D3974" t="s">
        <v>9578</v>
      </c>
      <c r="E3974" t="s">
        <v>18617</v>
      </c>
      <c r="F3974" t="s">
        <v>18618</v>
      </c>
      <c r="G3974" t="s">
        <v>19188</v>
      </c>
      <c r="H3974" t="s">
        <v>19233</v>
      </c>
      <c r="I3974" t="s">
        <v>19156</v>
      </c>
      <c r="K3974" t="str">
        <f>HYPERLINK("http://tuberculist.epfl.ch/quicksearch.php?gene+name=Rv3864&amp;submit=Search")</f>
        <v>http://tuberculist.epfl.ch/quicksearch.php?gene+name=Rv3864&amp;submit=Search</v>
      </c>
    </row>
    <row r="3975" spans="1:11">
      <c r="A3975" t="s">
        <v>391</v>
      </c>
      <c r="B3975" t="s">
        <v>349</v>
      </c>
      <c r="C3975" t="s">
        <v>9567</v>
      </c>
      <c r="D3975" t="s">
        <v>9578</v>
      </c>
      <c r="E3975" t="s">
        <v>18619</v>
      </c>
      <c r="F3975" t="s">
        <v>18620</v>
      </c>
      <c r="G3975" t="s">
        <v>19188</v>
      </c>
      <c r="H3975" t="s">
        <v>19272</v>
      </c>
      <c r="I3975" t="s">
        <v>18779</v>
      </c>
      <c r="K3975" t="str">
        <f>HYPERLINK("http://tuberculist.epfl.ch/quicksearch.php?gene+name=Rv3865&amp;submit=Search")</f>
        <v>http://tuberculist.epfl.ch/quicksearch.php?gene+name=Rv3865&amp;submit=Search</v>
      </c>
    </row>
    <row r="3976" spans="1:11">
      <c r="A3976" t="s">
        <v>392</v>
      </c>
      <c r="B3976" t="s">
        <v>351</v>
      </c>
      <c r="C3976" t="s">
        <v>9567</v>
      </c>
      <c r="D3976" t="s">
        <v>9578</v>
      </c>
      <c r="E3976" t="s">
        <v>18621</v>
      </c>
      <c r="F3976" t="s">
        <v>18622</v>
      </c>
      <c r="G3976" t="s">
        <v>19188</v>
      </c>
      <c r="H3976" t="s">
        <v>19196</v>
      </c>
      <c r="I3976" t="s">
        <v>18780</v>
      </c>
      <c r="K3976" t="str">
        <f>HYPERLINK("http://tuberculist.epfl.ch/quicksearch.php?gene+name=Rv3866&amp;submit=Search")</f>
        <v>http://tuberculist.epfl.ch/quicksearch.php?gene+name=Rv3866&amp;submit=Search</v>
      </c>
    </row>
    <row r="3977" spans="1:11">
      <c r="A3977" t="s">
        <v>393</v>
      </c>
      <c r="B3977" t="s">
        <v>353</v>
      </c>
      <c r="C3977" t="s">
        <v>9567</v>
      </c>
      <c r="D3977" t="s">
        <v>9578</v>
      </c>
      <c r="E3977" t="s">
        <v>18623</v>
      </c>
      <c r="F3977" t="s">
        <v>18624</v>
      </c>
      <c r="G3977" t="s">
        <v>19188</v>
      </c>
      <c r="H3977" t="s">
        <v>19225</v>
      </c>
      <c r="I3977" t="s">
        <v>18780</v>
      </c>
      <c r="K3977" t="str">
        <f>HYPERLINK("http://tuberculist.epfl.ch/quicksearch.php?gene+name=Rv3867&amp;submit=Search")</f>
        <v>http://tuberculist.epfl.ch/quicksearch.php?gene+name=Rv3867&amp;submit=Search</v>
      </c>
    </row>
    <row r="3978" spans="1:11">
      <c r="A3978" t="s">
        <v>18625</v>
      </c>
      <c r="B3978" t="s">
        <v>664</v>
      </c>
      <c r="C3978" t="s">
        <v>9567</v>
      </c>
      <c r="D3978" t="s">
        <v>9578</v>
      </c>
      <c r="E3978" t="s">
        <v>18626</v>
      </c>
      <c r="F3978" t="s">
        <v>18627</v>
      </c>
      <c r="G3978" t="s">
        <v>19188</v>
      </c>
      <c r="H3978" t="s">
        <v>20156</v>
      </c>
      <c r="I3978" t="s">
        <v>18828</v>
      </c>
      <c r="K3978" t="str">
        <f>HYPERLINK("http://tuberculist.epfl.ch/quicksearch.php?gene+name=Rv3868&amp;submit=Search")</f>
        <v>http://tuberculist.epfl.ch/quicksearch.php?gene+name=Rv3868&amp;submit=Search</v>
      </c>
    </row>
    <row r="3979" spans="1:11">
      <c r="A3979" t="s">
        <v>18628</v>
      </c>
      <c r="B3979" t="s">
        <v>3274</v>
      </c>
      <c r="C3979" t="s">
        <v>9567</v>
      </c>
      <c r="D3979" t="s">
        <v>9587</v>
      </c>
      <c r="E3979" t="s">
        <v>18629</v>
      </c>
      <c r="F3979" t="s">
        <v>18630</v>
      </c>
      <c r="G3979" t="s">
        <v>19188</v>
      </c>
      <c r="H3979" t="s">
        <v>20157</v>
      </c>
      <c r="I3979" t="s">
        <v>18810</v>
      </c>
      <c r="K3979" t="str">
        <f>HYPERLINK("http://tuberculist.epfl.ch/quicksearch.php?gene+name=Rv3869&amp;submit=Search")</f>
        <v>http://tuberculist.epfl.ch/quicksearch.php?gene+name=Rv3869&amp;submit=Search</v>
      </c>
    </row>
    <row r="3980" spans="1:11">
      <c r="A3980" t="s">
        <v>18631</v>
      </c>
      <c r="B3980" t="s">
        <v>1640</v>
      </c>
      <c r="C3980" t="s">
        <v>9567</v>
      </c>
      <c r="D3980" t="s">
        <v>9587</v>
      </c>
      <c r="E3980" t="s">
        <v>18632</v>
      </c>
      <c r="F3980" t="s">
        <v>18633</v>
      </c>
      <c r="G3980" t="s">
        <v>19188</v>
      </c>
      <c r="H3980" t="s">
        <v>19303</v>
      </c>
      <c r="I3980" t="s">
        <v>19157</v>
      </c>
      <c r="K3980" t="str">
        <f>HYPERLINK("http://tuberculist.epfl.ch/quicksearch.php?gene+name=Rv3870&amp;submit=Search")</f>
        <v>http://tuberculist.epfl.ch/quicksearch.php?gene+name=Rv3870&amp;submit=Search</v>
      </c>
    </row>
    <row r="3981" spans="1:11">
      <c r="A3981" t="s">
        <v>18634</v>
      </c>
      <c r="B3981" t="s">
        <v>3128</v>
      </c>
      <c r="C3981" t="s">
        <v>9567</v>
      </c>
      <c r="D3981" t="s">
        <v>9578</v>
      </c>
      <c r="E3981" t="s">
        <v>18635</v>
      </c>
      <c r="F3981" t="s">
        <v>18636</v>
      </c>
      <c r="G3981" t="s">
        <v>19188</v>
      </c>
      <c r="H3981" t="s">
        <v>19250</v>
      </c>
      <c r="I3981" t="s">
        <v>19158</v>
      </c>
      <c r="K3981" t="str">
        <f>HYPERLINK("http://tuberculist.epfl.ch/quicksearch.php?gene+name=Rv3871&amp;submit=Search")</f>
        <v>http://tuberculist.epfl.ch/quicksearch.php?gene+name=Rv3871&amp;submit=Search</v>
      </c>
    </row>
    <row r="3982" spans="1:11">
      <c r="A3982" t="s">
        <v>18637</v>
      </c>
      <c r="B3982" t="s">
        <v>18638</v>
      </c>
      <c r="C3982" t="s">
        <v>9567</v>
      </c>
      <c r="D3982" t="s">
        <v>9578</v>
      </c>
      <c r="E3982" t="s">
        <v>18639</v>
      </c>
      <c r="F3982" t="s">
        <v>18640</v>
      </c>
      <c r="G3982" t="s">
        <v>19262</v>
      </c>
      <c r="H3982" t="s">
        <v>20158</v>
      </c>
      <c r="I3982" t="s">
        <v>19159</v>
      </c>
      <c r="K3982" t="str">
        <f>HYPERLINK("http://tuberculist.epfl.ch/quicksearch.php?gene+name=Rv3872&amp;submit=Search")</f>
        <v>http://tuberculist.epfl.ch/quicksearch.php?gene+name=Rv3872&amp;submit=Search</v>
      </c>
    </row>
    <row r="3983" spans="1:11">
      <c r="A3983" t="s">
        <v>394</v>
      </c>
      <c r="B3983" t="s">
        <v>355</v>
      </c>
      <c r="C3983" t="s">
        <v>9567</v>
      </c>
      <c r="D3983" t="s">
        <v>9578</v>
      </c>
      <c r="E3983" t="s">
        <v>18641</v>
      </c>
      <c r="F3983" t="s">
        <v>18642</v>
      </c>
      <c r="G3983" t="s">
        <v>19262</v>
      </c>
      <c r="H3983" t="s">
        <v>19233</v>
      </c>
      <c r="I3983" t="s">
        <v>19160</v>
      </c>
      <c r="K3983" t="str">
        <f>HYPERLINK("http://tuberculist.epfl.ch/quicksearch.php?gene+name=Rv3873&amp;submit=Search")</f>
        <v>http://tuberculist.epfl.ch/quicksearch.php?gene+name=Rv3873&amp;submit=Search</v>
      </c>
    </row>
    <row r="3984" spans="1:11">
      <c r="A3984" t="s">
        <v>18643</v>
      </c>
      <c r="B3984" t="s">
        <v>18644</v>
      </c>
      <c r="C3984" t="s">
        <v>9567</v>
      </c>
      <c r="D3984" t="s">
        <v>18645</v>
      </c>
      <c r="E3984" t="s">
        <v>18646</v>
      </c>
      <c r="F3984" t="s">
        <v>18647</v>
      </c>
      <c r="G3984" t="s">
        <v>19188</v>
      </c>
      <c r="H3984" t="s">
        <v>20159</v>
      </c>
      <c r="I3984" t="s">
        <v>19161</v>
      </c>
      <c r="J3984" t="s">
        <v>18775</v>
      </c>
      <c r="K3984" t="str">
        <f>HYPERLINK("http://tuberculist.epfl.ch/quicksearch.php?gene+name=Rv3874&amp;submit=Search")</f>
        <v>http://tuberculist.epfl.ch/quicksearch.php?gene+name=Rv3874&amp;submit=Search</v>
      </c>
    </row>
    <row r="3985" spans="1:11">
      <c r="A3985" t="s">
        <v>18648</v>
      </c>
      <c r="B3985" t="s">
        <v>18649</v>
      </c>
      <c r="C3985" t="s">
        <v>9567</v>
      </c>
      <c r="D3985" t="s">
        <v>18650</v>
      </c>
      <c r="E3985" t="s">
        <v>18651</v>
      </c>
      <c r="F3985" t="s">
        <v>18652</v>
      </c>
      <c r="G3985" t="s">
        <v>19188</v>
      </c>
      <c r="H3985" t="s">
        <v>20160</v>
      </c>
      <c r="I3985" t="s">
        <v>19162</v>
      </c>
      <c r="K3985" t="str">
        <f>HYPERLINK("http://tuberculist.epfl.ch/quicksearch.php?gene+name=Rv3875&amp;submit=Search")</f>
        <v>http://tuberculist.epfl.ch/quicksearch.php?gene+name=Rv3875&amp;submit=Search</v>
      </c>
    </row>
    <row r="3986" spans="1:11">
      <c r="A3986" t="s">
        <v>395</v>
      </c>
      <c r="B3986" t="s">
        <v>358</v>
      </c>
      <c r="C3986" t="s">
        <v>9567</v>
      </c>
      <c r="D3986" t="s">
        <v>9578</v>
      </c>
      <c r="E3986" t="s">
        <v>18653</v>
      </c>
      <c r="F3986" t="s">
        <v>18654</v>
      </c>
      <c r="G3986" t="s">
        <v>19188</v>
      </c>
      <c r="H3986" t="s">
        <v>19392</v>
      </c>
      <c r="I3986" t="s">
        <v>19163</v>
      </c>
      <c r="K3986" t="str">
        <f>HYPERLINK("http://tuberculist.epfl.ch/quicksearch.php?gene+name=Rv3876&amp;submit=Search")</f>
        <v>http://tuberculist.epfl.ch/quicksearch.php?gene+name=Rv3876&amp;submit=Search</v>
      </c>
    </row>
    <row r="3987" spans="1:11">
      <c r="A3987" t="s">
        <v>396</v>
      </c>
      <c r="B3987" t="s">
        <v>360</v>
      </c>
      <c r="C3987" t="s">
        <v>9567</v>
      </c>
      <c r="D3987" t="s">
        <v>9587</v>
      </c>
      <c r="E3987" t="s">
        <v>18655</v>
      </c>
      <c r="F3987" t="s">
        <v>18656</v>
      </c>
      <c r="G3987" t="s">
        <v>19188</v>
      </c>
      <c r="H3987" t="s">
        <v>19192</v>
      </c>
      <c r="I3987" t="s">
        <v>19164</v>
      </c>
      <c r="K3987" t="str">
        <f>HYPERLINK("http://tuberculist.epfl.ch/quicksearch.php?gene+name=Rv3877&amp;submit=Search")</f>
        <v>http://tuberculist.epfl.ch/quicksearch.php?gene+name=Rv3877&amp;submit=Search</v>
      </c>
    </row>
    <row r="3988" spans="1:11">
      <c r="A3988" t="s">
        <v>397</v>
      </c>
      <c r="B3988" t="s">
        <v>363</v>
      </c>
      <c r="C3988" t="s">
        <v>9567</v>
      </c>
      <c r="D3988" t="s">
        <v>9578</v>
      </c>
      <c r="E3988" t="s">
        <v>18657</v>
      </c>
      <c r="F3988" t="s">
        <v>18658</v>
      </c>
      <c r="G3988" t="s">
        <v>19188</v>
      </c>
      <c r="H3988" t="s">
        <v>19454</v>
      </c>
      <c r="I3988" t="s">
        <v>18793</v>
      </c>
      <c r="K3988" t="str">
        <f>HYPERLINK("http://tuberculist.epfl.ch/quicksearch.php?gene+name=Rv3878&amp;submit=Search")</f>
        <v>http://tuberculist.epfl.ch/quicksearch.php?gene+name=Rv3878&amp;submit=Search</v>
      </c>
    </row>
    <row r="3989" spans="1:11">
      <c r="A3989" t="s">
        <v>398</v>
      </c>
      <c r="B3989" t="s">
        <v>364</v>
      </c>
      <c r="C3989" t="s">
        <v>9567</v>
      </c>
      <c r="D3989" t="s">
        <v>9587</v>
      </c>
      <c r="E3989" t="s">
        <v>18659</v>
      </c>
      <c r="F3989" t="s">
        <v>18660</v>
      </c>
      <c r="G3989" t="s">
        <v>19188</v>
      </c>
      <c r="H3989" t="s">
        <v>20161</v>
      </c>
      <c r="I3989" t="s">
        <v>18818</v>
      </c>
      <c r="K3989" t="str">
        <f>HYPERLINK("http://tuberculist.epfl.ch/quicksearch.php?gene+name=Rv3879c&amp;submit=Search")</f>
        <v>http://tuberculist.epfl.ch/quicksearch.php?gene+name=Rv3879c&amp;submit=Search</v>
      </c>
    </row>
    <row r="3990" spans="1:11">
      <c r="A3990" t="s">
        <v>399</v>
      </c>
      <c r="B3990" t="s">
        <v>367</v>
      </c>
      <c r="C3990" t="s">
        <v>9567</v>
      </c>
      <c r="D3990" t="s">
        <v>9578</v>
      </c>
      <c r="E3990" t="s">
        <v>18661</v>
      </c>
      <c r="F3990" t="s">
        <v>18662</v>
      </c>
      <c r="G3990" t="s">
        <v>19188</v>
      </c>
      <c r="H3990" t="s">
        <v>19459</v>
      </c>
      <c r="I3990" t="s">
        <v>18780</v>
      </c>
      <c r="K3990" t="str">
        <f>HYPERLINK("http://tuberculist.epfl.ch/quicksearch.php?gene+name=Rv3880c&amp;submit=Search")</f>
        <v>http://tuberculist.epfl.ch/quicksearch.php?gene+name=Rv3880c&amp;submit=Search</v>
      </c>
    </row>
    <row r="3991" spans="1:11">
      <c r="A3991" t="s">
        <v>369</v>
      </c>
      <c r="B3991" t="s">
        <v>370</v>
      </c>
      <c r="C3991" t="s">
        <v>9567</v>
      </c>
      <c r="D3991" t="s">
        <v>18663</v>
      </c>
      <c r="E3991" t="s">
        <v>18664</v>
      </c>
      <c r="F3991" t="s">
        <v>18665</v>
      </c>
      <c r="G3991" t="s">
        <v>19188</v>
      </c>
      <c r="H3991" t="s">
        <v>20162</v>
      </c>
      <c r="I3991" t="s">
        <v>18780</v>
      </c>
      <c r="K3991" t="str">
        <f>HYPERLINK("http://tuberculist.epfl.ch/quicksearch.php?gene+name=Rv3881c&amp;submit=Search")</f>
        <v>http://tuberculist.epfl.ch/quicksearch.php?gene+name=Rv3881c&amp;submit=Search</v>
      </c>
    </row>
    <row r="3992" spans="1:11">
      <c r="A3992" t="s">
        <v>18666</v>
      </c>
      <c r="B3992" t="s">
        <v>2716</v>
      </c>
      <c r="C3992" t="s">
        <v>9567</v>
      </c>
      <c r="D3992" t="s">
        <v>9587</v>
      </c>
      <c r="E3992" t="s">
        <v>18667</v>
      </c>
      <c r="F3992" t="s">
        <v>18668</v>
      </c>
      <c r="G3992" t="s">
        <v>19188</v>
      </c>
      <c r="H3992" t="s">
        <v>19561</v>
      </c>
      <c r="I3992" t="s">
        <v>18810</v>
      </c>
      <c r="K3992" t="str">
        <f>HYPERLINK("http://tuberculist.epfl.ch/quicksearch.php?gene+name=Rv3882c&amp;submit=Search")</f>
        <v>http://tuberculist.epfl.ch/quicksearch.php?gene+name=Rv3882c&amp;submit=Search</v>
      </c>
    </row>
    <row r="3993" spans="1:11">
      <c r="A3993" t="s">
        <v>18669</v>
      </c>
      <c r="B3993" t="s">
        <v>2890</v>
      </c>
      <c r="C3993" t="s">
        <v>9567</v>
      </c>
      <c r="D3993" t="s">
        <v>18670</v>
      </c>
      <c r="E3993" t="s">
        <v>18671</v>
      </c>
      <c r="F3993" t="s">
        <v>18672</v>
      </c>
      <c r="G3993" t="s">
        <v>19195</v>
      </c>
      <c r="H3993" t="s">
        <v>19229</v>
      </c>
      <c r="I3993" t="s">
        <v>19165</v>
      </c>
      <c r="K3993" t="str">
        <f>HYPERLINK("http://tuberculist.epfl.ch/quicksearch.php?gene+name=Rv3883c&amp;submit=Search")</f>
        <v>http://tuberculist.epfl.ch/quicksearch.php?gene+name=Rv3883c&amp;submit=Search</v>
      </c>
    </row>
    <row r="3994" spans="1:11">
      <c r="A3994" t="s">
        <v>18673</v>
      </c>
      <c r="B3994" t="s">
        <v>919</v>
      </c>
      <c r="C3994" t="s">
        <v>9567</v>
      </c>
      <c r="D3994" t="s">
        <v>9578</v>
      </c>
      <c r="E3994" t="s">
        <v>18674</v>
      </c>
      <c r="F3994" t="s">
        <v>18675</v>
      </c>
      <c r="G3994" t="s">
        <v>19188</v>
      </c>
      <c r="I3994" t="s">
        <v>18779</v>
      </c>
      <c r="K3994" t="str">
        <f>HYPERLINK("http://tuberculist.epfl.ch/quicksearch.php?gene+name=Rv3884c&amp;submit=Search")</f>
        <v>http://tuberculist.epfl.ch/quicksearch.php?gene+name=Rv3884c&amp;submit=Search</v>
      </c>
    </row>
    <row r="3995" spans="1:11">
      <c r="A3995" t="s">
        <v>18676</v>
      </c>
      <c r="B3995" t="s">
        <v>3417</v>
      </c>
      <c r="C3995" t="s">
        <v>9567</v>
      </c>
      <c r="D3995" t="s">
        <v>9587</v>
      </c>
      <c r="E3995" t="s">
        <v>18677</v>
      </c>
      <c r="F3995" t="s">
        <v>18678</v>
      </c>
      <c r="G3995" t="s">
        <v>19188</v>
      </c>
      <c r="H3995" t="s">
        <v>19561</v>
      </c>
      <c r="I3995" t="s">
        <v>18792</v>
      </c>
      <c r="K3995" t="str">
        <f>HYPERLINK("http://tuberculist.epfl.ch/quicksearch.php?gene+name=Rv3885c&amp;submit=Search")</f>
        <v>http://tuberculist.epfl.ch/quicksearch.php?gene+name=Rv3885c&amp;submit=Search</v>
      </c>
    </row>
    <row r="3996" spans="1:11">
      <c r="A3996" t="s">
        <v>18679</v>
      </c>
      <c r="B3996" t="s">
        <v>1407</v>
      </c>
      <c r="C3996" t="s">
        <v>9567</v>
      </c>
      <c r="D3996" t="s">
        <v>10250</v>
      </c>
      <c r="E3996" t="s">
        <v>18680</v>
      </c>
      <c r="F3996" t="s">
        <v>18681</v>
      </c>
      <c r="G3996" t="s">
        <v>19195</v>
      </c>
      <c r="H3996" t="s">
        <v>19201</v>
      </c>
      <c r="I3996" t="s">
        <v>18789</v>
      </c>
      <c r="K3996" t="str">
        <f>HYPERLINK("http://tuberculist.epfl.ch/quicksearch.php?gene+name=Rv3886c&amp;submit=Search")</f>
        <v>http://tuberculist.epfl.ch/quicksearch.php?gene+name=Rv3886c&amp;submit=Search</v>
      </c>
    </row>
    <row r="3997" spans="1:11">
      <c r="A3997" t="s">
        <v>18682</v>
      </c>
      <c r="B3997" t="s">
        <v>1110</v>
      </c>
      <c r="C3997" t="s">
        <v>9567</v>
      </c>
      <c r="D3997" t="s">
        <v>9587</v>
      </c>
      <c r="E3997" t="s">
        <v>18683</v>
      </c>
      <c r="F3997" t="s">
        <v>18684</v>
      </c>
      <c r="G3997" t="s">
        <v>19188</v>
      </c>
      <c r="H3997" t="s">
        <v>19211</v>
      </c>
      <c r="I3997" t="s">
        <v>18797</v>
      </c>
      <c r="K3997" t="str">
        <f>HYPERLINK("http://tuberculist.epfl.ch/quicksearch.php?gene+name=Rv3887c&amp;submit=Search")</f>
        <v>http://tuberculist.epfl.ch/quicksearch.php?gene+name=Rv3887c&amp;submit=Search</v>
      </c>
    </row>
    <row r="3998" spans="1:11">
      <c r="A3998" t="s">
        <v>561</v>
      </c>
      <c r="B3998" t="s">
        <v>561</v>
      </c>
      <c r="C3998" t="s">
        <v>9567</v>
      </c>
      <c r="D3998" t="s">
        <v>9587</v>
      </c>
      <c r="E3998" t="s">
        <v>9595</v>
      </c>
      <c r="F3998" t="s">
        <v>18685</v>
      </c>
      <c r="G3998" t="s">
        <v>19188</v>
      </c>
      <c r="H3998" t="s">
        <v>19225</v>
      </c>
      <c r="I3998" t="s">
        <v>18976</v>
      </c>
      <c r="J3998" t="s">
        <v>18844</v>
      </c>
      <c r="K3998" t="str">
        <f>HYPERLINK("http://tuberculist.epfl.ch/quicksearch.php?gene+name=Rv3888c&amp;submit=Search")</f>
        <v>http://tuberculist.epfl.ch/quicksearch.php?gene+name=Rv3888c&amp;submit=Search</v>
      </c>
    </row>
    <row r="3999" spans="1:11">
      <c r="A3999" t="s">
        <v>18686</v>
      </c>
      <c r="B3999" t="s">
        <v>2393</v>
      </c>
      <c r="C3999" t="s">
        <v>9567</v>
      </c>
      <c r="D3999" t="s">
        <v>9587</v>
      </c>
      <c r="E3999" t="s">
        <v>18687</v>
      </c>
      <c r="F3999" t="s">
        <v>18688</v>
      </c>
      <c r="G3999" t="s">
        <v>19188</v>
      </c>
      <c r="I3999" t="s">
        <v>18796</v>
      </c>
      <c r="K3999" t="str">
        <f>HYPERLINK("http://tuberculist.epfl.ch/quicksearch.php?gene+name=Rv3889c&amp;submit=Search")</f>
        <v>http://tuberculist.epfl.ch/quicksearch.php?gene+name=Rv3889c&amp;submit=Search</v>
      </c>
    </row>
    <row r="4000" spans="1:11">
      <c r="A4000" t="s">
        <v>5268</v>
      </c>
      <c r="B4000" t="s">
        <v>1387</v>
      </c>
      <c r="C4000" t="s">
        <v>9567</v>
      </c>
      <c r="D4000" t="s">
        <v>9587</v>
      </c>
      <c r="E4000" t="s">
        <v>18689</v>
      </c>
      <c r="F4000" t="s">
        <v>18690</v>
      </c>
      <c r="G4000" t="s">
        <v>19188</v>
      </c>
      <c r="H4000" t="s">
        <v>19214</v>
      </c>
      <c r="I4000" t="s">
        <v>18821</v>
      </c>
      <c r="J4000" t="s">
        <v>18775</v>
      </c>
      <c r="K4000" t="str">
        <f>HYPERLINK("http://tuberculist.epfl.ch/quicksearch.php?gene+name=Rv3890c&amp;submit=Search")</f>
        <v>http://tuberculist.epfl.ch/quicksearch.php?gene+name=Rv3890c&amp;submit=Search</v>
      </c>
    </row>
    <row r="4001" spans="1:11">
      <c r="A4001" t="s">
        <v>6586</v>
      </c>
      <c r="B4001" t="s">
        <v>2050</v>
      </c>
      <c r="C4001" t="s">
        <v>9567</v>
      </c>
      <c r="D4001" t="s">
        <v>9578</v>
      </c>
      <c r="E4001" t="s">
        <v>18691</v>
      </c>
      <c r="F4001" t="s">
        <v>18692</v>
      </c>
      <c r="G4001" t="s">
        <v>19188</v>
      </c>
      <c r="H4001" t="s">
        <v>19436</v>
      </c>
      <c r="I4001" t="s">
        <v>18779</v>
      </c>
      <c r="J4001" t="s">
        <v>18775</v>
      </c>
      <c r="K4001" t="str">
        <f>HYPERLINK("http://tuberculist.epfl.ch/quicksearch.php?gene+name=Rv3891c&amp;submit=Search")</f>
        <v>http://tuberculist.epfl.ch/quicksearch.php?gene+name=Rv3891c&amp;submit=Search</v>
      </c>
    </row>
    <row r="4002" spans="1:11">
      <c r="A4002" t="s">
        <v>5389</v>
      </c>
      <c r="B4002" t="s">
        <v>1457</v>
      </c>
      <c r="C4002" t="s">
        <v>9567</v>
      </c>
      <c r="D4002" t="s">
        <v>9578</v>
      </c>
      <c r="E4002" t="s">
        <v>18693</v>
      </c>
      <c r="F4002" t="s">
        <v>18694</v>
      </c>
      <c r="G4002" t="s">
        <v>19262</v>
      </c>
      <c r="H4002" t="s">
        <v>19254</v>
      </c>
      <c r="I4002" t="s">
        <v>18780</v>
      </c>
      <c r="K4002" t="str">
        <f>HYPERLINK("http://tuberculist.epfl.ch/quicksearch.php?gene+name=Rv3892c&amp;submit=Search")</f>
        <v>http://tuberculist.epfl.ch/quicksearch.php?gene+name=Rv3892c&amp;submit=Search</v>
      </c>
    </row>
    <row r="4003" spans="1:11">
      <c r="A4003" t="s">
        <v>6619</v>
      </c>
      <c r="B4003" t="s">
        <v>2070</v>
      </c>
      <c r="C4003" t="s">
        <v>9567</v>
      </c>
      <c r="D4003" t="s">
        <v>9578</v>
      </c>
      <c r="E4003" t="s">
        <v>18695</v>
      </c>
      <c r="F4003" t="s">
        <v>18696</v>
      </c>
      <c r="G4003" t="s">
        <v>19253</v>
      </c>
      <c r="I4003" t="s">
        <v>18780</v>
      </c>
      <c r="K4003" t="str">
        <f>HYPERLINK("http://tuberculist.epfl.ch/quicksearch.php?gene+name=Rv3893c&amp;submit=Search")</f>
        <v>http://tuberculist.epfl.ch/quicksearch.php?gene+name=Rv3893c&amp;submit=Search</v>
      </c>
    </row>
    <row r="4004" spans="1:11">
      <c r="A4004" t="s">
        <v>18697</v>
      </c>
      <c r="B4004" t="s">
        <v>2287</v>
      </c>
      <c r="C4004" t="s">
        <v>9567</v>
      </c>
      <c r="D4004" t="s">
        <v>9587</v>
      </c>
      <c r="E4004" t="s">
        <v>18698</v>
      </c>
      <c r="F4004" t="s">
        <v>18699</v>
      </c>
      <c r="G4004" t="s">
        <v>19188</v>
      </c>
      <c r="H4004" t="s">
        <v>19642</v>
      </c>
      <c r="I4004" t="s">
        <v>18789</v>
      </c>
      <c r="K4004" t="str">
        <f>HYPERLINK("http://tuberculist.epfl.ch/quicksearch.php?gene+name=Rv3894c&amp;submit=Search")</f>
        <v>http://tuberculist.epfl.ch/quicksearch.php?gene+name=Rv3894c&amp;submit=Search</v>
      </c>
    </row>
    <row r="4005" spans="1:11">
      <c r="A4005" t="s">
        <v>18700</v>
      </c>
      <c r="B4005" t="s">
        <v>18701</v>
      </c>
      <c r="C4005" t="s">
        <v>9567</v>
      </c>
      <c r="D4005" t="s">
        <v>9587</v>
      </c>
      <c r="E4005" t="s">
        <v>18702</v>
      </c>
      <c r="F4005" t="s">
        <v>18703</v>
      </c>
      <c r="G4005" t="s">
        <v>19188</v>
      </c>
      <c r="H4005" t="s">
        <v>19233</v>
      </c>
      <c r="I4005" t="s">
        <v>18780</v>
      </c>
      <c r="K4005" t="str">
        <f>HYPERLINK("http://tuberculist.epfl.ch/quicksearch.php?gene+name=Rv3895c&amp;submit=Search")</f>
        <v>http://tuberculist.epfl.ch/quicksearch.php?gene+name=Rv3895c&amp;submit=Search</v>
      </c>
    </row>
    <row r="4006" spans="1:11">
      <c r="A4006" t="s">
        <v>2923</v>
      </c>
      <c r="B4006" t="s">
        <v>2923</v>
      </c>
      <c r="C4006" t="s">
        <v>9567</v>
      </c>
      <c r="D4006" t="s">
        <v>9578</v>
      </c>
      <c r="E4006" t="s">
        <v>9579</v>
      </c>
      <c r="F4006" t="s">
        <v>18704</v>
      </c>
      <c r="G4006" t="s">
        <v>19212</v>
      </c>
      <c r="I4006" t="s">
        <v>18780</v>
      </c>
      <c r="K4006" t="str">
        <f>HYPERLINK("http://tuberculist.epfl.ch/quicksearch.php?gene+name=Rv3896c&amp;submit=Search")</f>
        <v>http://tuberculist.epfl.ch/quicksearch.php?gene+name=Rv3896c&amp;submit=Search</v>
      </c>
    </row>
    <row r="4007" spans="1:11">
      <c r="A4007" t="s">
        <v>2178</v>
      </c>
      <c r="B4007" t="s">
        <v>2178</v>
      </c>
      <c r="C4007" t="s">
        <v>9567</v>
      </c>
      <c r="D4007" t="s">
        <v>9578</v>
      </c>
      <c r="E4007" t="s">
        <v>9579</v>
      </c>
      <c r="F4007" t="s">
        <v>18705</v>
      </c>
      <c r="G4007" t="s">
        <v>19212</v>
      </c>
      <c r="H4007" t="s">
        <v>19254</v>
      </c>
      <c r="I4007" t="s">
        <v>18780</v>
      </c>
      <c r="K4007" t="str">
        <f>HYPERLINK("http://tuberculist.epfl.ch/quicksearch.php?gene+name=Rv3897c&amp;submit=Search")</f>
        <v>http://tuberculist.epfl.ch/quicksearch.php?gene+name=Rv3897c&amp;submit=Search</v>
      </c>
    </row>
    <row r="4008" spans="1:11">
      <c r="A4008" t="s">
        <v>18706</v>
      </c>
      <c r="B4008" t="s">
        <v>18706</v>
      </c>
      <c r="C4008" t="s">
        <v>9567</v>
      </c>
      <c r="D4008" t="s">
        <v>9578</v>
      </c>
      <c r="E4008" t="s">
        <v>9579</v>
      </c>
      <c r="F4008" t="s">
        <v>18707</v>
      </c>
      <c r="G4008" t="s">
        <v>19210</v>
      </c>
      <c r="H4008" t="s">
        <v>19211</v>
      </c>
      <c r="I4008" t="s">
        <v>18780</v>
      </c>
      <c r="K4008" t="str">
        <f>HYPERLINK("http://tuberculist.epfl.ch/quicksearch.php?gene+name=Rv3898c&amp;submit=Search")</f>
        <v>http://tuberculist.epfl.ch/quicksearch.php?gene+name=Rv3898c&amp;submit=Search</v>
      </c>
    </row>
    <row r="4009" spans="1:11">
      <c r="A4009" t="s">
        <v>964</v>
      </c>
      <c r="B4009" t="s">
        <v>964</v>
      </c>
      <c r="C4009" t="s">
        <v>9567</v>
      </c>
      <c r="D4009" t="s">
        <v>9578</v>
      </c>
      <c r="E4009" t="s">
        <v>9579</v>
      </c>
      <c r="F4009" t="s">
        <v>18708</v>
      </c>
      <c r="G4009" t="s">
        <v>19212</v>
      </c>
      <c r="H4009" t="s">
        <v>20163</v>
      </c>
      <c r="I4009" t="s">
        <v>18780</v>
      </c>
      <c r="K4009" t="str">
        <f>HYPERLINK("http://tuberculist.epfl.ch/quicksearch.php?gene+name=Rv3899c&amp;submit=Search")</f>
        <v>http://tuberculist.epfl.ch/quicksearch.php?gene+name=Rv3899c&amp;submit=Search</v>
      </c>
    </row>
    <row r="4010" spans="1:11">
      <c r="A4010" t="s">
        <v>544</v>
      </c>
      <c r="B4010" t="s">
        <v>544</v>
      </c>
      <c r="C4010" t="s">
        <v>9567</v>
      </c>
      <c r="D4010" t="s">
        <v>9578</v>
      </c>
      <c r="E4010" t="s">
        <v>15865</v>
      </c>
      <c r="F4010" t="s">
        <v>18709</v>
      </c>
      <c r="G4010" t="s">
        <v>19212</v>
      </c>
      <c r="H4010" t="s">
        <v>19207</v>
      </c>
      <c r="I4010" t="s">
        <v>18779</v>
      </c>
      <c r="K4010" t="str">
        <f>HYPERLINK("http://tuberculist.epfl.ch/quicksearch.php?gene+name=Rv3900c&amp;submit=Search")</f>
        <v>http://tuberculist.epfl.ch/quicksearch.php?gene+name=Rv3900c&amp;submit=Search</v>
      </c>
    </row>
    <row r="4011" spans="1:11">
      <c r="A4011" t="s">
        <v>2218</v>
      </c>
      <c r="B4011" t="s">
        <v>2218</v>
      </c>
      <c r="C4011" t="s">
        <v>9567</v>
      </c>
      <c r="D4011" t="s">
        <v>9587</v>
      </c>
      <c r="E4011" t="s">
        <v>9590</v>
      </c>
      <c r="F4011" t="s">
        <v>18710</v>
      </c>
      <c r="G4011" t="s">
        <v>19188</v>
      </c>
      <c r="I4011" t="s">
        <v>18780</v>
      </c>
      <c r="K4011" t="str">
        <f>HYPERLINK("http://tuberculist.epfl.ch/quicksearch.php?gene+name=Rv3901c&amp;submit=Search")</f>
        <v>http://tuberculist.epfl.ch/quicksearch.php?gene+name=Rv3901c&amp;submit=Search</v>
      </c>
    </row>
    <row r="4012" spans="1:11">
      <c r="A4012" t="s">
        <v>2848</v>
      </c>
      <c r="B4012" t="s">
        <v>2848</v>
      </c>
      <c r="C4012" t="s">
        <v>9567</v>
      </c>
      <c r="D4012" t="s">
        <v>9587</v>
      </c>
      <c r="E4012" t="s">
        <v>9713</v>
      </c>
      <c r="F4012" t="s">
        <v>18711</v>
      </c>
      <c r="G4012" t="s">
        <v>19210</v>
      </c>
      <c r="H4012" t="s">
        <v>19213</v>
      </c>
      <c r="I4012" t="s">
        <v>18788</v>
      </c>
      <c r="K4012" t="str">
        <f>HYPERLINK("http://tuberculist.epfl.ch/quicksearch.php?gene+name=Rv3902c&amp;submit=Search")</f>
        <v>http://tuberculist.epfl.ch/quicksearch.php?gene+name=Rv3902c&amp;submit=Search</v>
      </c>
    </row>
    <row r="4013" spans="1:11">
      <c r="A4013" t="s">
        <v>1991</v>
      </c>
      <c r="B4013" t="s">
        <v>1991</v>
      </c>
      <c r="C4013" t="s">
        <v>9567</v>
      </c>
      <c r="D4013" t="s">
        <v>9587</v>
      </c>
      <c r="E4013" t="s">
        <v>18712</v>
      </c>
      <c r="F4013" t="s">
        <v>18713</v>
      </c>
      <c r="G4013" t="s">
        <v>19210</v>
      </c>
      <c r="I4013" t="s">
        <v>18789</v>
      </c>
      <c r="K4013" t="str">
        <f>HYPERLINK("http://tuberculist.epfl.ch/quicksearch.php?gene+name=Rv3903c&amp;submit=Search")</f>
        <v>http://tuberculist.epfl.ch/quicksearch.php?gene+name=Rv3903c&amp;submit=Search</v>
      </c>
    </row>
    <row r="4014" spans="1:11">
      <c r="A4014" t="s">
        <v>18714</v>
      </c>
      <c r="B4014" t="s">
        <v>18715</v>
      </c>
      <c r="C4014" t="s">
        <v>9567</v>
      </c>
      <c r="D4014" t="s">
        <v>9587</v>
      </c>
      <c r="E4014" t="s">
        <v>18716</v>
      </c>
      <c r="F4014" t="s">
        <v>18717</v>
      </c>
      <c r="G4014" t="s">
        <v>19188</v>
      </c>
      <c r="I4014" t="s">
        <v>18780</v>
      </c>
      <c r="K4014" t="str">
        <f>HYPERLINK("http://tuberculist.epfl.ch/quicksearch.php?gene+name=Rv3904c&amp;submit=Search")</f>
        <v>http://tuberculist.epfl.ch/quicksearch.php?gene+name=Rv3904c&amp;submit=Search</v>
      </c>
    </row>
    <row r="4015" spans="1:11">
      <c r="A4015" t="s">
        <v>18718</v>
      </c>
      <c r="B4015" t="s">
        <v>18719</v>
      </c>
      <c r="C4015" t="s">
        <v>9567</v>
      </c>
      <c r="D4015" t="s">
        <v>9587</v>
      </c>
      <c r="E4015" t="s">
        <v>18720</v>
      </c>
      <c r="F4015" t="s">
        <v>18721</v>
      </c>
      <c r="G4015" t="s">
        <v>19188</v>
      </c>
      <c r="I4015" t="s">
        <v>18780</v>
      </c>
      <c r="K4015" t="str">
        <f>HYPERLINK("http://tuberculist.epfl.ch/quicksearch.php?gene+name=Rv3905c&amp;submit=Search")</f>
        <v>http://tuberculist.epfl.ch/quicksearch.php?gene+name=Rv3905c&amp;submit=Search</v>
      </c>
    </row>
    <row r="4016" spans="1:11">
      <c r="A4016" t="s">
        <v>2371</v>
      </c>
      <c r="B4016" t="s">
        <v>2371</v>
      </c>
      <c r="C4016" t="s">
        <v>9567</v>
      </c>
      <c r="D4016" t="s">
        <v>9578</v>
      </c>
      <c r="E4016" t="s">
        <v>9579</v>
      </c>
      <c r="F4016" t="s">
        <v>18722</v>
      </c>
      <c r="G4016" t="s">
        <v>19210</v>
      </c>
      <c r="I4016" t="s">
        <v>18780</v>
      </c>
      <c r="K4016" t="str">
        <f>HYPERLINK("http://tuberculist.epfl.ch/quicksearch.php?gene+name=Rv3906c&amp;submit=Search")</f>
        <v>http://tuberculist.epfl.ch/quicksearch.php?gene+name=Rv3906c&amp;submit=Search</v>
      </c>
    </row>
    <row r="4017" spans="1:11">
      <c r="A4017" t="s">
        <v>3863</v>
      </c>
      <c r="B4017" t="s">
        <v>688</v>
      </c>
      <c r="C4017" t="s">
        <v>9567</v>
      </c>
      <c r="D4017" t="s">
        <v>18723</v>
      </c>
      <c r="E4017" t="s">
        <v>18724</v>
      </c>
      <c r="F4017" t="s">
        <v>18725</v>
      </c>
      <c r="G4017" t="s">
        <v>19181</v>
      </c>
      <c r="H4017" t="s">
        <v>20164</v>
      </c>
      <c r="I4017" t="s">
        <v>18774</v>
      </c>
      <c r="K4017" t="str">
        <f>HYPERLINK("http://tuberculist.epfl.ch/quicksearch.php?gene+name=Rv3907c&amp;submit=Search")</f>
        <v>http://tuberculist.epfl.ch/quicksearch.php?gene+name=Rv3907c&amp;submit=Search</v>
      </c>
    </row>
    <row r="4018" spans="1:11">
      <c r="A4018" t="s">
        <v>18726</v>
      </c>
      <c r="B4018" t="s">
        <v>1158</v>
      </c>
      <c r="C4018" t="s">
        <v>9567</v>
      </c>
      <c r="D4018" t="s">
        <v>9578</v>
      </c>
      <c r="E4018" t="s">
        <v>18727</v>
      </c>
      <c r="F4018" t="s">
        <v>18728</v>
      </c>
      <c r="G4018" t="s">
        <v>19181</v>
      </c>
      <c r="H4018" t="s">
        <v>19213</v>
      </c>
      <c r="I4018" t="s">
        <v>18779</v>
      </c>
      <c r="K4018" t="str">
        <f>HYPERLINK("http://tuberculist.epfl.ch/quicksearch.php?gene+name=Rv3908&amp;submit=Search")</f>
        <v>http://tuberculist.epfl.ch/quicksearch.php?gene+name=Rv3908&amp;submit=Search</v>
      </c>
    </row>
    <row r="4019" spans="1:11">
      <c r="A4019" t="s">
        <v>2782</v>
      </c>
      <c r="B4019" t="s">
        <v>2782</v>
      </c>
      <c r="C4019" t="s">
        <v>9567</v>
      </c>
      <c r="D4019" t="s">
        <v>9578</v>
      </c>
      <c r="E4019" t="s">
        <v>9665</v>
      </c>
      <c r="F4019" t="s">
        <v>18729</v>
      </c>
      <c r="G4019" t="s">
        <v>19212</v>
      </c>
      <c r="H4019" t="s">
        <v>19305</v>
      </c>
      <c r="I4019" t="s">
        <v>18776</v>
      </c>
      <c r="K4019" t="str">
        <f>HYPERLINK("http://tuberculist.epfl.ch/quicksearch.php?gene+name=Rv3909&amp;submit=Search")</f>
        <v>http://tuberculist.epfl.ch/quicksearch.php?gene+name=Rv3909&amp;submit=Search</v>
      </c>
    </row>
    <row r="4020" spans="1:11">
      <c r="A4020" t="s">
        <v>2257</v>
      </c>
      <c r="B4020" t="s">
        <v>2257</v>
      </c>
      <c r="C4020" t="s">
        <v>9567</v>
      </c>
      <c r="D4020" t="s">
        <v>9587</v>
      </c>
      <c r="E4020" t="s">
        <v>9597</v>
      </c>
      <c r="F4020" t="s">
        <v>18730</v>
      </c>
      <c r="G4020" t="s">
        <v>19188</v>
      </c>
      <c r="H4020" t="s">
        <v>20165</v>
      </c>
      <c r="I4020" t="s">
        <v>18846</v>
      </c>
      <c r="K4020" t="str">
        <f>HYPERLINK("http://tuberculist.epfl.ch/quicksearch.php?gene+name=Rv3910&amp;submit=Search")</f>
        <v>http://tuberculist.epfl.ch/quicksearch.php?gene+name=Rv3910&amp;submit=Search</v>
      </c>
    </row>
    <row r="4021" spans="1:11">
      <c r="A4021" t="s">
        <v>18731</v>
      </c>
      <c r="B4021" t="s">
        <v>2454</v>
      </c>
      <c r="C4021" t="s">
        <v>9567</v>
      </c>
      <c r="D4021" t="s">
        <v>10004</v>
      </c>
      <c r="E4021" t="s">
        <v>18732</v>
      </c>
      <c r="F4021" t="s">
        <v>18733</v>
      </c>
      <c r="G4021" t="s">
        <v>19181</v>
      </c>
      <c r="H4021" t="s">
        <v>19207</v>
      </c>
      <c r="I4021" t="s">
        <v>19166</v>
      </c>
      <c r="K4021" t="str">
        <f>HYPERLINK("http://tuberculist.epfl.ch/quicksearch.php?gene+name=Rv3911&amp;submit=Search")</f>
        <v>http://tuberculist.epfl.ch/quicksearch.php?gene+name=Rv3911&amp;submit=Search</v>
      </c>
    </row>
    <row r="4022" spans="1:11">
      <c r="A4022" t="s">
        <v>18734</v>
      </c>
      <c r="B4022" t="s">
        <v>18734</v>
      </c>
      <c r="C4022" t="s">
        <v>9567</v>
      </c>
      <c r="D4022" t="s">
        <v>9587</v>
      </c>
      <c r="E4022" t="s">
        <v>15423</v>
      </c>
      <c r="F4022" t="s">
        <v>18735</v>
      </c>
      <c r="G4022" t="s">
        <v>19210</v>
      </c>
      <c r="H4022" t="s">
        <v>19254</v>
      </c>
      <c r="I4022" t="s">
        <v>18779</v>
      </c>
      <c r="K4022" t="str">
        <f>HYPERLINK("http://tuberculist.epfl.ch/quicksearch.php?gene+name=Rv3912&amp;submit=Search")</f>
        <v>http://tuberculist.epfl.ch/quicksearch.php?gene+name=Rv3912&amp;submit=Search</v>
      </c>
    </row>
    <row r="4023" spans="1:11">
      <c r="A4023" t="s">
        <v>18736</v>
      </c>
      <c r="B4023" t="s">
        <v>2176</v>
      </c>
      <c r="C4023" t="s">
        <v>9567</v>
      </c>
      <c r="D4023" t="s">
        <v>18737</v>
      </c>
      <c r="E4023" t="s">
        <v>18738</v>
      </c>
      <c r="F4023" t="s">
        <v>18739</v>
      </c>
      <c r="G4023" t="s">
        <v>19195</v>
      </c>
      <c r="H4023" t="s">
        <v>20166</v>
      </c>
      <c r="I4023" t="s">
        <v>18774</v>
      </c>
      <c r="K4023" t="str">
        <f>HYPERLINK("http://tuberculist.epfl.ch/quicksearch.php?gene+name=Rv3913&amp;submit=Search")</f>
        <v>http://tuberculist.epfl.ch/quicksearch.php?gene+name=Rv3913&amp;submit=Search</v>
      </c>
    </row>
    <row r="4024" spans="1:11">
      <c r="A4024" t="s">
        <v>18740</v>
      </c>
      <c r="B4024" t="s">
        <v>2631</v>
      </c>
      <c r="C4024" t="s">
        <v>9567</v>
      </c>
      <c r="D4024" t="s">
        <v>18741</v>
      </c>
      <c r="E4024" t="s">
        <v>18742</v>
      </c>
      <c r="F4024" t="s">
        <v>18743</v>
      </c>
      <c r="G4024" t="s">
        <v>19195</v>
      </c>
      <c r="H4024" t="s">
        <v>20167</v>
      </c>
      <c r="I4024" t="s">
        <v>18773</v>
      </c>
      <c r="K4024" t="str">
        <f>HYPERLINK("http://tuberculist.epfl.ch/quicksearch.php?gene+name=Rv3914&amp;submit=Search")</f>
        <v>http://tuberculist.epfl.ch/quicksearch.php?gene+name=Rv3914&amp;submit=Search</v>
      </c>
    </row>
    <row r="4025" spans="1:11">
      <c r="A4025" t="s">
        <v>2576</v>
      </c>
      <c r="B4025" t="s">
        <v>2576</v>
      </c>
      <c r="C4025" t="s">
        <v>9567</v>
      </c>
      <c r="D4025" t="s">
        <v>9682</v>
      </c>
      <c r="E4025" t="s">
        <v>18744</v>
      </c>
      <c r="F4025" t="s">
        <v>18745</v>
      </c>
      <c r="G4025" t="s">
        <v>19195</v>
      </c>
      <c r="H4025" t="s">
        <v>19211</v>
      </c>
      <c r="I4025" t="s">
        <v>18774</v>
      </c>
      <c r="K4025" t="str">
        <f>HYPERLINK("http://tuberculist.epfl.ch/quicksearch.php?gene+name=Rv3915&amp;submit=Search")</f>
        <v>http://tuberculist.epfl.ch/quicksearch.php?gene+name=Rv3915&amp;submit=Search</v>
      </c>
    </row>
    <row r="4026" spans="1:11">
      <c r="A4026" t="s">
        <v>2988</v>
      </c>
      <c r="B4026" t="s">
        <v>2988</v>
      </c>
      <c r="C4026" t="s">
        <v>9567</v>
      </c>
      <c r="D4026" t="s">
        <v>9578</v>
      </c>
      <c r="E4026" t="s">
        <v>9579</v>
      </c>
      <c r="F4026" t="s">
        <v>18746</v>
      </c>
      <c r="G4026" t="s">
        <v>19210</v>
      </c>
      <c r="H4026" t="s">
        <v>19207</v>
      </c>
      <c r="I4026" t="s">
        <v>18986</v>
      </c>
      <c r="K4026" t="str">
        <f>HYPERLINK("http://tuberculist.epfl.ch/quicksearch.php?gene+name=Rv3916c&amp;submit=Search")</f>
        <v>http://tuberculist.epfl.ch/quicksearch.php?gene+name=Rv3916c&amp;submit=Search</v>
      </c>
    </row>
    <row r="4027" spans="1:11">
      <c r="A4027" t="s">
        <v>18747</v>
      </c>
      <c r="B4027" t="s">
        <v>3137</v>
      </c>
      <c r="C4027" t="s">
        <v>9567</v>
      </c>
      <c r="D4027" t="s">
        <v>18748</v>
      </c>
      <c r="E4027" t="s">
        <v>18749</v>
      </c>
      <c r="F4027" t="s">
        <v>18750</v>
      </c>
      <c r="G4027" t="s">
        <v>19188</v>
      </c>
      <c r="H4027" t="s">
        <v>20168</v>
      </c>
      <c r="I4027" t="s">
        <v>18774</v>
      </c>
      <c r="K4027" t="str">
        <f>HYPERLINK("http://tuberculist.epfl.ch/quicksearch.php?gene+name=Rv3917c&amp;submit=Search")</f>
        <v>http://tuberculist.epfl.ch/quicksearch.php?gene+name=Rv3917c&amp;submit=Search</v>
      </c>
    </row>
    <row r="4028" spans="1:11">
      <c r="A4028" t="s">
        <v>18751</v>
      </c>
      <c r="B4028" t="s">
        <v>3224</v>
      </c>
      <c r="C4028" t="s">
        <v>9567</v>
      </c>
      <c r="D4028" t="s">
        <v>18752</v>
      </c>
      <c r="E4028" t="s">
        <v>18753</v>
      </c>
      <c r="F4028" t="s">
        <v>18754</v>
      </c>
      <c r="G4028" t="s">
        <v>19188</v>
      </c>
      <c r="H4028" t="s">
        <v>19334</v>
      </c>
      <c r="I4028" t="s">
        <v>18774</v>
      </c>
      <c r="J4028" t="s">
        <v>18775</v>
      </c>
      <c r="K4028" t="str">
        <f>HYPERLINK("http://tuberculist.epfl.ch/quicksearch.php?gene+name=Rv3918c&amp;submit=Search")</f>
        <v>http://tuberculist.epfl.ch/quicksearch.php?gene+name=Rv3918c&amp;submit=Search</v>
      </c>
    </row>
    <row r="4029" spans="1:11">
      <c r="A4029" t="s">
        <v>18755</v>
      </c>
      <c r="B4029" t="s">
        <v>1070</v>
      </c>
      <c r="C4029" t="s">
        <v>9567</v>
      </c>
      <c r="D4029" t="s">
        <v>9587</v>
      </c>
      <c r="E4029" t="s">
        <v>18756</v>
      </c>
      <c r="F4029" t="s">
        <v>18757</v>
      </c>
      <c r="G4029" t="s">
        <v>19188</v>
      </c>
      <c r="H4029" t="s">
        <v>19250</v>
      </c>
      <c r="I4029" t="s">
        <v>18793</v>
      </c>
      <c r="J4029" t="s">
        <v>18844</v>
      </c>
      <c r="K4029" t="str">
        <f>HYPERLINK("http://tuberculist.epfl.ch/quicksearch.php?gene+name=Rv3919c&amp;submit=Search")</f>
        <v>http://tuberculist.epfl.ch/quicksearch.php?gene+name=Rv3919c&amp;submit=Search</v>
      </c>
    </row>
    <row r="4030" spans="1:11">
      <c r="A4030" t="s">
        <v>1174</v>
      </c>
      <c r="B4030" t="s">
        <v>1174</v>
      </c>
      <c r="C4030" t="s">
        <v>9567</v>
      </c>
      <c r="D4030" t="s">
        <v>9587</v>
      </c>
      <c r="E4030" t="s">
        <v>18758</v>
      </c>
      <c r="F4030" t="s">
        <v>18759</v>
      </c>
      <c r="G4030" t="s">
        <v>19210</v>
      </c>
      <c r="H4030" t="s">
        <v>19280</v>
      </c>
      <c r="I4030" t="s">
        <v>18780</v>
      </c>
      <c r="K4030" t="str">
        <f>HYPERLINK("http://tuberculist.epfl.ch/quicksearch.php?gene+name=Rv3920c&amp;submit=Search")</f>
        <v>http://tuberculist.epfl.ch/quicksearch.php?gene+name=Rv3920c&amp;submit=Search</v>
      </c>
    </row>
    <row r="4031" spans="1:11">
      <c r="A4031" t="s">
        <v>3170</v>
      </c>
      <c r="B4031" t="s">
        <v>3170</v>
      </c>
      <c r="C4031" t="s">
        <v>9567</v>
      </c>
      <c r="D4031" t="s">
        <v>9587</v>
      </c>
      <c r="E4031" t="s">
        <v>9597</v>
      </c>
      <c r="F4031" t="s">
        <v>18760</v>
      </c>
      <c r="G4031" t="s">
        <v>19188</v>
      </c>
      <c r="H4031" t="s">
        <v>19201</v>
      </c>
      <c r="I4031" t="s">
        <v>18774</v>
      </c>
      <c r="J4031" t="s">
        <v>18958</v>
      </c>
      <c r="K4031" t="str">
        <f>HYPERLINK("http://tuberculist.epfl.ch/quicksearch.php?gene+name=Rv3921c&amp;submit=Search")</f>
        <v>http://tuberculist.epfl.ch/quicksearch.php?gene+name=Rv3921c&amp;submit=Search</v>
      </c>
    </row>
    <row r="4032" spans="1:11">
      <c r="A4032" t="s">
        <v>3091</v>
      </c>
      <c r="B4032" t="s">
        <v>3091</v>
      </c>
      <c r="C4032" t="s">
        <v>9567</v>
      </c>
      <c r="D4032" t="s">
        <v>9587</v>
      </c>
      <c r="E4032" t="s">
        <v>18761</v>
      </c>
      <c r="F4032" t="s">
        <v>18762</v>
      </c>
      <c r="G4032" t="s">
        <v>19206</v>
      </c>
      <c r="I4032" t="s">
        <v>18788</v>
      </c>
      <c r="K4032" t="str">
        <f>HYPERLINK("http://tuberculist.epfl.ch/quicksearch.php?gene+name=Rv3922c&amp;submit=Search")</f>
        <v>http://tuberculist.epfl.ch/quicksearch.php?gene+name=Rv3922c&amp;submit=Search</v>
      </c>
    </row>
    <row r="4033" spans="1:11">
      <c r="A4033" t="s">
        <v>4808</v>
      </c>
      <c r="B4033" t="s">
        <v>1162</v>
      </c>
      <c r="C4033" t="s">
        <v>9567</v>
      </c>
      <c r="D4033" t="s">
        <v>18763</v>
      </c>
      <c r="E4033" t="s">
        <v>18764</v>
      </c>
      <c r="F4033" t="s">
        <v>18765</v>
      </c>
      <c r="G4033" t="s">
        <v>19181</v>
      </c>
      <c r="I4033" t="s">
        <v>18800</v>
      </c>
      <c r="K4033" t="str">
        <f>HYPERLINK("http://tuberculist.epfl.ch/quicksearch.php?gene+name=Rv3923c&amp;submit=Search")</f>
        <v>http://tuberculist.epfl.ch/quicksearch.php?gene+name=Rv3923c&amp;submit=Search</v>
      </c>
    </row>
    <row r="4034" spans="1:11">
      <c r="A4034" t="s">
        <v>18766</v>
      </c>
      <c r="B4034" t="s">
        <v>18767</v>
      </c>
      <c r="C4034" t="s">
        <v>9567</v>
      </c>
      <c r="D4034" t="s">
        <v>17667</v>
      </c>
      <c r="E4034" t="s">
        <v>18768</v>
      </c>
      <c r="F4034" t="s">
        <v>18769</v>
      </c>
      <c r="G4034" t="s">
        <v>19181</v>
      </c>
      <c r="I4034" t="s">
        <v>18773</v>
      </c>
      <c r="J4034" t="s">
        <v>18775</v>
      </c>
      <c r="K4034" t="str">
        <f>HYPERLINK("http://tuberculist.epfl.ch/quicksearch.php?gene+name=Rv3924c&amp;submit=Search")</f>
        <v>http://tuberculist.epfl.ch/quicksearch.php?gene+name=Rv3924c&amp;submit=Search</v>
      </c>
    </row>
  </sheetData>
  <sortState ref="A2:K4034">
    <sortCondition ref="B2:B4034"/>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Regulatory overview</vt:lpstr>
      <vt:lpstr>MBovisUpreg24h.macr</vt:lpstr>
      <vt:lpstr>MBovisBelowCutOf</vt:lpstr>
      <vt:lpstr>CRP_regulon</vt:lpstr>
      <vt:lpstr>PhoP func. cat</vt:lpstr>
      <vt:lpstr>AnnotationTuberculist2017</vt:lpstr>
      <vt:lpstr>MBovisBelowCutOf!fold_change_list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norin</dc:creator>
  <cp:lastModifiedBy>NielsNiels Zondervan</cp:lastModifiedBy>
  <cp:revision>0</cp:revision>
  <cp:lastPrinted>2013-04-23T11:55:39Z</cp:lastPrinted>
  <dcterms:created xsi:type="dcterms:W3CDTF">2006-09-16T00:00:00Z</dcterms:created>
  <dcterms:modified xsi:type="dcterms:W3CDTF">2018-01-22T10:03:38Z</dcterms:modified>
</cp:coreProperties>
</file>