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<sst xmlns="http://schemas.openxmlformats.org/spreadsheetml/2006/main" count="117" uniqueCount="75">
  <si>
    <t xml:space="preserve">a=</t>
  </si>
  <si>
    <t xml:space="preserve">b=</t>
  </si>
  <si>
    <t xml:space="preserve">h=</t>
  </si>
  <si>
    <t xml:space="preserve">k1</t>
  </si>
  <si>
    <t xml:space="preserve">T1=</t>
  </si>
  <si>
    <t xml:space="preserve">k2</t>
  </si>
  <si>
    <t xml:space="preserve">T2=</t>
  </si>
  <si>
    <t xml:space="preserve">k</t>
  </si>
  <si>
    <t xml:space="preserve">T11</t>
  </si>
  <si>
    <t xml:space="preserve">T21</t>
  </si>
  <si>
    <t xml:space="preserve">T12</t>
  </si>
  <si>
    <t xml:space="preserve">T22</t>
  </si>
  <si>
    <t xml:space="preserve">T13</t>
  </si>
  <si>
    <t xml:space="preserve">T23</t>
  </si>
  <si>
    <t xml:space="preserve">if</t>
  </si>
  <si>
    <t xml:space="preserve">{1=</t>
  </si>
  <si>
    <t xml:space="preserve">2н</t>
  </si>
  <si>
    <t xml:space="preserve">3в</t>
  </si>
  <si>
    <t xml:space="preserve">4л</t>
  </si>
  <si>
    <t xml:space="preserve">5п}</t>
  </si>
  <si>
    <t xml:space="preserve">\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</si>
  <si>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 xml:space="preserve">LAB2</t>
  </si>
  <si>
    <t xml:space="preserve">k =</t>
  </si>
  <si>
    <t xml:space="preserve">T(x, 0)=</t>
  </si>
  <si>
    <t xml:space="preserve">s = </t>
  </si>
  <si>
    <t xml:space="preserve">a^2=</t>
  </si>
  <si>
    <t xml:space="preserve">l = </t>
  </si>
  <si>
    <t xml:space="preserve">h = </t>
  </si>
  <si>
    <t xml:space="preserve">tau=</t>
  </si>
  <si>
    <t xml:space="preserve">m =</t>
  </si>
  <si>
    <t xml:space="preserve">p =</t>
  </si>
  <si>
    <t xml:space="preserve">lambda =</t>
  </si>
  <si>
    <t xml:space="preserve">c =</t>
  </si>
  <si>
    <t xml:space="preserve">sigma=</t>
  </si>
  <si>
    <t xml:space="preserve">c=</t>
  </si>
  <si>
    <t xml:space="preserve">I</t>
  </si>
  <si>
    <t xml:space="preserve">alpha</t>
  </si>
  <si>
    <t xml:space="preserve">beta</t>
  </si>
  <si>
    <t xml:space="preserve">T</t>
  </si>
  <si>
    <t xml:space="preserve">N=</t>
  </si>
  <si>
    <t xml:space="preserve">K(i)</t>
  </si>
  <si>
    <t xml:space="preserve">a_1=</t>
  </si>
  <si>
    <t xml:space="preserve">a_0=</t>
  </si>
  <si>
    <t xml:space="preserve">x*=</t>
  </si>
  <si>
    <t xml:space="preserve">1tau</t>
  </si>
  <si>
    <t xml:space="preserve">gamma=</t>
  </si>
  <si>
    <t xml:space="preserve">2tau</t>
  </si>
  <si>
    <t xml:space="preserve">a</t>
  </si>
  <si>
    <t xml:space="preserve">3tau</t>
  </si>
  <si>
    <t xml:space="preserve">b</t>
  </si>
  <si>
    <t xml:space="preserve">c</t>
  </si>
  <si>
    <t xml:space="preserve">Lab #5</t>
  </si>
  <si>
    <t xml:space="preserve">mu</t>
  </si>
  <si>
    <t xml:space="preserve">U_1(t)</t>
  </si>
  <si>
    <t xml:space="preserve">U_0(x)=</t>
  </si>
  <si>
    <t xml:space="preserve">a_0*exp(-m*x)</t>
  </si>
  <si>
    <t xml:space="preserve">r+</t>
  </si>
  <si>
    <t xml:space="preserve">U_1(t)=</t>
  </si>
  <si>
    <t xml:space="preserve">A_0</t>
  </si>
  <si>
    <t xml:space="preserve">U_2(t)</t>
  </si>
  <si>
    <t xml:space="preserve">r-</t>
  </si>
  <si>
    <t xml:space="preserve">U_2(t)=</t>
  </si>
  <si>
    <t xml:space="preserve">a_0*exp(-m)</t>
  </si>
  <si>
    <t xml:space="preserve">m=</t>
  </si>
  <si>
    <t xml:space="preserve">r(x)=</t>
  </si>
  <si>
    <t xml:space="preserve">4*cos(pi*x)</t>
  </si>
  <si>
    <t xml:space="preserve">U0(x)</t>
  </si>
  <si>
    <t xml:space="preserve">L=1</t>
  </si>
  <si>
    <t xml:space="preserve">N=5</t>
  </si>
  <si>
    <t xml:space="preserve">H=0.2</t>
  </si>
  <si>
    <t xml:space="preserve">Tau=1</t>
  </si>
  <si>
    <t xml:space="preserve">t_1=3tau</t>
  </si>
  <si>
    <t xml:space="preserve">U</t>
  </si>
  <si>
    <t xml:space="preserve">A_0=10</t>
  </si>
  <si>
    <t xml:space="preserve">f(x)=0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</si>
</sst>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dd\-mmm"/>
    <numFmt numFmtId="167" formatCode="#,##0.00"/>
    <numFmt numFmtId="168" formatCode="0.00"/>
    <numFmt numFmtId="169" formatCode="0.0000"/>
  </numFmts>
  <fonts count="11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A7D00"/>
      <name val="Aptos Narrow"/>
      <family val="2"/>
      <charset val="1"/>
    </font>
    <font>
      <sz val="11"/>
      <color rgb="FF9C5700"/>
      <name val="Aptos Narrow"/>
      <family val="2"/>
      <charset val="1"/>
    </font>
    <font>
      <sz val="11"/>
      <color rgb="FF006100"/>
      <name val="Aptos Narrow"/>
      <family val="2"/>
      <charset val="1"/>
    </font>
    <font>
      <sz val="11"/>
      <color rgb="FF9C0006"/>
      <name val="Aptos Narrow"/>
      <family val="2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0"/>
    <cellStyle name="Excel Built-in Neutral" xfId="21"/>
    <cellStyle name="Excel Built-in Good" xfId="22"/>
    <cellStyle name="Excel Built-in Bad" xfId="23"/>
  </cellStyles>
  <colors>
    <indexedColors>
      <rgbColor rgb="FF000000"/>
      <rgbColor rgb="FFF2F2F2"/>
      <rgbColor rgb="FFFF420E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579D1C"/>
      <rgbColor rgb="FF800080"/>
      <rgbColor rgb="FF156082"/>
      <rgbColor rgb="FFB3B3B3"/>
      <rgbColor rgb="FF7F7F7F"/>
      <rgbColor rgb="FF9999FF"/>
      <rgbColor rgb="FFA02B93"/>
      <rgbColor rgb="FFFFFFCC"/>
      <rgbColor rgb="FFCCFFFF"/>
      <rgbColor rgb="FF660066"/>
      <rgbColor rgb="FFE97132"/>
      <rgbColor rgb="FF0066CC"/>
      <rgbColor rgb="FFD9D9D9"/>
      <rgbColor rgb="FF000080"/>
      <rgbColor rgb="FFFF00FF"/>
      <rgbColor rgb="FFFFFF00"/>
      <rgbColor rgb="FF00FFFF"/>
      <rgbColor rgb="FF800080"/>
      <rgbColor rgb="FF9C0006"/>
      <rgbColor rgb="FF196B24"/>
      <rgbColor rgb="FF0000FF"/>
      <rgbColor rgb="FF0F9ED5"/>
      <rgbColor rgb="FFCCFFFF"/>
      <rgbColor rgb="FFC6EFCE"/>
      <rgbColor rgb="FFFFEB9C"/>
      <rgbColor rgb="FF83CA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A7D00"/>
      <rgbColor rgb="FF595959"/>
      <rgbColor rgb="FF969696"/>
      <rgbColor rgb="FF004586"/>
      <rgbColor rgb="FF4EA72E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uk-UA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uk-UA" sz="1400" spc="-1" strike="noStrike">
                <a:solidFill>
                  <a:srgbClr val="595959"/>
                </a:solidFill>
                <a:latin typeface="Aptos Narrow"/>
              </a:rPr>
              <a:t>Розподіл температур з часом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"0"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Sheet1!$H$34:$M$34</c:f>
              <c:numCache>
                <c:formatCode>General</c:formatCode>
                <c:ptCount val="6"/>
                <c:pt idx="0">
                  <c:v>4</c:v>
                </c:pt>
                <c:pt idx="1">
                  <c:v>10.24</c:v>
                </c:pt>
                <c:pt idx="2">
                  <c:v>28.96</c:v>
                </c:pt>
                <c:pt idx="3">
                  <c:v>60.16</c:v>
                </c:pt>
                <c:pt idx="4">
                  <c:v>103.84</c:v>
                </c:pt>
                <c:pt idx="5">
                  <c:v>160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"0.06844"</c:f>
              <c:strCache>
                <c:ptCount val="1"/>
                <c:pt idx="0">
                  <c:v>0.06844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Sheet1!$H$35:$M$35</c:f>
              <c:numCache>
                <c:formatCode>General</c:formatCode>
                <c:ptCount val="6"/>
                <c:pt idx="0">
                  <c:v>4</c:v>
                </c:pt>
                <c:pt idx="1">
                  <c:v>12.32</c:v>
                </c:pt>
                <c:pt idx="2">
                  <c:v>31.04</c:v>
                </c:pt>
                <c:pt idx="3">
                  <c:v>62.24</c:v>
                </c:pt>
                <c:pt idx="4">
                  <c:v>105.92</c:v>
                </c:pt>
                <c:pt idx="5">
                  <c:v>160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0.136889838556505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Sheet1!$H$36:$M$36</c:f>
              <c:numCache>
                <c:formatCode>General</c:formatCode>
                <c:ptCount val="6"/>
                <c:pt idx="0">
                  <c:v>4</c:v>
                </c:pt>
                <c:pt idx="1">
                  <c:v>14.0533333333333</c:v>
                </c:pt>
                <c:pt idx="2">
                  <c:v>33.12</c:v>
                </c:pt>
                <c:pt idx="3">
                  <c:v>64.32</c:v>
                </c:pt>
                <c:pt idx="4">
                  <c:v>107.653333333333</c:v>
                </c:pt>
                <c:pt idx="5">
                  <c:v>160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Sheet1!$G$37</c:f>
              <c:strCache>
                <c:ptCount val="1"/>
                <c:pt idx="0">
                  <c:v>0.205334757834758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Sheet1!$H$37:$M$37</c:f>
              <c:numCache>
                <c:formatCode>General</c:formatCode>
                <c:ptCount val="6"/>
                <c:pt idx="0">
                  <c:v>4</c:v>
                </c:pt>
                <c:pt idx="1">
                  <c:v>15.5555555555556</c:v>
                </c:pt>
                <c:pt idx="2">
                  <c:v>35.1422222222222</c:v>
                </c:pt>
                <c:pt idx="3">
                  <c:v>66.3422222222222</c:v>
                </c:pt>
                <c:pt idx="4">
                  <c:v>109.155555555556</c:v>
                </c:pt>
                <c:pt idx="5">
                  <c:v>160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723876"/>
        <c:axId val="87192848"/>
      </c:lineChart>
      <c:catAx>
        <c:axId val="267238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7192848"/>
        <c:crosses val="autoZero"/>
        <c:auto val="1"/>
        <c:lblAlgn val="ctr"/>
        <c:lblOffset val="100"/>
        <c:noMultiLvlLbl val="0"/>
      </c:catAx>
      <c:valAx>
        <c:axId val="87192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67238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uk-UA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uk-UA" sz="1400" spc="-1" strike="noStrike">
                <a:solidFill>
                  <a:srgbClr val="595959"/>
                </a:solidFill>
                <a:latin typeface="Aptos Narrow"/>
              </a:rPr>
              <a:t>Розподіл температури вздовж довжини пластини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Sheet1!$H$34:$H$37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Sheet1!$I$34:$I$37</c:f>
              <c:numCache>
                <c:formatCode>#,##0.00</c:formatCode>
                <c:ptCount val="4"/>
                <c:pt idx="0">
                  <c:v>10.24</c:v>
                </c:pt>
                <c:pt idx="1">
                  <c:v>12.32</c:v>
                </c:pt>
                <c:pt idx="2">
                  <c:v>14.0533333333333</c:v>
                </c:pt>
                <c:pt idx="3">
                  <c:v>15.5555555555556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Sheet1!$J$33</c:f>
              <c:strCache>
                <c:ptCount val="1"/>
                <c:pt idx="0">
                  <c:v>0.20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Sheet1!$J$34:$J$37</c:f>
              <c:numCache>
                <c:formatCode>#,##0.00</c:formatCode>
                <c:ptCount val="4"/>
                <c:pt idx="0">
                  <c:v>28.96</c:v>
                </c:pt>
                <c:pt idx="1">
                  <c:v>31.04</c:v>
                </c:pt>
                <c:pt idx="2">
                  <c:v>33.12</c:v>
                </c:pt>
                <c:pt idx="3">
                  <c:v>35.1422222222222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Sheet1!$K$33</c:f>
              <c:strCache>
                <c:ptCount val="1"/>
                <c:pt idx="0">
                  <c:v>0.30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Sheet1!$K$34:$K$37</c:f>
              <c:numCache>
                <c:formatCode>#,##0.00</c:formatCode>
                <c:ptCount val="4"/>
                <c:pt idx="0">
                  <c:v>60.16</c:v>
                </c:pt>
                <c:pt idx="1">
                  <c:v>62.24</c:v>
                </c:pt>
                <c:pt idx="2">
                  <c:v>64.32</c:v>
                </c:pt>
                <c:pt idx="3">
                  <c:v>66.3422222222222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Sheet1!$L$33</c:f>
              <c:strCache>
                <c:ptCount val="1"/>
                <c:pt idx="0">
                  <c:v>0.40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Sheet1!$L$34:$L$37</c:f>
              <c:numCache>
                <c:formatCode>#,##0.00</c:formatCode>
                <c:ptCount val="4"/>
                <c:pt idx="0">
                  <c:v>103.84</c:v>
                </c:pt>
                <c:pt idx="1">
                  <c:v>105.92</c:v>
                </c:pt>
                <c:pt idx="2">
                  <c:v>107.653333333333</c:v>
                </c:pt>
                <c:pt idx="3">
                  <c:v>109.155555555556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Sheet1!$M$33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Sheet1!$M$34:$M$37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623820"/>
        <c:axId val="75075550"/>
      </c:lineChart>
      <c:catAx>
        <c:axId val="406238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5075550"/>
        <c:crosses val="autoZero"/>
        <c:auto val="1"/>
        <c:lblAlgn val="ctr"/>
        <c:lblOffset val="100"/>
        <c:noMultiLvlLbl val="0"/>
      </c:catAx>
      <c:valAx>
        <c:axId val="75075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062382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Sheet1!$H$63:$H$66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Sheet1!$I$63:$I$66</c:f>
              <c:numCache>
                <c:formatCode>General</c:formatCode>
                <c:ptCount val="4"/>
                <c:pt idx="0">
                  <c:v>10.24</c:v>
                </c:pt>
                <c:pt idx="1">
                  <c:v>12.06</c:v>
                </c:pt>
                <c:pt idx="2">
                  <c:v>13.67</c:v>
                </c:pt>
                <c:pt idx="3">
                  <c:v>15.11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Sheet1!$J$63:$J$66</c:f>
              <c:numCache>
                <c:formatCode>General</c:formatCode>
                <c:ptCount val="4"/>
                <c:pt idx="0">
                  <c:v>28.96</c:v>
                </c:pt>
                <c:pt idx="1">
                  <c:v>31</c:v>
                </c:pt>
                <c:pt idx="2">
                  <c:v>32.98</c:v>
                </c:pt>
                <c:pt idx="3">
                  <c:v>34.88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Sheet1!$K$63:$K$66</c:f>
              <c:numCache>
                <c:formatCode>General</c:formatCode>
                <c:ptCount val="4"/>
                <c:pt idx="0">
                  <c:v>60.16</c:v>
                </c:pt>
                <c:pt idx="1">
                  <c:v>62.2</c:v>
                </c:pt>
                <c:pt idx="2">
                  <c:v>64.18</c:v>
                </c:pt>
                <c:pt idx="3">
                  <c:v>66.08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Sheet1!$L$63:$L$66</c:f>
              <c:numCache>
                <c:formatCode>General</c:formatCode>
                <c:ptCount val="4"/>
                <c:pt idx="0">
                  <c:v>103.84</c:v>
                </c:pt>
                <c:pt idx="1">
                  <c:v>105.66</c:v>
                </c:pt>
                <c:pt idx="2">
                  <c:v>107.27</c:v>
                </c:pt>
                <c:pt idx="3">
                  <c:v>108.71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Sheet1!$M$63:$M$66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483356"/>
        <c:axId val="28312818"/>
      </c:lineChart>
      <c:catAx>
        <c:axId val="534833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312818"/>
        <c:crosses val="autoZero"/>
        <c:auto val="1"/>
        <c:lblAlgn val="ctr"/>
        <c:lblOffset val="100"/>
        <c:noMultiLvlLbl val="0"/>
      </c:catAx>
      <c:valAx>
        <c:axId val="283128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483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Sheet1!$H$63:$M$63</c:f>
              <c:numCache>
                <c:formatCode>General</c:formatCode>
                <c:ptCount val="6"/>
                <c:pt idx="0">
                  <c:v>4</c:v>
                </c:pt>
                <c:pt idx="1">
                  <c:v>10.24</c:v>
                </c:pt>
                <c:pt idx="2">
                  <c:v>28.96</c:v>
                </c:pt>
                <c:pt idx="3">
                  <c:v>60.16</c:v>
                </c:pt>
                <c:pt idx="4">
                  <c:v>103.84</c:v>
                </c:pt>
                <c:pt idx="5">
                  <c:v>160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Sheet1!$H$64:$M$64</c:f>
              <c:numCache>
                <c:formatCode>General</c:formatCode>
                <c:ptCount val="6"/>
                <c:pt idx="0">
                  <c:v>4</c:v>
                </c:pt>
                <c:pt idx="1">
                  <c:v>12.06</c:v>
                </c:pt>
                <c:pt idx="2">
                  <c:v>31</c:v>
                </c:pt>
                <c:pt idx="3">
                  <c:v>62.2</c:v>
                </c:pt>
                <c:pt idx="4">
                  <c:v>105.66</c:v>
                </c:pt>
                <c:pt idx="5">
                  <c:v>160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Sheet1!$H$65:$M$65</c:f>
              <c:numCache>
                <c:formatCode>General</c:formatCode>
                <c:ptCount val="6"/>
                <c:pt idx="0">
                  <c:v>4</c:v>
                </c:pt>
                <c:pt idx="1">
                  <c:v>13.67</c:v>
                </c:pt>
                <c:pt idx="2">
                  <c:v>32.98</c:v>
                </c:pt>
                <c:pt idx="3">
                  <c:v>64.18</c:v>
                </c:pt>
                <c:pt idx="4">
                  <c:v>107.27</c:v>
                </c:pt>
                <c:pt idx="5">
                  <c:v>160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Sheet1!$H$66:$M$66</c:f>
              <c:numCache>
                <c:formatCode>General</c:formatCode>
                <c:ptCount val="6"/>
                <c:pt idx="0">
                  <c:v>4</c:v>
                </c:pt>
                <c:pt idx="1">
                  <c:v>15.11</c:v>
                </c:pt>
                <c:pt idx="2">
                  <c:v>34.88</c:v>
                </c:pt>
                <c:pt idx="3">
                  <c:v>66.08</c:v>
                </c:pt>
                <c:pt idx="4">
                  <c:v>108.71</c:v>
                </c:pt>
                <c:pt idx="5">
                  <c:v>160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881727"/>
        <c:axId val="41118470"/>
      </c:lineChart>
      <c:catAx>
        <c:axId val="618817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118470"/>
        <c:crosses val="autoZero"/>
        <c:auto val="1"/>
        <c:lblAlgn val="ctr"/>
        <c:lblOffset val="100"/>
        <c:noMultiLvlLbl val="0"/>
      </c:catAx>
      <c:valAx>
        <c:axId val="411184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8817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591120</xdr:colOff>
      <xdr:row>39</xdr:row>
      <xdr:rowOff>11160</xdr:rowOff>
    </xdr:from>
    <xdr:to>
      <xdr:col>7</xdr:col>
      <xdr:colOff>383400</xdr:colOff>
      <xdr:row>53</xdr:row>
      <xdr:rowOff>86400</xdr:rowOff>
    </xdr:to>
    <xdr:graphicFrame>
      <xdr:nvGraphicFramePr>
        <xdr:cNvPr id="0" name="Chart 3"/>
        <xdr:cNvGraphicFramePr/>
      </xdr:nvGraphicFramePr>
      <xdr:xfrm>
        <a:off x="591120" y="7440840"/>
        <a:ext cx="5822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338400</xdr:colOff>
      <xdr:row>39</xdr:row>
      <xdr:rowOff>4680</xdr:rowOff>
    </xdr:from>
    <xdr:to>
      <xdr:col>16</xdr:col>
      <xdr:colOff>21960</xdr:colOff>
      <xdr:row>53</xdr:row>
      <xdr:rowOff>79920</xdr:rowOff>
    </xdr:to>
    <xdr:graphicFrame>
      <xdr:nvGraphicFramePr>
        <xdr:cNvPr id="1" name="Chart 4"/>
        <xdr:cNvGraphicFramePr/>
      </xdr:nvGraphicFramePr>
      <xdr:xfrm>
        <a:off x="7054200" y="7434360"/>
        <a:ext cx="51699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357840</xdr:colOff>
      <xdr:row>68</xdr:row>
      <xdr:rowOff>7200</xdr:rowOff>
    </xdr:from>
    <xdr:to>
      <xdr:col>13</xdr:col>
      <xdr:colOff>294120</xdr:colOff>
      <xdr:row>85</xdr:row>
      <xdr:rowOff>6480</xdr:rowOff>
    </xdr:to>
    <xdr:graphicFrame>
      <xdr:nvGraphicFramePr>
        <xdr:cNvPr id="2" name="Chart 3"/>
        <xdr:cNvGraphicFramePr/>
      </xdr:nvGraphicFramePr>
      <xdr:xfrm>
        <a:off x="4683960" y="12961080"/>
        <a:ext cx="57549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681120</xdr:colOff>
      <xdr:row>68</xdr:row>
      <xdr:rowOff>0</xdr:rowOff>
    </xdr:from>
    <xdr:to>
      <xdr:col>22</xdr:col>
      <xdr:colOff>251280</xdr:colOff>
      <xdr:row>84</xdr:row>
      <xdr:rowOff>189720</xdr:rowOff>
    </xdr:to>
    <xdr:graphicFrame>
      <xdr:nvGraphicFramePr>
        <xdr:cNvPr id="3" name="Chart 4"/>
        <xdr:cNvGraphicFramePr/>
      </xdr:nvGraphicFramePr>
      <xdr:xfrm>
        <a:off x="10825920" y="12953880"/>
        <a:ext cx="57423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89</xdr:row>
      <xdr:rowOff>175680</xdr:rowOff>
    </xdr:from>
    <xdr:to>
      <xdr:col>4</xdr:col>
      <xdr:colOff>432360</xdr:colOff>
      <xdr:row>93</xdr:row>
      <xdr:rowOff>153000</xdr:rowOff>
    </xdr:to>
    <xdr:pic>
      <xdr:nvPicPr>
        <xdr:cNvPr id="4" name="Picture 6" descr=""/>
        <xdr:cNvPicPr/>
      </xdr:nvPicPr>
      <xdr:blipFill>
        <a:blip r:embed="rId5"/>
        <a:stretch/>
      </xdr:blipFill>
      <xdr:spPr>
        <a:xfrm>
          <a:off x="0" y="17130240"/>
          <a:ext cx="4072680" cy="73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6</xdr:col>
      <xdr:colOff>883800</xdr:colOff>
      <xdr:row>113</xdr:row>
      <xdr:rowOff>160920</xdr:rowOff>
    </xdr:to>
    <xdr:pic>
      <xdr:nvPicPr>
        <xdr:cNvPr id="5" name="Picture 7" descr=""/>
        <xdr:cNvPicPr/>
      </xdr:nvPicPr>
      <xdr:blipFill>
        <a:blip r:embed="rId6"/>
        <a:stretch/>
      </xdr:blipFill>
      <xdr:spPr>
        <a:xfrm>
          <a:off x="685800" y="20193120"/>
          <a:ext cx="5335920" cy="1494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40"/>
  <sheetViews>
    <sheetView showFormulas="false" showGridLines="true" showRowColHeaders="true" showZeros="true" rightToLeft="false" tabSelected="true" showOutlineSymbols="true" defaultGridColor="true" view="normal" topLeftCell="C113" colorId="64" zoomScale="115" zoomScaleNormal="115" zoomScalePageLayoutView="100" workbookViewId="0">
      <selection pane="topLeft" activeCell="L123" activeCellId="0" sqref="L123"/>
    </sheetView>
  </sheetViews>
  <sheetFormatPr defaultColWidth="8.57421875" defaultRowHeight="15" zeroHeight="false" outlineLevelRow="0" outlineLevelCol="0"/>
  <cols>
    <col collapsed="false" customWidth="true" hidden="false" outlineLevel="0" max="3" min="3" style="1" width="15.36"/>
    <col collapsed="false" customWidth="true" hidden="false" outlineLevel="0" max="4" min="4" style="1" width="13"/>
    <col collapsed="false" customWidth="true" hidden="false" outlineLevel="0" max="6" min="6" style="1" width="10.14"/>
    <col collapsed="false" customWidth="true" hidden="false" outlineLevel="0" max="7" min="7" style="1" width="11.15"/>
  </cols>
  <sheetData>
    <row r="1" customFormat="false" ht="15" hidden="false" customHeight="false" outlineLevel="0" collapsed="false">
      <c r="B1" s="1" t="s">
        <v>0</v>
      </c>
      <c r="C1" s="1" t="n">
        <v>3</v>
      </c>
    </row>
    <row r="2" customFormat="false" ht="15" hidden="false" customHeight="false" outlineLevel="0" collapsed="false">
      <c r="B2" s="1" t="s">
        <v>1</v>
      </c>
      <c r="C2" s="1" t="n">
        <v>3</v>
      </c>
      <c r="F2" s="2"/>
      <c r="G2" s="2" t="n">
        <v>210</v>
      </c>
      <c r="H2" s="2" t="n">
        <v>210</v>
      </c>
      <c r="I2" s="2"/>
    </row>
    <row r="3" customFormat="false" ht="15" hidden="false" customHeight="false" outlineLevel="0" collapsed="false">
      <c r="B3" s="1" t="s">
        <v>2</v>
      </c>
      <c r="C3" s="1" t="n">
        <v>1</v>
      </c>
      <c r="F3" s="2" t="n">
        <f aca="false">$L$3*3+$L$4</f>
        <v>159.5</v>
      </c>
      <c r="G3" s="3" t="n">
        <v>13</v>
      </c>
      <c r="H3" s="3" t="n">
        <v>23</v>
      </c>
      <c r="I3" s="2" t="n">
        <v>159.5</v>
      </c>
      <c r="L3" s="1" t="n">
        <f aca="false">($G$2-$G$6)/4</f>
        <v>50.5</v>
      </c>
      <c r="M3" s="1" t="s">
        <v>3</v>
      </c>
    </row>
    <row r="4" customFormat="false" ht="15" hidden="false" customHeight="false" outlineLevel="0" collapsed="false">
      <c r="B4" s="1" t="s">
        <v>4</v>
      </c>
      <c r="C4" s="1" t="n">
        <v>8</v>
      </c>
      <c r="F4" s="2" t="n">
        <f aca="false">$L$3*2+$L$4</f>
        <v>109</v>
      </c>
      <c r="G4" s="3" t="n">
        <v>12</v>
      </c>
      <c r="H4" s="3" t="n">
        <v>22</v>
      </c>
      <c r="I4" s="2" t="n">
        <v>109</v>
      </c>
      <c r="L4" s="1" t="n">
        <f aca="false">C4</f>
        <v>8</v>
      </c>
      <c r="M4" s="1" t="s">
        <v>5</v>
      </c>
    </row>
    <row r="5" customFormat="false" ht="15" hidden="false" customHeight="false" outlineLevel="0" collapsed="false">
      <c r="B5" s="1" t="s">
        <v>6</v>
      </c>
      <c r="C5" s="1" t="n">
        <f aca="false">7*30</f>
        <v>210</v>
      </c>
      <c r="F5" s="2" t="n">
        <f aca="false">$L$3*1+$L$4</f>
        <v>58.5</v>
      </c>
      <c r="G5" s="3" t="n">
        <v>11</v>
      </c>
      <c r="H5" s="3" t="n">
        <v>21</v>
      </c>
      <c r="I5" s="2" t="n">
        <v>58.5</v>
      </c>
    </row>
    <row r="6" customFormat="false" ht="15" hidden="false" customHeight="false" outlineLevel="0" collapsed="false">
      <c r="F6" s="2"/>
      <c r="G6" s="2" t="n">
        <v>8</v>
      </c>
      <c r="H6" s="2" t="n">
        <v>8</v>
      </c>
      <c r="I6" s="2"/>
    </row>
    <row r="8" customFormat="false" ht="15" hidden="false" customHeight="false" outlineLevel="0" collapsed="false"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</row>
    <row r="9" customFormat="false" ht="15" hidden="false" customHeight="false" outlineLevel="0" collapsed="false">
      <c r="B9" s="1" t="n">
        <v>0</v>
      </c>
      <c r="C9" s="1" t="n">
        <f aca="false">($F$5+$G$2+$I$5+$G$6)/4</f>
        <v>83.75</v>
      </c>
      <c r="D9" s="1" t="n">
        <f aca="false">($F$5+$G$2+$I$5+$G$6)/4</f>
        <v>83.75</v>
      </c>
      <c r="E9" s="1" t="n">
        <f aca="false">($G$6+$F$4+$G$2+$I$4)/4</f>
        <v>109</v>
      </c>
      <c r="F9" s="1" t="n">
        <f aca="false">($G$6+$F$4+$G$2+$I$4)/4</f>
        <v>109</v>
      </c>
      <c r="G9" s="1" t="n">
        <f aca="false">($G$6+$F$3+$G$2+$I$3)/4</f>
        <v>134.25</v>
      </c>
      <c r="H9" s="1" t="n">
        <f aca="false">($G$6+$F$3+$G$2+$I$3)/4</f>
        <v>134.25</v>
      </c>
      <c r="J9" s="1" t="n">
        <f aca="false">C9-C10</f>
        <v>18.9375</v>
      </c>
      <c r="K9" s="1" t="n">
        <f aca="false">D9-D10</f>
        <v>18.9375</v>
      </c>
      <c r="L9" s="1" t="n">
        <f aca="false">E9-E10</f>
        <v>0</v>
      </c>
      <c r="M9" s="1" t="n">
        <f aca="false">F9-F10</f>
        <v>0</v>
      </c>
      <c r="N9" s="1" t="n">
        <f aca="false">(G9-G10)*-1</f>
        <v>18.9375</v>
      </c>
      <c r="O9" s="1" t="n">
        <f aca="false">(H9-H10)*-1</f>
        <v>18.9375</v>
      </c>
    </row>
    <row r="10" customFormat="false" ht="15" hidden="false" customHeight="false" outlineLevel="0" collapsed="false">
      <c r="B10" s="1" t="n">
        <v>1</v>
      </c>
      <c r="C10" s="1" t="n">
        <f aca="false">($F$5+$G$6+E9+D9)/4</f>
        <v>64.8125</v>
      </c>
      <c r="D10" s="1" t="n">
        <f aca="false">($F$5+$G$6+C9+F9)/4</f>
        <v>64.8125</v>
      </c>
      <c r="E10" s="1" t="n">
        <f aca="false">($F$4+C9+G9+F9)/4</f>
        <v>109</v>
      </c>
      <c r="F10" s="1" t="n">
        <f aca="false">($F$4+D9+H9+E9)/4</f>
        <v>109</v>
      </c>
      <c r="G10" s="1" t="n">
        <f aca="false">($G$2+$F$3+H9+E9)/4</f>
        <v>153.1875</v>
      </c>
      <c r="H10" s="1" t="n">
        <f aca="false">($G$2+$F$3+H9+F9)/4</f>
        <v>153.1875</v>
      </c>
      <c r="J10" s="1" t="n">
        <f aca="false">C10-C11</f>
        <v>4.734375</v>
      </c>
      <c r="K10" s="1" t="n">
        <f aca="false">D10-D11</f>
        <v>4.734375</v>
      </c>
      <c r="L10" s="1" t="n">
        <f aca="false">E10-E11</f>
        <v>0</v>
      </c>
      <c r="M10" s="1" t="n">
        <f aca="false">F10-F11</f>
        <v>0</v>
      </c>
      <c r="N10" s="1" t="n">
        <f aca="false">(G10-G11)*-1</f>
        <v>4.734375</v>
      </c>
      <c r="O10" s="1" t="n">
        <f aca="false">(H10-H11)*-1</f>
        <v>4.734375</v>
      </c>
    </row>
    <row r="11" customFormat="false" ht="15" hidden="false" customHeight="false" outlineLevel="0" collapsed="false">
      <c r="B11" s="1" t="n">
        <v>2</v>
      </c>
      <c r="C11" s="1" t="n">
        <f aca="false">($F$5+$G$6+E10+D10)/4</f>
        <v>60.078125</v>
      </c>
      <c r="D11" s="1" t="n">
        <f aca="false">($F$5+$G$6+C10+F10)/4</f>
        <v>60.078125</v>
      </c>
      <c r="E11" s="1" t="n">
        <f aca="false">($F$4+C10+G10+F10)/4</f>
        <v>109</v>
      </c>
      <c r="F11" s="1" t="n">
        <f aca="false">($F$4+D10+H10+E10)/4</f>
        <v>109</v>
      </c>
      <c r="G11" s="1" t="n">
        <f aca="false">($G$2+$F$3+H10+E10)/4</f>
        <v>157.921875</v>
      </c>
      <c r="H11" s="1" t="n">
        <f aca="false">($G$2+$F$3+H10+F10)/4</f>
        <v>157.921875</v>
      </c>
      <c r="J11" s="1" t="n">
        <f aca="false">C11-C12</f>
        <v>1.18359375</v>
      </c>
      <c r="K11" s="1" t="n">
        <f aca="false">D11-D12</f>
        <v>1.18359375</v>
      </c>
      <c r="L11" s="1" t="n">
        <f aca="false">E11-E12</f>
        <v>0</v>
      </c>
      <c r="M11" s="1" t="n">
        <f aca="false">F11-F12</f>
        <v>0</v>
      </c>
      <c r="N11" s="1" t="n">
        <f aca="false">(G11-G12)*-1</f>
        <v>1.18359375</v>
      </c>
      <c r="O11" s="1" t="n">
        <f aca="false">(H11-H12)*-1</f>
        <v>1.18359375</v>
      </c>
    </row>
    <row r="12" customFormat="false" ht="15" hidden="false" customHeight="false" outlineLevel="0" collapsed="false">
      <c r="B12" s="1" t="n">
        <v>3</v>
      </c>
      <c r="C12" s="1" t="n">
        <f aca="false">($F$5+$G$6+E11+D11)/4</f>
        <v>58.89453125</v>
      </c>
      <c r="D12" s="1" t="n">
        <f aca="false">($F$5+$G$6+C11+F11)/4</f>
        <v>58.89453125</v>
      </c>
      <c r="E12" s="1" t="n">
        <f aca="false">($F$4+C11+G11+F11)/4</f>
        <v>109</v>
      </c>
      <c r="F12" s="1" t="n">
        <f aca="false">($F$4+D11+H11+E11)/4</f>
        <v>109</v>
      </c>
      <c r="G12" s="1" t="n">
        <f aca="false">($G$2+$F$3+H11+E11)/4</f>
        <v>159.10546875</v>
      </c>
      <c r="H12" s="1" t="n">
        <f aca="false">($G$2+$F$3+H11+F11)/4</f>
        <v>159.10546875</v>
      </c>
      <c r="J12" s="1" t="n">
        <f aca="false">C12-C13</f>
        <v>0.2958984375</v>
      </c>
      <c r="K12" s="1" t="n">
        <f aca="false">D12-D13</f>
        <v>0.2958984375</v>
      </c>
      <c r="L12" s="1" t="n">
        <f aca="false">E12-E13</f>
        <v>0</v>
      </c>
      <c r="M12" s="1" t="n">
        <f aca="false">F12-F13</f>
        <v>0</v>
      </c>
      <c r="N12" s="1" t="n">
        <f aca="false">(G12-G13)*-1</f>
        <v>0.2958984375</v>
      </c>
      <c r="O12" s="1" t="n">
        <f aca="false">(H12-H13)*-1</f>
        <v>0.2958984375</v>
      </c>
    </row>
    <row r="13" customFormat="false" ht="15" hidden="false" customHeight="false" outlineLevel="0" collapsed="false">
      <c r="B13" s="4" t="n">
        <v>4</v>
      </c>
      <c r="C13" s="1" t="n">
        <f aca="false">($F$5+$G$6+E12+D12)/4</f>
        <v>58.5986328125</v>
      </c>
      <c r="D13" s="1" t="n">
        <f aca="false">($F$5+$G$6+C12+F12)/4</f>
        <v>58.5986328125</v>
      </c>
      <c r="E13" s="1" t="n">
        <f aca="false">($F$4+C12+G12+F12)/4</f>
        <v>109</v>
      </c>
      <c r="F13" s="1" t="n">
        <f aca="false">($F$4+D12+H12+E12)/4</f>
        <v>109</v>
      </c>
      <c r="G13" s="1" t="n">
        <f aca="false">($G$2+$F$3+H12+E12)/4</f>
        <v>159.4013671875</v>
      </c>
      <c r="H13" s="1" t="n">
        <f aca="false">($G$2+$F$3+H12+F12)/4</f>
        <v>159.4013671875</v>
      </c>
      <c r="J13" s="1" t="n">
        <f aca="false">C13-C14</f>
        <v>0.073974609375</v>
      </c>
      <c r="K13" s="1" t="n">
        <f aca="false">D13-D14</f>
        <v>0.073974609375</v>
      </c>
      <c r="L13" s="1" t="n">
        <f aca="false">E13-E14</f>
        <v>0</v>
      </c>
      <c r="M13" s="1" t="n">
        <f aca="false">F13-F14</f>
        <v>0</v>
      </c>
      <c r="N13" s="4" t="n">
        <f aca="false">(G13-G14)*-1</f>
        <v>0.073974609375</v>
      </c>
      <c r="O13" s="4" t="n">
        <f aca="false">(H13-H14)*-1</f>
        <v>0.073974609375</v>
      </c>
    </row>
    <row r="14" customFormat="false" ht="15" hidden="false" customHeight="false" outlineLevel="0" collapsed="false">
      <c r="B14" s="4" t="n">
        <v>5</v>
      </c>
      <c r="C14" s="1" t="n">
        <f aca="false">($F$5+$G$6+E13+D13)/4</f>
        <v>58.524658203125</v>
      </c>
      <c r="D14" s="1" t="n">
        <f aca="false">($F$5+$G$6+C13+F13)/4</f>
        <v>58.524658203125</v>
      </c>
      <c r="E14" s="1" t="n">
        <f aca="false">($F$4+C13+G13+F13)/4</f>
        <v>109</v>
      </c>
      <c r="F14" s="1" t="n">
        <f aca="false">($F$4+D13+H13+E13)/4</f>
        <v>109</v>
      </c>
      <c r="G14" s="1" t="n">
        <f aca="false">($G$2+$F$3+H13+E13)/4</f>
        <v>159.475341796875</v>
      </c>
      <c r="H14" s="1" t="n">
        <f aca="false">($G$2+$F$3+H13+F13)/4</f>
        <v>159.475341796875</v>
      </c>
    </row>
    <row r="16" customFormat="false" ht="15" hidden="false" customHeight="false" outlineLevel="0" collapsed="false">
      <c r="H16" s="1" t="s">
        <v>14</v>
      </c>
    </row>
    <row r="17" customFormat="false" ht="15" hidden="false" customHeight="false" outlineLevel="0" collapsed="false">
      <c r="C17" s="5"/>
      <c r="D17" s="5" t="n">
        <v>210</v>
      </c>
      <c r="E17" s="5" t="n">
        <v>210</v>
      </c>
      <c r="F17" s="5"/>
      <c r="H17" s="1" t="s">
        <v>15</v>
      </c>
      <c r="I17" s="1" t="s">
        <v>16</v>
      </c>
      <c r="J17" s="1" t="s">
        <v>17</v>
      </c>
      <c r="K17" s="1" t="s">
        <v>18</v>
      </c>
      <c r="L17" s="1" t="s">
        <v>19</v>
      </c>
    </row>
    <row r="18" customFormat="false" ht="15" hidden="false" customHeight="false" outlineLevel="0" collapsed="false">
      <c r="C18" s="6" t="n">
        <f aca="false">$L$3*4+$L$4</f>
        <v>210</v>
      </c>
      <c r="D18" s="6"/>
      <c r="E18" s="6"/>
      <c r="F18" s="6" t="n">
        <f aca="false">$L$3*4+$L$4</f>
        <v>210</v>
      </c>
    </row>
    <row r="19" customFormat="false" ht="15" hidden="false" customHeight="false" outlineLevel="0" collapsed="false">
      <c r="C19" s="5" t="n">
        <f aca="false">$L$3*3+$L$4</f>
        <v>159.5</v>
      </c>
      <c r="D19" s="7" t="n">
        <v>13</v>
      </c>
      <c r="E19" s="7" t="n">
        <v>23</v>
      </c>
      <c r="F19" s="5" t="n">
        <v>159.5</v>
      </c>
    </row>
    <row r="20" customFormat="false" ht="15" hidden="false" customHeight="false" outlineLevel="0" collapsed="false">
      <c r="C20" s="5" t="n">
        <f aca="false">$L$3*2+$L$4</f>
        <v>109</v>
      </c>
      <c r="D20" s="7" t="n">
        <v>12</v>
      </c>
      <c r="E20" s="7" t="n">
        <v>22</v>
      </c>
      <c r="F20" s="5" t="n">
        <v>109</v>
      </c>
    </row>
    <row r="21" customFormat="false" ht="15" hidden="false" customHeight="false" outlineLevel="0" collapsed="false">
      <c r="C21" s="5" t="n">
        <f aca="false">$L$3*1+$L$4</f>
        <v>58.5</v>
      </c>
      <c r="D21" s="7" t="n">
        <v>11</v>
      </c>
      <c r="E21" s="7" t="n">
        <v>21</v>
      </c>
      <c r="F21" s="5" t="n">
        <v>58.5</v>
      </c>
    </row>
    <row r="22" customFormat="false" ht="15" hidden="false" customHeight="false" outlineLevel="0" collapsed="false">
      <c r="C22" s="5"/>
      <c r="D22" s="5" t="n">
        <v>8</v>
      </c>
      <c r="E22" s="5" t="n">
        <v>8</v>
      </c>
      <c r="F22" s="5"/>
    </row>
    <row r="24" customFormat="false" ht="15" hidden="false" customHeight="false" outlineLevel="0" collapsed="false">
      <c r="A24" s="8" t="s">
        <v>20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6" customFormat="false" ht="15" hidden="false" customHeight="false" outlineLevel="0" collapsed="false">
      <c r="A26" s="1" t="s">
        <v>21</v>
      </c>
      <c r="F26" s="1" t="n">
        <f aca="false">F30*F32/C32^2</f>
        <v>0.166666666666667</v>
      </c>
      <c r="H26" s="1" t="n">
        <f aca="false">(1-2*$F$26)*I34+$F$26*(H34+J34)</f>
        <v>12.32</v>
      </c>
      <c r="I26" s="1" t="n">
        <f aca="false">(1-2*$F$26)*J34+$F$26*(I34+K34)</f>
        <v>31.04</v>
      </c>
      <c r="J26" s="1" t="n">
        <f aca="false">(1-2*$F$26)*K34+$F$26*(J34+L34)</f>
        <v>62.24</v>
      </c>
      <c r="K26" s="1" t="n">
        <f aca="false">(1-2*$F$26)*L34+$F$26*(K34+M34)</f>
        <v>105.92</v>
      </c>
    </row>
    <row r="27" customFormat="false" ht="15" hidden="false" customHeight="false" outlineLevel="0" collapsed="false">
      <c r="H27" s="1" t="n">
        <f aca="false">(1-2*$F$26)*I35+$F$26*(H35+J35)</f>
        <v>14.0533333333333</v>
      </c>
      <c r="I27" s="1" t="n">
        <f aca="false">(1-2*$F$26)*J35+$F$26*(I35+K35)</f>
        <v>33.12</v>
      </c>
      <c r="J27" s="1" t="n">
        <f aca="false">(1-2*$F$26)*K35+$F$26*(J35+L35)</f>
        <v>64.32</v>
      </c>
      <c r="K27" s="1" t="n">
        <f aca="false">(1-2*$F$26)*L35+$F$26*(K35+M35)</f>
        <v>107.653333333333</v>
      </c>
    </row>
    <row r="28" customFormat="false" ht="15" hidden="false" customHeight="false" outlineLevel="0" collapsed="false">
      <c r="H28" s="1" t="n">
        <f aca="false">(1-2*$F$26)*I36+$F$26*(H36+J36)</f>
        <v>15.5555555555555</v>
      </c>
      <c r="I28" s="1" t="n">
        <f aca="false">(1-2*$F$26)*J36+$F$26*(I36+K36)</f>
        <v>35.1422222222222</v>
      </c>
      <c r="J28" s="1" t="n">
        <f aca="false">(1-2*$F$26)*K36+$F$26*(J36+L36)</f>
        <v>66.3422222222222</v>
      </c>
      <c r="K28" s="1" t="n">
        <f aca="false">(1-2*$F$26)*L36+$F$26*(K36+M36)</f>
        <v>109.155555555555</v>
      </c>
    </row>
    <row r="29" customFormat="false" ht="15" hidden="false" customHeight="false" outlineLevel="0" collapsed="false">
      <c r="B29" s="1" t="s">
        <v>22</v>
      </c>
      <c r="C29" s="1" t="n">
        <v>4</v>
      </c>
      <c r="E29" s="1" t="s">
        <v>23</v>
      </c>
      <c r="F29" s="1" t="n">
        <f aca="false">(C38-C37)/C31^2*1^2+C37</f>
        <v>628</v>
      </c>
      <c r="N29" s="9"/>
    </row>
    <row r="30" customFormat="false" ht="15" hidden="false" customHeight="false" outlineLevel="0" collapsed="false">
      <c r="B30" s="1" t="s">
        <v>24</v>
      </c>
      <c r="C30" s="1" t="n">
        <v>1</v>
      </c>
      <c r="E30" s="1" t="s">
        <v>25</v>
      </c>
      <c r="F30" s="1" t="n">
        <f aca="false">C35/(C36*C34)</f>
        <v>0.0243504804190225</v>
      </c>
    </row>
    <row r="31" customFormat="false" ht="15" hidden="false" customHeight="false" outlineLevel="0" collapsed="false">
      <c r="B31" s="1" t="s">
        <v>26</v>
      </c>
      <c r="C31" s="1" t="n">
        <v>0.5</v>
      </c>
    </row>
    <row r="32" customFormat="false" ht="15" hidden="false" customHeight="false" outlineLevel="0" collapsed="false">
      <c r="B32" s="1" t="s">
        <v>27</v>
      </c>
      <c r="C32" s="1" t="n">
        <v>0.1</v>
      </c>
      <c r="E32" s="1" t="s">
        <v>28</v>
      </c>
      <c r="F32" s="1" t="n">
        <f aca="false">1/6*C32^2/F30</f>
        <v>0.0684449192782527</v>
      </c>
      <c r="H32" s="1" t="n">
        <v>0</v>
      </c>
      <c r="I32" s="1" t="n">
        <v>1</v>
      </c>
      <c r="J32" s="1" t="n">
        <v>2</v>
      </c>
      <c r="K32" s="1" t="n">
        <v>3</v>
      </c>
      <c r="L32" s="1" t="n">
        <v>4</v>
      </c>
      <c r="M32" s="1" t="n">
        <v>5</v>
      </c>
      <c r="O32" s="1" t="n">
        <v>10.24</v>
      </c>
      <c r="P32" s="1" t="n">
        <v>28.96</v>
      </c>
      <c r="Q32" s="1" t="n">
        <v>60.16</v>
      </c>
      <c r="R32" s="1" t="n">
        <v>103.84</v>
      </c>
    </row>
    <row r="33" customFormat="false" ht="15" hidden="false" customHeight="false" outlineLevel="0" collapsed="false">
      <c r="B33" s="1" t="s">
        <v>29</v>
      </c>
      <c r="C33" s="1" t="n">
        <v>3</v>
      </c>
      <c r="H33" s="1" t="n">
        <v>0</v>
      </c>
      <c r="I33" s="10" t="n">
        <v>0.1</v>
      </c>
      <c r="J33" s="10" t="n">
        <v>0.2</v>
      </c>
      <c r="K33" s="10" t="n">
        <v>0.3</v>
      </c>
      <c r="L33" s="10" t="n">
        <v>0.4</v>
      </c>
      <c r="M33" s="1" t="n">
        <v>0.5</v>
      </c>
      <c r="O33" s="1" t="n">
        <v>12.06</v>
      </c>
      <c r="P33" s="1" t="n">
        <v>31</v>
      </c>
      <c r="Q33" s="1" t="n">
        <v>62.2</v>
      </c>
      <c r="R33" s="1" t="n">
        <v>105.66</v>
      </c>
    </row>
    <row r="34" customFormat="false" ht="15" hidden="false" customHeight="false" outlineLevel="0" collapsed="false">
      <c r="B34" s="1" t="s">
        <v>30</v>
      </c>
      <c r="C34" s="1" t="n">
        <v>11350</v>
      </c>
      <c r="F34" s="1" t="n">
        <v>0</v>
      </c>
      <c r="G34" s="1" t="n">
        <v>0</v>
      </c>
      <c r="H34" s="1" t="n">
        <f aca="false">$C$37</f>
        <v>4</v>
      </c>
      <c r="I34" s="10" t="n">
        <f aca="false">($C$38-$C$37)/$C$31^2*I33^2+$C$37</f>
        <v>10.24</v>
      </c>
      <c r="J34" s="10" t="n">
        <f aca="false">($C$38-$C$37)/$C$31^2*J33^2+$C$37</f>
        <v>28.96</v>
      </c>
      <c r="K34" s="10" t="n">
        <f aca="false">($C$38-$C$37)/$C$31^2*K33^2+$C$37</f>
        <v>60.16</v>
      </c>
      <c r="L34" s="10" t="n">
        <f aca="false">($C$38-$C$37)/$C$31^2*L33^2+$C$37</f>
        <v>103.84</v>
      </c>
      <c r="M34" s="1" t="n">
        <f aca="false">$C$38</f>
        <v>160</v>
      </c>
      <c r="O34" s="1" t="n">
        <v>13.67</v>
      </c>
      <c r="P34" s="1" t="n">
        <v>32.98</v>
      </c>
      <c r="Q34" s="1" t="n">
        <v>64.18</v>
      </c>
      <c r="R34" s="1" t="n">
        <v>107.27</v>
      </c>
    </row>
    <row r="35" customFormat="false" ht="15" hidden="false" customHeight="false" outlineLevel="0" collapsed="false">
      <c r="B35" s="1" t="s">
        <v>31</v>
      </c>
      <c r="C35" s="1" t="n">
        <v>35.1</v>
      </c>
      <c r="F35" s="1" t="n">
        <v>1</v>
      </c>
      <c r="G35" s="1" t="n">
        <f aca="false">F35*$F$32</f>
        <v>0.0684449192782527</v>
      </c>
      <c r="H35" s="1" t="n">
        <f aca="false">$C$37</f>
        <v>4</v>
      </c>
      <c r="I35" s="10" t="n">
        <f aca="false">1/6*(H34+4*I34+J34)</f>
        <v>12.32</v>
      </c>
      <c r="J35" s="10" t="n">
        <f aca="false">1/6*(I34+4*J34+K34)</f>
        <v>31.04</v>
      </c>
      <c r="K35" s="10" t="n">
        <f aca="false">1/6*(J34+4*K34+L34)</f>
        <v>62.24</v>
      </c>
      <c r="L35" s="10" t="n">
        <f aca="false">1/6*(K34+4*L34+M34)</f>
        <v>105.92</v>
      </c>
      <c r="M35" s="1" t="n">
        <f aca="false">$C$38</f>
        <v>160</v>
      </c>
      <c r="O35" s="1" t="n">
        <v>15.11</v>
      </c>
      <c r="P35" s="1" t="n">
        <v>34.88</v>
      </c>
      <c r="Q35" s="1" t="n">
        <v>66.08</v>
      </c>
      <c r="R35" s="1" t="n">
        <v>108.71</v>
      </c>
    </row>
    <row r="36" customFormat="false" ht="15" hidden="false" customHeight="false" outlineLevel="0" collapsed="false">
      <c r="B36" s="1" t="s">
        <v>32</v>
      </c>
      <c r="C36" s="1" t="n">
        <v>0.127</v>
      </c>
      <c r="F36" s="1" t="n">
        <v>2</v>
      </c>
      <c r="G36" s="1" t="n">
        <f aca="false">F36*$F$32</f>
        <v>0.136889838556505</v>
      </c>
      <c r="H36" s="1" t="n">
        <f aca="false">$C$37</f>
        <v>4</v>
      </c>
      <c r="I36" s="10" t="n">
        <f aca="false">1/6*(H35+4*I35+J35)</f>
        <v>14.0533333333333</v>
      </c>
      <c r="J36" s="10" t="n">
        <f aca="false">1/6*(I35+4*J35+K35)</f>
        <v>33.12</v>
      </c>
      <c r="K36" s="10" t="n">
        <f aca="false">1/6*(J35+4*K35+L35)</f>
        <v>64.32</v>
      </c>
      <c r="L36" s="10" t="n">
        <f aca="false">1/6*(K35+4*L35+M35)</f>
        <v>107.653333333333</v>
      </c>
      <c r="M36" s="1" t="n">
        <f aca="false">$C$38</f>
        <v>160</v>
      </c>
    </row>
    <row r="37" customFormat="false" ht="15" hidden="false" customHeight="false" outlineLevel="0" collapsed="false">
      <c r="B37" s="1" t="s">
        <v>4</v>
      </c>
      <c r="C37" s="1" t="n">
        <v>4</v>
      </c>
      <c r="F37" s="1" t="n">
        <v>3</v>
      </c>
      <c r="G37" s="1" t="n">
        <f aca="false">F37*$F$32</f>
        <v>0.205334757834758</v>
      </c>
      <c r="H37" s="1" t="n">
        <f aca="false">$C$37</f>
        <v>4</v>
      </c>
      <c r="I37" s="10" t="n">
        <f aca="false">1/6*(H36+4*I36+J36)</f>
        <v>15.5555555555556</v>
      </c>
      <c r="J37" s="10" t="n">
        <f aca="false">1/6*(I36+4*J36+K36)</f>
        <v>35.1422222222222</v>
      </c>
      <c r="K37" s="10" t="n">
        <f aca="false">1/6*(J36+4*K36+L36)</f>
        <v>66.3422222222222</v>
      </c>
      <c r="L37" s="10" t="n">
        <f aca="false">1/6*(K36+4*L36+M36)</f>
        <v>109.155555555556</v>
      </c>
      <c r="M37" s="1" t="n">
        <f aca="false">$C$38</f>
        <v>160</v>
      </c>
    </row>
    <row r="38" customFormat="false" ht="15" hidden="false" customHeight="false" outlineLevel="0" collapsed="false">
      <c r="B38" s="1" t="s">
        <v>6</v>
      </c>
      <c r="C38" s="1" t="n">
        <f aca="false">40*4</f>
        <v>160</v>
      </c>
    </row>
    <row r="56" customFormat="false" ht="15" hidden="false" customHeight="false" outlineLevel="0" collapsed="false">
      <c r="A56" s="8" t="s">
        <v>20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8" customFormat="false" ht="15" hidden="false" customHeight="false" outlineLevel="0" collapsed="false">
      <c r="B58" s="1" t="s">
        <v>22</v>
      </c>
      <c r="C58" s="1" t="n">
        <v>4</v>
      </c>
    </row>
    <row r="59" customFormat="false" ht="15" hidden="false" customHeight="false" outlineLevel="0" collapsed="false">
      <c r="B59" s="1" t="s">
        <v>24</v>
      </c>
      <c r="C59" s="1" t="n">
        <v>1</v>
      </c>
      <c r="D59" s="11" t="s">
        <v>33</v>
      </c>
      <c r="E59" s="12" t="n">
        <f aca="false">1/6</f>
        <v>0.166666666666667</v>
      </c>
    </row>
    <row r="60" customFormat="false" ht="15" hidden="false" customHeight="false" outlineLevel="0" collapsed="false">
      <c r="B60" s="1" t="s">
        <v>26</v>
      </c>
      <c r="C60" s="1" t="n">
        <v>0.5</v>
      </c>
      <c r="D60" s="11" t="s">
        <v>0</v>
      </c>
      <c r="E60" s="12" t="n">
        <f aca="false">E59</f>
        <v>0.166666666666667</v>
      </c>
    </row>
    <row r="61" customFormat="false" ht="15" hidden="false" customHeight="false" outlineLevel="0" collapsed="false">
      <c r="B61" s="1" t="s">
        <v>27</v>
      </c>
      <c r="C61" s="1" t="n">
        <v>0.1</v>
      </c>
      <c r="D61" s="11" t="s">
        <v>1</v>
      </c>
      <c r="E61" s="12" t="n">
        <f aca="false">E60</f>
        <v>0.166666666666667</v>
      </c>
      <c r="F61" s="13"/>
      <c r="G61" s="13"/>
      <c r="H61" s="13" t="n">
        <v>0</v>
      </c>
      <c r="I61" s="13" t="n">
        <v>1</v>
      </c>
      <c r="J61" s="13" t="n">
        <v>2</v>
      </c>
      <c r="K61" s="13" t="n">
        <v>3</v>
      </c>
      <c r="L61" s="13" t="n">
        <v>4</v>
      </c>
      <c r="M61" s="13" t="n">
        <v>5</v>
      </c>
    </row>
    <row r="62" customFormat="false" ht="15" hidden="false" customHeight="false" outlineLevel="0" collapsed="false">
      <c r="B62" s="1" t="s">
        <v>29</v>
      </c>
      <c r="C62" s="1" t="n">
        <v>3</v>
      </c>
      <c r="D62" s="11" t="s">
        <v>34</v>
      </c>
      <c r="E62" s="12" t="n">
        <f aca="false">1+2*E61</f>
        <v>1.33333333333333</v>
      </c>
      <c r="F62" s="13"/>
      <c r="G62" s="13"/>
      <c r="H62" s="13" t="n">
        <v>0</v>
      </c>
      <c r="I62" s="13" t="n">
        <v>0.1</v>
      </c>
      <c r="J62" s="13" t="n">
        <v>0.2</v>
      </c>
      <c r="K62" s="13" t="n">
        <v>0.3</v>
      </c>
      <c r="L62" s="13" t="n">
        <v>0.4</v>
      </c>
      <c r="M62" s="13" t="n">
        <v>0.5</v>
      </c>
    </row>
    <row r="63" customFormat="false" ht="15" hidden="false" customHeight="false" outlineLevel="0" collapsed="false">
      <c r="B63" s="1" t="s">
        <v>30</v>
      </c>
      <c r="C63" s="1" t="n">
        <v>11350</v>
      </c>
      <c r="F63" s="13" t="n">
        <v>0</v>
      </c>
      <c r="G63" s="13" t="n">
        <v>0</v>
      </c>
      <c r="H63" s="13" t="n">
        <v>4</v>
      </c>
      <c r="I63" s="13" t="n">
        <f aca="false">($C$38-$C$37)/$C$31^2*I62^2+$C$37</f>
        <v>10.24</v>
      </c>
      <c r="J63" s="13" t="n">
        <f aca="false">($C$38-$C$37)/$C$31^2*J62^2+$C$37</f>
        <v>28.96</v>
      </c>
      <c r="K63" s="13" t="n">
        <f aca="false">($C$38-$C$37)/$C$31^2*K62^2+$C$37</f>
        <v>60.16</v>
      </c>
      <c r="L63" s="13" t="n">
        <f aca="false">($C$38-$C$37)/$C$31^2*L62^2+$C$37</f>
        <v>103.84</v>
      </c>
      <c r="M63" s="13" t="n">
        <f aca="false">$C$38</f>
        <v>160</v>
      </c>
    </row>
    <row r="64" customFormat="false" ht="15" hidden="false" customHeight="false" outlineLevel="0" collapsed="false">
      <c r="B64" s="1" t="s">
        <v>31</v>
      </c>
      <c r="C64" s="1" t="n">
        <v>35.1</v>
      </c>
      <c r="F64" s="13" t="n">
        <v>1</v>
      </c>
      <c r="G64" s="13" t="n">
        <f aca="false">F64*$F$32</f>
        <v>0.0684449192782527</v>
      </c>
      <c r="H64" s="13" t="n">
        <v>4</v>
      </c>
      <c r="I64" s="13" t="n">
        <v>12.06</v>
      </c>
      <c r="J64" s="13" t="n">
        <v>31</v>
      </c>
      <c r="K64" s="13" t="n">
        <v>62.2</v>
      </c>
      <c r="L64" s="13" t="n">
        <v>105.66</v>
      </c>
      <c r="M64" s="13" t="n">
        <f aca="false">$C$38</f>
        <v>160</v>
      </c>
    </row>
    <row r="65" customFormat="false" ht="15" hidden="false" customHeight="false" outlineLevel="0" collapsed="false">
      <c r="B65" s="1" t="s">
        <v>32</v>
      </c>
      <c r="C65" s="1" t="n">
        <v>0.127</v>
      </c>
      <c r="F65" s="13" t="n">
        <v>2</v>
      </c>
      <c r="G65" s="13" t="n">
        <f aca="false">F65*$F$32</f>
        <v>0.136889838556505</v>
      </c>
      <c r="H65" s="13" t="n">
        <v>4</v>
      </c>
      <c r="I65" s="13" t="n">
        <v>13.67</v>
      </c>
      <c r="J65" s="13" t="n">
        <v>32.98</v>
      </c>
      <c r="K65" s="13" t="n">
        <v>64.18</v>
      </c>
      <c r="L65" s="13" t="n">
        <v>107.27</v>
      </c>
      <c r="M65" s="13" t="n">
        <f aca="false">$C$38</f>
        <v>160</v>
      </c>
    </row>
    <row r="66" customFormat="false" ht="15" hidden="false" customHeight="false" outlineLevel="0" collapsed="false">
      <c r="B66" s="1" t="s">
        <v>4</v>
      </c>
      <c r="C66" s="1" t="n">
        <v>4</v>
      </c>
      <c r="F66" s="13" t="n">
        <v>3</v>
      </c>
      <c r="G66" s="13" t="n">
        <f aca="false">F66*$F$32</f>
        <v>0.205334757834758</v>
      </c>
      <c r="H66" s="13" t="n">
        <v>4</v>
      </c>
      <c r="I66" s="13" t="n">
        <v>15.11</v>
      </c>
      <c r="J66" s="13" t="n">
        <v>34.88</v>
      </c>
      <c r="K66" s="13" t="n">
        <v>66.08</v>
      </c>
      <c r="L66" s="13" t="n">
        <v>108.71</v>
      </c>
      <c r="M66" s="13" t="n">
        <f aca="false">$C$38</f>
        <v>160</v>
      </c>
    </row>
    <row r="67" customFormat="false" ht="15" hidden="false" customHeight="false" outlineLevel="0" collapsed="false">
      <c r="B67" s="1" t="s">
        <v>6</v>
      </c>
      <c r="C67" s="1" t="n">
        <f aca="false">40*4</f>
        <v>160</v>
      </c>
    </row>
    <row r="71" customFormat="false" ht="15" hidden="false" customHeight="false" outlineLevel="0" collapsed="false">
      <c r="B71" s="13" t="s">
        <v>35</v>
      </c>
      <c r="C71" s="13" t="s">
        <v>36</v>
      </c>
      <c r="D71" s="13" t="s">
        <v>37</v>
      </c>
      <c r="E71" s="13" t="s">
        <v>38</v>
      </c>
    </row>
    <row r="72" customFormat="false" ht="15" hidden="false" customHeight="false" outlineLevel="0" collapsed="false">
      <c r="B72" s="13" t="n">
        <v>1</v>
      </c>
      <c r="C72" s="14" t="n">
        <v>0</v>
      </c>
      <c r="D72" s="14" t="n">
        <f aca="false">H63</f>
        <v>4</v>
      </c>
      <c r="E72" s="14" t="n">
        <f aca="false">C73*E73+D73</f>
        <v>15.1130909090909</v>
      </c>
    </row>
    <row r="73" customFormat="false" ht="15" hidden="false" customHeight="false" outlineLevel="0" collapsed="false">
      <c r="B73" s="13" t="n">
        <v>2</v>
      </c>
      <c r="C73" s="14" t="n">
        <f aca="false">$E$61/($E$62-$E$60*C72)</f>
        <v>0.125</v>
      </c>
      <c r="D73" s="14" t="n">
        <f aca="false">($E$60*D72+I65)/($E$62-$E$60*C72)</f>
        <v>10.7525</v>
      </c>
      <c r="E73" s="14" t="n">
        <f aca="false">C74*E74+D74</f>
        <v>34.8847272727273</v>
      </c>
    </row>
    <row r="74" customFormat="false" ht="15" hidden="false" customHeight="false" outlineLevel="0" collapsed="false">
      <c r="B74" s="13" t="n">
        <v>3</v>
      </c>
      <c r="C74" s="14" t="n">
        <f aca="false">$E$61/($E$62-$E$60*C73)</f>
        <v>0.126984126984127</v>
      </c>
      <c r="D74" s="14" t="n">
        <f aca="false">($E$60*D73+J65)/($E$62-$E$60*C73)</f>
        <v>26.4930158730159</v>
      </c>
      <c r="E74" s="14" t="n">
        <f aca="false">C75*E75+D75</f>
        <v>66.0847272727273</v>
      </c>
    </row>
    <row r="75" customFormat="false" ht="15" hidden="false" customHeight="false" outlineLevel="0" collapsed="false">
      <c r="B75" s="13" t="n">
        <v>4</v>
      </c>
      <c r="C75" s="14" t="n">
        <f aca="false">$E$61/($E$62-$E$60*C74)</f>
        <v>0.127016129032258</v>
      </c>
      <c r="D75" s="14" t="n">
        <f aca="false">($E$60*D74+K65)/($E$62-$E$60*C74)</f>
        <v>52.2764112903226</v>
      </c>
      <c r="E75" s="14" t="n">
        <f aca="false">C76*E76+D76</f>
        <v>108.713090909091</v>
      </c>
    </row>
    <row r="76" customFormat="false" ht="15" hidden="false" customHeight="false" outlineLevel="0" collapsed="false">
      <c r="B76" s="13" t="n">
        <v>5</v>
      </c>
      <c r="C76" s="14" t="n">
        <f aca="false">$E$61/($E$62-$E$60*C75)</f>
        <v>0.127016645326505</v>
      </c>
      <c r="D76" s="14" t="n">
        <f aca="false">($E$60*D75+L65)/($E$62-$E$60*C75)</f>
        <v>88.3904276568502</v>
      </c>
      <c r="E76" s="14" t="n">
        <f aca="false">M63</f>
        <v>160</v>
      </c>
    </row>
    <row r="89" customFormat="false" ht="15" hidden="false" customHeight="false" outlineLevel="0" collapsed="false">
      <c r="A89" s="8" t="s">
        <v>20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6" customFormat="false" ht="15" hidden="false" customHeight="false" outlineLevel="0" collapsed="false">
      <c r="B96" s="15" t="s">
        <v>22</v>
      </c>
      <c r="C96" s="16" t="n">
        <v>4</v>
      </c>
      <c r="E96" s="15" t="s">
        <v>39</v>
      </c>
      <c r="F96" s="16" t="n">
        <v>4</v>
      </c>
      <c r="P96" s="2" t="s">
        <v>40</v>
      </c>
      <c r="Q96" s="2"/>
      <c r="R96" s="2"/>
      <c r="S96" s="2"/>
      <c r="T96" s="2"/>
      <c r="U96" s="2"/>
    </row>
    <row r="97" customFormat="false" ht="15" hidden="false" customHeight="false" outlineLevel="0" collapsed="false">
      <c r="B97" s="15" t="s">
        <v>24</v>
      </c>
      <c r="C97" s="16" t="n">
        <v>1</v>
      </c>
      <c r="E97" s="15" t="s">
        <v>41</v>
      </c>
      <c r="F97" s="17" t="n">
        <f aca="false">1/4</f>
        <v>0.25</v>
      </c>
      <c r="I97" s="1" t="n">
        <v>0</v>
      </c>
      <c r="J97" s="1" t="n">
        <v>1</v>
      </c>
      <c r="K97" s="1" t="n">
        <v>2</v>
      </c>
      <c r="L97" s="1" t="n">
        <v>3</v>
      </c>
      <c r="M97" s="1" t="n">
        <v>4</v>
      </c>
      <c r="N97" s="1" t="n">
        <v>5</v>
      </c>
      <c r="P97" s="2" t="n">
        <v>0</v>
      </c>
      <c r="Q97" s="2" t="n">
        <v>1</v>
      </c>
      <c r="R97" s="2" t="n">
        <v>2</v>
      </c>
      <c r="S97" s="2" t="n">
        <v>3</v>
      </c>
      <c r="T97" s="2" t="n">
        <v>4</v>
      </c>
      <c r="U97" s="2" t="n">
        <v>5</v>
      </c>
    </row>
    <row r="98" customFormat="false" ht="15" hidden="false" customHeight="false" outlineLevel="0" collapsed="false">
      <c r="B98" s="15" t="s">
        <v>26</v>
      </c>
      <c r="C98" s="16" t="n">
        <v>0.5</v>
      </c>
      <c r="E98" s="15" t="s">
        <v>42</v>
      </c>
      <c r="F98" s="18" t="n">
        <f aca="false">C102/(C103*C101)</f>
        <v>0.0243504804190225</v>
      </c>
      <c r="I98" s="1" t="n">
        <v>0</v>
      </c>
      <c r="J98" s="1" t="n">
        <v>0.1</v>
      </c>
      <c r="K98" s="1" t="n">
        <v>0.2</v>
      </c>
      <c r="L98" s="1" t="n">
        <v>0.3</v>
      </c>
      <c r="M98" s="1" t="n">
        <v>0.4</v>
      </c>
      <c r="N98" s="1" t="n">
        <v>0.5</v>
      </c>
      <c r="P98" s="2" t="n">
        <v>0</v>
      </c>
      <c r="Q98" s="2" t="n">
        <v>0.1</v>
      </c>
      <c r="R98" s="2" t="n">
        <v>0.2</v>
      </c>
      <c r="S98" s="2" t="n">
        <v>0.3</v>
      </c>
      <c r="T98" s="2" t="n">
        <v>0.4</v>
      </c>
      <c r="U98" s="2" t="n">
        <v>0.5</v>
      </c>
    </row>
    <row r="99" customFormat="false" ht="15" hidden="false" customHeight="false" outlineLevel="0" collapsed="false">
      <c r="B99" s="15" t="s">
        <v>27</v>
      </c>
      <c r="C99" s="16" t="n">
        <v>0.1</v>
      </c>
      <c r="E99" s="15" t="s">
        <v>43</v>
      </c>
      <c r="F99" s="17" t="n">
        <f aca="false">1/4</f>
        <v>0.25</v>
      </c>
      <c r="G99" s="1" t="n">
        <v>0</v>
      </c>
      <c r="H99" s="1" t="n">
        <v>0</v>
      </c>
      <c r="I99" s="1" t="n">
        <v>4</v>
      </c>
      <c r="J99" s="1" t="n">
        <v>10.24</v>
      </c>
      <c r="K99" s="1" t="n">
        <v>28.96</v>
      </c>
      <c r="L99" s="1" t="n">
        <v>60.16</v>
      </c>
      <c r="M99" s="1" t="n">
        <v>103.84</v>
      </c>
      <c r="N99" s="1" t="n">
        <v>160</v>
      </c>
      <c r="P99" s="19" t="n">
        <f aca="false">$F$98*EXP(-1*$F$97*P98)</f>
        <v>0.0243504804190225</v>
      </c>
      <c r="Q99" s="19" t="n">
        <f aca="false">$F$98*EXP(-1*$F$97*Q98)</f>
        <v>0.0237492649153245</v>
      </c>
      <c r="R99" s="19" t="n">
        <f aca="false">$F$98*EXP(-1*$F$97*R98)</f>
        <v>0.0231628934753027</v>
      </c>
      <c r="S99" s="19" t="n">
        <f aca="false">$F$98*EXP(-1*$F$97*S98)</f>
        <v>0.0225909995977191</v>
      </c>
      <c r="T99" s="19" t="n">
        <f aca="false">$F$98*EXP(-1*$F$97*T98)</f>
        <v>0.0220332258302835</v>
      </c>
      <c r="U99" s="19" t="n">
        <f aca="false">$F$98*EXP(-1*$F$97*U98)</f>
        <v>0.0214892235462342</v>
      </c>
    </row>
    <row r="100" customFormat="false" ht="15" hidden="false" customHeight="false" outlineLevel="0" collapsed="false">
      <c r="B100" s="15" t="s">
        <v>29</v>
      </c>
      <c r="C100" s="16" t="n">
        <v>3</v>
      </c>
      <c r="G100" s="1" t="n">
        <v>1</v>
      </c>
      <c r="H100" s="1" t="s">
        <v>44</v>
      </c>
      <c r="I100" s="1" t="n">
        <v>4</v>
      </c>
      <c r="N100" s="1" t="n">
        <v>160</v>
      </c>
      <c r="P100" s="10"/>
      <c r="Q100" s="10"/>
      <c r="R100" s="10"/>
      <c r="S100" s="10"/>
      <c r="T100" s="10"/>
      <c r="U100" s="10"/>
    </row>
    <row r="101" customFormat="false" ht="15" hidden="false" customHeight="false" outlineLevel="0" collapsed="false">
      <c r="B101" s="15" t="s">
        <v>30</v>
      </c>
      <c r="C101" s="16" t="n">
        <v>11350</v>
      </c>
      <c r="E101" s="20" t="s">
        <v>45</v>
      </c>
      <c r="F101" s="1" t="n">
        <f aca="false">(1/2*F32)/C99^2</f>
        <v>3.42224596391263</v>
      </c>
      <c r="G101" s="1" t="n">
        <v>2</v>
      </c>
      <c r="H101" s="1" t="s">
        <v>46</v>
      </c>
      <c r="I101" s="1" t="n">
        <v>4</v>
      </c>
      <c r="N101" s="1" t="n">
        <v>160</v>
      </c>
      <c r="P101" s="10" t="s">
        <v>47</v>
      </c>
      <c r="Q101" s="10" t="n">
        <f aca="false">1/2*(Q99+P99)</f>
        <v>0.0240498726671735</v>
      </c>
      <c r="R101" s="10" t="n">
        <f aca="false">1/2*(R99+Q99)</f>
        <v>0.0234560791953136</v>
      </c>
      <c r="S101" s="10" t="n">
        <f aca="false">1/2*(S99+R99)</f>
        <v>0.0228769465365109</v>
      </c>
      <c r="T101" s="10" t="n">
        <f aca="false">1/2*(T99+S99)</f>
        <v>0.0223121127140013</v>
      </c>
      <c r="U101" s="10"/>
    </row>
    <row r="102" customFormat="false" ht="15" hidden="false" customHeight="false" outlineLevel="0" collapsed="false">
      <c r="B102" s="15" t="s">
        <v>31</v>
      </c>
      <c r="C102" s="16" t="n">
        <v>35.1</v>
      </c>
      <c r="G102" s="1" t="n">
        <v>3</v>
      </c>
      <c r="H102" s="1" t="s">
        <v>48</v>
      </c>
      <c r="I102" s="1" t="n">
        <v>4</v>
      </c>
      <c r="N102" s="1" t="n">
        <v>160</v>
      </c>
      <c r="P102" s="10" t="s">
        <v>49</v>
      </c>
      <c r="Q102" s="10" t="n">
        <f aca="false">1/2*(R99+Q99)</f>
        <v>0.0234560791953136</v>
      </c>
      <c r="R102" s="10" t="n">
        <f aca="false">1/2*(S99+R99)</f>
        <v>0.0228769465365109</v>
      </c>
      <c r="S102" s="10" t="n">
        <f aca="false">1/2*(T99+S99)</f>
        <v>0.0223121127140013</v>
      </c>
      <c r="T102" s="10" t="n">
        <f aca="false">1/2*(U99+T99)</f>
        <v>0.0217612246882589</v>
      </c>
      <c r="U102" s="10"/>
    </row>
    <row r="103" customFormat="false" ht="15" hidden="false" customHeight="false" outlineLevel="0" collapsed="false">
      <c r="B103" s="15" t="s">
        <v>32</v>
      </c>
      <c r="C103" s="16" t="n">
        <v>0.127</v>
      </c>
      <c r="P103" s="10" t="s">
        <v>50</v>
      </c>
      <c r="Q103" s="10" t="n">
        <f aca="false">Q101+Q102+1/$F$101</f>
        <v>0.339711716890757</v>
      </c>
      <c r="R103" s="10" t="n">
        <f aca="false">R101+R102+1/$F$101</f>
        <v>0.338538790760095</v>
      </c>
      <c r="S103" s="10" t="n">
        <f aca="false">S101+S102+1/$F$101</f>
        <v>0.337394824278782</v>
      </c>
      <c r="T103" s="10" t="n">
        <f aca="false">T101+T102+1/$F$101</f>
        <v>0.33627910243053</v>
      </c>
      <c r="U103" s="10"/>
    </row>
    <row r="104" customFormat="false" ht="15" hidden="false" customHeight="false" outlineLevel="0" collapsed="false">
      <c r="B104" s="15" t="s">
        <v>4</v>
      </c>
      <c r="C104" s="16" t="n">
        <v>4</v>
      </c>
      <c r="P104" s="10"/>
      <c r="Q104" s="10" t="n">
        <v>1</v>
      </c>
      <c r="R104" s="10" t="n">
        <v>2</v>
      </c>
      <c r="S104" s="10" t="n">
        <v>3</v>
      </c>
      <c r="T104" s="10" t="n">
        <v>4</v>
      </c>
      <c r="U104" s="10"/>
    </row>
    <row r="105" customFormat="false" ht="15" hidden="false" customHeight="false" outlineLevel="0" collapsed="false">
      <c r="B105" s="15" t="s">
        <v>6</v>
      </c>
      <c r="C105" s="16" t="n">
        <f aca="false">40*4</f>
        <v>160</v>
      </c>
      <c r="P105" s="10"/>
      <c r="Q105" s="10"/>
      <c r="R105" s="10"/>
      <c r="S105" s="10"/>
      <c r="T105" s="10"/>
      <c r="U105" s="10"/>
    </row>
    <row r="106" customFormat="false" ht="15" hidden="false" customHeight="false" outlineLevel="0" collapsed="false">
      <c r="P106" s="10"/>
      <c r="Q106" s="10"/>
      <c r="R106" s="10"/>
      <c r="S106" s="10"/>
      <c r="T106" s="10"/>
      <c r="U106" s="10"/>
    </row>
    <row r="107" customFormat="false" ht="15" hidden="false" customHeight="false" outlineLevel="0" collapsed="false">
      <c r="P107" s="14" t="s">
        <v>35</v>
      </c>
      <c r="Q107" s="14" t="n">
        <v>1</v>
      </c>
      <c r="R107" s="14" t="n">
        <v>2</v>
      </c>
      <c r="S107" s="14" t="n">
        <v>3</v>
      </c>
      <c r="T107" s="21" t="n">
        <v>4</v>
      </c>
      <c r="U107" s="21" t="n">
        <v>5</v>
      </c>
    </row>
    <row r="108" customFormat="false" ht="15" hidden="false" customHeight="false" outlineLevel="0" collapsed="false">
      <c r="P108" s="14" t="s">
        <v>36</v>
      </c>
      <c r="Q108" s="13" t="n">
        <v>0</v>
      </c>
      <c r="R108" s="13" t="n">
        <f aca="false">Q102/(Q103-Q101*Q108)</f>
        <v>0.0690470125964377</v>
      </c>
      <c r="S108" s="13" t="n">
        <f aca="false">R102/(R103-R101*R108)</f>
        <v>0.0679003905861663</v>
      </c>
      <c r="T108" s="13" t="n">
        <f aca="false">S102/(S103-S101*S108)</f>
        <v>0.0664364429719</v>
      </c>
      <c r="U108" s="13" t="n">
        <f aca="false">T102/(T103-T101*T108)</f>
        <v>0.0649983122941119</v>
      </c>
    </row>
    <row r="109" customFormat="false" ht="15" hidden="false" customHeight="false" outlineLevel="0" collapsed="false">
      <c r="P109" s="14" t="s">
        <v>37</v>
      </c>
      <c r="Q109" s="13" t="n">
        <f aca="false">I99</f>
        <v>4</v>
      </c>
      <c r="R109" s="13" t="n">
        <f aca="false">(Q101*Q109+J99)/(Q103-Q101*Q108)</f>
        <v>30.4263850104192</v>
      </c>
      <c r="S109" s="13" t="n">
        <f aca="false">(R101*R109+K99)/(R103-R101*R108)</f>
        <v>88.0735857778225</v>
      </c>
      <c r="T109" s="13" t="n">
        <f aca="false">(S101*S109+L99)/(S103-S101*S108)</f>
        <v>185.131558018805</v>
      </c>
      <c r="U109" s="13" t="n">
        <f aca="false">(T101*T109+M99)/(T103-T101*T108)</f>
        <v>322.496175197058</v>
      </c>
    </row>
    <row r="110" customFormat="false" ht="15" hidden="false" customHeight="false" outlineLevel="0" collapsed="false">
      <c r="P110" s="14" t="s">
        <v>38</v>
      </c>
      <c r="Q110" s="1" t="n">
        <f aca="false">R108*R110+R109</f>
        <v>37.4792476549633</v>
      </c>
      <c r="R110" s="1" t="n">
        <f aca="false">S108*S110+S109</f>
        <v>102.145804421204</v>
      </c>
      <c r="S110" s="1" t="n">
        <f aca="false">T108*T110+T109</f>
        <v>207.247977837819</v>
      </c>
      <c r="T110" s="1" t="n">
        <f aca="false">U108*U110+U109</f>
        <v>332.895905164116</v>
      </c>
      <c r="U110" s="1" t="n">
        <v>160</v>
      </c>
    </row>
    <row r="111" customFormat="false" ht="15" hidden="false" customHeight="false" outlineLevel="0" collapsed="false">
      <c r="P111" s="13"/>
      <c r="Q111" s="14"/>
      <c r="R111" s="14"/>
      <c r="S111" s="14"/>
    </row>
    <row r="112" customFormat="false" ht="15" hidden="false" customHeight="false" outlineLevel="0" collapsed="false">
      <c r="P112" s="13"/>
      <c r="Q112" s="14"/>
      <c r="R112" s="14"/>
      <c r="S112" s="14"/>
    </row>
    <row r="118" customFormat="false" ht="15" hidden="false" customHeight="false" outlineLevel="0" collapsed="false">
      <c r="B118" s="8" t="s">
        <v>20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20" customFormat="false" ht="15" hidden="false" customHeight="false" outlineLevel="0" collapsed="false">
      <c r="B120" s="0" t="s">
        <v>51</v>
      </c>
      <c r="M120" s="22" t="s">
        <v>52</v>
      </c>
      <c r="O120" s="0" t="n">
        <v>0</v>
      </c>
      <c r="P120" s="0" t="n">
        <v>0.2</v>
      </c>
      <c r="Q120" s="0" t="n">
        <v>0.4</v>
      </c>
      <c r="R120" s="0" t="n">
        <v>0.6</v>
      </c>
      <c r="S120" s="0" t="n">
        <v>0.8</v>
      </c>
      <c r="T120" s="0" t="n">
        <v>1</v>
      </c>
    </row>
    <row r="121" customFormat="false" ht="15" hidden="false" customHeight="false" outlineLevel="0" collapsed="false">
      <c r="E121" s="23" t="s">
        <v>53</v>
      </c>
      <c r="F121" s="24" t="n">
        <v>10</v>
      </c>
      <c r="I121" s="25"/>
      <c r="O121" s="26" t="n">
        <f aca="false">1/(1+1/2*0.2*ABS(4*COS(3.14*O120)))</f>
        <v>0.714285714285714</v>
      </c>
      <c r="P121" s="26" t="n">
        <f aca="false">1/(1+1/2*0.2*ABS(4*COS(3.14*P120)))</f>
        <v>0.755468645411167</v>
      </c>
      <c r="Q121" s="26" t="n">
        <f aca="false">1/(1+1/2*0.2*ABS(4*COS(3.14*Q120)))</f>
        <v>0.889799153246433</v>
      </c>
      <c r="R121" s="26" t="n">
        <f aca="false">1/(1+1/2*0.2*ABS(4*COS(3.14*R120)))</f>
        <v>0.890279138891331</v>
      </c>
      <c r="S121" s="26" t="n">
        <f aca="false">1/(1+1/2*0.2*ABS(4*COS(3.14*S120)))</f>
        <v>0.755682560422128</v>
      </c>
      <c r="T121" s="26" t="n">
        <f aca="false">1/(1+1/2*0.2*ABS(4*COS(3.14*T120)))</f>
        <v>0.714285973116922</v>
      </c>
    </row>
    <row r="122" customFormat="false" ht="15" hidden="false" customHeight="false" outlineLevel="0" collapsed="false">
      <c r="B122" s="0" t="s">
        <v>54</v>
      </c>
      <c r="C122" s="1" t="s">
        <v>55</v>
      </c>
      <c r="F122" s="10"/>
      <c r="M122" s="22" t="s">
        <v>56</v>
      </c>
      <c r="O122" s="26" t="n">
        <f aca="false">(((4*COS(3.14*O120))+ABS(4*COS(3.14*O120))))/2</f>
        <v>4</v>
      </c>
      <c r="P122" s="26" t="n">
        <f aca="false">(((4*COS(3.14*P120))+ABS(4*COS(3.14*P120))))/2</f>
        <v>3.23681672395213</v>
      </c>
      <c r="Q122" s="26" t="n">
        <f aca="false">(((4*COS(3.14*Q120))+ABS(4*COS(3.14*Q120))))/2</f>
        <v>1.2384912522281</v>
      </c>
      <c r="R122" s="26" t="n">
        <f aca="false">(((4*COS(3.14*R120))+ABS(4*COS(3.14*R120))))/2</f>
        <v>0</v>
      </c>
      <c r="S122" s="26" t="n">
        <f aca="false">(((4*COS(3.14*S120))+ABS(4*COS(3.14*S120))))/2</f>
        <v>0</v>
      </c>
      <c r="T122" s="26" t="n">
        <f aca="false">(((4*COS(3.14*T120))+ABS(4*COS(3.14*T120))))/2</f>
        <v>0</v>
      </c>
    </row>
    <row r="123" customFormat="false" ht="15" hidden="false" customHeight="false" outlineLevel="0" collapsed="false">
      <c r="B123" s="0" t="s">
        <v>57</v>
      </c>
      <c r="C123" s="1" t="s">
        <v>58</v>
      </c>
      <c r="E123" s="23" t="s">
        <v>59</v>
      </c>
      <c r="F123" s="24" t="n">
        <f aca="false">10*EXP(-4)</f>
        <v>0.183156388887342</v>
      </c>
      <c r="M123" s="22" t="s">
        <v>60</v>
      </c>
      <c r="O123" s="26" t="n">
        <f aca="false">(((4*COS(3.14*O120))-ABS(4*COS(3.14*O120))))/2</f>
        <v>0</v>
      </c>
      <c r="P123" s="26" t="n">
        <f aca="false">(((4*COS(3.14*P120))-ABS(4*COS(3.14*P120))))/2</f>
        <v>0</v>
      </c>
      <c r="Q123" s="26" t="n">
        <f aca="false">(((4*COS(3.14*Q120))-ABS(4*COS(3.14*Q120))))/2</f>
        <v>0</v>
      </c>
      <c r="R123" s="26" t="n">
        <f aca="false">(((4*COS(3.14*R120))-ABS(4*COS(3.14*R120))))/2</f>
        <v>-1.23243212511197</v>
      </c>
      <c r="S123" s="26" t="n">
        <f aca="false">(((4*COS(3.14*S120))-ABS(4*COS(3.14*S120))))/2</f>
        <v>-3.23306970907724</v>
      </c>
      <c r="T123" s="26" t="n">
        <f aca="false">(((4*COS(3.14*T120))-ABS(4*COS(3.14*T120))))/2</f>
        <v>-3.99999492691016</v>
      </c>
    </row>
    <row r="124" customFormat="false" ht="15" hidden="false" customHeight="false" outlineLevel="0" collapsed="false">
      <c r="B124" s="0" t="s">
        <v>61</v>
      </c>
      <c r="C124" s="1" t="s">
        <v>62</v>
      </c>
    </row>
    <row r="125" customFormat="false" ht="15" hidden="false" customHeight="false" outlineLevel="0" collapsed="false">
      <c r="M125" s="22" t="s">
        <v>47</v>
      </c>
      <c r="O125" s="26" t="n">
        <f aca="false">(O121/0.2^2-O123/0.2)</f>
        <v>17.8571428571429</v>
      </c>
      <c r="P125" s="26" t="n">
        <f aca="false">(P121/0.2^2-P123/0.2)</f>
        <v>18.8867161352792</v>
      </c>
      <c r="Q125" s="26" t="n">
        <f aca="false">(Q121/0.2^2-Q123/0.2)</f>
        <v>22.2449788311608</v>
      </c>
      <c r="R125" s="26" t="n">
        <f aca="false">(R121/0.2^2-R123/0.2)</f>
        <v>28.4191390978431</v>
      </c>
      <c r="S125" s="26" t="n">
        <f aca="false">(S121/0.2^2-S123/0.2)</f>
        <v>35.0574125559394</v>
      </c>
      <c r="T125" s="26" t="n">
        <f aca="false">(T121/0.2^2-T123/0.2)</f>
        <v>37.8571239624739</v>
      </c>
    </row>
    <row r="126" customFormat="false" ht="15" hidden="false" customHeight="false" outlineLevel="0" collapsed="false">
      <c r="B126" s="0" t="s">
        <v>63</v>
      </c>
      <c r="C126" s="1" t="n">
        <v>4</v>
      </c>
      <c r="E126" s="23"/>
      <c r="F126" s="27" t="n">
        <v>0</v>
      </c>
      <c r="G126" s="27" t="n">
        <v>0.2</v>
      </c>
      <c r="H126" s="23" t="n">
        <v>0.4</v>
      </c>
      <c r="I126" s="23" t="n">
        <v>0.6</v>
      </c>
      <c r="J126" s="23" t="n">
        <v>0.8</v>
      </c>
      <c r="K126" s="23" t="n">
        <v>1</v>
      </c>
      <c r="M126" s="22" t="s">
        <v>49</v>
      </c>
      <c r="O126" s="26" t="n">
        <f aca="false">(O121/0.2^2+O122/0.2)</f>
        <v>37.8571428571429</v>
      </c>
      <c r="P126" s="26" t="n">
        <f aca="false">(P121/0.2^2+P122/0.2)</f>
        <v>35.0707997550398</v>
      </c>
      <c r="Q126" s="26" t="n">
        <f aca="false">(Q121/0.2^2+Q122/0.2)</f>
        <v>28.4374350923013</v>
      </c>
      <c r="R126" s="26" t="n">
        <f aca="false">(R121/0.2^2+R122/0.2)</f>
        <v>22.2569784722833</v>
      </c>
      <c r="S126" s="26" t="n">
        <f aca="false">(S121/0.2^2+S122/0.2)</f>
        <v>18.8920640105532</v>
      </c>
      <c r="T126" s="26" t="n">
        <f aca="false">(T121/0.2^2+T122/0.2)</f>
        <v>17.8571493279231</v>
      </c>
    </row>
    <row r="127" customFormat="false" ht="15" hidden="false" customHeight="false" outlineLevel="0" collapsed="false">
      <c r="B127" s="0" t="s">
        <v>64</v>
      </c>
      <c r="C127" s="1" t="s">
        <v>65</v>
      </c>
      <c r="E127" s="23" t="s">
        <v>66</v>
      </c>
      <c r="F127" s="24" t="n">
        <f aca="false">10*EXP(-4*F126)</f>
        <v>10</v>
      </c>
      <c r="G127" s="24" t="n">
        <f aca="false">10*EXP(-4*G126)</f>
        <v>4.49328964117222</v>
      </c>
      <c r="H127" s="24" t="n">
        <f aca="false">10*EXP(-4*H126)</f>
        <v>2.01896517994655</v>
      </c>
      <c r="I127" s="24" t="n">
        <f aca="false">10*EXP(-4*I126)</f>
        <v>0.907179532894125</v>
      </c>
      <c r="J127" s="24" t="n">
        <f aca="false">10*EXP(-4*J126)</f>
        <v>0.407622039783662</v>
      </c>
      <c r="K127" s="24" t="n">
        <f aca="false">10*EXP(-4*K126)</f>
        <v>0.183156388887342</v>
      </c>
      <c r="M127" s="22" t="s">
        <v>50</v>
      </c>
      <c r="O127" s="26" t="n">
        <f aca="false">((2*O121)/0.2^2+1+O122/0.2-O123/0.2)</f>
        <v>56.7142857142857</v>
      </c>
      <c r="P127" s="26" t="n">
        <f aca="false">((2*P121)/0.2^2+1+P122/0.2-P123/0.2)</f>
        <v>54.957515890319</v>
      </c>
      <c r="Q127" s="26" t="n">
        <f aca="false">((2*Q121)/0.2^2+1+Q122/0.2-Q123/0.2)</f>
        <v>51.6824139234621</v>
      </c>
      <c r="R127" s="26" t="n">
        <f aca="false">((2*R121)/0.2^2+1+R122/0.2-R123/0.2)</f>
        <v>51.6761175701264</v>
      </c>
      <c r="S127" s="26" t="n">
        <f aca="false">((2*S121)/0.2^2+1+S122/0.2-S123/0.2)</f>
        <v>54.9494765664926</v>
      </c>
      <c r="T127" s="26" t="n">
        <f aca="false">((2*T121)/0.2^2+1+T122/0.2-T123/0.2)</f>
        <v>56.7142732903969</v>
      </c>
    </row>
    <row r="128" customFormat="false" ht="15" hidden="false" customHeight="false" outlineLevel="0" collapsed="false">
      <c r="B128" s="0" t="s">
        <v>67</v>
      </c>
      <c r="F128" s="24" t="n">
        <v>10</v>
      </c>
      <c r="G128" s="24" t="n">
        <v>4.36586576221462</v>
      </c>
      <c r="H128" s="28" t="n">
        <v>3.35339450984373</v>
      </c>
      <c r="I128" s="28" t="n">
        <v>2.60832125772092</v>
      </c>
      <c r="J128" s="28" t="n">
        <v>1.7333957286522</v>
      </c>
      <c r="K128" s="24" t="n">
        <v>0.18</v>
      </c>
    </row>
    <row r="129" customFormat="false" ht="15" hidden="false" customHeight="false" outlineLevel="0" collapsed="false">
      <c r="B129" s="0" t="s">
        <v>68</v>
      </c>
      <c r="F129" s="24" t="n">
        <v>10</v>
      </c>
      <c r="G129" s="24" t="n">
        <v>4.46892176756984</v>
      </c>
      <c r="H129" s="28" t="n">
        <v>3.48147538342862</v>
      </c>
      <c r="I129" s="28" t="n">
        <v>2.71120290712082</v>
      </c>
      <c r="J129" s="28" t="n">
        <v>1.78351945493744</v>
      </c>
      <c r="K129" s="24" t="n">
        <v>0.18</v>
      </c>
    </row>
    <row r="130" customFormat="false" ht="15" hidden="false" customHeight="false" outlineLevel="0" collapsed="false">
      <c r="B130" s="0" t="s">
        <v>69</v>
      </c>
      <c r="F130" s="24" t="n">
        <v>10</v>
      </c>
      <c r="G130" s="24" t="n">
        <v>4.47829527373849</v>
      </c>
      <c r="H130" s="28" t="n">
        <v>3.48985605339688</v>
      </c>
      <c r="I130" s="28" t="n">
        <v>2.71650120510137</v>
      </c>
      <c r="J130" s="28" t="n">
        <v>1.7854144902348</v>
      </c>
      <c r="K130" s="24" t="n">
        <v>0.18</v>
      </c>
      <c r="M130" s="22" t="s">
        <v>36</v>
      </c>
      <c r="N130" s="26" t="n">
        <v>0</v>
      </c>
      <c r="O130" s="26" t="n">
        <f aca="false">O126/(O127-N130*O125)</f>
        <v>0.667506297229219</v>
      </c>
      <c r="P130" s="26" t="n">
        <f aca="false">P126/(P127-O130*P125)</f>
        <v>0.828108008512154</v>
      </c>
      <c r="Q130" s="26" t="n">
        <f aca="false">Q126/(Q127-P130*Q125)</f>
        <v>0.854974016689248</v>
      </c>
      <c r="R130" s="26" t="n">
        <f aca="false">R126/(R127-Q130*R125)</f>
        <v>0.812936608035631</v>
      </c>
      <c r="S130" s="26" t="n">
        <f aca="false">S126/(S127-R130*S125)</f>
        <v>0.714255120145218</v>
      </c>
    </row>
    <row r="131" customFormat="false" ht="15" hidden="false" customHeight="false" outlineLevel="0" collapsed="false">
      <c r="B131" s="0" t="s">
        <v>70</v>
      </c>
      <c r="F131" s="0"/>
      <c r="G131" s="0"/>
      <c r="M131" s="22" t="s">
        <v>37</v>
      </c>
      <c r="N131" s="26" t="n">
        <v>10</v>
      </c>
      <c r="O131" s="26" t="n">
        <f aca="false">(O125*N131+F127)/(O127-O125*N130)</f>
        <v>3.32493702770781</v>
      </c>
      <c r="P131" s="26" t="n">
        <f aca="false">(P125*O131+G127)/(P127-P125*O130)</f>
        <v>1.58889291291234</v>
      </c>
      <c r="Q131" s="26" t="n">
        <f aca="false">(Q125*P131+H127)/(Q127-Q125*P130)</f>
        <v>1.12334760731412</v>
      </c>
      <c r="R131" s="26" t="n">
        <f aca="false">(R125*Q131+I127)/(R127-R125*Q130)</f>
        <v>1.19918041368695</v>
      </c>
      <c r="S131" s="26" t="n">
        <f aca="false">(S125*R131+J127)/(S127-S125*R130)</f>
        <v>1.60482980702606</v>
      </c>
    </row>
    <row r="132" customFormat="false" ht="15" hidden="false" customHeight="false" outlineLevel="0" collapsed="false">
      <c r="B132" s="0" t="s">
        <v>71</v>
      </c>
      <c r="F132" s="0"/>
      <c r="G132" s="0"/>
      <c r="M132" s="22" t="s">
        <v>72</v>
      </c>
      <c r="O132" s="22" t="n">
        <f aca="false">P130*P132+P131</f>
        <v>4.36586576221462</v>
      </c>
      <c r="P132" s="22" t="n">
        <f aca="false">Q130*Q132+Q131</f>
        <v>3.35339450984373</v>
      </c>
      <c r="Q132" s="22" t="n">
        <f aca="false">R130*R132+R131</f>
        <v>2.60832125772092</v>
      </c>
      <c r="R132" s="22" t="n">
        <f aca="false">S130*S132+S131</f>
        <v>1.7333957286522</v>
      </c>
      <c r="S132" s="0" t="n">
        <v>0.18</v>
      </c>
    </row>
    <row r="133" customFormat="false" ht="15" hidden="false" customHeight="false" outlineLevel="0" collapsed="false">
      <c r="B133" s="0" t="s">
        <v>73</v>
      </c>
    </row>
    <row r="134" customFormat="false" ht="15" hidden="false" customHeight="false" outlineLevel="0" collapsed="false">
      <c r="B134" s="0" t="s">
        <v>74</v>
      </c>
      <c r="M134" s="22" t="s">
        <v>36</v>
      </c>
      <c r="N134" s="26" t="n">
        <v>0</v>
      </c>
      <c r="O134" s="26" t="n">
        <v>0.667506297229219</v>
      </c>
      <c r="P134" s="26" t="n">
        <v>0.828108008512154</v>
      </c>
      <c r="Q134" s="26" t="n">
        <v>0.854974016689248</v>
      </c>
      <c r="R134" s="26" t="n">
        <v>0.812936608035631</v>
      </c>
      <c r="S134" s="26" t="n">
        <v>0.714255120145218</v>
      </c>
    </row>
    <row r="135" customFormat="false" ht="15" hidden="false" customHeight="false" outlineLevel="0" collapsed="false">
      <c r="M135" s="22" t="s">
        <v>37</v>
      </c>
      <c r="N135" s="26" t="n">
        <v>10</v>
      </c>
      <c r="O135" s="26" t="n">
        <f aca="false">(O125*N131+F128)/(O127-O125*N130)</f>
        <v>3.32493702770781</v>
      </c>
      <c r="P135" s="26" t="n">
        <f aca="false">(P125*O131+G128)/(P127-P125*O130)</f>
        <v>1.58588412111468</v>
      </c>
      <c r="Q135" s="26" t="n">
        <f aca="false">(Q125*P131+H128)/(Q127-Q125*P130)</f>
        <v>1.16346734386797</v>
      </c>
      <c r="R135" s="26" t="n">
        <f aca="false">(R125*Q131+I128)/(R127-R125*Q130)</f>
        <v>1.26131465105842</v>
      </c>
      <c r="S135" s="26" t="n">
        <f aca="false">(S125*R131+J128)/(S127-S125*R130)</f>
        <v>1.6549535333113</v>
      </c>
    </row>
    <row r="136" customFormat="false" ht="15" hidden="false" customHeight="false" outlineLevel="0" collapsed="false">
      <c r="M136" s="22" t="s">
        <v>72</v>
      </c>
      <c r="O136" s="22" t="n">
        <f aca="false">P134*P136+P135</f>
        <v>4.46892176756984</v>
      </c>
      <c r="P136" s="22" t="n">
        <f aca="false">Q134*Q136+Q135</f>
        <v>3.48147538342862</v>
      </c>
      <c r="Q136" s="22" t="n">
        <f aca="false">R134*R136+R135</f>
        <v>2.71120290712082</v>
      </c>
      <c r="R136" s="22" t="n">
        <f aca="false">S134*S136+S135</f>
        <v>1.78351945493744</v>
      </c>
      <c r="S136" s="0" t="n">
        <v>0.18</v>
      </c>
    </row>
    <row r="138" customFormat="false" ht="15" hidden="false" customHeight="false" outlineLevel="0" collapsed="false">
      <c r="M138" s="22" t="s">
        <v>36</v>
      </c>
      <c r="N138" s="26" t="n">
        <v>0</v>
      </c>
      <c r="O138" s="26" t="n">
        <v>0.667506297229219</v>
      </c>
      <c r="P138" s="26" t="n">
        <v>0.828108008512154</v>
      </c>
      <c r="Q138" s="26" t="n">
        <v>0.854974016689248</v>
      </c>
      <c r="R138" s="26" t="n">
        <v>0.812936608035631</v>
      </c>
      <c r="S138" s="26" t="n">
        <v>0.714255120145218</v>
      </c>
    </row>
    <row r="139" customFormat="false" ht="15" hidden="false" customHeight="false" outlineLevel="0" collapsed="false">
      <c r="M139" s="22" t="s">
        <v>37</v>
      </c>
      <c r="N139" s="26" t="n">
        <v>10</v>
      </c>
      <c r="O139" s="26" t="n">
        <f aca="false">(O125*N131+F129)/(O127-O125*N130)</f>
        <v>3.32493702770781</v>
      </c>
      <c r="P139" s="26" t="n">
        <f aca="false">(P125*O131+G129)/(P127-P125*O130)</f>
        <v>1.58831752736592</v>
      </c>
      <c r="Q139" s="26" t="n">
        <f aca="false">(Q125*P131+H129)/(Q127-Q125*P130)</f>
        <v>1.16731810673018</v>
      </c>
      <c r="R139" s="26" t="n">
        <f aca="false">(R125*Q131+I129)/(R127-R125*Q130)</f>
        <v>1.26507240547223</v>
      </c>
      <c r="S139" s="26" t="n">
        <f aca="false">(S125*R131+J129)/(S127-S125*R130)</f>
        <v>1.65684856860866</v>
      </c>
    </row>
    <row r="140" customFormat="false" ht="15" hidden="false" customHeight="false" outlineLevel="0" collapsed="false">
      <c r="M140" s="22" t="s">
        <v>72</v>
      </c>
      <c r="O140" s="22" t="n">
        <f aca="false">P138*P140+P139</f>
        <v>4.47829527373849</v>
      </c>
      <c r="P140" s="22" t="n">
        <f aca="false">Q138*Q140+Q139</f>
        <v>3.48985605339688</v>
      </c>
      <c r="Q140" s="22" t="n">
        <f aca="false">R138*R140+R139</f>
        <v>2.71650120510137</v>
      </c>
      <c r="R140" s="22" t="n">
        <f aca="false">S138*S140+S139</f>
        <v>1.7854144902348</v>
      </c>
      <c r="S140" s="0" t="n">
        <v>0.18</v>
      </c>
    </row>
  </sheetData>
  <mergeCells count="4">
    <mergeCell ref="A24:T24"/>
    <mergeCell ref="A56:T56"/>
    <mergeCell ref="A89:T89"/>
    <mergeCell ref="B118:U1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2025-02-25T10:17:13Z</dcterms:created>
  <dc:creator>Night Phoenix</dc:creator>
  <dc:description/>
  <dc:language>en-GB</dc:language>
  <cp:lastModifiedBy/>
  <dcterms:modified xsi:type="dcterms:W3CDTF">2025-03-25T12:03:58Z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