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3"/>
  <workbookPr filterPrivacy="1"/>
  <xr:revisionPtr revIDLastSave="0" documentId="8_{376A20F4-9A14-40D1-9F57-EDDF2DC4D0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risa" sheetId="1" r:id="rId1"/>
    <sheet name="Beta" sheetId="3" r:id="rId2"/>
    <sheet name="EBITDA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B9" i="1"/>
  <c r="M15" i="1"/>
  <c r="M17" i="1" s="1"/>
  <c r="M19" i="1" s="1"/>
  <c r="M23" i="1" s="1"/>
  <c r="L75" i="3" l="1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N4" i="3" s="1"/>
  <c r="N3" i="3"/>
  <c r="O5" i="3" l="1"/>
  <c r="N5" i="3" s="1"/>
  <c r="I15" i="1"/>
  <c r="I16" i="1" s="1"/>
  <c r="C10" i="2"/>
  <c r="C20" i="2" s="1"/>
  <c r="C21" i="2" s="1"/>
  <c r="C4" i="2"/>
  <c r="C12" i="2" s="1"/>
  <c r="F17" i="1"/>
  <c r="B11" i="1"/>
  <c r="F3" i="1"/>
  <c r="G3" i="1" s="1"/>
  <c r="C18" i="2" l="1"/>
  <c r="H3" i="1"/>
  <c r="J4" i="1"/>
  <c r="I4" i="1"/>
  <c r="G4" i="1"/>
  <c r="G5" i="1" s="1"/>
  <c r="F4" i="1"/>
  <c r="F5" i="1" s="1"/>
  <c r="E4" i="1"/>
  <c r="E5" i="1" s="1"/>
  <c r="H4" i="1"/>
  <c r="H5" i="1" l="1"/>
  <c r="I3" i="1"/>
  <c r="I5" i="1" l="1"/>
  <c r="J3" i="1"/>
  <c r="J5" i="1" l="1"/>
  <c r="E6" i="1" s="1"/>
  <c r="J7" i="1"/>
  <c r="E7" i="1" s="1"/>
  <c r="E8" i="1" l="1"/>
  <c r="E10" i="1" s="1"/>
  <c r="E11" i="1" s="1"/>
</calcChain>
</file>

<file path=xl/sharedStrings.xml><?xml version="1.0" encoding="utf-8"?>
<sst xmlns="http://schemas.openxmlformats.org/spreadsheetml/2006/main" count="80" uniqueCount="75">
  <si>
    <t>B)</t>
  </si>
  <si>
    <t>Rf</t>
  </si>
  <si>
    <t>Y2021</t>
  </si>
  <si>
    <t>Y2022</t>
  </si>
  <si>
    <t>Y2023</t>
  </si>
  <si>
    <t>Y2024</t>
  </si>
  <si>
    <t>Y2025</t>
  </si>
  <si>
    <t>Y2026</t>
  </si>
  <si>
    <t>beta</t>
  </si>
  <si>
    <t>FCF</t>
  </si>
  <si>
    <t>Rm MRP(Damodaran)</t>
  </si>
  <si>
    <t>DiscFactor</t>
  </si>
  <si>
    <t>DFCFs</t>
  </si>
  <si>
    <t>Tax</t>
  </si>
  <si>
    <t>PVeProjection</t>
  </si>
  <si>
    <t>D</t>
  </si>
  <si>
    <t>TV</t>
  </si>
  <si>
    <t>TV at Year2026</t>
  </si>
  <si>
    <t>E</t>
  </si>
  <si>
    <t>EV</t>
  </si>
  <si>
    <t>Re</t>
  </si>
  <si>
    <t>NetDebt</t>
  </si>
  <si>
    <t>FinDebt-Cash</t>
  </si>
  <si>
    <t>BRISA</t>
  </si>
  <si>
    <t>Rdaftertax</t>
  </si>
  <si>
    <t>Equity</t>
  </si>
  <si>
    <t>Year</t>
  </si>
  <si>
    <t>WACC</t>
  </si>
  <si>
    <t>PerShare</t>
  </si>
  <si>
    <t>10 year Goverment Bond Yield</t>
  </si>
  <si>
    <t>COGS</t>
  </si>
  <si>
    <t>Rate of Inflation</t>
  </si>
  <si>
    <t>Sales</t>
  </si>
  <si>
    <t>Real Risk Free Return</t>
  </si>
  <si>
    <t>EBITDA</t>
  </si>
  <si>
    <t>Nominal Risk Free Return</t>
  </si>
  <si>
    <t>Depreciation</t>
  </si>
  <si>
    <t>Net WC</t>
  </si>
  <si>
    <t>Profit Before Tax (EBIT)</t>
  </si>
  <si>
    <t>Profit After Tax</t>
  </si>
  <si>
    <t>C)</t>
  </si>
  <si>
    <t>EV/SALES</t>
  </si>
  <si>
    <t>P/E</t>
  </si>
  <si>
    <t>P/B</t>
  </si>
  <si>
    <t>EV/EBITDA</t>
  </si>
  <si>
    <t>Investment in fixed assets</t>
  </si>
  <si>
    <t>Investment in working capital</t>
  </si>
  <si>
    <t>GOODYEAR LASTİKLERİ T.A.Ş.</t>
  </si>
  <si>
    <t>Pirelli &amp; C SPA (PIRC)</t>
  </si>
  <si>
    <t>AVG</t>
  </si>
  <si>
    <t>Index</t>
  </si>
  <si>
    <t>Date</t>
  </si>
  <si>
    <t>BIST100(market)</t>
  </si>
  <si>
    <t>BRISA(stock)</t>
  </si>
  <si>
    <t>Rm</t>
  </si>
  <si>
    <t>Ri</t>
  </si>
  <si>
    <t>BIST100</t>
  </si>
  <si>
    <t>COVARIANCE</t>
  </si>
  <si>
    <t>varRm</t>
  </si>
  <si>
    <t>beta(BRISA)</t>
  </si>
  <si>
    <t>Revenue</t>
  </si>
  <si>
    <t>Cost of Goods Sold</t>
  </si>
  <si>
    <t xml:space="preserve">Gross Margin </t>
  </si>
  <si>
    <t>Selling Expenses</t>
  </si>
  <si>
    <t>Administrative Expenses</t>
  </si>
  <si>
    <t>Depreciation Expenses</t>
  </si>
  <si>
    <t>Amortization Expense</t>
  </si>
  <si>
    <t>Total Operating Expenses</t>
  </si>
  <si>
    <t>Operating Income</t>
  </si>
  <si>
    <t>Other Expenses</t>
  </si>
  <si>
    <t>Interest Expense</t>
  </si>
  <si>
    <t>Income Tax Expense</t>
  </si>
  <si>
    <t>Net Income(Loss)</t>
  </si>
  <si>
    <t>EBIT</t>
  </si>
  <si>
    <t>EBITDA(FAVÖK)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</si>
</sst>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6" borderId="24" applyNumberFormat="0" applyFont="0" applyAlignment="0" applyProtection="0"/>
  </cellStyleXfs>
  <cellXfs count="74">
    <xf numFmtId="0" fontId="0" fillId="0" borderId="0" xfId="0"/>
    <xf numFmtId="9" fontId="0" fillId="0" borderId="0" xfId="2" applyFont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0" fillId="0" borderId="2" xfId="0" applyBorder="1"/>
    <xf numFmtId="43" fontId="0" fillId="0" borderId="2" xfId="1" applyFont="1" applyBorder="1"/>
    <xf numFmtId="0" fontId="3" fillId="0" borderId="2" xfId="0" applyFont="1" applyBorder="1"/>
    <xf numFmtId="0" fontId="3" fillId="3" borderId="2" xfId="0" applyFont="1" applyFill="1" applyBorder="1" applyAlignment="1">
      <alignment horizontal="center"/>
    </xf>
    <xf numFmtId="0" fontId="3" fillId="0" borderId="0" xfId="0" applyFont="1"/>
    <xf numFmtId="3" fontId="0" fillId="0" borderId="2" xfId="0" applyNumberFormat="1" applyBorder="1"/>
    <xf numFmtId="164" fontId="0" fillId="0" borderId="2" xfId="0" applyNumberFormat="1" applyBorder="1"/>
    <xf numFmtId="3" fontId="0" fillId="2" borderId="4" xfId="0" applyNumberFormat="1" applyFill="1" applyBorder="1"/>
    <xf numFmtId="9" fontId="3" fillId="0" borderId="0" xfId="2" applyFont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22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3" fillId="3" borderId="7" xfId="0" applyFont="1" applyFill="1" applyBorder="1"/>
    <xf numFmtId="0" fontId="3" fillId="3" borderId="22" xfId="0" applyFont="1" applyFill="1" applyBorder="1"/>
    <xf numFmtId="0" fontId="3" fillId="3" borderId="15" xfId="0" applyFont="1" applyFill="1" applyBorder="1"/>
    <xf numFmtId="0" fontId="3" fillId="0" borderId="20" xfId="0" applyFont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19" xfId="0" applyFont="1" applyFill="1" applyBorder="1"/>
    <xf numFmtId="0" fontId="3" fillId="3" borderId="5" xfId="0" applyFont="1" applyFill="1" applyBorder="1"/>
    <xf numFmtId="0" fontId="3" fillId="3" borderId="11" xfId="0" applyFont="1" applyFill="1" applyBorder="1"/>
    <xf numFmtId="0" fontId="3" fillId="0" borderId="21" xfId="0" applyFont="1" applyBorder="1"/>
    <xf numFmtId="0" fontId="3" fillId="4" borderId="5" xfId="0" applyFont="1" applyFill="1" applyBorder="1"/>
    <xf numFmtId="0" fontId="3" fillId="0" borderId="23" xfId="0" applyFont="1" applyBorder="1"/>
    <xf numFmtId="0" fontId="3" fillId="4" borderId="6" xfId="0" applyFont="1" applyFill="1" applyBorder="1"/>
    <xf numFmtId="0" fontId="3" fillId="4" borderId="13" xfId="0" applyFont="1" applyFill="1" applyBorder="1"/>
    <xf numFmtId="3" fontId="0" fillId="0" borderId="7" xfId="0" quotePrefix="1" applyNumberFormat="1" applyBorder="1"/>
    <xf numFmtId="3" fontId="0" fillId="0" borderId="14" xfId="0" applyNumberFormat="1" applyBorder="1"/>
    <xf numFmtId="43" fontId="0" fillId="0" borderId="2" xfId="1" applyFont="1" applyBorder="1" applyAlignment="1">
      <alignment horizontal="right"/>
    </xf>
    <xf numFmtId="10" fontId="0" fillId="0" borderId="2" xfId="0" applyNumberFormat="1" applyBorder="1"/>
    <xf numFmtId="43" fontId="3" fillId="5" borderId="2" xfId="1" applyFont="1" applyFill="1" applyBorder="1" applyAlignment="1">
      <alignment wrapText="1"/>
    </xf>
    <xf numFmtId="0" fontId="3" fillId="5" borderId="2" xfId="0" applyFont="1" applyFill="1" applyBorder="1"/>
    <xf numFmtId="0" fontId="3" fillId="5" borderId="2" xfId="0" applyFont="1" applyFill="1" applyBorder="1" applyAlignment="1">
      <alignment wrapText="1"/>
    </xf>
    <xf numFmtId="0" fontId="0" fillId="4" borderId="0" xfId="0" applyFill="1"/>
    <xf numFmtId="17" fontId="0" fillId="0" borderId="0" xfId="0" applyNumberFormat="1"/>
    <xf numFmtId="4" fontId="0" fillId="4" borderId="0" xfId="0" applyNumberFormat="1" applyFill="1"/>
    <xf numFmtId="0" fontId="0" fillId="8" borderId="0" xfId="0" applyFill="1"/>
    <xf numFmtId="4" fontId="0" fillId="8" borderId="0" xfId="0" applyNumberFormat="1" applyFill="1"/>
    <xf numFmtId="0" fontId="5" fillId="8" borderId="0" xfId="0" applyFont="1" applyFill="1"/>
    <xf numFmtId="0" fontId="5" fillId="6" borderId="24" xfId="3" applyNumberFormat="1" applyFont="1"/>
    <xf numFmtId="2" fontId="0" fillId="0" borderId="0" xfId="0" applyNumberFormat="1"/>
    <xf numFmtId="10" fontId="0" fillId="0" borderId="0" xfId="0" applyNumberFormat="1"/>
    <xf numFmtId="4" fontId="0" fillId="0" borderId="0" xfId="0" applyNumberFormat="1"/>
    <xf numFmtId="0" fontId="3" fillId="8" borderId="0" xfId="0" applyFont="1" applyFill="1"/>
    <xf numFmtId="3" fontId="3" fillId="0" borderId="0" xfId="0" applyNumberFormat="1" applyFont="1"/>
    <xf numFmtId="3" fontId="0" fillId="4" borderId="2" xfId="0" applyNumberFormat="1" applyFill="1" applyBorder="1"/>
    <xf numFmtId="0" fontId="1" fillId="7" borderId="0" xfId="0" applyFont="1" applyFill="1"/>
    <xf numFmtId="0" fontId="0" fillId="4" borderId="2" xfId="0" applyFill="1" applyBorder="1"/>
    <xf numFmtId="0" fontId="3" fillId="4" borderId="2" xfId="0" applyFont="1" applyFill="1" applyBorder="1"/>
    <xf numFmtId="0" fontId="3" fillId="8" borderId="2" xfId="0" applyFont="1" applyFill="1" applyBorder="1"/>
    <xf numFmtId="0" fontId="3" fillId="8" borderId="3" xfId="0" applyFont="1" applyFill="1" applyBorder="1"/>
    <xf numFmtId="0" fontId="0" fillId="4" borderId="2" xfId="1" applyNumberFormat="1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2" xfId="1" applyNumberFormat="1" applyFont="1" applyFill="1" applyBorder="1" applyAlignment="1">
      <alignment horizontal="right"/>
    </xf>
    <xf numFmtId="0" fontId="3" fillId="7" borderId="0" xfId="0" applyFont="1" applyFill="1"/>
    <xf numFmtId="164" fontId="0" fillId="4" borderId="2" xfId="1" applyNumberFormat="1" applyFont="1" applyFill="1" applyBorder="1" applyAlignment="1">
      <alignment horizontal="right"/>
    </xf>
    <xf numFmtId="2" fontId="0" fillId="0" borderId="2" xfId="0" applyNumberFormat="1" applyBorder="1"/>
    <xf numFmtId="165" fontId="0" fillId="7" borderId="4" xfId="1" applyNumberFormat="1" applyFont="1" applyFill="1" applyBorder="1"/>
    <xf numFmtId="0" fontId="3" fillId="4" borderId="2" xfId="0" applyFont="1" applyFill="1" applyBorder="1" applyAlignment="1">
      <alignment wrapText="1"/>
    </xf>
    <xf numFmtId="0" fontId="0" fillId="8" borderId="1" xfId="0" applyFill="1" applyBorder="1" applyAlignment="1">
      <alignment horizontal="left"/>
    </xf>
    <xf numFmtId="0" fontId="3" fillId="7" borderId="0" xfId="0" applyFont="1" applyFill="1" applyAlignment="1">
      <alignment horizontal="center"/>
    </xf>
  </cellXfs>
  <cellStyles count="4">
    <cellStyle name="Normal" xfId="0" builtinId="0"/>
    <cellStyle name="Not" xfId="3" builtinId="10"/>
    <cellStyle name="Virgül" xfId="1" builtinId="3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</xdr:row>
      <xdr:rowOff>34506</xdr:rowOff>
    </xdr:from>
    <xdr:to>
      <xdr:col>18</xdr:col>
      <xdr:colOff>605861</xdr:colOff>
      <xdr:row>9</xdr:row>
      <xdr:rowOff>176228</xdr:rowOff>
    </xdr:to>
    <xdr:pic>
      <xdr:nvPicPr>
        <xdr:cNvPr id="2" name="Picture 1" descr="Beta - Calculation of Beta, Formula of Beta (Complete Details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2302" y="759125"/>
          <a:ext cx="1863305" cy="107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J4" sqref="J4"/>
    </sheetView>
  </sheetViews>
  <sheetFormatPr defaultRowHeight="14.45"/>
  <cols>
    <col min="1" max="1" width="25.28515625" bestFit="1" customWidth="1"/>
    <col min="2" max="2" width="8.7109375" bestFit="1" customWidth="1"/>
    <col min="4" max="4" width="13.8554687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9.7109375" customWidth="1"/>
    <col min="9" max="9" width="20.85546875" customWidth="1"/>
    <col min="10" max="10" width="22" customWidth="1"/>
    <col min="12" max="12" width="26.140625" customWidth="1"/>
    <col min="13" max="13" width="14.42578125" customWidth="1"/>
  </cols>
  <sheetData>
    <row r="1" spans="1:18">
      <c r="A1" s="72" t="s">
        <v>0</v>
      </c>
      <c r="B1" s="72"/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</row>
    <row r="2" spans="1:18">
      <c r="A2" s="7" t="s">
        <v>1</v>
      </c>
      <c r="B2" s="63">
        <v>-0.19600000000000001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</row>
    <row r="3" spans="1:18" ht="13.9" customHeight="1">
      <c r="A3" s="7" t="s">
        <v>8</v>
      </c>
      <c r="B3" s="65">
        <v>1.1200000000000001</v>
      </c>
      <c r="D3" s="61" t="s">
        <v>9</v>
      </c>
      <c r="E3" s="6">
        <v>814266885</v>
      </c>
      <c r="F3" s="6">
        <f>(E3*0.1)+E3</f>
        <v>895693573.5</v>
      </c>
      <c r="G3" s="6">
        <f t="shared" ref="G3:J3" si="0">(F3*0.1)+F3</f>
        <v>985262930.85000002</v>
      </c>
      <c r="H3" s="6">
        <f t="shared" si="0"/>
        <v>1083789223.9349999</v>
      </c>
      <c r="I3" s="6">
        <f t="shared" si="0"/>
        <v>1192168146.3285</v>
      </c>
      <c r="J3" s="6">
        <f t="shared" si="0"/>
        <v>1311384960.96135</v>
      </c>
    </row>
    <row r="4" spans="1:18">
      <c r="A4" s="7" t="s">
        <v>10</v>
      </c>
      <c r="B4" s="63">
        <v>5.33</v>
      </c>
      <c r="D4" s="7" t="s">
        <v>11</v>
      </c>
      <c r="E4" s="5">
        <f>1/(1+$B$11)^E1</f>
        <v>1</v>
      </c>
      <c r="F4" s="5">
        <f t="shared" ref="F4:J4" si="1">1/(1+$B$11)^F1</f>
        <v>0.14187423813534122</v>
      </c>
      <c r="G4" s="5">
        <f t="shared" si="1"/>
        <v>2.0128299446483505E-2</v>
      </c>
      <c r="H4" s="5">
        <f t="shared" si="1"/>
        <v>2.8556871489298576E-3</v>
      </c>
      <c r="I4" s="5">
        <f t="shared" si="1"/>
        <v>4.0514843860730827E-4</v>
      </c>
      <c r="J4" s="5">
        <f t="shared" si="1"/>
        <v>5.7480126059134917E-5</v>
      </c>
    </row>
    <row r="5" spans="1:18">
      <c r="A5" s="7"/>
      <c r="B5" s="40"/>
      <c r="D5" s="7" t="s">
        <v>12</v>
      </c>
      <c r="E5" s="11">
        <f>E3*E4*0.5</f>
        <v>407133442.5</v>
      </c>
      <c r="F5" s="11">
        <f t="shared" ref="F5:J5" si="2">F3*F4</f>
        <v>127075843.34303376</v>
      </c>
      <c r="G5" s="11">
        <f t="shared" si="2"/>
        <v>19831667.305668771</v>
      </c>
      <c r="H5" s="11">
        <f t="shared" si="2"/>
        <v>3094962.9589398429</v>
      </c>
      <c r="I5" s="11">
        <f t="shared" si="2"/>
        <v>483005.06304236082</v>
      </c>
      <c r="J5" s="11">
        <f t="shared" si="2"/>
        <v>75378.572868112125</v>
      </c>
    </row>
    <row r="6" spans="1:18">
      <c r="A6" s="7" t="s">
        <v>13</v>
      </c>
      <c r="B6" s="66">
        <v>0.25</v>
      </c>
      <c r="D6" s="7" t="s">
        <v>14</v>
      </c>
      <c r="E6" s="11">
        <f>SUM(E5:J5)</f>
        <v>557694299.74355292</v>
      </c>
    </row>
    <row r="7" spans="1:18">
      <c r="A7" s="7" t="s">
        <v>15</v>
      </c>
      <c r="B7" s="63">
        <v>0.4</v>
      </c>
      <c r="D7" s="7" t="s">
        <v>16</v>
      </c>
      <c r="E7" s="11">
        <f>J7*J4</f>
        <v>13194.557687713341</v>
      </c>
      <c r="I7" s="7" t="s">
        <v>17</v>
      </c>
      <c r="J7" s="11">
        <f>J3*(1+0.05)/(B11-0.05)</f>
        <v>229549908.67867836</v>
      </c>
    </row>
    <row r="8" spans="1:18">
      <c r="A8" s="7" t="s">
        <v>18</v>
      </c>
      <c r="B8" s="63">
        <v>0.8</v>
      </c>
      <c r="D8" s="7" t="s">
        <v>19</v>
      </c>
      <c r="E8" s="11">
        <f>SUM(E6,E7)</f>
        <v>557707494.30124068</v>
      </c>
    </row>
    <row r="9" spans="1:18">
      <c r="A9" s="7" t="s">
        <v>20</v>
      </c>
      <c r="B9" s="64">
        <f>B2+B3*(B4-B2)</f>
        <v>5.9931200000000002</v>
      </c>
      <c r="D9" s="7" t="s">
        <v>21</v>
      </c>
      <c r="E9" s="10">
        <v>3792834095</v>
      </c>
      <c r="F9" s="5" t="s">
        <v>22</v>
      </c>
      <c r="L9" t="s">
        <v>23</v>
      </c>
    </row>
    <row r="10" spans="1:18">
      <c r="A10" s="7" t="s">
        <v>24</v>
      </c>
      <c r="B10" s="68">
        <v>4.18</v>
      </c>
      <c r="D10" s="7" t="s">
        <v>25</v>
      </c>
      <c r="E10" s="11">
        <f>E8-E9</f>
        <v>-3235126600.6987591</v>
      </c>
      <c r="M10" s="55" t="s">
        <v>26</v>
      </c>
      <c r="N10" s="73"/>
      <c r="O10" s="73"/>
      <c r="P10" s="73"/>
      <c r="Q10" s="73"/>
      <c r="R10" s="73"/>
    </row>
    <row r="11" spans="1:18">
      <c r="A11" s="7" t="s">
        <v>27</v>
      </c>
      <c r="B11" s="59">
        <f>(1-B6)*B10*B7+B9*B8</f>
        <v>6.0484960000000001</v>
      </c>
      <c r="D11" s="7" t="s">
        <v>28</v>
      </c>
      <c r="E11" s="69">
        <f>E10/111900000</f>
        <v>-28.910872213572468</v>
      </c>
      <c r="M11">
        <v>2021</v>
      </c>
    </row>
    <row r="12" spans="1:18" ht="28.9">
      <c r="H12" s="42" t="s">
        <v>29</v>
      </c>
      <c r="I12" s="41">
        <v>0.2432</v>
      </c>
    </row>
    <row r="13" spans="1:18">
      <c r="A13" s="9"/>
      <c r="B13" s="13"/>
      <c r="D13" s="62" t="s">
        <v>30</v>
      </c>
      <c r="E13" s="57">
        <v>-3120969931</v>
      </c>
      <c r="F13" s="70"/>
      <c r="H13" s="43" t="s">
        <v>31</v>
      </c>
      <c r="I13" s="41">
        <v>0.54620000000000002</v>
      </c>
      <c r="L13" t="s">
        <v>32</v>
      </c>
      <c r="M13" s="52">
        <v>4504462155</v>
      </c>
    </row>
    <row r="14" spans="1:18">
      <c r="D14" s="9"/>
      <c r="E14" s="10"/>
      <c r="G14" s="1"/>
      <c r="L14" t="s">
        <v>30</v>
      </c>
      <c r="M14" s="4">
        <v>3120969931</v>
      </c>
    </row>
    <row r="15" spans="1:18">
      <c r="D15" s="2"/>
      <c r="E15" s="3"/>
      <c r="F15" s="2"/>
      <c r="G15" s="1"/>
      <c r="H15" s="44" t="s">
        <v>33</v>
      </c>
      <c r="I15" s="41">
        <f>(1+I12)/(1+I13)-1</f>
        <v>-0.19596429957314698</v>
      </c>
      <c r="L15" t="s">
        <v>34</v>
      </c>
      <c r="M15" s="4">
        <f>M13-M14</f>
        <v>1383492224</v>
      </c>
    </row>
    <row r="16" spans="1:18" ht="28.9">
      <c r="E16" s="4"/>
      <c r="H16" s="44" t="s">
        <v>35</v>
      </c>
      <c r="I16" s="41">
        <f>(1+I15)/(1+I13)</f>
        <v>0.52000756721436614</v>
      </c>
      <c r="L16" t="s">
        <v>36</v>
      </c>
      <c r="M16" s="4">
        <v>174809703</v>
      </c>
    </row>
    <row r="17" spans="1:13">
      <c r="D17" s="62" t="s">
        <v>37</v>
      </c>
      <c r="E17" s="57">
        <v>4360129471</v>
      </c>
      <c r="F17" s="12">
        <f>E17-E18</f>
        <v>3519762887</v>
      </c>
      <c r="L17" t="s">
        <v>38</v>
      </c>
      <c r="M17" s="4">
        <f>M15-M16</f>
        <v>1208682521</v>
      </c>
    </row>
    <row r="18" spans="1:13">
      <c r="E18" s="10">
        <v>840366584</v>
      </c>
      <c r="L18" t="s">
        <v>13</v>
      </c>
      <c r="M18" s="4">
        <v>1436651</v>
      </c>
    </row>
    <row r="19" spans="1:13">
      <c r="L19" t="s">
        <v>39</v>
      </c>
      <c r="M19" s="4">
        <f>M17-M18</f>
        <v>1207245870</v>
      </c>
    </row>
    <row r="20" spans="1:13">
      <c r="A20" s="59" t="s">
        <v>40</v>
      </c>
      <c r="I20" s="4"/>
    </row>
    <row r="21" spans="1:13">
      <c r="B21" s="60" t="s">
        <v>41</v>
      </c>
      <c r="C21" s="60" t="s">
        <v>42</v>
      </c>
      <c r="D21" s="60" t="s">
        <v>43</v>
      </c>
      <c r="E21" s="60" t="s">
        <v>44</v>
      </c>
      <c r="H21" s="58"/>
      <c r="L21" t="s">
        <v>45</v>
      </c>
      <c r="M21" s="4">
        <v>246281621</v>
      </c>
    </row>
    <row r="22" spans="1:13">
      <c r="A22" s="60" t="s">
        <v>23</v>
      </c>
      <c r="B22" s="5">
        <v>1.8</v>
      </c>
      <c r="C22" s="5">
        <v>9.9</v>
      </c>
      <c r="D22" s="5">
        <v>4.7300000000000004</v>
      </c>
      <c r="E22" s="5">
        <v>7.6</v>
      </c>
      <c r="H22" s="67"/>
      <c r="L22" t="s">
        <v>46</v>
      </c>
      <c r="M22" s="4">
        <v>321507067</v>
      </c>
    </row>
    <row r="23" spans="1:13">
      <c r="A23" s="60" t="s">
        <v>47</v>
      </c>
      <c r="B23" s="5">
        <v>0.6</v>
      </c>
      <c r="C23" s="5">
        <v>8.69</v>
      </c>
      <c r="D23" s="5">
        <v>2.11</v>
      </c>
      <c r="E23" s="5">
        <v>5</v>
      </c>
      <c r="L23" s="9" t="s">
        <v>9</v>
      </c>
      <c r="M23" s="56">
        <f>M19+M16-M21-M22</f>
        <v>814266885</v>
      </c>
    </row>
    <row r="24" spans="1:13">
      <c r="A24" s="71" t="s">
        <v>48</v>
      </c>
      <c r="B24" s="5">
        <v>21.8</v>
      </c>
      <c r="C24" s="5">
        <v>22.2</v>
      </c>
      <c r="D24" s="5">
        <v>1.37</v>
      </c>
      <c r="E24" s="5">
        <v>14.8</v>
      </c>
    </row>
    <row r="26" spans="1:13">
      <c r="A26" s="59" t="s">
        <v>49</v>
      </c>
      <c r="B26" s="69">
        <f>(B22+B23+B24)/3</f>
        <v>8.0666666666666664</v>
      </c>
      <c r="C26" s="69">
        <f>(C22+C23+C24)/3</f>
        <v>13.596666666666666</v>
      </c>
      <c r="D26" s="69">
        <f>(D22+D23+D24)/3</f>
        <v>2.7366666666666668</v>
      </c>
      <c r="E26" s="69">
        <f>(E22+E23+E24)/3</f>
        <v>9.1333333333333329</v>
      </c>
    </row>
  </sheetData>
  <mergeCells count="2">
    <mergeCell ref="A1:B1"/>
    <mergeCell ref="N10:R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O75"/>
  <sheetViews>
    <sheetView workbookViewId="0">
      <selection activeCell="O5" sqref="O5"/>
    </sheetView>
  </sheetViews>
  <sheetFormatPr defaultRowHeight="14.45"/>
  <cols>
    <col min="3" max="3" width="8.7109375" customWidth="1"/>
    <col min="4" max="6" width="8.85546875" hidden="1" customWidth="1"/>
    <col min="8" max="8" width="12.85546875" customWidth="1"/>
    <col min="9" max="9" width="14.7109375" customWidth="1"/>
    <col min="10" max="10" width="13.42578125" customWidth="1"/>
    <col min="11" max="11" width="10.28515625" customWidth="1"/>
    <col min="12" max="12" width="14" customWidth="1"/>
    <col min="13" max="13" width="13.5703125" customWidth="1"/>
    <col min="14" max="14" width="13.7109375" customWidth="1"/>
  </cols>
  <sheetData>
    <row r="2" spans="7:15">
      <c r="G2" s="45" t="s">
        <v>50</v>
      </c>
      <c r="H2" s="45" t="s">
        <v>51</v>
      </c>
      <c r="I2" s="45" t="s">
        <v>52</v>
      </c>
      <c r="J2" s="45" t="s">
        <v>53</v>
      </c>
      <c r="K2" t="s">
        <v>54</v>
      </c>
      <c r="L2" t="s">
        <v>55</v>
      </c>
    </row>
    <row r="3" spans="7:15">
      <c r="G3">
        <v>73</v>
      </c>
      <c r="H3" s="46">
        <v>42370</v>
      </c>
      <c r="I3">
        <v>734.81</v>
      </c>
      <c r="J3">
        <v>6.76</v>
      </c>
      <c r="K3" s="45" t="s">
        <v>56</v>
      </c>
      <c r="L3" s="47" t="s">
        <v>23</v>
      </c>
      <c r="M3" s="48" t="s">
        <v>57</v>
      </c>
      <c r="N3">
        <f>_xlfn.COVARIANCE.S(K4:K75,L4:L75)</f>
        <v>5.2758236057151159E-3</v>
      </c>
    </row>
    <row r="4" spans="7:15">
      <c r="G4">
        <v>72</v>
      </c>
      <c r="H4" s="46">
        <v>42401</v>
      </c>
      <c r="I4">
        <v>758.14</v>
      </c>
      <c r="J4">
        <v>7.11</v>
      </c>
      <c r="K4">
        <f>I4/I3-1</f>
        <v>3.1749704005117119E-2</v>
      </c>
      <c r="L4">
        <f>J4/J3-1</f>
        <v>5.177514792899407E-2</v>
      </c>
      <c r="M4" s="49" t="s">
        <v>58</v>
      </c>
      <c r="N4">
        <f>_xlfn.VAR.S(K4:K75)</f>
        <v>4.7295542404753354E-3</v>
      </c>
    </row>
    <row r="5" spans="7:15" ht="15.6">
      <c r="G5">
        <v>71</v>
      </c>
      <c r="H5" s="46">
        <v>42430</v>
      </c>
      <c r="I5">
        <v>832.68</v>
      </c>
      <c r="J5">
        <v>7.7</v>
      </c>
      <c r="K5">
        <f t="shared" ref="K5:L68" si="0">I5/I4-1</f>
        <v>9.8319571583084908E-2</v>
      </c>
      <c r="L5">
        <f t="shared" si="0"/>
        <v>8.2981715893108321E-2</v>
      </c>
      <c r="M5" s="50" t="s">
        <v>59</v>
      </c>
      <c r="N5" s="51">
        <f>O5</f>
        <v>1.1155012370013286</v>
      </c>
      <c r="O5" s="52">
        <f>N3/N4</f>
        <v>1.1155012370013286</v>
      </c>
    </row>
    <row r="6" spans="7:15">
      <c r="G6">
        <v>70</v>
      </c>
      <c r="H6" s="46">
        <v>42461</v>
      </c>
      <c r="I6">
        <v>853.28</v>
      </c>
      <c r="J6">
        <v>8.2100000000000009</v>
      </c>
      <c r="K6">
        <f t="shared" si="0"/>
        <v>2.473939568621808E-2</v>
      </c>
      <c r="L6">
        <f t="shared" si="0"/>
        <v>6.6233766233766422E-2</v>
      </c>
      <c r="N6" s="53"/>
    </row>
    <row r="7" spans="7:15">
      <c r="G7">
        <v>69</v>
      </c>
      <c r="H7" s="46">
        <v>42491</v>
      </c>
      <c r="I7">
        <v>778.03</v>
      </c>
      <c r="J7">
        <v>7.23</v>
      </c>
      <c r="K7">
        <f t="shared" si="0"/>
        <v>-8.8189105569098092E-2</v>
      </c>
      <c r="L7">
        <f t="shared" si="0"/>
        <v>-0.11936662606577353</v>
      </c>
      <c r="N7" s="53"/>
    </row>
    <row r="8" spans="7:15">
      <c r="G8">
        <v>68</v>
      </c>
      <c r="H8" s="46">
        <v>42522</v>
      </c>
      <c r="I8">
        <v>768.17</v>
      </c>
      <c r="J8">
        <v>6.97</v>
      </c>
      <c r="K8">
        <f t="shared" si="0"/>
        <v>-1.2673033173528081E-2</v>
      </c>
      <c r="L8">
        <f t="shared" si="0"/>
        <v>-3.5961272475795392E-2</v>
      </c>
      <c r="N8" s="53"/>
    </row>
    <row r="9" spans="7:15">
      <c r="G9">
        <v>67</v>
      </c>
      <c r="H9" s="46">
        <v>42552</v>
      </c>
      <c r="I9">
        <v>754.06</v>
      </c>
      <c r="J9">
        <v>7.11</v>
      </c>
      <c r="K9">
        <f t="shared" si="0"/>
        <v>-1.8368329926969351E-2</v>
      </c>
      <c r="L9">
        <f t="shared" si="0"/>
        <v>2.0086083213773476E-2</v>
      </c>
      <c r="N9" s="53"/>
    </row>
    <row r="10" spans="7:15">
      <c r="G10">
        <v>66</v>
      </c>
      <c r="H10" s="46">
        <v>42583</v>
      </c>
      <c r="I10">
        <v>759.68</v>
      </c>
      <c r="J10">
        <v>6.78</v>
      </c>
      <c r="K10">
        <f t="shared" si="0"/>
        <v>7.452987825902424E-3</v>
      </c>
      <c r="L10">
        <f t="shared" si="0"/>
        <v>-4.641350210970463E-2</v>
      </c>
      <c r="N10" s="53"/>
    </row>
    <row r="11" spans="7:15">
      <c r="G11">
        <v>65</v>
      </c>
      <c r="H11" s="46">
        <v>42614</v>
      </c>
      <c r="I11">
        <v>764.88</v>
      </c>
      <c r="J11">
        <v>6.58</v>
      </c>
      <c r="K11">
        <f t="shared" si="0"/>
        <v>6.8449873631002411E-3</v>
      </c>
      <c r="L11">
        <f t="shared" si="0"/>
        <v>-2.9498525073746285E-2</v>
      </c>
      <c r="N11" s="53"/>
    </row>
    <row r="12" spans="7:15">
      <c r="G12">
        <v>64</v>
      </c>
      <c r="H12" s="46">
        <v>42644</v>
      </c>
      <c r="I12">
        <v>785.36</v>
      </c>
      <c r="J12">
        <v>6.87</v>
      </c>
      <c r="K12">
        <f t="shared" si="0"/>
        <v>2.6775441899382857E-2</v>
      </c>
      <c r="L12">
        <f t="shared" si="0"/>
        <v>4.407294832826758E-2</v>
      </c>
      <c r="N12" s="53"/>
    </row>
    <row r="13" spans="7:15">
      <c r="G13">
        <v>63</v>
      </c>
      <c r="H13" s="46">
        <v>42675</v>
      </c>
      <c r="I13">
        <v>739.95</v>
      </c>
      <c r="J13">
        <v>6.08</v>
      </c>
      <c r="K13">
        <f t="shared" si="0"/>
        <v>-5.7820617296526433E-2</v>
      </c>
      <c r="L13">
        <f t="shared" si="0"/>
        <v>-0.11499272197962151</v>
      </c>
      <c r="N13" s="53"/>
    </row>
    <row r="14" spans="7:15">
      <c r="G14">
        <v>62</v>
      </c>
      <c r="H14" s="46">
        <v>42705</v>
      </c>
      <c r="I14">
        <v>781.39</v>
      </c>
      <c r="J14">
        <v>6.09</v>
      </c>
      <c r="K14">
        <f t="shared" si="0"/>
        <v>5.6003784039462046E-2</v>
      </c>
      <c r="L14">
        <f t="shared" si="0"/>
        <v>1.6447368421053099E-3</v>
      </c>
      <c r="N14" s="53"/>
    </row>
    <row r="15" spans="7:15">
      <c r="G15">
        <v>61</v>
      </c>
      <c r="H15" s="46">
        <v>42736</v>
      </c>
      <c r="I15">
        <v>862.96</v>
      </c>
      <c r="J15">
        <v>6.56</v>
      </c>
      <c r="K15">
        <f t="shared" si="0"/>
        <v>0.10439089315194727</v>
      </c>
      <c r="L15">
        <f t="shared" si="0"/>
        <v>7.7175697865353055E-2</v>
      </c>
      <c r="N15" s="53"/>
    </row>
    <row r="16" spans="7:15">
      <c r="G16">
        <v>60</v>
      </c>
      <c r="H16" s="46">
        <v>42767</v>
      </c>
      <c r="I16">
        <v>874.78</v>
      </c>
      <c r="J16">
        <v>6.28</v>
      </c>
      <c r="K16">
        <f t="shared" si="0"/>
        <v>1.3697042736627418E-2</v>
      </c>
      <c r="L16">
        <f t="shared" si="0"/>
        <v>-4.268292682926822E-2</v>
      </c>
      <c r="N16" s="53"/>
    </row>
    <row r="17" spans="7:14">
      <c r="G17">
        <v>59</v>
      </c>
      <c r="H17" s="46">
        <v>42795</v>
      </c>
      <c r="I17">
        <v>889.47</v>
      </c>
      <c r="J17">
        <v>6.24</v>
      </c>
      <c r="K17">
        <f t="shared" si="0"/>
        <v>1.6792793616680735E-2</v>
      </c>
      <c r="L17">
        <f t="shared" si="0"/>
        <v>-6.3694267515923553E-3</v>
      </c>
      <c r="N17" s="53"/>
    </row>
    <row r="18" spans="7:14">
      <c r="G18">
        <v>58</v>
      </c>
      <c r="H18" s="46">
        <v>42826</v>
      </c>
      <c r="I18">
        <v>946.55</v>
      </c>
      <c r="J18">
        <v>6.77</v>
      </c>
      <c r="K18">
        <f t="shared" si="0"/>
        <v>6.4173046870608319E-2</v>
      </c>
      <c r="L18">
        <f t="shared" si="0"/>
        <v>8.4935897435897356E-2</v>
      </c>
      <c r="N18" s="53"/>
    </row>
    <row r="19" spans="7:14">
      <c r="G19">
        <v>57</v>
      </c>
      <c r="H19" s="46">
        <v>42856</v>
      </c>
      <c r="I19">
        <v>975.42</v>
      </c>
      <c r="J19">
        <v>7.28</v>
      </c>
      <c r="K19">
        <f t="shared" si="0"/>
        <v>3.050023770535093E-2</v>
      </c>
      <c r="L19">
        <f t="shared" si="0"/>
        <v>7.5332348596750531E-2</v>
      </c>
      <c r="N19" s="53"/>
    </row>
    <row r="20" spans="7:14">
      <c r="G20">
        <v>56</v>
      </c>
      <c r="H20" s="46">
        <v>42887</v>
      </c>
      <c r="I20" s="54">
        <v>1004.4</v>
      </c>
      <c r="J20" s="54">
        <v>7.07</v>
      </c>
      <c r="K20">
        <f t="shared" si="0"/>
        <v>2.9710278649197397E-2</v>
      </c>
      <c r="L20">
        <f t="shared" si="0"/>
        <v>-2.8846153846153855E-2</v>
      </c>
      <c r="N20" s="53"/>
    </row>
    <row r="21" spans="7:14">
      <c r="G21">
        <v>55</v>
      </c>
      <c r="H21" s="46">
        <v>42917</v>
      </c>
      <c r="I21" s="54">
        <v>1075.31</v>
      </c>
      <c r="J21" s="54">
        <v>7.2</v>
      </c>
      <c r="K21">
        <f t="shared" si="0"/>
        <v>7.0599362803663857E-2</v>
      </c>
      <c r="L21">
        <f t="shared" si="0"/>
        <v>1.8387553041018467E-2</v>
      </c>
      <c r="N21" s="53"/>
    </row>
    <row r="22" spans="7:14">
      <c r="G22">
        <v>54</v>
      </c>
      <c r="H22" s="46">
        <v>42948</v>
      </c>
      <c r="I22" s="54">
        <v>1100.0999999999999</v>
      </c>
      <c r="J22" s="54">
        <v>7.13</v>
      </c>
      <c r="K22">
        <f t="shared" si="0"/>
        <v>2.3053817038807489E-2</v>
      </c>
      <c r="L22">
        <f t="shared" si="0"/>
        <v>-9.7222222222222987E-3</v>
      </c>
      <c r="N22" s="53"/>
    </row>
    <row r="23" spans="7:14">
      <c r="G23">
        <v>53</v>
      </c>
      <c r="H23" s="46">
        <v>42979</v>
      </c>
      <c r="I23" s="54">
        <v>1029.08</v>
      </c>
      <c r="J23" s="54">
        <v>6.88</v>
      </c>
      <c r="K23">
        <f t="shared" si="0"/>
        <v>-6.455776747568398E-2</v>
      </c>
      <c r="L23">
        <f t="shared" si="0"/>
        <v>-3.5063113604488105E-2</v>
      </c>
      <c r="N23" s="53"/>
    </row>
    <row r="24" spans="7:14">
      <c r="G24">
        <v>52</v>
      </c>
      <c r="H24" s="46">
        <v>43009</v>
      </c>
      <c r="I24" s="54">
        <v>1101.43</v>
      </c>
      <c r="J24" s="54">
        <v>7.3</v>
      </c>
      <c r="K24">
        <f t="shared" si="0"/>
        <v>7.0305515606172708E-2</v>
      </c>
      <c r="L24">
        <f t="shared" si="0"/>
        <v>6.1046511627906863E-2</v>
      </c>
      <c r="N24" s="53"/>
    </row>
    <row r="25" spans="7:14">
      <c r="G25">
        <v>51</v>
      </c>
      <c r="H25" s="46">
        <v>43040</v>
      </c>
      <c r="I25" s="54">
        <v>1039.8399999999999</v>
      </c>
      <c r="J25" s="54">
        <v>6.72</v>
      </c>
      <c r="K25">
        <f t="shared" si="0"/>
        <v>-5.591821541087505E-2</v>
      </c>
      <c r="L25">
        <f t="shared" si="0"/>
        <v>-7.9452054794520555E-2</v>
      </c>
      <c r="N25" s="53"/>
    </row>
    <row r="26" spans="7:14">
      <c r="G26">
        <v>50</v>
      </c>
      <c r="H26" s="46">
        <v>43070</v>
      </c>
      <c r="I26" s="54">
        <v>1153.33</v>
      </c>
      <c r="J26" s="54">
        <v>7.17</v>
      </c>
      <c r="K26">
        <f t="shared" si="0"/>
        <v>0.10914179104477606</v>
      </c>
      <c r="L26">
        <f t="shared" si="0"/>
        <v>6.6964285714285809E-2</v>
      </c>
      <c r="N26" s="53"/>
    </row>
    <row r="27" spans="7:14">
      <c r="G27">
        <v>49</v>
      </c>
      <c r="H27" s="46">
        <v>43101</v>
      </c>
      <c r="I27" s="54">
        <v>1195.29</v>
      </c>
      <c r="J27" s="54">
        <v>7.8</v>
      </c>
      <c r="K27">
        <f t="shared" si="0"/>
        <v>3.6381608039329549E-2</v>
      </c>
      <c r="L27">
        <f t="shared" si="0"/>
        <v>8.786610878661083E-2</v>
      </c>
      <c r="N27" s="53"/>
    </row>
    <row r="28" spans="7:14">
      <c r="G28">
        <v>48</v>
      </c>
      <c r="H28" s="46">
        <v>43132</v>
      </c>
      <c r="I28" s="54">
        <v>1189.51</v>
      </c>
      <c r="J28" s="54">
        <v>7.05</v>
      </c>
      <c r="K28">
        <f t="shared" si="0"/>
        <v>-4.835646579491093E-3</v>
      </c>
      <c r="L28">
        <f t="shared" si="0"/>
        <v>-9.6153846153846145E-2</v>
      </c>
      <c r="N28" s="53"/>
    </row>
    <row r="29" spans="7:14">
      <c r="G29">
        <v>47</v>
      </c>
      <c r="H29" s="46">
        <v>43160</v>
      </c>
      <c r="I29" s="54">
        <v>1149.3</v>
      </c>
      <c r="J29" s="54">
        <v>6.94</v>
      </c>
      <c r="K29">
        <f t="shared" si="0"/>
        <v>-3.3803835192642406E-2</v>
      </c>
      <c r="L29">
        <f t="shared" si="0"/>
        <v>-1.5602836879432536E-2</v>
      </c>
      <c r="N29" s="53"/>
    </row>
    <row r="30" spans="7:14">
      <c r="G30">
        <v>46</v>
      </c>
      <c r="H30" s="46">
        <v>43191</v>
      </c>
      <c r="I30" s="54">
        <v>1042.83</v>
      </c>
      <c r="J30" s="54">
        <v>6.79</v>
      </c>
      <c r="K30">
        <f t="shared" si="0"/>
        <v>-9.2638997650743904E-2</v>
      </c>
      <c r="L30">
        <f t="shared" si="0"/>
        <v>-2.1613832853025983E-2</v>
      </c>
      <c r="N30" s="53"/>
    </row>
    <row r="31" spans="7:14">
      <c r="G31">
        <v>45</v>
      </c>
      <c r="H31" s="46">
        <v>43221</v>
      </c>
      <c r="I31" s="54">
        <v>1006.52</v>
      </c>
      <c r="J31" s="54">
        <v>6.23</v>
      </c>
      <c r="K31">
        <f t="shared" si="0"/>
        <v>-3.4818714459691313E-2</v>
      </c>
      <c r="L31">
        <f t="shared" si="0"/>
        <v>-8.247422680412364E-2</v>
      </c>
      <c r="N31" s="53"/>
    </row>
    <row r="32" spans="7:14">
      <c r="G32">
        <v>44</v>
      </c>
      <c r="H32" s="46">
        <v>43252</v>
      </c>
      <c r="I32">
        <v>965.2</v>
      </c>
      <c r="J32" s="54">
        <v>6.11</v>
      </c>
      <c r="K32">
        <f t="shared" si="0"/>
        <v>-4.1052338751341177E-2</v>
      </c>
      <c r="L32">
        <f t="shared" si="0"/>
        <v>-1.9261637239165297E-2</v>
      </c>
      <c r="N32" s="53"/>
    </row>
    <row r="33" spans="7:14">
      <c r="G33">
        <v>43</v>
      </c>
      <c r="H33" s="46">
        <v>43282</v>
      </c>
      <c r="I33">
        <v>969.52</v>
      </c>
      <c r="J33" s="54">
        <v>7.19</v>
      </c>
      <c r="K33">
        <f t="shared" si="0"/>
        <v>4.475756319933577E-3</v>
      </c>
      <c r="L33">
        <f t="shared" si="0"/>
        <v>0.17675941080196389</v>
      </c>
      <c r="N33" s="53"/>
    </row>
    <row r="34" spans="7:14">
      <c r="G34">
        <v>42</v>
      </c>
      <c r="H34" s="46">
        <v>43313</v>
      </c>
      <c r="I34">
        <v>927.23</v>
      </c>
      <c r="J34">
        <v>5.88</v>
      </c>
      <c r="K34">
        <f t="shared" si="0"/>
        <v>-4.3619523062958909E-2</v>
      </c>
      <c r="L34">
        <f t="shared" si="0"/>
        <v>-0.18219749652294859</v>
      </c>
      <c r="N34" s="53"/>
    </row>
    <row r="35" spans="7:14">
      <c r="G35">
        <v>41</v>
      </c>
      <c r="H35" s="46">
        <v>43344</v>
      </c>
      <c r="I35">
        <v>999.57</v>
      </c>
      <c r="J35" s="54">
        <v>6.66</v>
      </c>
      <c r="K35">
        <f t="shared" si="0"/>
        <v>7.8017320405940227E-2</v>
      </c>
      <c r="L35">
        <f t="shared" si="0"/>
        <v>0.13265306122448983</v>
      </c>
      <c r="N35" s="53"/>
    </row>
    <row r="36" spans="7:14">
      <c r="G36">
        <v>40</v>
      </c>
      <c r="H36" s="46">
        <v>43374</v>
      </c>
      <c r="I36">
        <v>902.01</v>
      </c>
      <c r="J36" s="54">
        <v>5.94</v>
      </c>
      <c r="K36">
        <f t="shared" si="0"/>
        <v>-9.7601968846604104E-2</v>
      </c>
      <c r="L36">
        <f t="shared" si="0"/>
        <v>-0.10810810810810811</v>
      </c>
      <c r="N36" s="53"/>
    </row>
    <row r="37" spans="7:14">
      <c r="G37">
        <v>39</v>
      </c>
      <c r="H37" s="46">
        <v>43405</v>
      </c>
      <c r="I37">
        <v>954.16</v>
      </c>
      <c r="J37">
        <v>6.16</v>
      </c>
      <c r="K37">
        <f t="shared" si="0"/>
        <v>5.7815323555171272E-2</v>
      </c>
      <c r="L37">
        <f t="shared" si="0"/>
        <v>3.7037037037036979E-2</v>
      </c>
      <c r="N37" s="53"/>
    </row>
    <row r="38" spans="7:14">
      <c r="G38">
        <v>38</v>
      </c>
      <c r="H38" s="46">
        <v>43435</v>
      </c>
      <c r="I38">
        <v>912.7</v>
      </c>
      <c r="J38">
        <v>6.24</v>
      </c>
      <c r="K38">
        <f t="shared" si="0"/>
        <v>-4.3451831977865285E-2</v>
      </c>
      <c r="L38">
        <f t="shared" si="0"/>
        <v>1.2987012987013102E-2</v>
      </c>
      <c r="N38" s="53"/>
    </row>
    <row r="39" spans="7:14">
      <c r="G39">
        <v>37</v>
      </c>
      <c r="H39" s="46">
        <v>43466</v>
      </c>
      <c r="I39" s="54">
        <v>1040.74</v>
      </c>
      <c r="J39" s="54">
        <v>6.47</v>
      </c>
      <c r="K39">
        <f t="shared" si="0"/>
        <v>0.14028706037032967</v>
      </c>
      <c r="L39">
        <f t="shared" si="0"/>
        <v>3.6858974358974228E-2</v>
      </c>
      <c r="N39" s="53"/>
    </row>
    <row r="40" spans="7:14">
      <c r="G40">
        <v>36</v>
      </c>
      <c r="H40" s="46">
        <v>43497</v>
      </c>
      <c r="I40" s="54">
        <v>1045.3</v>
      </c>
      <c r="J40" s="54">
        <v>7.19</v>
      </c>
      <c r="K40">
        <f t="shared" si="0"/>
        <v>4.381497780425514E-3</v>
      </c>
      <c r="L40">
        <f t="shared" si="0"/>
        <v>0.11128284389489962</v>
      </c>
      <c r="N40" s="53"/>
    </row>
    <row r="41" spans="7:14">
      <c r="G41">
        <v>35</v>
      </c>
      <c r="H41" s="46">
        <v>43525</v>
      </c>
      <c r="I41">
        <v>937.84</v>
      </c>
      <c r="J41" s="54">
        <v>7.13</v>
      </c>
      <c r="K41">
        <f t="shared" si="0"/>
        <v>-0.10280302305558209</v>
      </c>
      <c r="L41">
        <f t="shared" si="0"/>
        <v>-8.3449235048679293E-3</v>
      </c>
      <c r="N41" s="53"/>
    </row>
    <row r="42" spans="7:14">
      <c r="G42">
        <v>34</v>
      </c>
      <c r="H42" s="46">
        <v>43556</v>
      </c>
      <c r="I42">
        <v>954.16</v>
      </c>
      <c r="J42">
        <v>6.43</v>
      </c>
      <c r="K42">
        <f t="shared" si="0"/>
        <v>1.7401688987460417E-2</v>
      </c>
      <c r="L42">
        <f t="shared" si="0"/>
        <v>-9.8176718092566673E-2</v>
      </c>
      <c r="N42" s="53"/>
    </row>
    <row r="43" spans="7:14">
      <c r="G43">
        <v>33</v>
      </c>
      <c r="H43" s="46">
        <v>43586</v>
      </c>
      <c r="I43">
        <v>905.9</v>
      </c>
      <c r="J43">
        <v>5.53</v>
      </c>
      <c r="K43">
        <f t="shared" si="0"/>
        <v>-5.0578519325899185E-2</v>
      </c>
      <c r="L43">
        <f t="shared" si="0"/>
        <v>-0.13996889580093308</v>
      </c>
      <c r="N43" s="53"/>
    </row>
    <row r="44" spans="7:14">
      <c r="G44">
        <v>32</v>
      </c>
      <c r="H44" s="46">
        <v>43617</v>
      </c>
      <c r="I44">
        <v>964.85</v>
      </c>
      <c r="J44">
        <v>5.87</v>
      </c>
      <c r="K44">
        <f t="shared" si="0"/>
        <v>6.507340766088987E-2</v>
      </c>
      <c r="L44">
        <f t="shared" si="0"/>
        <v>6.1482820976491936E-2</v>
      </c>
      <c r="N44" s="53"/>
    </row>
    <row r="45" spans="7:14">
      <c r="G45">
        <v>31</v>
      </c>
      <c r="H45" s="46">
        <v>43647</v>
      </c>
      <c r="I45" s="54">
        <v>1020.82</v>
      </c>
      <c r="J45" s="54">
        <v>5.87</v>
      </c>
      <c r="K45">
        <f t="shared" si="0"/>
        <v>5.8009016945639313E-2</v>
      </c>
      <c r="L45">
        <f t="shared" si="0"/>
        <v>0</v>
      </c>
      <c r="N45" s="53"/>
    </row>
    <row r="46" spans="7:14">
      <c r="G46">
        <v>30</v>
      </c>
      <c r="H46" s="46">
        <v>43678</v>
      </c>
      <c r="I46">
        <v>967.18</v>
      </c>
      <c r="J46" s="54">
        <v>5.29</v>
      </c>
      <c r="K46">
        <f t="shared" si="0"/>
        <v>-5.2545992437452393E-2</v>
      </c>
      <c r="L46">
        <f t="shared" si="0"/>
        <v>-9.8807495741056184E-2</v>
      </c>
      <c r="N46" s="53"/>
    </row>
    <row r="47" spans="7:14">
      <c r="G47">
        <v>29</v>
      </c>
      <c r="H47" s="46">
        <v>43709</v>
      </c>
      <c r="I47" s="54">
        <v>1050.33</v>
      </c>
      <c r="J47" s="54">
        <v>6.11</v>
      </c>
      <c r="K47">
        <f t="shared" si="0"/>
        <v>8.5971587501809443E-2</v>
      </c>
      <c r="L47">
        <f t="shared" si="0"/>
        <v>0.15500945179584136</v>
      </c>
      <c r="N47" s="53"/>
    </row>
    <row r="48" spans="7:14">
      <c r="G48">
        <v>28</v>
      </c>
      <c r="H48" s="46">
        <v>43739</v>
      </c>
      <c r="I48">
        <v>984.69</v>
      </c>
      <c r="J48" s="54">
        <v>5.78</v>
      </c>
      <c r="K48">
        <f t="shared" si="0"/>
        <v>-6.2494644540287192E-2</v>
      </c>
      <c r="L48">
        <f t="shared" si="0"/>
        <v>-5.4009819967266837E-2</v>
      </c>
      <c r="N48" s="53"/>
    </row>
    <row r="49" spans="7:14">
      <c r="G49">
        <v>27</v>
      </c>
      <c r="H49" s="46">
        <v>43770</v>
      </c>
      <c r="I49" s="54">
        <v>1069.04</v>
      </c>
      <c r="J49" s="54">
        <v>7.81</v>
      </c>
      <c r="K49">
        <f t="shared" si="0"/>
        <v>8.5661477216179671E-2</v>
      </c>
      <c r="L49">
        <f t="shared" si="0"/>
        <v>0.3512110726643598</v>
      </c>
      <c r="N49" s="53"/>
    </row>
    <row r="50" spans="7:14">
      <c r="G50">
        <v>26</v>
      </c>
      <c r="H50" s="46">
        <v>43800</v>
      </c>
      <c r="I50" s="54">
        <v>1144.25</v>
      </c>
      <c r="J50" s="54">
        <v>9.3800000000000008</v>
      </c>
      <c r="K50">
        <f t="shared" si="0"/>
        <v>7.0352839931153266E-2</v>
      </c>
      <c r="L50">
        <f t="shared" si="0"/>
        <v>0.20102432778489132</v>
      </c>
      <c r="N50" s="53"/>
    </row>
    <row r="51" spans="7:14">
      <c r="G51">
        <v>25</v>
      </c>
      <c r="H51" s="46">
        <v>43831</v>
      </c>
      <c r="I51" s="54">
        <v>1191.4000000000001</v>
      </c>
      <c r="J51" s="54">
        <v>9.43</v>
      </c>
      <c r="K51">
        <f t="shared" si="0"/>
        <v>4.1206030150753747E-2</v>
      </c>
      <c r="L51">
        <f t="shared" si="0"/>
        <v>5.3304904051172386E-3</v>
      </c>
      <c r="N51" s="53"/>
    </row>
    <row r="52" spans="7:14">
      <c r="G52">
        <v>24</v>
      </c>
      <c r="H52" s="46">
        <v>43862</v>
      </c>
      <c r="I52" s="54">
        <v>1059.94</v>
      </c>
      <c r="J52" s="54">
        <v>8.74</v>
      </c>
      <c r="K52">
        <f t="shared" si="0"/>
        <v>-0.1103407755581669</v>
      </c>
      <c r="L52">
        <f t="shared" si="0"/>
        <v>-7.3170731707317027E-2</v>
      </c>
      <c r="N52" s="53"/>
    </row>
    <row r="53" spans="7:14">
      <c r="G53">
        <v>23</v>
      </c>
      <c r="H53" s="46">
        <v>43891</v>
      </c>
      <c r="I53">
        <v>896.44</v>
      </c>
      <c r="J53" s="54">
        <v>7.2</v>
      </c>
      <c r="K53">
        <f t="shared" si="0"/>
        <v>-0.15425401437817232</v>
      </c>
      <c r="L53">
        <f t="shared" si="0"/>
        <v>-0.17620137299771166</v>
      </c>
      <c r="N53" s="53"/>
    </row>
    <row r="54" spans="7:14">
      <c r="G54">
        <v>22</v>
      </c>
      <c r="H54" s="46">
        <v>43922</v>
      </c>
      <c r="I54" s="54">
        <v>1011.1</v>
      </c>
      <c r="J54" s="54">
        <v>9.4600000000000009</v>
      </c>
      <c r="K54">
        <f t="shared" si="0"/>
        <v>0.12790593904778902</v>
      </c>
      <c r="L54">
        <f t="shared" si="0"/>
        <v>0.31388888888888888</v>
      </c>
      <c r="N54" s="53"/>
    </row>
    <row r="55" spans="7:14">
      <c r="G55">
        <v>21</v>
      </c>
      <c r="H55" s="46">
        <v>43952</v>
      </c>
      <c r="I55" s="54">
        <v>1055.2</v>
      </c>
      <c r="J55" s="54">
        <v>11.13</v>
      </c>
      <c r="K55">
        <f t="shared" si="0"/>
        <v>4.3615863910592356E-2</v>
      </c>
      <c r="L55">
        <f t="shared" si="0"/>
        <v>0.17653276955602526</v>
      </c>
      <c r="N55" s="53"/>
    </row>
    <row r="56" spans="7:14">
      <c r="G56">
        <v>20</v>
      </c>
      <c r="H56" s="46">
        <v>43983</v>
      </c>
      <c r="I56" s="54">
        <v>1165.25</v>
      </c>
      <c r="J56" s="54">
        <v>12.61</v>
      </c>
      <c r="K56">
        <f t="shared" si="0"/>
        <v>0.10429302501895377</v>
      </c>
      <c r="L56">
        <f t="shared" si="0"/>
        <v>0.13297394429469889</v>
      </c>
      <c r="N56" s="53"/>
    </row>
    <row r="57" spans="7:14">
      <c r="G57">
        <v>19</v>
      </c>
      <c r="H57" s="46">
        <v>44013</v>
      </c>
      <c r="I57" s="54">
        <v>1126.9000000000001</v>
      </c>
      <c r="J57" s="54">
        <v>11.37</v>
      </c>
      <c r="K57">
        <f t="shared" si="0"/>
        <v>-3.2911392405063244E-2</v>
      </c>
      <c r="L57">
        <f t="shared" si="0"/>
        <v>-9.8334655035685947E-2</v>
      </c>
      <c r="N57" s="53"/>
    </row>
    <row r="58" spans="7:14">
      <c r="G58">
        <v>18</v>
      </c>
      <c r="H58" s="46">
        <v>44044</v>
      </c>
      <c r="I58" s="54">
        <v>1078.6099999999999</v>
      </c>
      <c r="J58" s="54">
        <v>11.39</v>
      </c>
      <c r="K58">
        <f t="shared" si="0"/>
        <v>-4.2852072056083212E-2</v>
      </c>
      <c r="L58">
        <f t="shared" si="0"/>
        <v>1.7590149516271136E-3</v>
      </c>
      <c r="N58" s="53"/>
    </row>
    <row r="59" spans="7:14">
      <c r="G59">
        <v>17</v>
      </c>
      <c r="H59" s="46">
        <v>44075</v>
      </c>
      <c r="I59" s="54">
        <v>1145.24</v>
      </c>
      <c r="J59" s="54">
        <v>12.48</v>
      </c>
      <c r="K59">
        <f t="shared" si="0"/>
        <v>6.1773949805768558E-2</v>
      </c>
      <c r="L59">
        <f t="shared" si="0"/>
        <v>9.5697980684811279E-2</v>
      </c>
      <c r="N59" s="53"/>
    </row>
    <row r="60" spans="7:14">
      <c r="G60">
        <v>16</v>
      </c>
      <c r="H60" s="46">
        <v>44105</v>
      </c>
      <c r="I60" s="54">
        <v>1112.3699999999999</v>
      </c>
      <c r="J60" s="54">
        <v>14.85</v>
      </c>
      <c r="K60">
        <f t="shared" si="0"/>
        <v>-2.8701407565226655E-2</v>
      </c>
      <c r="L60">
        <f t="shared" si="0"/>
        <v>0.18990384615384603</v>
      </c>
      <c r="N60" s="53"/>
    </row>
    <row r="61" spans="7:14">
      <c r="G61">
        <v>15</v>
      </c>
      <c r="H61" s="46">
        <v>44136</v>
      </c>
      <c r="I61" s="54">
        <v>1283.58</v>
      </c>
      <c r="J61" s="54">
        <v>18.72</v>
      </c>
      <c r="K61">
        <f t="shared" si="0"/>
        <v>0.15391461474149803</v>
      </c>
      <c r="L61">
        <f t="shared" si="0"/>
        <v>0.26060606060606051</v>
      </c>
      <c r="N61" s="53"/>
    </row>
    <row r="62" spans="7:14">
      <c r="G62">
        <v>14</v>
      </c>
      <c r="H62" s="46">
        <v>44166</v>
      </c>
      <c r="I62" s="54">
        <v>1476.72</v>
      </c>
      <c r="J62" s="54">
        <v>19.940000000000001</v>
      </c>
      <c r="K62">
        <f t="shared" si="0"/>
        <v>0.15046977983452536</v>
      </c>
      <c r="L62">
        <f t="shared" si="0"/>
        <v>6.5170940170940383E-2</v>
      </c>
      <c r="N62" s="53"/>
    </row>
    <row r="63" spans="7:14">
      <c r="G63">
        <v>13</v>
      </c>
      <c r="H63" s="46">
        <v>44197</v>
      </c>
      <c r="I63" s="54">
        <v>1473.45</v>
      </c>
      <c r="J63" s="54">
        <v>24.32</v>
      </c>
      <c r="K63">
        <f t="shared" si="0"/>
        <v>-2.21436697545907E-3</v>
      </c>
      <c r="L63">
        <f t="shared" si="0"/>
        <v>0.21965897693079239</v>
      </c>
      <c r="N63" s="53"/>
    </row>
    <row r="64" spans="7:14">
      <c r="G64">
        <v>12</v>
      </c>
      <c r="H64" s="46">
        <v>44228</v>
      </c>
      <c r="I64" s="54">
        <v>1471.39</v>
      </c>
      <c r="J64" s="54">
        <v>29.38</v>
      </c>
      <c r="K64">
        <f t="shared" si="0"/>
        <v>-1.3980793376089373E-3</v>
      </c>
      <c r="L64">
        <f t="shared" si="0"/>
        <v>0.20805921052631571</v>
      </c>
      <c r="N64" s="53"/>
    </row>
    <row r="65" spans="7:14">
      <c r="G65">
        <v>11</v>
      </c>
      <c r="H65" s="46">
        <v>44256</v>
      </c>
      <c r="I65" s="54">
        <v>1391.73</v>
      </c>
      <c r="J65" s="54">
        <v>27.2</v>
      </c>
      <c r="K65">
        <f t="shared" si="0"/>
        <v>-5.4139283262765181E-2</v>
      </c>
      <c r="L65">
        <f t="shared" si="0"/>
        <v>-7.4200136147038798E-2</v>
      </c>
      <c r="N65" s="53"/>
    </row>
    <row r="66" spans="7:14">
      <c r="G66">
        <v>10</v>
      </c>
      <c r="H66" s="46">
        <v>44287</v>
      </c>
      <c r="I66" s="54">
        <v>1397.82</v>
      </c>
      <c r="J66" s="54">
        <v>25.5</v>
      </c>
      <c r="K66">
        <f t="shared" si="0"/>
        <v>4.3758487637688415E-3</v>
      </c>
      <c r="L66">
        <f t="shared" si="0"/>
        <v>-6.25E-2</v>
      </c>
      <c r="N66" s="53"/>
    </row>
    <row r="67" spans="7:14">
      <c r="G67">
        <v>9</v>
      </c>
      <c r="H67" s="46">
        <v>44317</v>
      </c>
      <c r="I67" s="54">
        <v>1420.49</v>
      </c>
      <c r="J67" s="54">
        <v>22.8</v>
      </c>
      <c r="K67">
        <f t="shared" si="0"/>
        <v>1.6218111058648566E-2</v>
      </c>
      <c r="L67">
        <f t="shared" si="0"/>
        <v>-0.10588235294117643</v>
      </c>
      <c r="N67" s="53"/>
    </row>
    <row r="68" spans="7:14">
      <c r="G68">
        <v>8</v>
      </c>
      <c r="H68" s="46">
        <v>44348</v>
      </c>
      <c r="I68" s="54">
        <v>1356.34</v>
      </c>
      <c r="J68" s="54">
        <v>20.18</v>
      </c>
      <c r="K68">
        <f t="shared" si="0"/>
        <v>-4.5160472794599116E-2</v>
      </c>
      <c r="L68">
        <f t="shared" si="0"/>
        <v>-0.11491228070175441</v>
      </c>
      <c r="N68" s="53"/>
    </row>
    <row r="69" spans="7:14">
      <c r="G69">
        <v>7</v>
      </c>
      <c r="H69" s="46">
        <v>44378</v>
      </c>
      <c r="I69" s="54">
        <v>1392.91</v>
      </c>
      <c r="J69" s="54">
        <v>23.36</v>
      </c>
      <c r="K69">
        <f t="shared" ref="K69:L75" si="1">I69/I68-1</f>
        <v>2.6962266098470966E-2</v>
      </c>
      <c r="L69">
        <f t="shared" si="1"/>
        <v>0.15758176412289404</v>
      </c>
      <c r="N69" s="53"/>
    </row>
    <row r="70" spans="7:14">
      <c r="G70">
        <v>6</v>
      </c>
      <c r="H70" s="46">
        <v>44409</v>
      </c>
      <c r="I70" s="54">
        <v>1472.07</v>
      </c>
      <c r="J70" s="54">
        <v>21.92</v>
      </c>
      <c r="K70">
        <f t="shared" si="1"/>
        <v>5.6830663861986652E-2</v>
      </c>
      <c r="L70">
        <f t="shared" si="1"/>
        <v>-6.1643835616438269E-2</v>
      </c>
      <c r="N70" s="53"/>
    </row>
    <row r="71" spans="7:14">
      <c r="G71">
        <v>5</v>
      </c>
      <c r="H71" s="46">
        <v>44440</v>
      </c>
      <c r="I71" s="54">
        <v>1406.39</v>
      </c>
      <c r="J71" s="54">
        <v>21.72</v>
      </c>
      <c r="K71">
        <f t="shared" si="1"/>
        <v>-4.4617443463965567E-2</v>
      </c>
      <c r="L71">
        <f t="shared" si="1"/>
        <v>-9.1240875912410591E-3</v>
      </c>
      <c r="N71" s="53"/>
    </row>
    <row r="72" spans="7:14">
      <c r="G72">
        <v>4</v>
      </c>
      <c r="H72" s="46">
        <v>44470</v>
      </c>
      <c r="I72" s="54">
        <v>1522.04</v>
      </c>
      <c r="J72" s="54">
        <v>23.34</v>
      </c>
      <c r="K72">
        <f t="shared" si="1"/>
        <v>8.2231813366135942E-2</v>
      </c>
      <c r="L72">
        <f t="shared" si="1"/>
        <v>7.4585635359116109E-2</v>
      </c>
      <c r="N72" s="53"/>
    </row>
    <row r="73" spans="7:14">
      <c r="G73">
        <v>3</v>
      </c>
      <c r="H73" s="46">
        <v>44501</v>
      </c>
      <c r="I73" s="54">
        <v>1809.65</v>
      </c>
      <c r="J73" s="54">
        <v>30.08</v>
      </c>
      <c r="K73">
        <f t="shared" si="1"/>
        <v>0.18896349636014831</v>
      </c>
      <c r="L73">
        <f t="shared" si="1"/>
        <v>0.28877463581833762</v>
      </c>
      <c r="N73" s="53"/>
    </row>
    <row r="74" spans="7:14">
      <c r="G74">
        <v>2</v>
      </c>
      <c r="H74" s="46">
        <v>44531</v>
      </c>
      <c r="I74" s="54">
        <v>1857.65</v>
      </c>
      <c r="J74" s="54">
        <v>29.1</v>
      </c>
      <c r="K74">
        <f t="shared" si="1"/>
        <v>2.652446605697234E-2</v>
      </c>
      <c r="L74">
        <f t="shared" si="1"/>
        <v>-3.2579787234042423E-2</v>
      </c>
      <c r="N74" s="53"/>
    </row>
    <row r="75" spans="7:14">
      <c r="G75">
        <v>1</v>
      </c>
      <c r="H75" s="46">
        <v>44562</v>
      </c>
      <c r="I75" s="54">
        <v>1905.05</v>
      </c>
      <c r="J75" s="54">
        <v>30.06</v>
      </c>
      <c r="K75">
        <f t="shared" si="1"/>
        <v>2.5516109062525105E-2</v>
      </c>
      <c r="L75">
        <f t="shared" si="1"/>
        <v>3.2989690721649367E-2</v>
      </c>
      <c r="N75" s="5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zoomScale="90" zoomScaleNormal="90" workbookViewId="0">
      <selection activeCell="E11" sqref="E11"/>
    </sheetView>
  </sheetViews>
  <sheetFormatPr defaultRowHeight="14.45"/>
  <cols>
    <col min="1" max="1" width="5" customWidth="1"/>
    <col min="2" max="2" width="22.140625" bestFit="1" customWidth="1"/>
    <col min="3" max="3" width="19.28515625" customWidth="1"/>
    <col min="5" max="5" width="14.42578125" customWidth="1"/>
    <col min="6" max="6" width="19.85546875" customWidth="1"/>
    <col min="8" max="8" width="17.7109375" bestFit="1" customWidth="1"/>
    <col min="9" max="9" width="12.140625" customWidth="1"/>
  </cols>
  <sheetData>
    <row r="1" spans="1:5" ht="4.1500000000000004" customHeight="1" thickBot="1"/>
    <row r="2" spans="1:5" ht="15" thickTop="1">
      <c r="A2" s="15"/>
      <c r="B2" s="24" t="s">
        <v>60</v>
      </c>
      <c r="C2" s="19">
        <v>4504462155</v>
      </c>
    </row>
    <row r="3" spans="1:5">
      <c r="A3" s="15"/>
      <c r="B3" s="25" t="s">
        <v>61</v>
      </c>
      <c r="C3" s="21">
        <v>3120969931</v>
      </c>
    </row>
    <row r="4" spans="1:5" ht="15" thickBot="1">
      <c r="A4" s="15"/>
      <c r="B4" s="26" t="s">
        <v>62</v>
      </c>
      <c r="C4" s="21">
        <f>C2-C3</f>
        <v>1383492224</v>
      </c>
    </row>
    <row r="5" spans="1:5" ht="15.6" thickTop="1" thickBot="1">
      <c r="B5" s="27"/>
      <c r="C5" s="18"/>
    </row>
    <row r="6" spans="1:5" ht="15" thickTop="1">
      <c r="B6" s="28" t="s">
        <v>63</v>
      </c>
      <c r="C6" s="19">
        <v>373870473</v>
      </c>
    </row>
    <row r="7" spans="1:5">
      <c r="B7" s="29" t="s">
        <v>64</v>
      </c>
      <c r="C7" s="20">
        <v>123483421</v>
      </c>
    </row>
    <row r="8" spans="1:5">
      <c r="B8" s="29" t="s">
        <v>65</v>
      </c>
      <c r="C8" s="14">
        <v>0</v>
      </c>
    </row>
    <row r="9" spans="1:5">
      <c r="B9" s="30" t="s">
        <v>66</v>
      </c>
      <c r="C9" s="21">
        <v>174809703</v>
      </c>
    </row>
    <row r="10" spans="1:5" ht="15" thickBot="1">
      <c r="B10" s="26" t="s">
        <v>67</v>
      </c>
      <c r="C10" s="22">
        <f>SUM(C6:C9)</f>
        <v>672163597</v>
      </c>
      <c r="E10" s="4"/>
    </row>
    <row r="11" spans="1:5" ht="15.6" thickTop="1" thickBot="1">
      <c r="B11" s="27"/>
      <c r="C11" s="17"/>
    </row>
    <row r="12" spans="1:5" ht="15.6" thickTop="1" thickBot="1">
      <c r="B12" s="31" t="s">
        <v>68</v>
      </c>
      <c r="C12" s="23">
        <f>C4-C10</f>
        <v>711328627</v>
      </c>
    </row>
    <row r="13" spans="1:5" ht="15.6" thickTop="1" thickBot="1">
      <c r="B13" s="27"/>
      <c r="C13" s="18"/>
    </row>
    <row r="14" spans="1:5" ht="15" thickTop="1">
      <c r="B14" s="28" t="s">
        <v>69</v>
      </c>
      <c r="C14" s="19">
        <v>57653469</v>
      </c>
    </row>
    <row r="15" spans="1:5">
      <c r="B15" s="32" t="s">
        <v>70</v>
      </c>
      <c r="C15" s="16">
        <v>0</v>
      </c>
    </row>
    <row r="16" spans="1:5" ht="15" thickBot="1">
      <c r="B16" s="26" t="s">
        <v>71</v>
      </c>
      <c r="C16" s="22">
        <v>0.18</v>
      </c>
    </row>
    <row r="17" spans="2:3" ht="15.6" thickTop="1" thickBot="1">
      <c r="B17" s="33"/>
      <c r="C17" s="15"/>
    </row>
    <row r="18" spans="2:3" ht="15.6" thickTop="1" thickBot="1">
      <c r="B18" s="34" t="s">
        <v>72</v>
      </c>
      <c r="C18" s="18">
        <f>C12-C14-C15-C16</f>
        <v>653675157.82000005</v>
      </c>
    </row>
    <row r="19" spans="2:3" ht="15.6" thickTop="1" thickBot="1">
      <c r="B19" s="35"/>
      <c r="C19" s="15"/>
    </row>
    <row r="20" spans="2:3" ht="15" thickTop="1">
      <c r="B20" s="36" t="s">
        <v>73</v>
      </c>
      <c r="C20" s="38">
        <f>C2-C3-C10</f>
        <v>711328627</v>
      </c>
    </row>
    <row r="21" spans="2:3" ht="15" thickBot="1">
      <c r="B21" s="37" t="s">
        <v>74</v>
      </c>
      <c r="C21" s="39">
        <f>C20+C9+C8</f>
        <v>886138330</v>
      </c>
    </row>
    <row r="22" spans="2:3" ht="1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2022-04-16T13:33:52Z</dcterms:modified>
  <cp:category/>
  <cp:contentStatus/>
</cp:coreProperties>
</file>